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updateLinks="never"/>
  <mc:AlternateContent xmlns:mc="http://schemas.openxmlformats.org/markup-compatibility/2006">
    <mc:Choice Requires="x15">
      <x15ac:absPath xmlns:x15ac="http://schemas.microsoft.com/office/spreadsheetml/2010/11/ac" url="C:\laragon\www\excel\public\alat\"/>
    </mc:Choice>
  </mc:AlternateContent>
  <xr:revisionPtr revIDLastSave="0" documentId="13_ncr:1_{8B9307A8-93D9-4FFD-B0ED-15435A4B51C0}" xr6:coauthVersionLast="45" xr6:coauthVersionMax="47" xr10:uidLastSave="{00000000-0000-0000-0000-000000000000}"/>
  <bookViews>
    <workbookView xWindow="-108" yWindow="-108" windowWidth="23256" windowHeight="12576" tabRatio="778" firstSheet="8" activeTab="11" xr2:uid="{00000000-000D-0000-FFFF-FFFF00000000}"/>
  </bookViews>
  <sheets>
    <sheet name="Lembar Kerja" sheetId="1" r:id="rId1"/>
    <sheet name="Riwayat Revisi" sheetId="28" r:id="rId2"/>
    <sheet name="ID" sheetId="2" r:id="rId3"/>
    <sheet name="Uncertainty Budget" sheetId="3" r:id="rId4"/>
    <sheet name="Lembar Penyelia" sheetId="4" r:id="rId5"/>
    <sheet name="Laporan" sheetId="5" r:id="rId6"/>
    <sheet name="LH" sheetId="27" r:id="rId7"/>
    <sheet name="Sert" sheetId="31" r:id="rId8"/>
    <sheet name="Data Standar" sheetId="23" r:id="rId9"/>
    <sheet name="Data Alat" sheetId="22" r:id="rId10"/>
    <sheet name="DB Thermohygro" sheetId="32" r:id="rId11"/>
    <sheet name="DB Kelistrikan" sheetId="33" r:id="rId12"/>
    <sheet name="Sheet1" sheetId="34" r:id="rId13"/>
  </sheets>
  <externalReferences>
    <externalReference r:id="rId14"/>
  </externalReferences>
  <definedNames>
    <definedName name="_xlnm.Print_Area" localSheetId="2">ID!$A$1:$O$143</definedName>
    <definedName name="_xlnm.Print_Area" localSheetId="5">Laporan!$A$1:$N$88</definedName>
    <definedName name="_xlnm.Print_Area" localSheetId="0">'Lembar Kerja'!$A$1:$M$126</definedName>
    <definedName name="_xlnm.Print_Area" localSheetId="4">'Lembar Penyelia'!$A$1:$L$71</definedName>
    <definedName name="_xlnm.Print_Area" localSheetId="6">LH!$A$1:$N$84</definedName>
    <definedName name="_xlnm.Print_Area" localSheetId="7">Sert!$A$1:$F$31</definedName>
    <definedName name="_xlnm.Print_Area" localSheetId="3">'Uncertainty Budget'!$A$1:$N$20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8" i="33" l="1"/>
  <c r="B259" i="23"/>
  <c r="C273" i="23" s="1"/>
  <c r="E9" i="4" l="1"/>
  <c r="E6" i="27"/>
  <c r="Q110" i="23" l="1"/>
  <c r="F138" i="23"/>
  <c r="F123" i="23"/>
  <c r="F108" i="23"/>
  <c r="F93" i="23"/>
  <c r="F78" i="23"/>
  <c r="F63" i="23"/>
  <c r="F48" i="23"/>
  <c r="F33" i="23"/>
  <c r="F18" i="23"/>
  <c r="BW151" i="23"/>
  <c r="BY151" i="23" s="1"/>
  <c r="BQ151" i="23"/>
  <c r="BS151" i="23" s="1"/>
  <c r="BM151" i="23"/>
  <c r="BK151" i="23"/>
  <c r="BE151" i="23"/>
  <c r="BG151" i="23" s="1"/>
  <c r="AY151" i="23"/>
  <c r="BA151" i="23" s="1"/>
  <c r="AU151" i="23"/>
  <c r="AS151" i="23"/>
  <c r="AM151" i="23"/>
  <c r="AO151" i="23" s="1"/>
  <c r="AI151" i="23"/>
  <c r="AC151" i="23"/>
  <c r="AA151" i="23"/>
  <c r="U151" i="23"/>
  <c r="W151" i="23" s="1"/>
  <c r="E151" i="23"/>
  <c r="BY150" i="23"/>
  <c r="BW150" i="23"/>
  <c r="BQ150" i="23"/>
  <c r="BS150" i="23" s="1"/>
  <c r="BK150" i="23"/>
  <c r="BM150" i="23" s="1"/>
  <c r="BE150" i="23"/>
  <c r="BG150" i="23" s="1"/>
  <c r="AY150" i="23"/>
  <c r="BA150" i="23" s="1"/>
  <c r="AS150" i="23"/>
  <c r="AU150" i="23" s="1"/>
  <c r="AM150" i="23"/>
  <c r="AO150" i="23" s="1"/>
  <c r="AI150" i="23"/>
  <c r="AA150" i="23"/>
  <c r="AC150" i="23" s="1"/>
  <c r="U150" i="23"/>
  <c r="W150" i="23" s="1"/>
  <c r="E150" i="23"/>
  <c r="BY149" i="23"/>
  <c r="BW149" i="23"/>
  <c r="BQ149" i="23"/>
  <c r="BS149" i="23" s="1"/>
  <c r="BK149" i="23"/>
  <c r="BM149" i="23" s="1"/>
  <c r="BG149" i="23"/>
  <c r="BE149" i="23"/>
  <c r="AY149" i="23"/>
  <c r="BA149" i="23" s="1"/>
  <c r="AS149" i="23"/>
  <c r="AU149" i="23" s="1"/>
  <c r="AM149" i="23"/>
  <c r="AO149" i="23" s="1"/>
  <c r="AI149" i="23"/>
  <c r="AA149" i="23"/>
  <c r="AC149" i="23" s="1"/>
  <c r="U149" i="23"/>
  <c r="W149" i="23" s="1"/>
  <c r="E149" i="23"/>
  <c r="BW148" i="23"/>
  <c r="BY148" i="23" s="1"/>
  <c r="BQ148" i="23"/>
  <c r="BS148" i="23" s="1"/>
  <c r="BK148" i="23"/>
  <c r="BM148" i="23" s="1"/>
  <c r="BG148" i="23"/>
  <c r="BE148" i="23"/>
  <c r="BA148" i="23"/>
  <c r="AY148" i="23"/>
  <c r="AS148" i="23"/>
  <c r="AU148" i="23" s="1"/>
  <c r="AM148" i="23"/>
  <c r="AO148" i="23" s="1"/>
  <c r="AI148" i="23"/>
  <c r="AA148" i="23"/>
  <c r="AC148" i="23" s="1"/>
  <c r="W148" i="23"/>
  <c r="U148" i="23"/>
  <c r="E148" i="23"/>
  <c r="BW147" i="23"/>
  <c r="BY147" i="23" s="1"/>
  <c r="BQ147" i="23"/>
  <c r="BS147" i="23" s="1"/>
  <c r="BK147" i="23"/>
  <c r="BM147" i="23" s="1"/>
  <c r="BE147" i="23"/>
  <c r="BG147" i="23" s="1"/>
  <c r="AY147" i="23"/>
  <c r="BA147" i="23" s="1"/>
  <c r="AS147" i="23"/>
  <c r="AU147" i="23" s="1"/>
  <c r="AM147" i="23"/>
  <c r="AO147" i="23" s="1"/>
  <c r="AI147" i="23"/>
  <c r="AA147" i="23"/>
  <c r="AC147" i="23" s="1"/>
  <c r="U147" i="23"/>
  <c r="W147" i="23" s="1"/>
  <c r="E147" i="23"/>
  <c r="BY146" i="23"/>
  <c r="BW146" i="23"/>
  <c r="BQ146" i="23"/>
  <c r="BS146" i="23" s="1"/>
  <c r="BM146" i="23"/>
  <c r="BK146" i="23"/>
  <c r="BE146" i="23"/>
  <c r="BG146" i="23" s="1"/>
  <c r="BA146" i="23"/>
  <c r="AY146" i="23"/>
  <c r="AS146" i="23"/>
  <c r="AU146" i="23" s="1"/>
  <c r="AM146" i="23"/>
  <c r="AO146" i="23" s="1"/>
  <c r="AI146" i="23"/>
  <c r="AA146" i="23"/>
  <c r="AC146" i="23" s="1"/>
  <c r="U146" i="23"/>
  <c r="W146" i="23" s="1"/>
  <c r="E146" i="23"/>
  <c r="BW145" i="23"/>
  <c r="BY145" i="23" s="1"/>
  <c r="BQ145" i="23"/>
  <c r="BS145" i="23" s="1"/>
  <c r="BM145" i="23"/>
  <c r="BK145" i="23"/>
  <c r="BE145" i="23"/>
  <c r="BG145" i="23" s="1"/>
  <c r="BA145" i="23"/>
  <c r="AY145" i="23"/>
  <c r="AS145" i="23"/>
  <c r="AU145" i="23" s="1"/>
  <c r="AM145" i="23"/>
  <c r="AO145" i="23" s="1"/>
  <c r="AI145" i="23"/>
  <c r="AA145" i="23"/>
  <c r="AC145" i="23" s="1"/>
  <c r="U145" i="23"/>
  <c r="W145" i="23" s="1"/>
  <c r="E145" i="23"/>
  <c r="BY144" i="23"/>
  <c r="BW144" i="23"/>
  <c r="BQ144" i="23"/>
  <c r="BS144" i="23" s="1"/>
  <c r="BM144" i="23"/>
  <c r="BK144" i="23"/>
  <c r="BE144" i="23"/>
  <c r="BG144" i="23" s="1"/>
  <c r="AY144" i="23"/>
  <c r="BA144" i="23" s="1"/>
  <c r="AU144" i="23"/>
  <c r="AS144" i="23"/>
  <c r="AM144" i="23"/>
  <c r="AO144" i="23" s="1"/>
  <c r="AI144" i="23"/>
  <c r="AA144" i="23"/>
  <c r="AC144" i="23" s="1"/>
  <c r="U144" i="23"/>
  <c r="W144" i="23" s="1"/>
  <c r="E144" i="23"/>
  <c r="BY143" i="23"/>
  <c r="BW143" i="23"/>
  <c r="BQ143" i="23"/>
  <c r="BS143" i="23" s="1"/>
  <c r="BM143" i="23"/>
  <c r="BK143" i="23"/>
  <c r="BE143" i="23"/>
  <c r="BG143" i="23" s="1"/>
  <c r="BA143" i="23"/>
  <c r="AY143" i="23"/>
  <c r="AU143" i="23"/>
  <c r="AS143" i="23"/>
  <c r="AM143" i="23"/>
  <c r="AO143" i="23" s="1"/>
  <c r="AI143" i="23"/>
  <c r="AA143" i="23"/>
  <c r="AC143" i="23" s="1"/>
  <c r="U143" i="23"/>
  <c r="W143" i="23" s="1"/>
  <c r="E143" i="23"/>
  <c r="BY142" i="23"/>
  <c r="BW142" i="23"/>
  <c r="BQ142" i="23"/>
  <c r="BS142" i="23" s="1"/>
  <c r="BK142" i="23"/>
  <c r="BM142" i="23" s="1"/>
  <c r="BE142" i="23"/>
  <c r="BG142" i="23" s="1"/>
  <c r="BA142" i="23"/>
  <c r="AY142" i="23"/>
  <c r="AU142" i="23"/>
  <c r="AS142" i="23"/>
  <c r="AM142" i="23"/>
  <c r="AO142" i="23" s="1"/>
  <c r="AI142" i="23"/>
  <c r="AA142" i="23"/>
  <c r="AC142" i="23" s="1"/>
  <c r="U142" i="23"/>
  <c r="W142" i="23" s="1"/>
  <c r="E142" i="23"/>
  <c r="BY141" i="23"/>
  <c r="BW141" i="23"/>
  <c r="BQ141" i="23"/>
  <c r="BS141" i="23" s="1"/>
  <c r="BK141" i="23"/>
  <c r="BM141" i="23" s="1"/>
  <c r="BE141" i="23"/>
  <c r="BG141" i="23" s="1"/>
  <c r="AY141" i="23"/>
  <c r="BA141" i="23" s="1"/>
  <c r="AS141" i="23"/>
  <c r="AU141" i="23" s="1"/>
  <c r="AM141" i="23"/>
  <c r="AO141" i="23" s="1"/>
  <c r="AI141" i="23"/>
  <c r="AA141" i="23"/>
  <c r="AC141" i="23" s="1"/>
  <c r="U141" i="23"/>
  <c r="W141" i="23" s="1"/>
  <c r="E141" i="23"/>
  <c r="BW140" i="23"/>
  <c r="BY140" i="23" s="1"/>
  <c r="BQ140" i="23"/>
  <c r="BS140" i="23" s="1"/>
  <c r="BM140" i="23"/>
  <c r="BK140" i="23"/>
  <c r="BG140" i="23"/>
  <c r="BE140" i="23"/>
  <c r="AY140" i="23"/>
  <c r="BA140" i="23" s="1"/>
  <c r="AS140" i="23"/>
  <c r="AU140" i="23" s="1"/>
  <c r="AM140" i="23"/>
  <c r="AO140" i="23" s="1"/>
  <c r="AI140" i="23"/>
  <c r="AA140" i="23"/>
  <c r="AC140" i="23" s="1"/>
  <c r="U140" i="23"/>
  <c r="W140" i="23" s="1"/>
  <c r="E140" i="23"/>
  <c r="H138" i="23"/>
  <c r="N138" i="23" s="1"/>
  <c r="T138" i="23" s="1"/>
  <c r="Z138" i="23" s="1"/>
  <c r="AF138" i="23" s="1"/>
  <c r="AL138" i="23" s="1"/>
  <c r="AR138" i="23" s="1"/>
  <c r="AX138" i="23" s="1"/>
  <c r="BD138" i="23" s="1"/>
  <c r="BJ138" i="23" s="1"/>
  <c r="BP138" i="23" s="1"/>
  <c r="BV138" i="23" s="1"/>
  <c r="CB138" i="23" s="1"/>
  <c r="CH138" i="23" s="1"/>
  <c r="CN138" i="23" s="1"/>
  <c r="BW136" i="23"/>
  <c r="BY136" i="23" s="1"/>
  <c r="BQ136" i="23"/>
  <c r="BS136" i="23" s="1"/>
  <c r="BM136" i="23"/>
  <c r="BK136" i="23"/>
  <c r="BE136" i="23"/>
  <c r="BG136" i="23" s="1"/>
  <c r="BA136" i="23"/>
  <c r="AY136" i="23"/>
  <c r="AS136" i="23"/>
  <c r="AU136" i="23" s="1"/>
  <c r="AM136" i="23"/>
  <c r="AO136" i="23" s="1"/>
  <c r="AI136" i="23"/>
  <c r="AA136" i="23"/>
  <c r="AC136" i="23" s="1"/>
  <c r="W136" i="23"/>
  <c r="U136" i="23"/>
  <c r="E136" i="23"/>
  <c r="BW135" i="23"/>
  <c r="BY135" i="23" s="1"/>
  <c r="BQ135" i="23"/>
  <c r="BS135" i="23" s="1"/>
  <c r="BM135" i="23"/>
  <c r="BK135" i="23"/>
  <c r="BE135" i="23"/>
  <c r="BG135" i="23" s="1"/>
  <c r="AY135" i="23"/>
  <c r="BA135" i="23" s="1"/>
  <c r="AU135" i="23"/>
  <c r="AS135" i="23"/>
  <c r="AM135" i="23"/>
  <c r="AO135" i="23" s="1"/>
  <c r="AI135" i="23"/>
  <c r="AA135" i="23"/>
  <c r="AC135" i="23" s="1"/>
  <c r="U135" i="23"/>
  <c r="W135" i="23" s="1"/>
  <c r="E135" i="23"/>
  <c r="BY134" i="23"/>
  <c r="BW134" i="23"/>
  <c r="BQ134" i="23"/>
  <c r="BS134" i="23" s="1"/>
  <c r="BM134" i="23"/>
  <c r="BK134" i="23"/>
  <c r="BE134" i="23"/>
  <c r="BG134" i="23" s="1"/>
  <c r="BA134" i="23"/>
  <c r="AY134" i="23"/>
  <c r="AS134" i="23"/>
  <c r="AU134" i="23" s="1"/>
  <c r="AM134" i="23"/>
  <c r="AO134" i="23" s="1"/>
  <c r="AI134" i="23"/>
  <c r="AA134" i="23"/>
  <c r="AC134" i="23" s="1"/>
  <c r="U134" i="23"/>
  <c r="W134" i="23" s="1"/>
  <c r="E134" i="23"/>
  <c r="BY133" i="23"/>
  <c r="BW133" i="23"/>
  <c r="BQ133" i="23"/>
  <c r="BS133" i="23" s="1"/>
  <c r="BK133" i="23"/>
  <c r="BM133" i="23" s="1"/>
  <c r="BE133" i="23"/>
  <c r="BG133" i="23" s="1"/>
  <c r="AY133" i="23"/>
  <c r="BA133" i="23" s="1"/>
  <c r="AS133" i="23"/>
  <c r="AU133" i="23" s="1"/>
  <c r="AM133" i="23"/>
  <c r="AO133" i="23" s="1"/>
  <c r="AI133" i="23"/>
  <c r="AA133" i="23"/>
  <c r="AC133" i="23" s="1"/>
  <c r="U133" i="23"/>
  <c r="W133" i="23" s="1"/>
  <c r="E133" i="23"/>
  <c r="BY132" i="23"/>
  <c r="BW132" i="23"/>
  <c r="BQ132" i="23"/>
  <c r="BS132" i="23" s="1"/>
  <c r="BM132" i="23"/>
  <c r="BK132" i="23"/>
  <c r="BE132" i="23"/>
  <c r="BG132" i="23" s="1"/>
  <c r="AY132" i="23"/>
  <c r="BA132" i="23" s="1"/>
  <c r="AS132" i="23"/>
  <c r="AU132" i="23" s="1"/>
  <c r="AM132" i="23"/>
  <c r="AO132" i="23" s="1"/>
  <c r="AI132" i="23"/>
  <c r="AA132" i="23"/>
  <c r="AC132" i="23" s="1"/>
  <c r="U132" i="23"/>
  <c r="W132" i="23" s="1"/>
  <c r="E132" i="23"/>
  <c r="BW131" i="23"/>
  <c r="BY131" i="23" s="1"/>
  <c r="BS131" i="23"/>
  <c r="BQ131" i="23"/>
  <c r="BK131" i="23"/>
  <c r="BM131" i="23" s="1"/>
  <c r="BE131" i="23"/>
  <c r="BG131" i="23" s="1"/>
  <c r="AY131" i="23"/>
  <c r="BA131" i="23" s="1"/>
  <c r="AS131" i="23"/>
  <c r="AU131" i="23" s="1"/>
  <c r="AM131" i="23"/>
  <c r="AO131" i="23" s="1"/>
  <c r="AI131" i="23"/>
  <c r="AA131" i="23"/>
  <c r="AC131" i="23" s="1"/>
  <c r="U131" i="23"/>
  <c r="W131" i="23" s="1"/>
  <c r="E131" i="23"/>
  <c r="BY130" i="23"/>
  <c r="BW130" i="23"/>
  <c r="BQ130" i="23"/>
  <c r="BS130" i="23" s="1"/>
  <c r="BK130" i="23"/>
  <c r="BM130" i="23" s="1"/>
  <c r="BE130" i="23"/>
  <c r="BG130" i="23" s="1"/>
  <c r="BA130" i="23"/>
  <c r="AY130" i="23"/>
  <c r="AS130" i="23"/>
  <c r="AU130" i="23" s="1"/>
  <c r="AM130" i="23"/>
  <c r="AO130" i="23" s="1"/>
  <c r="AI130" i="23"/>
  <c r="AA130" i="23"/>
  <c r="AC130" i="23" s="1"/>
  <c r="W130" i="23"/>
  <c r="U130" i="23"/>
  <c r="E130" i="23"/>
  <c r="BW129" i="23"/>
  <c r="BY129" i="23" s="1"/>
  <c r="BQ129" i="23"/>
  <c r="BS129" i="23" s="1"/>
  <c r="BK129" i="23"/>
  <c r="BM129" i="23" s="1"/>
  <c r="BE129" i="23"/>
  <c r="BG129" i="23" s="1"/>
  <c r="BA129" i="23"/>
  <c r="AY129" i="23"/>
  <c r="AS129" i="23"/>
  <c r="AU129" i="23" s="1"/>
  <c r="AM129" i="23"/>
  <c r="AO129" i="23" s="1"/>
  <c r="AI129" i="23"/>
  <c r="AA129" i="23"/>
  <c r="AC129" i="23" s="1"/>
  <c r="U129" i="23"/>
  <c r="W129" i="23" s="1"/>
  <c r="E129" i="23"/>
  <c r="BW128" i="23"/>
  <c r="BY128" i="23" s="1"/>
  <c r="BQ128" i="23"/>
  <c r="BS128" i="23" s="1"/>
  <c r="BM128" i="23"/>
  <c r="BK128" i="23"/>
  <c r="BE128" i="23"/>
  <c r="BG128" i="23" s="1"/>
  <c r="BA128" i="23"/>
  <c r="AY128" i="23"/>
  <c r="AS128" i="23"/>
  <c r="AU128" i="23" s="1"/>
  <c r="AM128" i="23"/>
  <c r="AO128" i="23" s="1"/>
  <c r="AI128" i="23"/>
  <c r="AA128" i="23"/>
  <c r="AC128" i="23" s="1"/>
  <c r="U128" i="23"/>
  <c r="W128" i="23" s="1"/>
  <c r="E128" i="23"/>
  <c r="BW127" i="23"/>
  <c r="BY127" i="23" s="1"/>
  <c r="BQ127" i="23"/>
  <c r="BS127" i="23" s="1"/>
  <c r="BM127" i="23"/>
  <c r="BK127" i="23"/>
  <c r="BE127" i="23"/>
  <c r="BG127" i="23" s="1"/>
  <c r="AY127" i="23"/>
  <c r="BA127" i="23" s="1"/>
  <c r="AS127" i="23"/>
  <c r="AU127" i="23" s="1"/>
  <c r="AM127" i="23"/>
  <c r="AO127" i="23" s="1"/>
  <c r="AI127" i="23"/>
  <c r="AA127" i="23"/>
  <c r="AC127" i="23" s="1"/>
  <c r="U127" i="23"/>
  <c r="W127" i="23" s="1"/>
  <c r="E127" i="23"/>
  <c r="BY126" i="23"/>
  <c r="BW126" i="23"/>
  <c r="BQ126" i="23"/>
  <c r="BS126" i="23" s="1"/>
  <c r="BK126" i="23"/>
  <c r="BM126" i="23" s="1"/>
  <c r="BE126" i="23"/>
  <c r="BG126" i="23" s="1"/>
  <c r="AY126" i="23"/>
  <c r="BA126" i="23" s="1"/>
  <c r="AS126" i="23"/>
  <c r="AU126" i="23" s="1"/>
  <c r="AM126" i="23"/>
  <c r="AO126" i="23" s="1"/>
  <c r="AI126" i="23"/>
  <c r="AC126" i="23"/>
  <c r="AA126" i="23"/>
  <c r="U126" i="23"/>
  <c r="W126" i="23" s="1"/>
  <c r="E126" i="23"/>
  <c r="BY125" i="23"/>
  <c r="BW125" i="23"/>
  <c r="BS125" i="23"/>
  <c r="BQ125" i="23"/>
  <c r="BM125" i="23"/>
  <c r="BK125" i="23"/>
  <c r="BE125" i="23"/>
  <c r="BG125" i="23" s="1"/>
  <c r="BA125" i="23"/>
  <c r="AY125" i="23"/>
  <c r="AS125" i="23"/>
  <c r="AU125" i="23" s="1"/>
  <c r="AM125" i="23"/>
  <c r="AO125" i="23" s="1"/>
  <c r="AI125" i="23"/>
  <c r="AA125" i="23"/>
  <c r="AC125" i="23" s="1"/>
  <c r="U125" i="23"/>
  <c r="W125" i="23" s="1"/>
  <c r="E125" i="23"/>
  <c r="T123" i="23"/>
  <c r="Z123" i="23" s="1"/>
  <c r="AF123" i="23" s="1"/>
  <c r="AL123" i="23" s="1"/>
  <c r="AR123" i="23" s="1"/>
  <c r="AX123" i="23" s="1"/>
  <c r="BD123" i="23" s="1"/>
  <c r="BJ123" i="23" s="1"/>
  <c r="BP123" i="23" s="1"/>
  <c r="BV123" i="23" s="1"/>
  <c r="CB123" i="23" s="1"/>
  <c r="CH123" i="23" s="1"/>
  <c r="CN123" i="23" s="1"/>
  <c r="N123" i="23"/>
  <c r="H123" i="23"/>
  <c r="BW121" i="23"/>
  <c r="BY121" i="23" s="1"/>
  <c r="BQ121" i="23"/>
  <c r="BS121" i="23" s="1"/>
  <c r="BK121" i="23"/>
  <c r="BM121" i="23" s="1"/>
  <c r="BE121" i="23"/>
  <c r="BG121" i="23" s="1"/>
  <c r="AY121" i="23"/>
  <c r="BA121" i="23" s="1"/>
  <c r="AS121" i="23"/>
  <c r="AU121" i="23" s="1"/>
  <c r="AM121" i="23"/>
  <c r="AO121" i="23" s="1"/>
  <c r="AG121" i="23"/>
  <c r="AI121" i="23" s="1"/>
  <c r="AA121" i="23"/>
  <c r="AC121" i="23" s="1"/>
  <c r="U121" i="23"/>
  <c r="W121" i="23" s="1"/>
  <c r="P121" i="23"/>
  <c r="Q121" i="23" s="1"/>
  <c r="K121" i="23"/>
  <c r="J121" i="23"/>
  <c r="D121" i="23"/>
  <c r="E121" i="23" s="1"/>
  <c r="BY120" i="23"/>
  <c r="BW120" i="23"/>
  <c r="BQ120" i="23"/>
  <c r="BS120" i="23" s="1"/>
  <c r="BK120" i="23"/>
  <c r="BM120" i="23" s="1"/>
  <c r="BE120" i="23"/>
  <c r="BG120" i="23" s="1"/>
  <c r="BA120" i="23"/>
  <c r="AY120" i="23"/>
  <c r="AS120" i="23"/>
  <c r="AU120" i="23" s="1"/>
  <c r="AM120" i="23"/>
  <c r="AO120" i="23" s="1"/>
  <c r="AG120" i="23"/>
  <c r="AI120" i="23" s="1"/>
  <c r="AA120" i="23"/>
  <c r="AC120" i="23" s="1"/>
  <c r="U120" i="23"/>
  <c r="W120" i="23" s="1"/>
  <c r="P120" i="23"/>
  <c r="Q120" i="23" s="1"/>
  <c r="J120" i="23"/>
  <c r="K120" i="23" s="1"/>
  <c r="E120" i="23"/>
  <c r="D120" i="23"/>
  <c r="BW119" i="23"/>
  <c r="BY119" i="23" s="1"/>
  <c r="BQ119" i="23"/>
  <c r="BS119" i="23" s="1"/>
  <c r="BK119" i="23"/>
  <c r="BM119" i="23" s="1"/>
  <c r="BE119" i="23"/>
  <c r="BG119" i="23" s="1"/>
  <c r="AY119" i="23"/>
  <c r="BA119" i="23" s="1"/>
  <c r="AS119" i="23"/>
  <c r="AU119" i="23" s="1"/>
  <c r="AM119" i="23"/>
  <c r="AO119" i="23" s="1"/>
  <c r="AI119" i="23"/>
  <c r="AG119" i="23"/>
  <c r="AA119" i="23"/>
  <c r="AC119" i="23" s="1"/>
  <c r="U119" i="23"/>
  <c r="W119" i="23" s="1"/>
  <c r="P119" i="23"/>
  <c r="Q119" i="23" s="1"/>
  <c r="K119" i="23"/>
  <c r="J119" i="23"/>
  <c r="D119" i="23"/>
  <c r="E119" i="23" s="1"/>
  <c r="BW118" i="23"/>
  <c r="BY118" i="23" s="1"/>
  <c r="BQ118" i="23"/>
  <c r="BS118" i="23" s="1"/>
  <c r="BM118" i="23"/>
  <c r="BK118" i="23"/>
  <c r="BE118" i="23"/>
  <c r="BG118" i="23" s="1"/>
  <c r="BA118" i="23"/>
  <c r="AY118" i="23"/>
  <c r="AS118" i="23"/>
  <c r="AU118" i="23" s="1"/>
  <c r="AM118" i="23"/>
  <c r="AO118" i="23" s="1"/>
  <c r="AG118" i="23"/>
  <c r="AI118" i="23" s="1"/>
  <c r="AA118" i="23"/>
  <c r="AC118" i="23" s="1"/>
  <c r="U118" i="23"/>
  <c r="W118" i="23" s="1"/>
  <c r="Q118" i="23"/>
  <c r="P118" i="23"/>
  <c r="J118" i="23"/>
  <c r="K118" i="23" s="1"/>
  <c r="D118" i="23"/>
  <c r="E118" i="23" s="1"/>
  <c r="BW117" i="23"/>
  <c r="BY117" i="23" s="1"/>
  <c r="BQ117" i="23"/>
  <c r="BS117" i="23" s="1"/>
  <c r="BK117" i="23"/>
  <c r="BM117" i="23" s="1"/>
  <c r="BE117" i="23"/>
  <c r="BG117" i="23" s="1"/>
  <c r="AY117" i="23"/>
  <c r="BA117" i="23" s="1"/>
  <c r="AS117" i="23"/>
  <c r="AU117" i="23" s="1"/>
  <c r="AM117" i="23"/>
  <c r="AO117" i="23" s="1"/>
  <c r="AI117" i="23"/>
  <c r="AG117" i="23"/>
  <c r="AA117" i="23"/>
  <c r="AC117" i="23" s="1"/>
  <c r="U117" i="23"/>
  <c r="W117" i="23" s="1"/>
  <c r="P117" i="23"/>
  <c r="Q117" i="23" s="1"/>
  <c r="J117" i="23"/>
  <c r="K117" i="23" s="1"/>
  <c r="D117" i="23"/>
  <c r="E117" i="23" s="1"/>
  <c r="BY116" i="23"/>
  <c r="BW116" i="23"/>
  <c r="BQ116" i="23"/>
  <c r="BS116" i="23" s="1"/>
  <c r="BM116" i="23"/>
  <c r="BK116" i="23"/>
  <c r="BE116" i="23"/>
  <c r="BG116" i="23" s="1"/>
  <c r="BA116" i="23"/>
  <c r="AY116" i="23"/>
  <c r="AS116" i="23"/>
  <c r="AU116" i="23" s="1"/>
  <c r="AM116" i="23"/>
  <c r="AO116" i="23" s="1"/>
  <c r="AG116" i="23"/>
  <c r="AI116" i="23" s="1"/>
  <c r="AA116" i="23"/>
  <c r="AC116" i="23" s="1"/>
  <c r="U116" i="23"/>
  <c r="W116" i="23" s="1"/>
  <c r="Q116" i="23"/>
  <c r="P116" i="23"/>
  <c r="J116" i="23"/>
  <c r="K116" i="23" s="1"/>
  <c r="D116" i="23"/>
  <c r="E116" i="23" s="1"/>
  <c r="BW115" i="23"/>
  <c r="BY115" i="23" s="1"/>
  <c r="BQ115" i="23"/>
  <c r="BS115" i="23" s="1"/>
  <c r="BK115" i="23"/>
  <c r="BM115" i="23" s="1"/>
  <c r="BE115" i="23"/>
  <c r="BG115" i="23" s="1"/>
  <c r="AY115" i="23"/>
  <c r="BA115" i="23" s="1"/>
  <c r="AS115" i="23"/>
  <c r="AU115" i="23" s="1"/>
  <c r="AM115" i="23"/>
  <c r="AO115" i="23" s="1"/>
  <c r="AI115" i="23"/>
  <c r="AG115" i="23"/>
  <c r="AA115" i="23"/>
  <c r="AC115" i="23" s="1"/>
  <c r="W115" i="23"/>
  <c r="U115" i="23"/>
  <c r="P115" i="23"/>
  <c r="Q115" i="23" s="1"/>
  <c r="J115" i="23"/>
  <c r="K115" i="23" s="1"/>
  <c r="D115" i="23"/>
  <c r="E115" i="23" s="1"/>
  <c r="BW114" i="23"/>
  <c r="BY114" i="23" s="1"/>
  <c r="BQ114" i="23"/>
  <c r="BS114" i="23" s="1"/>
  <c r="BM114" i="23"/>
  <c r="BK114" i="23"/>
  <c r="BE114" i="23"/>
  <c r="BG114" i="23" s="1"/>
  <c r="BA114" i="23"/>
  <c r="AY114" i="23"/>
  <c r="AS114" i="23"/>
  <c r="AU114" i="23" s="1"/>
  <c r="AM114" i="23"/>
  <c r="AO114" i="23" s="1"/>
  <c r="AG114" i="23"/>
  <c r="AI114" i="23" s="1"/>
  <c r="AA114" i="23"/>
  <c r="AC114" i="23" s="1"/>
  <c r="U114" i="23"/>
  <c r="W114" i="23" s="1"/>
  <c r="Q114" i="23"/>
  <c r="P114" i="23"/>
  <c r="J114" i="23"/>
  <c r="K114" i="23" s="1"/>
  <c r="D114" i="23"/>
  <c r="E114" i="23" s="1"/>
  <c r="BW113" i="23"/>
  <c r="BY113" i="23" s="1"/>
  <c r="BQ113" i="23"/>
  <c r="BS113" i="23" s="1"/>
  <c r="BK113" i="23"/>
  <c r="BM113" i="23" s="1"/>
  <c r="BE113" i="23"/>
  <c r="BG113" i="23" s="1"/>
  <c r="AY113" i="23"/>
  <c r="BA113" i="23" s="1"/>
  <c r="AU113" i="23"/>
  <c r="AS113" i="23"/>
  <c r="AM113" i="23"/>
  <c r="AO113" i="23" s="1"/>
  <c r="AI113" i="23"/>
  <c r="AG113" i="23"/>
  <c r="AA113" i="23"/>
  <c r="AC113" i="23" s="1"/>
  <c r="U113" i="23"/>
  <c r="W113" i="23" s="1"/>
  <c r="P113" i="23"/>
  <c r="Q113" i="23" s="1"/>
  <c r="J113" i="23"/>
  <c r="K113" i="23" s="1"/>
  <c r="D113" i="23"/>
  <c r="E113" i="23" s="1"/>
  <c r="BY112" i="23"/>
  <c r="BW112" i="23"/>
  <c r="BS112" i="23"/>
  <c r="BQ112" i="23"/>
  <c r="BM112" i="23"/>
  <c r="BK112" i="23"/>
  <c r="BE112" i="23"/>
  <c r="BG112" i="23" s="1"/>
  <c r="BA112" i="23"/>
  <c r="AY112" i="23"/>
  <c r="AS112" i="23"/>
  <c r="AU112" i="23" s="1"/>
  <c r="AM112" i="23"/>
  <c r="AO112" i="23" s="1"/>
  <c r="AG112" i="23"/>
  <c r="AI112" i="23" s="1"/>
  <c r="AA112" i="23"/>
  <c r="AC112" i="23" s="1"/>
  <c r="U112" i="23"/>
  <c r="W112" i="23" s="1"/>
  <c r="P112" i="23"/>
  <c r="Q112" i="23" s="1"/>
  <c r="J112" i="23"/>
  <c r="K112" i="23" s="1"/>
  <c r="E112" i="23"/>
  <c r="D112" i="23"/>
  <c r="BW111" i="23"/>
  <c r="BY111" i="23" s="1"/>
  <c r="BQ111" i="23"/>
  <c r="BS111" i="23" s="1"/>
  <c r="BK111" i="23"/>
  <c r="BM111" i="23" s="1"/>
  <c r="BE111" i="23"/>
  <c r="BG111" i="23" s="1"/>
  <c r="AY111" i="23"/>
  <c r="BA111" i="23" s="1"/>
  <c r="AS111" i="23"/>
  <c r="AU111" i="23" s="1"/>
  <c r="AM111" i="23"/>
  <c r="AO111" i="23" s="1"/>
  <c r="AI111" i="23"/>
  <c r="AG111" i="23"/>
  <c r="AA111" i="23"/>
  <c r="AC111" i="23" s="1"/>
  <c r="U111" i="23"/>
  <c r="W111" i="23" s="1"/>
  <c r="P111" i="23"/>
  <c r="Q111" i="23" s="1"/>
  <c r="K111" i="23"/>
  <c r="J111" i="23"/>
  <c r="E111" i="23"/>
  <c r="D111" i="23"/>
  <c r="BW110" i="23"/>
  <c r="BY110" i="23" s="1"/>
  <c r="BQ110" i="23"/>
  <c r="BS110" i="23" s="1"/>
  <c r="BK110" i="23"/>
  <c r="BM110" i="23" s="1"/>
  <c r="BE110" i="23"/>
  <c r="BG110" i="23" s="1"/>
  <c r="AY110" i="23"/>
  <c r="BA110" i="23" s="1"/>
  <c r="AS110" i="23"/>
  <c r="AU110" i="23" s="1"/>
  <c r="AM110" i="23"/>
  <c r="AO110" i="23" s="1"/>
  <c r="AG110" i="23"/>
  <c r="AI110" i="23" s="1"/>
  <c r="AA110" i="23"/>
  <c r="AC110" i="23" s="1"/>
  <c r="U110" i="23"/>
  <c r="W110" i="23" s="1"/>
  <c r="P110" i="23"/>
  <c r="J110" i="23"/>
  <c r="K110" i="23" s="1"/>
  <c r="E110" i="23"/>
  <c r="D110" i="23"/>
  <c r="P109" i="23"/>
  <c r="O109" i="23"/>
  <c r="BW106" i="23"/>
  <c r="BY106" i="23" s="1"/>
  <c r="BQ106" i="23"/>
  <c r="BS106" i="23" s="1"/>
  <c r="BK106" i="23"/>
  <c r="BM106" i="23" s="1"/>
  <c r="BE106" i="23"/>
  <c r="BG106" i="23" s="1"/>
  <c r="BA106" i="23"/>
  <c r="AY106" i="23"/>
  <c r="AS106" i="23"/>
  <c r="AU106" i="23" s="1"/>
  <c r="AM106" i="23"/>
  <c r="AO106" i="23" s="1"/>
  <c r="AG106" i="23"/>
  <c r="AI106" i="23" s="1"/>
  <c r="AA106" i="23"/>
  <c r="AC106" i="23" s="1"/>
  <c r="U106" i="23"/>
  <c r="W106" i="23" s="1"/>
  <c r="P106" i="23"/>
  <c r="Q106" i="23" s="1"/>
  <c r="J106" i="23"/>
  <c r="K106" i="23" s="1"/>
  <c r="E106" i="23"/>
  <c r="D106" i="23"/>
  <c r="BY105" i="23"/>
  <c r="BW105" i="23"/>
  <c r="BQ105" i="23"/>
  <c r="BS105" i="23" s="1"/>
  <c r="BK105" i="23"/>
  <c r="BM105" i="23" s="1"/>
  <c r="BG105" i="23"/>
  <c r="BE105" i="23"/>
  <c r="AY105" i="23"/>
  <c r="BA105" i="23" s="1"/>
  <c r="AS105" i="23"/>
  <c r="AU105" i="23" s="1"/>
  <c r="AM105" i="23"/>
  <c r="AO105" i="23" s="1"/>
  <c r="AG105" i="23"/>
  <c r="AI105" i="23" s="1"/>
  <c r="AA105" i="23"/>
  <c r="AC105" i="23" s="1"/>
  <c r="U105" i="23"/>
  <c r="W105" i="23" s="1"/>
  <c r="P105" i="23"/>
  <c r="Q105" i="23" s="1"/>
  <c r="K105" i="23"/>
  <c r="J105" i="23"/>
  <c r="D105" i="23"/>
  <c r="E105" i="23" s="1"/>
  <c r="BW104" i="23"/>
  <c r="BY104" i="23" s="1"/>
  <c r="BQ104" i="23"/>
  <c r="BS104" i="23" s="1"/>
  <c r="BM104" i="23"/>
  <c r="BK104" i="23"/>
  <c r="BE104" i="23"/>
  <c r="BG104" i="23" s="1"/>
  <c r="AY104" i="23"/>
  <c r="BA104" i="23" s="1"/>
  <c r="AS104" i="23"/>
  <c r="AU104" i="23" s="1"/>
  <c r="AM104" i="23"/>
  <c r="AO104" i="23" s="1"/>
  <c r="AG104" i="23"/>
  <c r="AI104" i="23" s="1"/>
  <c r="AA104" i="23"/>
  <c r="AC104" i="23" s="1"/>
  <c r="U104" i="23"/>
  <c r="W104" i="23" s="1"/>
  <c r="P104" i="23"/>
  <c r="Q104" i="23" s="1"/>
  <c r="J104" i="23"/>
  <c r="K104" i="23" s="1"/>
  <c r="D104" i="23"/>
  <c r="E104" i="23" s="1"/>
  <c r="BW103" i="23"/>
  <c r="BY103" i="23" s="1"/>
  <c r="BQ103" i="23"/>
  <c r="BS103" i="23" s="1"/>
  <c r="BK103" i="23"/>
  <c r="BM103" i="23" s="1"/>
  <c r="BE103" i="23"/>
  <c r="BG103" i="23" s="1"/>
  <c r="AY103" i="23"/>
  <c r="BA103" i="23" s="1"/>
  <c r="AS103" i="23"/>
  <c r="AU103" i="23" s="1"/>
  <c r="AM103" i="23"/>
  <c r="AO103" i="23" s="1"/>
  <c r="AG103" i="23"/>
  <c r="AI103" i="23" s="1"/>
  <c r="AA103" i="23"/>
  <c r="AC103" i="23" s="1"/>
  <c r="U103" i="23"/>
  <c r="W103" i="23" s="1"/>
  <c r="P103" i="23"/>
  <c r="Q103" i="23" s="1"/>
  <c r="J103" i="23"/>
  <c r="K103" i="23" s="1"/>
  <c r="D103" i="23"/>
  <c r="E103" i="23" s="1"/>
  <c r="BY102" i="23"/>
  <c r="BW102" i="23"/>
  <c r="BQ102" i="23"/>
  <c r="BS102" i="23" s="1"/>
  <c r="BK102" i="23"/>
  <c r="BM102" i="23" s="1"/>
  <c r="BE102" i="23"/>
  <c r="BG102" i="23" s="1"/>
  <c r="BA102" i="23"/>
  <c r="AY102" i="23"/>
  <c r="AS102" i="23"/>
  <c r="AU102" i="23" s="1"/>
  <c r="AM102" i="23"/>
  <c r="AO102" i="23" s="1"/>
  <c r="AG102" i="23"/>
  <c r="AI102" i="23" s="1"/>
  <c r="AC102" i="23"/>
  <c r="AA102" i="23"/>
  <c r="U102" i="23"/>
  <c r="W102" i="23" s="1"/>
  <c r="P102" i="23"/>
  <c r="Q102" i="23" s="1"/>
  <c r="J102" i="23"/>
  <c r="K102" i="23" s="1"/>
  <c r="E102" i="23"/>
  <c r="D102" i="23"/>
  <c r="BW101" i="23"/>
  <c r="BY101" i="23" s="1"/>
  <c r="BQ101" i="23"/>
  <c r="BS101" i="23" s="1"/>
  <c r="BK101" i="23"/>
  <c r="BM101" i="23" s="1"/>
  <c r="BE101" i="23"/>
  <c r="BG101" i="23" s="1"/>
  <c r="BA101" i="23"/>
  <c r="AY101" i="23"/>
  <c r="AS101" i="23"/>
  <c r="AU101" i="23" s="1"/>
  <c r="AM101" i="23"/>
  <c r="AO101" i="23" s="1"/>
  <c r="AI101" i="23"/>
  <c r="AG101" i="23"/>
  <c r="AA101" i="23"/>
  <c r="AC101" i="23" s="1"/>
  <c r="U101" i="23"/>
  <c r="W101" i="23" s="1"/>
  <c r="P101" i="23"/>
  <c r="Q101" i="23" s="1"/>
  <c r="J101" i="23"/>
  <c r="K101" i="23" s="1"/>
  <c r="E101" i="23"/>
  <c r="D101" i="23"/>
  <c r="BW100" i="23"/>
  <c r="BY100" i="23" s="1"/>
  <c r="BQ100" i="23"/>
  <c r="BS100" i="23" s="1"/>
  <c r="BM100" i="23"/>
  <c r="BK100" i="23"/>
  <c r="BE100" i="23"/>
  <c r="BG100" i="23" s="1"/>
  <c r="AY100" i="23"/>
  <c r="BA100" i="23" s="1"/>
  <c r="AS100" i="23"/>
  <c r="AU100" i="23" s="1"/>
  <c r="AM100" i="23"/>
  <c r="AO100" i="23" s="1"/>
  <c r="AI100" i="23"/>
  <c r="AG100" i="23"/>
  <c r="AA100" i="23"/>
  <c r="AC100" i="23" s="1"/>
  <c r="U100" i="23"/>
  <c r="W100" i="23" s="1"/>
  <c r="Q100" i="23"/>
  <c r="P100" i="23"/>
  <c r="J100" i="23"/>
  <c r="K100" i="23" s="1"/>
  <c r="D100" i="23"/>
  <c r="E100" i="23" s="1"/>
  <c r="BW99" i="23"/>
  <c r="BY99" i="23" s="1"/>
  <c r="BQ99" i="23"/>
  <c r="BS99" i="23" s="1"/>
  <c r="BM99" i="23"/>
  <c r="BK99" i="23"/>
  <c r="BE99" i="23"/>
  <c r="BG99" i="23" s="1"/>
  <c r="AY99" i="23"/>
  <c r="BA99" i="23" s="1"/>
  <c r="AS99" i="23"/>
  <c r="AU99" i="23" s="1"/>
  <c r="AM99" i="23"/>
  <c r="AO99" i="23" s="1"/>
  <c r="AG99" i="23"/>
  <c r="AI99" i="23" s="1"/>
  <c r="AA99" i="23"/>
  <c r="AC99" i="23" s="1"/>
  <c r="U99" i="23"/>
  <c r="W99" i="23" s="1"/>
  <c r="Q99" i="23"/>
  <c r="P99" i="23"/>
  <c r="J99" i="23"/>
  <c r="K99" i="23" s="1"/>
  <c r="D99" i="23"/>
  <c r="E99" i="23" s="1"/>
  <c r="BY98" i="23"/>
  <c r="BW98" i="23"/>
  <c r="BQ98" i="23"/>
  <c r="BS98" i="23" s="1"/>
  <c r="BK98" i="23"/>
  <c r="BM98" i="23" s="1"/>
  <c r="BE98" i="23"/>
  <c r="BG98" i="23" s="1"/>
  <c r="BA98" i="23"/>
  <c r="AY98" i="23"/>
  <c r="AU98" i="23"/>
  <c r="AS98" i="23"/>
  <c r="AM98" i="23"/>
  <c r="AO98" i="23" s="1"/>
  <c r="AG98" i="23"/>
  <c r="AI98" i="23" s="1"/>
  <c r="AC98" i="23"/>
  <c r="AA98" i="23"/>
  <c r="U98" i="23"/>
  <c r="W98" i="23" s="1"/>
  <c r="P98" i="23"/>
  <c r="Q98" i="23" s="1"/>
  <c r="J98" i="23"/>
  <c r="K98" i="23" s="1"/>
  <c r="E98" i="23"/>
  <c r="D98" i="23"/>
  <c r="BY97" i="23"/>
  <c r="BW97" i="23"/>
  <c r="BQ97" i="23"/>
  <c r="BS97" i="23" s="1"/>
  <c r="BK97" i="23"/>
  <c r="BM97" i="23" s="1"/>
  <c r="BE97" i="23"/>
  <c r="BG97" i="23" s="1"/>
  <c r="AY97" i="23"/>
  <c r="BA97" i="23" s="1"/>
  <c r="AS97" i="23"/>
  <c r="AU97" i="23" s="1"/>
  <c r="AM97" i="23"/>
  <c r="AO97" i="23" s="1"/>
  <c r="AG97" i="23"/>
  <c r="AI97" i="23" s="1"/>
  <c r="AA97" i="23"/>
  <c r="AC97" i="23" s="1"/>
  <c r="U97" i="23"/>
  <c r="W97" i="23" s="1"/>
  <c r="P97" i="23"/>
  <c r="Q97" i="23" s="1"/>
  <c r="K97" i="23"/>
  <c r="J97" i="23"/>
  <c r="D97" i="23"/>
  <c r="E97" i="23" s="1"/>
  <c r="BW96" i="23"/>
  <c r="BY96" i="23" s="1"/>
  <c r="BQ96" i="23"/>
  <c r="BS96" i="23" s="1"/>
  <c r="BK96" i="23"/>
  <c r="BM96" i="23" s="1"/>
  <c r="BE96" i="23"/>
  <c r="BG96" i="23" s="1"/>
  <c r="AY96" i="23"/>
  <c r="BA96" i="23" s="1"/>
  <c r="AS96" i="23"/>
  <c r="AU96" i="23" s="1"/>
  <c r="AM96" i="23"/>
  <c r="AO96" i="23" s="1"/>
  <c r="AG96" i="23"/>
  <c r="AI96" i="23" s="1"/>
  <c r="AA96" i="23"/>
  <c r="AC96" i="23" s="1"/>
  <c r="U96" i="23"/>
  <c r="W96" i="23" s="1"/>
  <c r="Q96" i="23"/>
  <c r="P96" i="23"/>
  <c r="K96" i="23"/>
  <c r="J96" i="23"/>
  <c r="D96" i="23"/>
  <c r="E96" i="23" s="1"/>
  <c r="BW95" i="23"/>
  <c r="BY95" i="23" s="1"/>
  <c r="BS95" i="23"/>
  <c r="BQ95" i="23"/>
  <c r="BK95" i="23"/>
  <c r="BM95" i="23" s="1"/>
  <c r="BE95" i="23"/>
  <c r="BG95" i="23" s="1"/>
  <c r="AY95" i="23"/>
  <c r="BA95" i="23" s="1"/>
  <c r="AS95" i="23"/>
  <c r="AU95" i="23" s="1"/>
  <c r="AM95" i="23"/>
  <c r="AO95" i="23" s="1"/>
  <c r="AI95" i="23"/>
  <c r="AG95" i="23"/>
  <c r="AA95" i="23"/>
  <c r="AC95" i="23" s="1"/>
  <c r="U95" i="23"/>
  <c r="W95" i="23" s="1"/>
  <c r="P95" i="23"/>
  <c r="Q95" i="23" s="1"/>
  <c r="K95" i="23"/>
  <c r="J95" i="23"/>
  <c r="D95" i="23"/>
  <c r="E95" i="23" s="1"/>
  <c r="P94" i="23"/>
  <c r="O94" i="23"/>
  <c r="BW91" i="23"/>
  <c r="BY91" i="23" s="1"/>
  <c r="BQ91" i="23"/>
  <c r="BS91" i="23" s="1"/>
  <c r="BM91" i="23"/>
  <c r="BK91" i="23"/>
  <c r="BE91" i="23"/>
  <c r="BG91" i="23" s="1"/>
  <c r="AY91" i="23"/>
  <c r="BA91" i="23" s="1"/>
  <c r="AS91" i="23"/>
  <c r="AU91" i="23" s="1"/>
  <c r="AM91" i="23"/>
  <c r="AO91" i="23" s="1"/>
  <c r="AG91" i="23"/>
  <c r="AI91" i="23" s="1"/>
  <c r="AA91" i="23"/>
  <c r="AC91" i="23" s="1"/>
  <c r="U91" i="23"/>
  <c r="W91" i="23" s="1"/>
  <c r="Q91" i="23"/>
  <c r="P91" i="23"/>
  <c r="J91" i="23"/>
  <c r="K91" i="23" s="1"/>
  <c r="D91" i="23"/>
  <c r="E91" i="23" s="1"/>
  <c r="BY90" i="23"/>
  <c r="BW90" i="23"/>
  <c r="BQ90" i="23"/>
  <c r="BS90" i="23" s="1"/>
  <c r="BK90" i="23"/>
  <c r="BM90" i="23" s="1"/>
  <c r="BE90" i="23"/>
  <c r="BG90" i="23" s="1"/>
  <c r="BA90" i="23"/>
  <c r="AY90" i="23"/>
  <c r="AU90" i="23"/>
  <c r="AS90" i="23"/>
  <c r="AM90" i="23"/>
  <c r="AO90" i="23" s="1"/>
  <c r="AG90" i="23"/>
  <c r="AI90" i="23" s="1"/>
  <c r="AA90" i="23"/>
  <c r="AC90" i="23" s="1"/>
  <c r="U90" i="23"/>
  <c r="W90" i="23" s="1"/>
  <c r="P90" i="23"/>
  <c r="Q90" i="23" s="1"/>
  <c r="J90" i="23"/>
  <c r="K90" i="23" s="1"/>
  <c r="E90" i="23"/>
  <c r="D90" i="23"/>
  <c r="BY89" i="23"/>
  <c r="BW89" i="23"/>
  <c r="BQ89" i="23"/>
  <c r="BS89" i="23" s="1"/>
  <c r="BK89" i="23"/>
  <c r="BM89" i="23" s="1"/>
  <c r="BG89" i="23"/>
  <c r="BE89" i="23"/>
  <c r="AY89" i="23"/>
  <c r="BA89" i="23" s="1"/>
  <c r="AS89" i="23"/>
  <c r="AU89" i="23" s="1"/>
  <c r="AM89" i="23"/>
  <c r="AO89" i="23" s="1"/>
  <c r="AI89" i="23"/>
  <c r="AG89" i="23"/>
  <c r="AA89" i="23"/>
  <c r="AC89" i="23" s="1"/>
  <c r="U89" i="23"/>
  <c r="W89" i="23" s="1"/>
  <c r="P89" i="23"/>
  <c r="Q89" i="23" s="1"/>
  <c r="J89" i="23"/>
  <c r="K89" i="23" s="1"/>
  <c r="D89" i="23"/>
  <c r="E89" i="23" s="1"/>
  <c r="BW88" i="23"/>
  <c r="BY88" i="23" s="1"/>
  <c r="BQ88" i="23"/>
  <c r="BS88" i="23" s="1"/>
  <c r="BM88" i="23"/>
  <c r="BK88" i="23"/>
  <c r="BE88" i="23"/>
  <c r="BG88" i="23" s="1"/>
  <c r="AY88" i="23"/>
  <c r="BA88" i="23" s="1"/>
  <c r="AS88" i="23"/>
  <c r="AU88" i="23" s="1"/>
  <c r="AM88" i="23"/>
  <c r="AO88" i="23" s="1"/>
  <c r="AG88" i="23"/>
  <c r="AI88" i="23" s="1"/>
  <c r="AA88" i="23"/>
  <c r="AC88" i="23" s="1"/>
  <c r="U88" i="23"/>
  <c r="W88" i="23" s="1"/>
  <c r="Q88" i="23"/>
  <c r="P88" i="23"/>
  <c r="K88" i="23"/>
  <c r="J88" i="23"/>
  <c r="D88" i="23"/>
  <c r="E88" i="23" s="1"/>
  <c r="BW87" i="23"/>
  <c r="BY87" i="23" s="1"/>
  <c r="BQ87" i="23"/>
  <c r="BS87" i="23" s="1"/>
  <c r="BK87" i="23"/>
  <c r="BM87" i="23" s="1"/>
  <c r="BE87" i="23"/>
  <c r="BG87" i="23" s="1"/>
  <c r="AY87" i="23"/>
  <c r="BA87" i="23" s="1"/>
  <c r="AS87" i="23"/>
  <c r="AU87" i="23" s="1"/>
  <c r="AM87" i="23"/>
  <c r="AO87" i="23" s="1"/>
  <c r="AG87" i="23"/>
  <c r="AI87" i="23" s="1"/>
  <c r="AA87" i="23"/>
  <c r="AC87" i="23" s="1"/>
  <c r="W87" i="23"/>
  <c r="U87" i="23"/>
  <c r="P87" i="23"/>
  <c r="Q87" i="23" s="1"/>
  <c r="J87" i="23"/>
  <c r="K87" i="23" s="1"/>
  <c r="D87" i="23"/>
  <c r="E87" i="23" s="1"/>
  <c r="BY86" i="23"/>
  <c r="BW86" i="23"/>
  <c r="BQ86" i="23"/>
  <c r="BS86" i="23" s="1"/>
  <c r="BK86" i="23"/>
  <c r="BM86" i="23" s="1"/>
  <c r="BE86" i="23"/>
  <c r="BG86" i="23" s="1"/>
  <c r="BA86" i="23"/>
  <c r="AY86" i="23"/>
  <c r="AS86" i="23"/>
  <c r="AU86" i="23" s="1"/>
  <c r="AM86" i="23"/>
  <c r="AO86" i="23" s="1"/>
  <c r="AG86" i="23"/>
  <c r="AI86" i="23" s="1"/>
  <c r="AA86" i="23"/>
  <c r="AC86" i="23" s="1"/>
  <c r="U86" i="23"/>
  <c r="W86" i="23" s="1"/>
  <c r="P86" i="23"/>
  <c r="Q86" i="23" s="1"/>
  <c r="J86" i="23"/>
  <c r="K86" i="23" s="1"/>
  <c r="E86" i="23"/>
  <c r="D86" i="23"/>
  <c r="BW85" i="23"/>
  <c r="BY85" i="23" s="1"/>
  <c r="BQ85" i="23"/>
  <c r="BS85" i="23" s="1"/>
  <c r="BK85" i="23"/>
  <c r="BM85" i="23" s="1"/>
  <c r="BE85" i="23"/>
  <c r="BG85" i="23" s="1"/>
  <c r="AY85" i="23"/>
  <c r="BA85" i="23" s="1"/>
  <c r="AS85" i="23"/>
  <c r="AU85" i="23" s="1"/>
  <c r="AM85" i="23"/>
  <c r="AO85" i="23" s="1"/>
  <c r="AI85" i="23"/>
  <c r="AG85" i="23"/>
  <c r="AA85" i="23"/>
  <c r="AC85" i="23" s="1"/>
  <c r="U85" i="23"/>
  <c r="W85" i="23" s="1"/>
  <c r="P85" i="23"/>
  <c r="Q85" i="23" s="1"/>
  <c r="K85" i="23"/>
  <c r="J85" i="23"/>
  <c r="E85" i="23"/>
  <c r="D85" i="23"/>
  <c r="BW84" i="23"/>
  <c r="BY84" i="23" s="1"/>
  <c r="BQ84" i="23"/>
  <c r="BS84" i="23" s="1"/>
  <c r="BM84" i="23"/>
  <c r="BK84" i="23"/>
  <c r="BE84" i="23"/>
  <c r="BG84" i="23" s="1"/>
  <c r="AY84" i="23"/>
  <c r="BA84" i="23" s="1"/>
  <c r="AS84" i="23"/>
  <c r="AU84" i="23" s="1"/>
  <c r="AM84" i="23"/>
  <c r="AO84" i="23" s="1"/>
  <c r="AI84" i="23"/>
  <c r="AG84" i="23"/>
  <c r="AA84" i="23"/>
  <c r="AC84" i="23" s="1"/>
  <c r="U84" i="23"/>
  <c r="W84" i="23" s="1"/>
  <c r="Q84" i="23"/>
  <c r="P84" i="23"/>
  <c r="K84" i="23"/>
  <c r="J84" i="23"/>
  <c r="D84" i="23"/>
  <c r="E84" i="23" s="1"/>
  <c r="BW83" i="23"/>
  <c r="BY83" i="23" s="1"/>
  <c r="BQ83" i="23"/>
  <c r="BS83" i="23" s="1"/>
  <c r="BM83" i="23"/>
  <c r="BK83" i="23"/>
  <c r="BE83" i="23"/>
  <c r="BG83" i="23" s="1"/>
  <c r="AY83" i="23"/>
  <c r="BA83" i="23" s="1"/>
  <c r="AS83" i="23"/>
  <c r="AU83" i="23" s="1"/>
  <c r="AM83" i="23"/>
  <c r="AO83" i="23" s="1"/>
  <c r="AG83" i="23"/>
  <c r="AI83" i="23" s="1"/>
  <c r="AA83" i="23"/>
  <c r="AC83" i="23" s="1"/>
  <c r="U83" i="23"/>
  <c r="W83" i="23" s="1"/>
  <c r="P83" i="23"/>
  <c r="Q83" i="23" s="1"/>
  <c r="J83" i="23"/>
  <c r="K83" i="23" s="1"/>
  <c r="D83" i="23"/>
  <c r="E83" i="23" s="1"/>
  <c r="BY82" i="23"/>
  <c r="BW82" i="23"/>
  <c r="BQ82" i="23"/>
  <c r="BS82" i="23" s="1"/>
  <c r="BK82" i="23"/>
  <c r="BM82" i="23" s="1"/>
  <c r="BE82" i="23"/>
  <c r="BG82" i="23" s="1"/>
  <c r="BA82" i="23"/>
  <c r="AY82" i="23"/>
  <c r="AS82" i="23"/>
  <c r="AU82" i="23" s="1"/>
  <c r="AM82" i="23"/>
  <c r="AO82" i="23" s="1"/>
  <c r="AG82" i="23"/>
  <c r="AI82" i="23" s="1"/>
  <c r="AA82" i="23"/>
  <c r="AC82" i="23" s="1"/>
  <c r="U82" i="23"/>
  <c r="W82" i="23" s="1"/>
  <c r="P82" i="23"/>
  <c r="Q82" i="23" s="1"/>
  <c r="J82" i="23"/>
  <c r="K82" i="23" s="1"/>
  <c r="D82" i="23"/>
  <c r="E82" i="23" s="1"/>
  <c r="BY81" i="23"/>
  <c r="BW81" i="23"/>
  <c r="BQ81" i="23"/>
  <c r="BS81" i="23" s="1"/>
  <c r="BK81" i="23"/>
  <c r="BM81" i="23" s="1"/>
  <c r="BE81" i="23"/>
  <c r="BG81" i="23" s="1"/>
  <c r="AY81" i="23"/>
  <c r="BA81" i="23" s="1"/>
  <c r="AS81" i="23"/>
  <c r="AU81" i="23" s="1"/>
  <c r="AM81" i="23"/>
  <c r="AO81" i="23" s="1"/>
  <c r="AG81" i="23"/>
  <c r="AI81" i="23" s="1"/>
  <c r="AA81" i="23"/>
  <c r="AC81" i="23" s="1"/>
  <c r="U81" i="23"/>
  <c r="W81" i="23" s="1"/>
  <c r="P81" i="23"/>
  <c r="Q81" i="23" s="1"/>
  <c r="K81" i="23"/>
  <c r="J81" i="23"/>
  <c r="D81" i="23"/>
  <c r="E81" i="23" s="1"/>
  <c r="BW80" i="23"/>
  <c r="BY80" i="23" s="1"/>
  <c r="BQ80" i="23"/>
  <c r="BS80" i="23" s="1"/>
  <c r="BK80" i="23"/>
  <c r="BM80" i="23" s="1"/>
  <c r="BE80" i="23"/>
  <c r="BG80" i="23" s="1"/>
  <c r="AY80" i="23"/>
  <c r="BA80" i="23" s="1"/>
  <c r="AS80" i="23"/>
  <c r="AU80" i="23" s="1"/>
  <c r="AM80" i="23"/>
  <c r="AO80" i="23" s="1"/>
  <c r="AG80" i="23"/>
  <c r="AI80" i="23" s="1"/>
  <c r="AC80" i="23"/>
  <c r="AA80" i="23"/>
  <c r="U80" i="23"/>
  <c r="W80" i="23" s="1"/>
  <c r="P80" i="23"/>
  <c r="Q80" i="23" s="1"/>
  <c r="J80" i="23"/>
  <c r="K80" i="23" s="1"/>
  <c r="E80" i="23"/>
  <c r="D80" i="23"/>
  <c r="P79" i="23"/>
  <c r="O79" i="23"/>
  <c r="BY76" i="23"/>
  <c r="BW76" i="23"/>
  <c r="BQ76" i="23"/>
  <c r="BS76" i="23" s="1"/>
  <c r="BM76" i="23"/>
  <c r="BK76" i="23"/>
  <c r="BE76" i="23"/>
  <c r="BG76" i="23" s="1"/>
  <c r="BA76" i="23"/>
  <c r="AY76" i="23"/>
  <c r="AS76" i="23"/>
  <c r="AU76" i="23" s="1"/>
  <c r="AM76" i="23"/>
  <c r="AO76" i="23" s="1"/>
  <c r="AI76" i="23"/>
  <c r="AG76" i="23"/>
  <c r="AC76" i="23"/>
  <c r="AA76" i="23"/>
  <c r="U76" i="23"/>
  <c r="W76" i="23" s="1"/>
  <c r="Q76" i="23"/>
  <c r="P76" i="23"/>
  <c r="K76" i="23"/>
  <c r="J76" i="23"/>
  <c r="E76" i="23"/>
  <c r="D76" i="23"/>
  <c r="BW75" i="23"/>
  <c r="BY75" i="23" s="1"/>
  <c r="BS75" i="23"/>
  <c r="BQ75" i="23"/>
  <c r="BK75" i="23"/>
  <c r="BM75" i="23" s="1"/>
  <c r="BE75" i="23"/>
  <c r="BG75" i="23" s="1"/>
  <c r="AY75" i="23"/>
  <c r="BA75" i="23" s="1"/>
  <c r="AS75" i="23"/>
  <c r="AU75" i="23" s="1"/>
  <c r="AO75" i="23"/>
  <c r="AM75" i="23"/>
  <c r="AG75" i="23"/>
  <c r="AI75" i="23" s="1"/>
  <c r="AC75" i="23"/>
  <c r="AA75" i="23"/>
  <c r="U75" i="23"/>
  <c r="W75" i="23" s="1"/>
  <c r="P75" i="23"/>
  <c r="Q75" i="23" s="1"/>
  <c r="J75" i="23"/>
  <c r="K75" i="23" s="1"/>
  <c r="E75" i="23"/>
  <c r="D75" i="23"/>
  <c r="BY74" i="23"/>
  <c r="BW74" i="23"/>
  <c r="BQ74" i="23"/>
  <c r="BS74" i="23" s="1"/>
  <c r="BM74" i="23"/>
  <c r="BK74" i="23"/>
  <c r="BE74" i="23"/>
  <c r="BG74" i="23" s="1"/>
  <c r="AY74" i="23"/>
  <c r="BA74" i="23" s="1"/>
  <c r="AS74" i="23"/>
  <c r="AU74" i="23" s="1"/>
  <c r="AM74" i="23"/>
  <c r="AO74" i="23" s="1"/>
  <c r="AI74" i="23"/>
  <c r="AG74" i="23"/>
  <c r="AA74" i="23"/>
  <c r="AC74" i="23" s="1"/>
  <c r="U74" i="23"/>
  <c r="W74" i="23" s="1"/>
  <c r="P74" i="23"/>
  <c r="Q74" i="23" s="1"/>
  <c r="J74" i="23"/>
  <c r="K74" i="23" s="1"/>
  <c r="D74" i="23"/>
  <c r="E74" i="23" s="1"/>
  <c r="BW73" i="23"/>
  <c r="BY73" i="23" s="1"/>
  <c r="BQ73" i="23"/>
  <c r="BS73" i="23" s="1"/>
  <c r="BM73" i="23"/>
  <c r="BK73" i="23"/>
  <c r="BE73" i="23"/>
  <c r="BG73" i="23" s="1"/>
  <c r="BA73" i="23"/>
  <c r="AY73" i="23"/>
  <c r="AS73" i="23"/>
  <c r="AU73" i="23" s="1"/>
  <c r="AM73" i="23"/>
  <c r="AO73" i="23" s="1"/>
  <c r="AG73" i="23"/>
  <c r="AI73" i="23" s="1"/>
  <c r="AA73" i="23"/>
  <c r="AC73" i="23" s="1"/>
  <c r="U73" i="23"/>
  <c r="W73" i="23" s="1"/>
  <c r="P73" i="23"/>
  <c r="Q73" i="23" s="1"/>
  <c r="K73" i="23"/>
  <c r="J73" i="23"/>
  <c r="E73" i="23"/>
  <c r="D73" i="23"/>
  <c r="BY72" i="23"/>
  <c r="BW72" i="23"/>
  <c r="BS72" i="23"/>
  <c r="BQ72" i="23"/>
  <c r="BK72" i="23"/>
  <c r="BM72" i="23" s="1"/>
  <c r="BE72" i="23"/>
  <c r="BG72" i="23" s="1"/>
  <c r="AY72" i="23"/>
  <c r="BA72" i="23" s="1"/>
  <c r="AS72" i="23"/>
  <c r="AU72" i="23" s="1"/>
  <c r="AM72" i="23"/>
  <c r="AO72" i="23" s="1"/>
  <c r="AI72" i="23"/>
  <c r="AG72" i="23"/>
  <c r="AA72" i="23"/>
  <c r="AC72" i="23" s="1"/>
  <c r="U72" i="23"/>
  <c r="W72" i="23" s="1"/>
  <c r="P72" i="23"/>
  <c r="Q72" i="23" s="1"/>
  <c r="J72" i="23"/>
  <c r="K72" i="23" s="1"/>
  <c r="D72" i="23"/>
  <c r="E72" i="23" s="1"/>
  <c r="BY71" i="23"/>
  <c r="BW71" i="23"/>
  <c r="BQ71" i="23"/>
  <c r="BS71" i="23" s="1"/>
  <c r="BM71" i="23"/>
  <c r="BK71" i="23"/>
  <c r="BE71" i="23"/>
  <c r="BG71" i="23" s="1"/>
  <c r="BA71" i="23"/>
  <c r="AY71" i="23"/>
  <c r="AS71" i="23"/>
  <c r="AU71" i="23" s="1"/>
  <c r="AM71" i="23"/>
  <c r="AO71" i="23" s="1"/>
  <c r="AG71" i="23"/>
  <c r="AI71" i="23" s="1"/>
  <c r="AA71" i="23"/>
  <c r="AC71" i="23" s="1"/>
  <c r="U71" i="23"/>
  <c r="W71" i="23" s="1"/>
  <c r="P71" i="23"/>
  <c r="Q71" i="23" s="1"/>
  <c r="K71" i="23"/>
  <c r="J71" i="23"/>
  <c r="E71" i="23"/>
  <c r="D71" i="23"/>
  <c r="BW70" i="23"/>
  <c r="BY70" i="23" s="1"/>
  <c r="BQ70" i="23"/>
  <c r="BS70" i="23" s="1"/>
  <c r="BK70" i="23"/>
  <c r="BM70" i="23" s="1"/>
  <c r="BG70" i="23"/>
  <c r="BE70" i="23"/>
  <c r="BA70" i="23"/>
  <c r="AY70" i="23"/>
  <c r="AS70" i="23"/>
  <c r="AU70" i="23" s="1"/>
  <c r="AM70" i="23"/>
  <c r="AO70" i="23" s="1"/>
  <c r="AI70" i="23"/>
  <c r="AG70" i="23"/>
  <c r="AA70" i="23"/>
  <c r="AC70" i="23" s="1"/>
  <c r="U70" i="23"/>
  <c r="W70" i="23" s="1"/>
  <c r="P70" i="23"/>
  <c r="Q70" i="23" s="1"/>
  <c r="K70" i="23"/>
  <c r="J70" i="23"/>
  <c r="D70" i="23"/>
  <c r="E70" i="23" s="1"/>
  <c r="BY69" i="23"/>
  <c r="BW69" i="23"/>
  <c r="BQ69" i="23"/>
  <c r="BS69" i="23" s="1"/>
  <c r="BM69" i="23"/>
  <c r="BK69" i="23"/>
  <c r="BE69" i="23"/>
  <c r="BG69" i="23" s="1"/>
  <c r="AY69" i="23"/>
  <c r="BA69" i="23" s="1"/>
  <c r="AS69" i="23"/>
  <c r="AU69" i="23" s="1"/>
  <c r="AM69" i="23"/>
  <c r="AO69" i="23" s="1"/>
  <c r="AI69" i="23"/>
  <c r="AG69" i="23"/>
  <c r="AC69" i="23"/>
  <c r="AA69" i="23"/>
  <c r="U69" i="23"/>
  <c r="W69" i="23" s="1"/>
  <c r="Q69" i="23"/>
  <c r="P69" i="23"/>
  <c r="J69" i="23"/>
  <c r="K69" i="23" s="1"/>
  <c r="D69" i="23"/>
  <c r="E69" i="23" s="1"/>
  <c r="BW68" i="23"/>
  <c r="BY68" i="23" s="1"/>
  <c r="BS68" i="23"/>
  <c r="BQ68" i="23"/>
  <c r="BM68" i="23"/>
  <c r="BK68" i="23"/>
  <c r="BE68" i="23"/>
  <c r="BG68" i="23" s="1"/>
  <c r="BA68" i="23"/>
  <c r="AY68" i="23"/>
  <c r="AS68" i="23"/>
  <c r="AU68" i="23" s="1"/>
  <c r="AM68" i="23"/>
  <c r="AO68" i="23" s="1"/>
  <c r="AG68" i="23"/>
  <c r="AI68" i="23" s="1"/>
  <c r="AA68" i="23"/>
  <c r="AC68" i="23" s="1"/>
  <c r="U68" i="23"/>
  <c r="W68" i="23" s="1"/>
  <c r="Q68" i="23"/>
  <c r="P68" i="23"/>
  <c r="K68" i="23"/>
  <c r="J68" i="23"/>
  <c r="D68" i="23"/>
  <c r="E68" i="23" s="1"/>
  <c r="BY67" i="23"/>
  <c r="BW67" i="23"/>
  <c r="BQ67" i="23"/>
  <c r="BS67" i="23" s="1"/>
  <c r="BK67" i="23"/>
  <c r="BM67" i="23" s="1"/>
  <c r="BE67" i="23"/>
  <c r="BG67" i="23" s="1"/>
  <c r="BA67" i="23"/>
  <c r="AY67" i="23"/>
  <c r="AU67" i="23"/>
  <c r="AS67" i="23"/>
  <c r="AM67" i="23"/>
  <c r="AO67" i="23" s="1"/>
  <c r="AG67" i="23"/>
  <c r="AI67" i="23" s="1"/>
  <c r="AA67" i="23"/>
  <c r="AC67" i="23" s="1"/>
  <c r="U67" i="23"/>
  <c r="W67" i="23" s="1"/>
  <c r="P67" i="23"/>
  <c r="Q67" i="23" s="1"/>
  <c r="J67" i="23"/>
  <c r="K67" i="23" s="1"/>
  <c r="E67" i="23"/>
  <c r="D67" i="23"/>
  <c r="BY66" i="23"/>
  <c r="BW66" i="23"/>
  <c r="BS66" i="23"/>
  <c r="BQ66" i="23"/>
  <c r="BK66" i="23"/>
  <c r="BM66" i="23" s="1"/>
  <c r="BE66" i="23"/>
  <c r="BG66" i="23" s="1"/>
  <c r="AY66" i="23"/>
  <c r="BA66" i="23" s="1"/>
  <c r="AS66" i="23"/>
  <c r="AU66" i="23" s="1"/>
  <c r="AM66" i="23"/>
  <c r="AO66" i="23" s="1"/>
  <c r="AG66" i="23"/>
  <c r="AI66" i="23" s="1"/>
  <c r="AA66" i="23"/>
  <c r="AC66" i="23" s="1"/>
  <c r="U66" i="23"/>
  <c r="W66" i="23" s="1"/>
  <c r="Q66" i="23"/>
  <c r="P66" i="23"/>
  <c r="K66" i="23"/>
  <c r="J66" i="23"/>
  <c r="D66" i="23"/>
  <c r="E66" i="23" s="1"/>
  <c r="BX65" i="23"/>
  <c r="BV65" i="23"/>
  <c r="BR65" i="23"/>
  <c r="BP65" i="23"/>
  <c r="BL65" i="23"/>
  <c r="BJ65" i="23"/>
  <c r="BF65" i="23"/>
  <c r="BD65" i="23"/>
  <c r="AZ65" i="23"/>
  <c r="AX65" i="23"/>
  <c r="AT65" i="23"/>
  <c r="AR65" i="23"/>
  <c r="AN65" i="23"/>
  <c r="AL65" i="23"/>
  <c r="AH65" i="23"/>
  <c r="AF65" i="23"/>
  <c r="AB65" i="23"/>
  <c r="Z65" i="23"/>
  <c r="V65" i="23"/>
  <c r="T65" i="23"/>
  <c r="O65" i="23"/>
  <c r="N65" i="23"/>
  <c r="I65" i="23"/>
  <c r="H65" i="23"/>
  <c r="C65" i="23"/>
  <c r="B65" i="23"/>
  <c r="P64" i="23"/>
  <c r="O64" i="23"/>
  <c r="BY61" i="23"/>
  <c r="BW61" i="23"/>
  <c r="BQ61" i="23"/>
  <c r="BS61" i="23" s="1"/>
  <c r="BM61" i="23"/>
  <c r="BK61" i="23"/>
  <c r="BE61" i="23"/>
  <c r="BG61" i="23" s="1"/>
  <c r="AY61" i="23"/>
  <c r="BA61" i="23" s="1"/>
  <c r="AS61" i="23"/>
  <c r="AU61" i="23" s="1"/>
  <c r="AM61" i="23"/>
  <c r="AO61" i="23" s="1"/>
  <c r="AG61" i="23"/>
  <c r="AI61" i="23" s="1"/>
  <c r="AC61" i="23"/>
  <c r="AA61" i="23"/>
  <c r="U61" i="23"/>
  <c r="W61" i="23" s="1"/>
  <c r="Q61" i="23"/>
  <c r="P61" i="23"/>
  <c r="K61" i="23"/>
  <c r="J61" i="23"/>
  <c r="E61" i="23"/>
  <c r="D61" i="23"/>
  <c r="BW60" i="23"/>
  <c r="BY60" i="23" s="1"/>
  <c r="BQ60" i="23"/>
  <c r="BS60" i="23" s="1"/>
  <c r="BK60" i="23"/>
  <c r="BM60" i="23" s="1"/>
  <c r="BE60" i="23"/>
  <c r="BG60" i="23" s="1"/>
  <c r="BA60" i="23"/>
  <c r="AY60" i="23"/>
  <c r="AS60" i="23"/>
  <c r="AU60" i="23" s="1"/>
  <c r="AM60" i="23"/>
  <c r="AO60" i="23" s="1"/>
  <c r="AI60" i="23"/>
  <c r="AG60" i="23"/>
  <c r="AA60" i="23"/>
  <c r="AC60" i="23" s="1"/>
  <c r="U60" i="23"/>
  <c r="W60" i="23" s="1"/>
  <c r="P60" i="23"/>
  <c r="Q60" i="23" s="1"/>
  <c r="K60" i="23"/>
  <c r="J60" i="23"/>
  <c r="D60" i="23"/>
  <c r="E60" i="23" s="1"/>
  <c r="BY59" i="23"/>
  <c r="BW59" i="23"/>
  <c r="BQ59" i="23"/>
  <c r="BS59" i="23" s="1"/>
  <c r="BK59" i="23"/>
  <c r="BM59" i="23" s="1"/>
  <c r="BE59" i="23"/>
  <c r="BG59" i="23" s="1"/>
  <c r="AY59" i="23"/>
  <c r="BA59" i="23" s="1"/>
  <c r="AS59" i="23"/>
  <c r="AU59" i="23" s="1"/>
  <c r="AM59" i="23"/>
  <c r="AO59" i="23" s="1"/>
  <c r="AI59" i="23"/>
  <c r="AG59" i="23"/>
  <c r="AA59" i="23"/>
  <c r="AC59" i="23" s="1"/>
  <c r="U59" i="23"/>
  <c r="W59" i="23" s="1"/>
  <c r="P59" i="23"/>
  <c r="Q59" i="23" s="1"/>
  <c r="J59" i="23"/>
  <c r="K59" i="23" s="1"/>
  <c r="D59" i="23"/>
  <c r="E59" i="23" s="1"/>
  <c r="BW58" i="23"/>
  <c r="BY58" i="23" s="1"/>
  <c r="BQ58" i="23"/>
  <c r="BS58" i="23" s="1"/>
  <c r="BM58" i="23"/>
  <c r="BK58" i="23"/>
  <c r="BE58" i="23"/>
  <c r="BG58" i="23" s="1"/>
  <c r="BA58" i="23"/>
  <c r="AY58" i="23"/>
  <c r="AS58" i="23"/>
  <c r="AU58" i="23" s="1"/>
  <c r="AM58" i="23"/>
  <c r="AO58" i="23" s="1"/>
  <c r="AG58" i="23"/>
  <c r="AI58" i="23" s="1"/>
  <c r="AA58" i="23"/>
  <c r="AC58" i="23" s="1"/>
  <c r="U58" i="23"/>
  <c r="W58" i="23" s="1"/>
  <c r="Q58" i="23"/>
  <c r="P58" i="23"/>
  <c r="K58" i="23"/>
  <c r="J58" i="23"/>
  <c r="E58" i="23"/>
  <c r="D58" i="23"/>
  <c r="BY57" i="23"/>
  <c r="BW57" i="23"/>
  <c r="BQ57" i="23"/>
  <c r="BS57" i="23" s="1"/>
  <c r="BK57" i="23"/>
  <c r="BM57" i="23" s="1"/>
  <c r="BE57" i="23"/>
  <c r="BG57" i="23" s="1"/>
  <c r="BA57" i="23"/>
  <c r="AY57" i="23"/>
  <c r="AS57" i="23"/>
  <c r="AU57" i="23" s="1"/>
  <c r="AM57" i="23"/>
  <c r="AO57" i="23" s="1"/>
  <c r="AI57" i="23"/>
  <c r="AG57" i="23"/>
  <c r="AA57" i="23"/>
  <c r="AC57" i="23" s="1"/>
  <c r="U57" i="23"/>
  <c r="W57" i="23" s="1"/>
  <c r="P57" i="23"/>
  <c r="Q57" i="23" s="1"/>
  <c r="J57" i="23"/>
  <c r="K57" i="23" s="1"/>
  <c r="E57" i="23"/>
  <c r="D57" i="23"/>
  <c r="BY56" i="23"/>
  <c r="BW56" i="23"/>
  <c r="BQ56" i="23"/>
  <c r="BS56" i="23" s="1"/>
  <c r="BM56" i="23"/>
  <c r="BK56" i="23"/>
  <c r="BE56" i="23"/>
  <c r="BG56" i="23" s="1"/>
  <c r="AY56" i="23"/>
  <c r="BA56" i="23" s="1"/>
  <c r="AS56" i="23"/>
  <c r="AU56" i="23" s="1"/>
  <c r="AM56" i="23"/>
  <c r="AO56" i="23" s="1"/>
  <c r="AI56" i="23"/>
  <c r="AG56" i="23"/>
  <c r="AA56" i="23"/>
  <c r="AC56" i="23" s="1"/>
  <c r="U56" i="23"/>
  <c r="W56" i="23" s="1"/>
  <c r="P56" i="23"/>
  <c r="Q56" i="23" s="1"/>
  <c r="J56" i="23"/>
  <c r="K56" i="23" s="1"/>
  <c r="D56" i="23"/>
  <c r="E56" i="23" s="1"/>
  <c r="BW55" i="23"/>
  <c r="BY55" i="23" s="1"/>
  <c r="BQ55" i="23"/>
  <c r="BS55" i="23" s="1"/>
  <c r="BM55" i="23"/>
  <c r="BK55" i="23"/>
  <c r="BG55" i="23"/>
  <c r="BE55" i="23"/>
  <c r="BA55" i="23"/>
  <c r="AY55" i="23"/>
  <c r="AS55" i="23"/>
  <c r="AU55" i="23" s="1"/>
  <c r="AM55" i="23"/>
  <c r="AO55" i="23" s="1"/>
  <c r="AG55" i="23"/>
  <c r="AI55" i="23" s="1"/>
  <c r="AA55" i="23"/>
  <c r="AC55" i="23" s="1"/>
  <c r="U55" i="23"/>
  <c r="W55" i="23" s="1"/>
  <c r="P55" i="23"/>
  <c r="Q55" i="23" s="1"/>
  <c r="J55" i="23"/>
  <c r="K55" i="23" s="1"/>
  <c r="E55" i="23"/>
  <c r="D55" i="23"/>
  <c r="BY54" i="23"/>
  <c r="BW54" i="23"/>
  <c r="BQ54" i="23"/>
  <c r="BS54" i="23" s="1"/>
  <c r="BK54" i="23"/>
  <c r="BM54" i="23" s="1"/>
  <c r="BE54" i="23"/>
  <c r="BG54" i="23" s="1"/>
  <c r="AY54" i="23"/>
  <c r="BA54" i="23" s="1"/>
  <c r="AS54" i="23"/>
  <c r="AU54" i="23" s="1"/>
  <c r="AM54" i="23"/>
  <c r="AO54" i="23" s="1"/>
  <c r="AI54" i="23"/>
  <c r="AG54" i="23"/>
  <c r="AA54" i="23"/>
  <c r="AC54" i="23" s="1"/>
  <c r="U54" i="23"/>
  <c r="W54" i="23" s="1"/>
  <c r="P54" i="23"/>
  <c r="Q54" i="23" s="1"/>
  <c r="J54" i="23"/>
  <c r="K54" i="23" s="1"/>
  <c r="D54" i="23"/>
  <c r="E54" i="23" s="1"/>
  <c r="BW53" i="23"/>
  <c r="BY53" i="23" s="1"/>
  <c r="BQ53" i="23"/>
  <c r="BS53" i="23" s="1"/>
  <c r="BM53" i="23"/>
  <c r="BK53" i="23"/>
  <c r="BE53" i="23"/>
  <c r="BG53" i="23" s="1"/>
  <c r="AY53" i="23"/>
  <c r="BA53" i="23" s="1"/>
  <c r="AS53" i="23"/>
  <c r="AU53" i="23" s="1"/>
  <c r="AM53" i="23"/>
  <c r="AO53" i="23" s="1"/>
  <c r="AG53" i="23"/>
  <c r="AI53" i="23" s="1"/>
  <c r="AA53" i="23"/>
  <c r="AC53" i="23" s="1"/>
  <c r="U53" i="23"/>
  <c r="W53" i="23" s="1"/>
  <c r="Q53" i="23"/>
  <c r="P53" i="23"/>
  <c r="K53" i="23"/>
  <c r="J53" i="23"/>
  <c r="D53" i="23"/>
  <c r="E53" i="23" s="1"/>
  <c r="BW52" i="23"/>
  <c r="BY52" i="23" s="1"/>
  <c r="BQ52" i="23"/>
  <c r="BS52" i="23" s="1"/>
  <c r="BK52" i="23"/>
  <c r="BM52" i="23" s="1"/>
  <c r="BE52" i="23"/>
  <c r="BG52" i="23" s="1"/>
  <c r="BA52" i="23"/>
  <c r="AY52" i="23"/>
  <c r="AU52" i="23"/>
  <c r="AS52" i="23"/>
  <c r="AM52" i="23"/>
  <c r="AO52" i="23" s="1"/>
  <c r="AG52" i="23"/>
  <c r="AI52" i="23" s="1"/>
  <c r="AA52" i="23"/>
  <c r="AC52" i="23" s="1"/>
  <c r="U52" i="23"/>
  <c r="W52" i="23" s="1"/>
  <c r="P52" i="23"/>
  <c r="Q52" i="23" s="1"/>
  <c r="J52" i="23"/>
  <c r="K52" i="23" s="1"/>
  <c r="E52" i="23"/>
  <c r="D52" i="23"/>
  <c r="BY51" i="23"/>
  <c r="BW51" i="23"/>
  <c r="BS51" i="23"/>
  <c r="BQ51" i="23"/>
  <c r="BK51" i="23"/>
  <c r="BM51" i="23" s="1"/>
  <c r="BE51" i="23"/>
  <c r="BG51" i="23" s="1"/>
  <c r="AY51" i="23"/>
  <c r="BA51" i="23" s="1"/>
  <c r="AS51" i="23"/>
  <c r="AU51" i="23" s="1"/>
  <c r="AM51" i="23"/>
  <c r="AO51" i="23" s="1"/>
  <c r="AG51" i="23"/>
  <c r="AI51" i="23" s="1"/>
  <c r="AC51" i="23"/>
  <c r="AA51" i="23"/>
  <c r="U51" i="23"/>
  <c r="W51" i="23" s="1"/>
  <c r="Q51" i="23"/>
  <c r="P51" i="23"/>
  <c r="J51" i="23"/>
  <c r="K51" i="23" s="1"/>
  <c r="D51" i="23"/>
  <c r="E51" i="23" s="1"/>
  <c r="BW50" i="23"/>
  <c r="BQ50" i="23"/>
  <c r="BQ65" i="23" s="1"/>
  <c r="BM50" i="23"/>
  <c r="BM65" i="23" s="1"/>
  <c r="BK50" i="23"/>
  <c r="BK65" i="23" s="1"/>
  <c r="BE50" i="23"/>
  <c r="BE65" i="23" s="1"/>
  <c r="AY50" i="23"/>
  <c r="AS50" i="23"/>
  <c r="AS65" i="23" s="1"/>
  <c r="AO50" i="23"/>
  <c r="AO65" i="23" s="1"/>
  <c r="AM50" i="23"/>
  <c r="AM65" i="23" s="1"/>
  <c r="AG50" i="23"/>
  <c r="AG65" i="23" s="1"/>
  <c r="AA50" i="23"/>
  <c r="U50" i="23"/>
  <c r="U65" i="23" s="1"/>
  <c r="P50" i="23"/>
  <c r="P65" i="23" s="1"/>
  <c r="J50" i="23"/>
  <c r="J65" i="23" s="1"/>
  <c r="D50" i="23"/>
  <c r="P49" i="23"/>
  <c r="O49" i="23"/>
  <c r="BY46" i="23"/>
  <c r="BW46" i="23"/>
  <c r="BQ46" i="23"/>
  <c r="BS46" i="23" s="1"/>
  <c r="BK46" i="23"/>
  <c r="BM46" i="23" s="1"/>
  <c r="BE46" i="23"/>
  <c r="BG46" i="23" s="1"/>
  <c r="AY46" i="23"/>
  <c r="BA46" i="23" s="1"/>
  <c r="AS46" i="23"/>
  <c r="AU46" i="23" s="1"/>
  <c r="AM46" i="23"/>
  <c r="AO46" i="23" s="1"/>
  <c r="AI46" i="23"/>
  <c r="AG46" i="23"/>
  <c r="AA46" i="23"/>
  <c r="AC46" i="23" s="1"/>
  <c r="U46" i="23"/>
  <c r="W46" i="23" s="1"/>
  <c r="P46" i="23"/>
  <c r="Q46" i="23" s="1"/>
  <c r="J46" i="23"/>
  <c r="K46" i="23" s="1"/>
  <c r="D46" i="23"/>
  <c r="E46" i="23" s="1"/>
  <c r="BW45" i="23"/>
  <c r="BY45" i="23" s="1"/>
  <c r="BS45" i="23"/>
  <c r="BQ45" i="23"/>
  <c r="BM45" i="23"/>
  <c r="BK45" i="23"/>
  <c r="BE45" i="23"/>
  <c r="BG45" i="23" s="1"/>
  <c r="AY45" i="23"/>
  <c r="BA45" i="23" s="1"/>
  <c r="AS45" i="23"/>
  <c r="AU45" i="23" s="1"/>
  <c r="AM45" i="23"/>
  <c r="AO45" i="23" s="1"/>
  <c r="AG45" i="23"/>
  <c r="AI45" i="23" s="1"/>
  <c r="AA45" i="23"/>
  <c r="AC45" i="23" s="1"/>
  <c r="U45" i="23"/>
  <c r="W45" i="23" s="1"/>
  <c r="Q45" i="23"/>
  <c r="P45" i="23"/>
  <c r="K45" i="23"/>
  <c r="J45" i="23"/>
  <c r="E45" i="23"/>
  <c r="D45" i="23"/>
  <c r="BW44" i="23"/>
  <c r="BY44" i="23" s="1"/>
  <c r="BQ44" i="23"/>
  <c r="BS44" i="23" s="1"/>
  <c r="BK44" i="23"/>
  <c r="BM44" i="23" s="1"/>
  <c r="BE44" i="23"/>
  <c r="BG44" i="23" s="1"/>
  <c r="AY44" i="23"/>
  <c r="BA44" i="23" s="1"/>
  <c r="AS44" i="23"/>
  <c r="AU44" i="23" s="1"/>
  <c r="AO44" i="23"/>
  <c r="AM44" i="23"/>
  <c r="AI44" i="23"/>
  <c r="AG44" i="23"/>
  <c r="AA44" i="23"/>
  <c r="AC44" i="23" s="1"/>
  <c r="U44" i="23"/>
  <c r="W44" i="23" s="1"/>
  <c r="P44" i="23"/>
  <c r="Q44" i="23" s="1"/>
  <c r="J44" i="23"/>
  <c r="K44" i="23" s="1"/>
  <c r="E44" i="23"/>
  <c r="D44" i="23"/>
  <c r="BY43" i="23"/>
  <c r="BW43" i="23"/>
  <c r="BQ43" i="23"/>
  <c r="BS43" i="23" s="1"/>
  <c r="BM43" i="23"/>
  <c r="BK43" i="23"/>
  <c r="BE43" i="23"/>
  <c r="BG43" i="23" s="1"/>
  <c r="AY43" i="23"/>
  <c r="BA43" i="23" s="1"/>
  <c r="AS43" i="23"/>
  <c r="AU43" i="23" s="1"/>
  <c r="AM43" i="23"/>
  <c r="AO43" i="23" s="1"/>
  <c r="AI43" i="23"/>
  <c r="AG43" i="23"/>
  <c r="AA43" i="23"/>
  <c r="AC43" i="23" s="1"/>
  <c r="U43" i="23"/>
  <c r="W43" i="23" s="1"/>
  <c r="Q43" i="23"/>
  <c r="P43" i="23"/>
  <c r="J43" i="23"/>
  <c r="K43" i="23" s="1"/>
  <c r="D43" i="23"/>
  <c r="E43" i="23" s="1"/>
  <c r="BW42" i="23"/>
  <c r="BY42" i="23" s="1"/>
  <c r="BQ42" i="23"/>
  <c r="BS42" i="23" s="1"/>
  <c r="BK42" i="23"/>
  <c r="BM42" i="23" s="1"/>
  <c r="BE42" i="23"/>
  <c r="BG42" i="23" s="1"/>
  <c r="BA42" i="23"/>
  <c r="AY42" i="23"/>
  <c r="AS42" i="23"/>
  <c r="AU42" i="23" s="1"/>
  <c r="AM42" i="23"/>
  <c r="AO42" i="23" s="1"/>
  <c r="AG42" i="23"/>
  <c r="AI42" i="23" s="1"/>
  <c r="AA42" i="23"/>
  <c r="AC42" i="23" s="1"/>
  <c r="U42" i="23"/>
  <c r="W42" i="23" s="1"/>
  <c r="P42" i="23"/>
  <c r="Q42" i="23" s="1"/>
  <c r="K42" i="23"/>
  <c r="J42" i="23"/>
  <c r="E42" i="23"/>
  <c r="D42" i="23"/>
  <c r="BY41" i="23"/>
  <c r="BW41" i="23"/>
  <c r="BQ41" i="23"/>
  <c r="BS41" i="23" s="1"/>
  <c r="BK41" i="23"/>
  <c r="BM41" i="23" s="1"/>
  <c r="BE41" i="23"/>
  <c r="BG41" i="23" s="1"/>
  <c r="AY41" i="23"/>
  <c r="BA41" i="23" s="1"/>
  <c r="AS41" i="23"/>
  <c r="AU41" i="23" s="1"/>
  <c r="AM41" i="23"/>
  <c r="AO41" i="23" s="1"/>
  <c r="AI41" i="23"/>
  <c r="AG41" i="23"/>
  <c r="AA41" i="23"/>
  <c r="AC41" i="23" s="1"/>
  <c r="U41" i="23"/>
  <c r="W41" i="23" s="1"/>
  <c r="P41" i="23"/>
  <c r="Q41" i="23" s="1"/>
  <c r="J41" i="23"/>
  <c r="K41" i="23" s="1"/>
  <c r="D41" i="23"/>
  <c r="E41" i="23" s="1"/>
  <c r="BW40" i="23"/>
  <c r="BY40" i="23" s="1"/>
  <c r="BS40" i="23"/>
  <c r="BQ40" i="23"/>
  <c r="BM40" i="23"/>
  <c r="BK40" i="23"/>
  <c r="BG40" i="23"/>
  <c r="BE40" i="23"/>
  <c r="AY40" i="23"/>
  <c r="BA40" i="23" s="1"/>
  <c r="AS40" i="23"/>
  <c r="AU40" i="23" s="1"/>
  <c r="AM40" i="23"/>
  <c r="AO40" i="23" s="1"/>
  <c r="AG40" i="23"/>
  <c r="AI40" i="23" s="1"/>
  <c r="AA40" i="23"/>
  <c r="AC40" i="23" s="1"/>
  <c r="U40" i="23"/>
  <c r="W40" i="23" s="1"/>
  <c r="Q40" i="23"/>
  <c r="P40" i="23"/>
  <c r="J40" i="23"/>
  <c r="K40" i="23" s="1"/>
  <c r="D40" i="23"/>
  <c r="E40" i="23" s="1"/>
  <c r="BY39" i="23"/>
  <c r="BW39" i="23"/>
  <c r="BQ39" i="23"/>
  <c r="BS39" i="23" s="1"/>
  <c r="BK39" i="23"/>
  <c r="BM39" i="23" s="1"/>
  <c r="BE39" i="23"/>
  <c r="BG39" i="23" s="1"/>
  <c r="BA39" i="23"/>
  <c r="AY39" i="23"/>
  <c r="AS39" i="23"/>
  <c r="AU39" i="23" s="1"/>
  <c r="AM39" i="23"/>
  <c r="AO39" i="23" s="1"/>
  <c r="AI39" i="23"/>
  <c r="AG39" i="23"/>
  <c r="AA39" i="23"/>
  <c r="AC39" i="23" s="1"/>
  <c r="U39" i="23"/>
  <c r="W39" i="23" s="1"/>
  <c r="P39" i="23"/>
  <c r="Q39" i="23" s="1"/>
  <c r="J39" i="23"/>
  <c r="K39" i="23" s="1"/>
  <c r="D39" i="23"/>
  <c r="E39" i="23" s="1"/>
  <c r="BY38" i="23"/>
  <c r="BW38" i="23"/>
  <c r="BQ38" i="23"/>
  <c r="BS38" i="23" s="1"/>
  <c r="BM38" i="23"/>
  <c r="BK38" i="23"/>
  <c r="BE38" i="23"/>
  <c r="BG38" i="23" s="1"/>
  <c r="AY38" i="23"/>
  <c r="BA38" i="23" s="1"/>
  <c r="AS38" i="23"/>
  <c r="AU38" i="23" s="1"/>
  <c r="AM38" i="23"/>
  <c r="AO38" i="23" s="1"/>
  <c r="AI38" i="23"/>
  <c r="AG38" i="23"/>
  <c r="AA38" i="23"/>
  <c r="AC38" i="23" s="1"/>
  <c r="W38" i="23"/>
  <c r="U38" i="23"/>
  <c r="Q38" i="23"/>
  <c r="P38" i="23"/>
  <c r="J38" i="23"/>
  <c r="K38" i="23" s="1"/>
  <c r="D38" i="23"/>
  <c r="E38" i="23" s="1"/>
  <c r="BW37" i="23"/>
  <c r="BY37" i="23" s="1"/>
  <c r="BQ37" i="23"/>
  <c r="BS37" i="23" s="1"/>
  <c r="BM37" i="23"/>
  <c r="BK37" i="23"/>
  <c r="BG37" i="23"/>
  <c r="BE37" i="23"/>
  <c r="BA37" i="23"/>
  <c r="AY37" i="23"/>
  <c r="AS37" i="23"/>
  <c r="AU37" i="23" s="1"/>
  <c r="AM37" i="23"/>
  <c r="AO37" i="23" s="1"/>
  <c r="AG37" i="23"/>
  <c r="AI37" i="23" s="1"/>
  <c r="AA37" i="23"/>
  <c r="AC37" i="23" s="1"/>
  <c r="U37" i="23"/>
  <c r="W37" i="23" s="1"/>
  <c r="Q37" i="23"/>
  <c r="P37" i="23"/>
  <c r="K37" i="23"/>
  <c r="J37" i="23"/>
  <c r="E37" i="23"/>
  <c r="D37" i="23"/>
  <c r="BY36" i="23"/>
  <c r="BW36" i="23"/>
  <c r="BQ36" i="23"/>
  <c r="BS36" i="23" s="1"/>
  <c r="BK36" i="23"/>
  <c r="BM36" i="23" s="1"/>
  <c r="BE36" i="23"/>
  <c r="BG36" i="23" s="1"/>
  <c r="AY36" i="23"/>
  <c r="BA36" i="23" s="1"/>
  <c r="AS36" i="23"/>
  <c r="AU36" i="23" s="1"/>
  <c r="AM36" i="23"/>
  <c r="AO36" i="23" s="1"/>
  <c r="AG36" i="23"/>
  <c r="AI36" i="23" s="1"/>
  <c r="AA36" i="23"/>
  <c r="AC36" i="23" s="1"/>
  <c r="U36" i="23"/>
  <c r="W36" i="23" s="1"/>
  <c r="P36" i="23"/>
  <c r="Q36" i="23" s="1"/>
  <c r="J36" i="23"/>
  <c r="K36" i="23" s="1"/>
  <c r="D36" i="23"/>
  <c r="E36" i="23" s="1"/>
  <c r="BW35" i="23"/>
  <c r="BY35" i="23" s="1"/>
  <c r="BQ35" i="23"/>
  <c r="BS35" i="23" s="1"/>
  <c r="BM35" i="23"/>
  <c r="BK35" i="23"/>
  <c r="BE35" i="23"/>
  <c r="BG35" i="23" s="1"/>
  <c r="AY35" i="23"/>
  <c r="BA35" i="23" s="1"/>
  <c r="AS35" i="23"/>
  <c r="AU35" i="23" s="1"/>
  <c r="AM35" i="23"/>
  <c r="AO35" i="23" s="1"/>
  <c r="AI35" i="23"/>
  <c r="AG35" i="23"/>
  <c r="AA35" i="23"/>
  <c r="AC35" i="23" s="1"/>
  <c r="U35" i="23"/>
  <c r="W35" i="23" s="1"/>
  <c r="Q35" i="23"/>
  <c r="P35" i="23"/>
  <c r="K35" i="23"/>
  <c r="J35" i="23"/>
  <c r="D35" i="23"/>
  <c r="E35" i="23" s="1"/>
  <c r="P34" i="23"/>
  <c r="P139" i="23" s="1"/>
  <c r="O34" i="23"/>
  <c r="O139" i="23" s="1"/>
  <c r="BY31" i="23"/>
  <c r="BW31" i="23"/>
  <c r="BQ31" i="23"/>
  <c r="BS31" i="23" s="1"/>
  <c r="BM31" i="23"/>
  <c r="BK31" i="23"/>
  <c r="BE31" i="23"/>
  <c r="BG31" i="23" s="1"/>
  <c r="AY31" i="23"/>
  <c r="BA31" i="23" s="1"/>
  <c r="AS31" i="23"/>
  <c r="AU31" i="23" s="1"/>
  <c r="AM31" i="23"/>
  <c r="AO31" i="23" s="1"/>
  <c r="AI31" i="23"/>
  <c r="AG31" i="23"/>
  <c r="AC31" i="23"/>
  <c r="AA31" i="23"/>
  <c r="U31" i="23"/>
  <c r="W31" i="23" s="1"/>
  <c r="P31" i="23"/>
  <c r="Q31" i="23" s="1"/>
  <c r="K31" i="23"/>
  <c r="J31" i="23"/>
  <c r="D31" i="23"/>
  <c r="E31" i="23" s="1"/>
  <c r="BY30" i="23"/>
  <c r="BW30" i="23"/>
  <c r="BQ30" i="23"/>
  <c r="BS30" i="23" s="1"/>
  <c r="BK30" i="23"/>
  <c r="BM30" i="23" s="1"/>
  <c r="BE30" i="23"/>
  <c r="BG30" i="23" s="1"/>
  <c r="AY30" i="23"/>
  <c r="BA30" i="23" s="1"/>
  <c r="AS30" i="23"/>
  <c r="AU30" i="23" s="1"/>
  <c r="AM30" i="23"/>
  <c r="AO30" i="23" s="1"/>
  <c r="AG30" i="23"/>
  <c r="AI30" i="23" s="1"/>
  <c r="AA30" i="23"/>
  <c r="AC30" i="23" s="1"/>
  <c r="U30" i="23"/>
  <c r="W30" i="23" s="1"/>
  <c r="P30" i="23"/>
  <c r="Q30" i="23" s="1"/>
  <c r="J30" i="23"/>
  <c r="K30" i="23" s="1"/>
  <c r="D30" i="23"/>
  <c r="E30" i="23" s="1"/>
  <c r="BW29" i="23"/>
  <c r="BY29" i="23" s="1"/>
  <c r="BQ29" i="23"/>
  <c r="BS29" i="23" s="1"/>
  <c r="BK29" i="23"/>
  <c r="BM29" i="23" s="1"/>
  <c r="BE29" i="23"/>
  <c r="BG29" i="23" s="1"/>
  <c r="AY29" i="23"/>
  <c r="BA29" i="23" s="1"/>
  <c r="AS29" i="23"/>
  <c r="AU29" i="23" s="1"/>
  <c r="AM29" i="23"/>
  <c r="AO29" i="23" s="1"/>
  <c r="AI29" i="23"/>
  <c r="AG29" i="23"/>
  <c r="AA29" i="23"/>
  <c r="AC29" i="23" s="1"/>
  <c r="U29" i="23"/>
  <c r="W29" i="23" s="1"/>
  <c r="P29" i="23"/>
  <c r="Q29" i="23" s="1"/>
  <c r="K29" i="23"/>
  <c r="J29" i="23"/>
  <c r="E29" i="23"/>
  <c r="D29" i="23"/>
  <c r="BW28" i="23"/>
  <c r="BY28" i="23" s="1"/>
  <c r="BQ28" i="23"/>
  <c r="BS28" i="23" s="1"/>
  <c r="BM28" i="23"/>
  <c r="BK28" i="23"/>
  <c r="BE28" i="23"/>
  <c r="BG28" i="23" s="1"/>
  <c r="BA28" i="23"/>
  <c r="AY28" i="23"/>
  <c r="AS28" i="23"/>
  <c r="AU28" i="23" s="1"/>
  <c r="AM28" i="23"/>
  <c r="AO28" i="23" s="1"/>
  <c r="AG28" i="23"/>
  <c r="AI28" i="23" s="1"/>
  <c r="AA28" i="23"/>
  <c r="AC28" i="23" s="1"/>
  <c r="U28" i="23"/>
  <c r="W28" i="23" s="1"/>
  <c r="Q28" i="23"/>
  <c r="P28" i="23"/>
  <c r="K28" i="23"/>
  <c r="J28" i="23"/>
  <c r="D28" i="23"/>
  <c r="E28" i="23" s="1"/>
  <c r="BY27" i="23"/>
  <c r="BW27" i="23"/>
  <c r="BQ27" i="23"/>
  <c r="BS27" i="23" s="1"/>
  <c r="BM27" i="23"/>
  <c r="BK27" i="23"/>
  <c r="BE27" i="23"/>
  <c r="BG27" i="23" s="1"/>
  <c r="AY27" i="23"/>
  <c r="BA27" i="23" s="1"/>
  <c r="AS27" i="23"/>
  <c r="AU27" i="23" s="1"/>
  <c r="AM27" i="23"/>
  <c r="AO27" i="23" s="1"/>
  <c r="AI27" i="23"/>
  <c r="AG27" i="23"/>
  <c r="AC27" i="23"/>
  <c r="AA27" i="23"/>
  <c r="U27" i="23"/>
  <c r="W27" i="23" s="1"/>
  <c r="Q27" i="23"/>
  <c r="P27" i="23"/>
  <c r="J27" i="23"/>
  <c r="K27" i="23" s="1"/>
  <c r="D27" i="23"/>
  <c r="E27" i="23" s="1"/>
  <c r="BY26" i="23"/>
  <c r="BW26" i="23"/>
  <c r="BQ26" i="23"/>
  <c r="BS26" i="23" s="1"/>
  <c r="BK26" i="23"/>
  <c r="BM26" i="23" s="1"/>
  <c r="BE26" i="23"/>
  <c r="BG26" i="23" s="1"/>
  <c r="AY26" i="23"/>
  <c r="BA26" i="23" s="1"/>
  <c r="AS26" i="23"/>
  <c r="AU26" i="23" s="1"/>
  <c r="AM26" i="23"/>
  <c r="AO26" i="23" s="1"/>
  <c r="AI26" i="23"/>
  <c r="AG26" i="23"/>
  <c r="AA26" i="23"/>
  <c r="AC26" i="23" s="1"/>
  <c r="U26" i="23"/>
  <c r="W26" i="23" s="1"/>
  <c r="P26" i="23"/>
  <c r="Q26" i="23" s="1"/>
  <c r="J26" i="23"/>
  <c r="K26" i="23" s="1"/>
  <c r="D26" i="23"/>
  <c r="E26" i="23" s="1"/>
  <c r="BW25" i="23"/>
  <c r="BY25" i="23" s="1"/>
  <c r="BQ25" i="23"/>
  <c r="BS25" i="23" s="1"/>
  <c r="BK25" i="23"/>
  <c r="BM25" i="23" s="1"/>
  <c r="BE25" i="23"/>
  <c r="BG25" i="23" s="1"/>
  <c r="BA25" i="23"/>
  <c r="AY25" i="23"/>
  <c r="AS25" i="23"/>
  <c r="AU25" i="23" s="1"/>
  <c r="AO25" i="23"/>
  <c r="AM25" i="23"/>
  <c r="AI25" i="23"/>
  <c r="AG25" i="23"/>
  <c r="AA25" i="23"/>
  <c r="AC25" i="23" s="1"/>
  <c r="U25" i="23"/>
  <c r="W25" i="23" s="1"/>
  <c r="P25" i="23"/>
  <c r="Q25" i="23" s="1"/>
  <c r="J25" i="23"/>
  <c r="K25" i="23" s="1"/>
  <c r="E25" i="23"/>
  <c r="D25" i="23"/>
  <c r="BW24" i="23"/>
  <c r="BY24" i="23" s="1"/>
  <c r="BS24" i="23"/>
  <c r="BQ24" i="23"/>
  <c r="BM24" i="23"/>
  <c r="BK24" i="23"/>
  <c r="BG24" i="23"/>
  <c r="BE24" i="23"/>
  <c r="BA24" i="23"/>
  <c r="AY24" i="23"/>
  <c r="AS24" i="23"/>
  <c r="AU24" i="23" s="1"/>
  <c r="AM24" i="23"/>
  <c r="AO24" i="23" s="1"/>
  <c r="AG24" i="23"/>
  <c r="AI24" i="23" s="1"/>
  <c r="AA24" i="23"/>
  <c r="AC24" i="23" s="1"/>
  <c r="U24" i="23"/>
  <c r="W24" i="23" s="1"/>
  <c r="Q24" i="23"/>
  <c r="P24" i="23"/>
  <c r="K24" i="23"/>
  <c r="J24" i="23"/>
  <c r="D24" i="23"/>
  <c r="E24" i="23" s="1"/>
  <c r="BY23" i="23"/>
  <c r="BW23" i="23"/>
  <c r="BQ23" i="23"/>
  <c r="BS23" i="23" s="1"/>
  <c r="BM23" i="23"/>
  <c r="BK23" i="23"/>
  <c r="BE23" i="23"/>
  <c r="BG23" i="23" s="1"/>
  <c r="AY23" i="23"/>
  <c r="BA23" i="23" s="1"/>
  <c r="AS23" i="23"/>
  <c r="AU23" i="23" s="1"/>
  <c r="AM23" i="23"/>
  <c r="AO23" i="23" s="1"/>
  <c r="AI23" i="23"/>
  <c r="AG23" i="23"/>
  <c r="AA23" i="23"/>
  <c r="AC23" i="23" s="1"/>
  <c r="U23" i="23"/>
  <c r="W23" i="23" s="1"/>
  <c r="Q23" i="23"/>
  <c r="P23" i="23"/>
  <c r="J23" i="23"/>
  <c r="K23" i="23" s="1"/>
  <c r="D23" i="23"/>
  <c r="E23" i="23" s="1"/>
  <c r="BY22" i="23"/>
  <c r="BW22" i="23"/>
  <c r="BQ22" i="23"/>
  <c r="BS22" i="23" s="1"/>
  <c r="BK22" i="23"/>
  <c r="BM22" i="23" s="1"/>
  <c r="BE22" i="23"/>
  <c r="BG22" i="23" s="1"/>
  <c r="AY22" i="23"/>
  <c r="BA22" i="23" s="1"/>
  <c r="AS22" i="23"/>
  <c r="AU22" i="23" s="1"/>
  <c r="AM22" i="23"/>
  <c r="AO22" i="23" s="1"/>
  <c r="AG22" i="23"/>
  <c r="AI22" i="23" s="1"/>
  <c r="AA22" i="23"/>
  <c r="AC22" i="23" s="1"/>
  <c r="W22" i="23"/>
  <c r="U22" i="23"/>
  <c r="P22" i="23"/>
  <c r="Q22" i="23" s="1"/>
  <c r="J22" i="23"/>
  <c r="K22" i="23" s="1"/>
  <c r="D22" i="23"/>
  <c r="E22" i="23" s="1"/>
  <c r="BW21" i="23"/>
  <c r="BY21" i="23" s="1"/>
  <c r="BQ21" i="23"/>
  <c r="BS21" i="23" s="1"/>
  <c r="BK21" i="23"/>
  <c r="BM21" i="23" s="1"/>
  <c r="BE21" i="23"/>
  <c r="BG21" i="23" s="1"/>
  <c r="AY21" i="23"/>
  <c r="BA21" i="23" s="1"/>
  <c r="AS21" i="23"/>
  <c r="AU21" i="23" s="1"/>
  <c r="AM21" i="23"/>
  <c r="AO21" i="23" s="1"/>
  <c r="AG21" i="23"/>
  <c r="AI21" i="23" s="1"/>
  <c r="AA21" i="23"/>
  <c r="AC21" i="23" s="1"/>
  <c r="U21" i="23"/>
  <c r="W21" i="23" s="1"/>
  <c r="P21" i="23"/>
  <c r="Q21" i="23" s="1"/>
  <c r="K21" i="23"/>
  <c r="J21" i="23"/>
  <c r="E21" i="23"/>
  <c r="D21" i="23"/>
  <c r="BY20" i="23"/>
  <c r="BW20" i="23"/>
  <c r="BQ20" i="23"/>
  <c r="BS20" i="23" s="1"/>
  <c r="BK20" i="23"/>
  <c r="BM20" i="23" s="1"/>
  <c r="BE20" i="23"/>
  <c r="BG20" i="23" s="1"/>
  <c r="BA20" i="23"/>
  <c r="AY20" i="23"/>
  <c r="AS20" i="23"/>
  <c r="AU20" i="23" s="1"/>
  <c r="AM20" i="23"/>
  <c r="AO20" i="23" s="1"/>
  <c r="AG20" i="23"/>
  <c r="AI20" i="23" s="1"/>
  <c r="AC20" i="23"/>
  <c r="AA20" i="23"/>
  <c r="U20" i="23"/>
  <c r="W20" i="23" s="1"/>
  <c r="P20" i="23"/>
  <c r="Q20" i="23" s="1"/>
  <c r="K20" i="23"/>
  <c r="J20" i="23"/>
  <c r="E20" i="23"/>
  <c r="D20" i="23"/>
  <c r="CO19" i="23"/>
  <c r="CO34" i="23" s="1"/>
  <c r="CO49" i="23" s="1"/>
  <c r="CO64" i="23" s="1"/>
  <c r="CO79" i="23" s="1"/>
  <c r="CO94" i="23" s="1"/>
  <c r="CO109" i="23" s="1"/>
  <c r="CO124" i="23" s="1"/>
  <c r="CO139" i="23" s="1"/>
  <c r="CI19" i="23"/>
  <c r="CI34" i="23" s="1"/>
  <c r="CI49" i="23" s="1"/>
  <c r="CI64" i="23" s="1"/>
  <c r="CI79" i="23" s="1"/>
  <c r="CI94" i="23" s="1"/>
  <c r="CI109" i="23" s="1"/>
  <c r="CI124" i="23" s="1"/>
  <c r="CI139" i="23" s="1"/>
  <c r="CC19" i="23"/>
  <c r="CC34" i="23" s="1"/>
  <c r="CC49" i="23" s="1"/>
  <c r="CC64" i="23" s="1"/>
  <c r="CC79" i="23" s="1"/>
  <c r="CC94" i="23" s="1"/>
  <c r="CC109" i="23" s="1"/>
  <c r="CC124" i="23" s="1"/>
  <c r="CC139" i="23" s="1"/>
  <c r="BW19" i="23"/>
  <c r="BW34" i="23" s="1"/>
  <c r="BW49" i="23" s="1"/>
  <c r="BW64" i="23" s="1"/>
  <c r="BW79" i="23" s="1"/>
  <c r="BW94" i="23" s="1"/>
  <c r="BW109" i="23" s="1"/>
  <c r="BW124" i="23" s="1"/>
  <c r="BW139" i="23" s="1"/>
  <c r="BQ19" i="23"/>
  <c r="BQ34" i="23" s="1"/>
  <c r="BQ49" i="23" s="1"/>
  <c r="BQ64" i="23" s="1"/>
  <c r="BQ79" i="23" s="1"/>
  <c r="BQ94" i="23" s="1"/>
  <c r="BQ109" i="23" s="1"/>
  <c r="BQ124" i="23" s="1"/>
  <c r="BQ139" i="23" s="1"/>
  <c r="BK19" i="23"/>
  <c r="BK34" i="23" s="1"/>
  <c r="BK49" i="23" s="1"/>
  <c r="BK64" i="23" s="1"/>
  <c r="BK79" i="23" s="1"/>
  <c r="BK94" i="23" s="1"/>
  <c r="BK109" i="23" s="1"/>
  <c r="BK124" i="23" s="1"/>
  <c r="BK139" i="23" s="1"/>
  <c r="BE19" i="23"/>
  <c r="BE34" i="23" s="1"/>
  <c r="BE49" i="23" s="1"/>
  <c r="BE64" i="23" s="1"/>
  <c r="BE79" i="23" s="1"/>
  <c r="BE94" i="23" s="1"/>
  <c r="BE109" i="23" s="1"/>
  <c r="BE124" i="23" s="1"/>
  <c r="BE139" i="23" s="1"/>
  <c r="AY19" i="23"/>
  <c r="AY34" i="23" s="1"/>
  <c r="AY49" i="23" s="1"/>
  <c r="AY64" i="23" s="1"/>
  <c r="AY79" i="23" s="1"/>
  <c r="AY94" i="23" s="1"/>
  <c r="AY109" i="23" s="1"/>
  <c r="AY124" i="23" s="1"/>
  <c r="AY139" i="23" s="1"/>
  <c r="AS19" i="23"/>
  <c r="AS34" i="23" s="1"/>
  <c r="AS49" i="23" s="1"/>
  <c r="AS64" i="23" s="1"/>
  <c r="AS79" i="23" s="1"/>
  <c r="AS94" i="23" s="1"/>
  <c r="AS109" i="23" s="1"/>
  <c r="AS124" i="23" s="1"/>
  <c r="AS139" i="23" s="1"/>
  <c r="AM19" i="23"/>
  <c r="AM34" i="23" s="1"/>
  <c r="AM49" i="23" s="1"/>
  <c r="AM64" i="23" s="1"/>
  <c r="AM79" i="23" s="1"/>
  <c r="AM94" i="23" s="1"/>
  <c r="AM109" i="23" s="1"/>
  <c r="AM124" i="23" s="1"/>
  <c r="AM139" i="23" s="1"/>
  <c r="AH19" i="23"/>
  <c r="AH34" i="23" s="1"/>
  <c r="AH49" i="23" s="1"/>
  <c r="AH64" i="23" s="1"/>
  <c r="AH79" i="23" s="1"/>
  <c r="AH94" i="23" s="1"/>
  <c r="AH109" i="23" s="1"/>
  <c r="AH124" i="23" s="1"/>
  <c r="AH139" i="23" s="1"/>
  <c r="AG19" i="23"/>
  <c r="AG34" i="23" s="1"/>
  <c r="AG49" i="23" s="1"/>
  <c r="AG64" i="23" s="1"/>
  <c r="AG79" i="23" s="1"/>
  <c r="AG94" i="23" s="1"/>
  <c r="AG109" i="23" s="1"/>
  <c r="AG124" i="23" s="1"/>
  <c r="AG139" i="23" s="1"/>
  <c r="AA19" i="23"/>
  <c r="AA34" i="23" s="1"/>
  <c r="AA49" i="23" s="1"/>
  <c r="AA64" i="23" s="1"/>
  <c r="AA79" i="23" s="1"/>
  <c r="AA94" i="23" s="1"/>
  <c r="AA109" i="23" s="1"/>
  <c r="AA124" i="23" s="1"/>
  <c r="AA139" i="23" s="1"/>
  <c r="U19" i="23"/>
  <c r="U34" i="23" s="1"/>
  <c r="U49" i="23" s="1"/>
  <c r="U64" i="23" s="1"/>
  <c r="U79" i="23" s="1"/>
  <c r="U94" i="23" s="1"/>
  <c r="U109" i="23" s="1"/>
  <c r="U124" i="23" s="1"/>
  <c r="U139" i="23" s="1"/>
  <c r="P19" i="23"/>
  <c r="P124" i="23" s="1"/>
  <c r="O19" i="23"/>
  <c r="O124" i="23" s="1"/>
  <c r="J19" i="23"/>
  <c r="J34" i="23" s="1"/>
  <c r="J49" i="23" s="1"/>
  <c r="J64" i="23" s="1"/>
  <c r="J79" i="23" s="1"/>
  <c r="J94" i="23" s="1"/>
  <c r="J109" i="23" s="1"/>
  <c r="J124" i="23" s="1"/>
  <c r="J139" i="23" s="1"/>
  <c r="I19" i="23"/>
  <c r="I34" i="23" s="1"/>
  <c r="I49" i="23" s="1"/>
  <c r="I64" i="23" s="1"/>
  <c r="I79" i="23" s="1"/>
  <c r="I94" i="23" s="1"/>
  <c r="I109" i="23" s="1"/>
  <c r="I124" i="23" s="1"/>
  <c r="I139" i="23" s="1"/>
  <c r="D19" i="23"/>
  <c r="D34" i="23" s="1"/>
  <c r="D49" i="23" s="1"/>
  <c r="D64" i="23" s="1"/>
  <c r="D79" i="23" s="1"/>
  <c r="D94" i="23" s="1"/>
  <c r="D109" i="23" s="1"/>
  <c r="D124" i="23" s="1"/>
  <c r="D139" i="23" s="1"/>
  <c r="C19" i="23"/>
  <c r="C34" i="23" s="1"/>
  <c r="C49" i="23" s="1"/>
  <c r="C64" i="23" s="1"/>
  <c r="C79" i="23" s="1"/>
  <c r="C94" i="23" s="1"/>
  <c r="C109" i="23" s="1"/>
  <c r="C124" i="23" s="1"/>
  <c r="C139" i="23" s="1"/>
  <c r="O18" i="23"/>
  <c r="O33" i="23" s="1"/>
  <c r="O48" i="23" s="1"/>
  <c r="O63" i="23" s="1"/>
  <c r="O78" i="23" s="1"/>
  <c r="O93" i="23" s="1"/>
  <c r="O108" i="23" s="1"/>
  <c r="O123" i="23" s="1"/>
  <c r="O138" i="23" s="1"/>
  <c r="I18" i="23"/>
  <c r="I33" i="23" s="1"/>
  <c r="I48" i="23" s="1"/>
  <c r="I63" i="23" s="1"/>
  <c r="I78" i="23" s="1"/>
  <c r="I93" i="23" s="1"/>
  <c r="I108" i="23" s="1"/>
  <c r="I123" i="23" s="1"/>
  <c r="I138" i="23" s="1"/>
  <c r="C18" i="23"/>
  <c r="C33" i="23" s="1"/>
  <c r="C48" i="23" s="1"/>
  <c r="C63" i="23" s="1"/>
  <c r="C78" i="23" s="1"/>
  <c r="C93" i="23" s="1"/>
  <c r="C108" i="23" s="1"/>
  <c r="C123" i="23" s="1"/>
  <c r="C138" i="23" s="1"/>
  <c r="CQ16" i="23"/>
  <c r="CQ31" i="23" s="1"/>
  <c r="CQ46" i="23" s="1"/>
  <c r="CQ61" i="23" s="1"/>
  <c r="CQ76" i="23" s="1"/>
  <c r="CQ91" i="23" s="1"/>
  <c r="CQ106" i="23" s="1"/>
  <c r="CQ121" i="23" s="1"/>
  <c r="CQ136" i="23" s="1"/>
  <c r="CQ151" i="23" s="1"/>
  <c r="CO16" i="23"/>
  <c r="CO31" i="23" s="1"/>
  <c r="CO46" i="23" s="1"/>
  <c r="CO61" i="23" s="1"/>
  <c r="CO76" i="23" s="1"/>
  <c r="CO91" i="23" s="1"/>
  <c r="CO106" i="23" s="1"/>
  <c r="CO121" i="23" s="1"/>
  <c r="CO136" i="23" s="1"/>
  <c r="CO151" i="23" s="1"/>
  <c r="CK16" i="23"/>
  <c r="CK31" i="23" s="1"/>
  <c r="CK46" i="23" s="1"/>
  <c r="CK61" i="23" s="1"/>
  <c r="CK76" i="23" s="1"/>
  <c r="CK91" i="23" s="1"/>
  <c r="CK106" i="23" s="1"/>
  <c r="CK121" i="23" s="1"/>
  <c r="CK136" i="23" s="1"/>
  <c r="CK151" i="23" s="1"/>
  <c r="CI16" i="23"/>
  <c r="CI31" i="23" s="1"/>
  <c r="CI46" i="23" s="1"/>
  <c r="CI61" i="23" s="1"/>
  <c r="CI76" i="23" s="1"/>
  <c r="CI91" i="23" s="1"/>
  <c r="CI106" i="23" s="1"/>
  <c r="CI121" i="23" s="1"/>
  <c r="CI136" i="23" s="1"/>
  <c r="CI151" i="23" s="1"/>
  <c r="CE16" i="23"/>
  <c r="CE31" i="23" s="1"/>
  <c r="CE46" i="23" s="1"/>
  <c r="CE61" i="23" s="1"/>
  <c r="CE76" i="23" s="1"/>
  <c r="CE91" i="23" s="1"/>
  <c r="CE106" i="23" s="1"/>
  <c r="CE121" i="23" s="1"/>
  <c r="CE136" i="23" s="1"/>
  <c r="CE151" i="23" s="1"/>
  <c r="CC16" i="23"/>
  <c r="CC46" i="23" s="1"/>
  <c r="CC61" i="23" s="1"/>
  <c r="CC76" i="23" s="1"/>
  <c r="CC91" i="23" s="1"/>
  <c r="CC106" i="23" s="1"/>
  <c r="CC121" i="23" s="1"/>
  <c r="CC136" i="23" s="1"/>
  <c r="CC151" i="23" s="1"/>
  <c r="BY16" i="23"/>
  <c r="BW16" i="23"/>
  <c r="BQ16" i="23"/>
  <c r="BS16" i="23" s="1"/>
  <c r="BK16" i="23"/>
  <c r="BM16" i="23" s="1"/>
  <c r="BE16" i="23"/>
  <c r="BG16" i="23" s="1"/>
  <c r="AY16" i="23"/>
  <c r="BA16" i="23" s="1"/>
  <c r="AS16" i="23"/>
  <c r="AU16" i="23" s="1"/>
  <c r="AM16" i="23"/>
  <c r="AO16" i="23" s="1"/>
  <c r="AI16" i="23"/>
  <c r="AG16" i="23"/>
  <c r="AA16" i="23"/>
  <c r="AC16" i="23" s="1"/>
  <c r="W16" i="23"/>
  <c r="U16" i="23"/>
  <c r="P16" i="23"/>
  <c r="Q16" i="23" s="1"/>
  <c r="J16" i="23"/>
  <c r="K16" i="23" s="1"/>
  <c r="E16" i="23"/>
  <c r="D16" i="23"/>
  <c r="CQ15" i="23"/>
  <c r="CQ30" i="23" s="1"/>
  <c r="CQ45" i="23" s="1"/>
  <c r="CQ60" i="23" s="1"/>
  <c r="CQ75" i="23" s="1"/>
  <c r="CQ90" i="23" s="1"/>
  <c r="CQ105" i="23" s="1"/>
  <c r="CQ120" i="23" s="1"/>
  <c r="CQ135" i="23" s="1"/>
  <c r="CQ150" i="23" s="1"/>
  <c r="CO15" i="23"/>
  <c r="CO30" i="23" s="1"/>
  <c r="CO45" i="23" s="1"/>
  <c r="CO60" i="23" s="1"/>
  <c r="CO75" i="23" s="1"/>
  <c r="CO90" i="23" s="1"/>
  <c r="CO105" i="23" s="1"/>
  <c r="CO120" i="23" s="1"/>
  <c r="CO135" i="23" s="1"/>
  <c r="CO150" i="23" s="1"/>
  <c r="CI15" i="23"/>
  <c r="CI30" i="23" s="1"/>
  <c r="CI45" i="23" s="1"/>
  <c r="CI60" i="23" s="1"/>
  <c r="CI75" i="23" s="1"/>
  <c r="CI90" i="23" s="1"/>
  <c r="CI105" i="23" s="1"/>
  <c r="CI120" i="23" s="1"/>
  <c r="CI135" i="23" s="1"/>
  <c r="CI150" i="23" s="1"/>
  <c r="CE15" i="23"/>
  <c r="CE30" i="23" s="1"/>
  <c r="CE45" i="23" s="1"/>
  <c r="CE60" i="23" s="1"/>
  <c r="CE75" i="23" s="1"/>
  <c r="CE90" i="23" s="1"/>
  <c r="CE105" i="23" s="1"/>
  <c r="CE120" i="23" s="1"/>
  <c r="CE135" i="23" s="1"/>
  <c r="CE150" i="23" s="1"/>
  <c r="CC15" i="23"/>
  <c r="CC45" i="23" s="1"/>
  <c r="CC60" i="23" s="1"/>
  <c r="CC75" i="23" s="1"/>
  <c r="CC90" i="23" s="1"/>
  <c r="CC105" i="23" s="1"/>
  <c r="CC120" i="23" s="1"/>
  <c r="CC135" i="23" s="1"/>
  <c r="CC150" i="23" s="1"/>
  <c r="BY15" i="23"/>
  <c r="BW15" i="23"/>
  <c r="BS15" i="23"/>
  <c r="BQ15" i="23"/>
  <c r="BM15" i="23"/>
  <c r="BK15" i="23"/>
  <c r="BE15" i="23"/>
  <c r="BG15" i="23" s="1"/>
  <c r="AY15" i="23"/>
  <c r="BA15" i="23" s="1"/>
  <c r="AS15" i="23"/>
  <c r="AU15" i="23" s="1"/>
  <c r="AO15" i="23"/>
  <c r="AM15" i="23"/>
  <c r="AI15" i="23"/>
  <c r="AG15" i="23"/>
  <c r="AA15" i="23"/>
  <c r="AC15" i="23" s="1"/>
  <c r="W15" i="23"/>
  <c r="U15" i="23"/>
  <c r="P15" i="23"/>
  <c r="Q15" i="23" s="1"/>
  <c r="J15" i="23"/>
  <c r="K15" i="23" s="1"/>
  <c r="E15" i="23"/>
  <c r="D15" i="23"/>
  <c r="CQ14" i="23"/>
  <c r="CQ29" i="23" s="1"/>
  <c r="CQ44" i="23" s="1"/>
  <c r="CQ59" i="23" s="1"/>
  <c r="CQ74" i="23" s="1"/>
  <c r="CQ89" i="23" s="1"/>
  <c r="CQ104" i="23" s="1"/>
  <c r="CQ119" i="23" s="1"/>
  <c r="CQ134" i="23" s="1"/>
  <c r="CQ149" i="23" s="1"/>
  <c r="CO14" i="23"/>
  <c r="CO29" i="23" s="1"/>
  <c r="CO44" i="23" s="1"/>
  <c r="CO59" i="23" s="1"/>
  <c r="CO74" i="23" s="1"/>
  <c r="CO89" i="23" s="1"/>
  <c r="CO104" i="23" s="1"/>
  <c r="CO119" i="23" s="1"/>
  <c r="CO134" i="23" s="1"/>
  <c r="CO149" i="23" s="1"/>
  <c r="CI14" i="23"/>
  <c r="CE14" i="23"/>
  <c r="CE29" i="23" s="1"/>
  <c r="CE44" i="23" s="1"/>
  <c r="CE59" i="23" s="1"/>
  <c r="CE74" i="23" s="1"/>
  <c r="CE89" i="23" s="1"/>
  <c r="CE104" i="23" s="1"/>
  <c r="CE119" i="23" s="1"/>
  <c r="CE134" i="23" s="1"/>
  <c r="CE149" i="23" s="1"/>
  <c r="CC14" i="23"/>
  <c r="BY14" i="23"/>
  <c r="BW14" i="23"/>
  <c r="BS14" i="23"/>
  <c r="BQ14" i="23"/>
  <c r="BK14" i="23"/>
  <c r="BM14" i="23" s="1"/>
  <c r="BE14" i="23"/>
  <c r="BG14" i="23" s="1"/>
  <c r="AY14" i="23"/>
  <c r="BA14" i="23" s="1"/>
  <c r="AS14" i="23"/>
  <c r="AU14" i="23" s="1"/>
  <c r="AM14" i="23"/>
  <c r="AO14" i="23" s="1"/>
  <c r="AG14" i="23"/>
  <c r="AI14" i="23" s="1"/>
  <c r="AA14" i="23"/>
  <c r="AC14" i="23" s="1"/>
  <c r="W14" i="23"/>
  <c r="U14" i="23"/>
  <c r="P14" i="23"/>
  <c r="Q14" i="23" s="1"/>
  <c r="J14" i="23"/>
  <c r="K14" i="23" s="1"/>
  <c r="E14" i="23"/>
  <c r="D14" i="23"/>
  <c r="CO13" i="23"/>
  <c r="CO28" i="23" s="1"/>
  <c r="CO43" i="23" s="1"/>
  <c r="CO58" i="23" s="1"/>
  <c r="CO73" i="23" s="1"/>
  <c r="CO88" i="23" s="1"/>
  <c r="CO103" i="23" s="1"/>
  <c r="CO118" i="23" s="1"/>
  <c r="CO133" i="23" s="1"/>
  <c r="CO148" i="23" s="1"/>
  <c r="CI13" i="23"/>
  <c r="CC13" i="23"/>
  <c r="BW13" i="23"/>
  <c r="BY13" i="23" s="1"/>
  <c r="BQ13" i="23"/>
  <c r="BS13" i="23" s="1"/>
  <c r="BM13" i="23"/>
  <c r="BK13" i="23"/>
  <c r="BG13" i="23"/>
  <c r="BE13" i="23"/>
  <c r="BA13" i="23"/>
  <c r="AY13" i="23"/>
  <c r="AS13" i="23"/>
  <c r="AU13" i="23" s="1"/>
  <c r="AM13" i="23"/>
  <c r="AO13" i="23" s="1"/>
  <c r="AG13" i="23"/>
  <c r="AI13" i="23" s="1"/>
  <c r="AA13" i="23"/>
  <c r="AC13" i="23" s="1"/>
  <c r="W13" i="23"/>
  <c r="U13" i="23"/>
  <c r="Q13" i="23"/>
  <c r="P13" i="23"/>
  <c r="K13" i="23"/>
  <c r="J13" i="23"/>
  <c r="E13" i="23"/>
  <c r="D13" i="23"/>
  <c r="CO12" i="23"/>
  <c r="CI12" i="23"/>
  <c r="CC12" i="23"/>
  <c r="BW12" i="23"/>
  <c r="BY12" i="23" s="1"/>
  <c r="BQ12" i="23"/>
  <c r="BS12" i="23" s="1"/>
  <c r="BM12" i="23"/>
  <c r="BK12" i="23"/>
  <c r="BG12" i="23"/>
  <c r="BE12" i="23"/>
  <c r="BA12" i="23"/>
  <c r="AY12" i="23"/>
  <c r="AS12" i="23"/>
  <c r="AU12" i="23" s="1"/>
  <c r="AM12" i="23"/>
  <c r="AO12" i="23" s="1"/>
  <c r="AG12" i="23"/>
  <c r="AI12" i="23" s="1"/>
  <c r="AA12" i="23"/>
  <c r="AC12" i="23" s="1"/>
  <c r="U12" i="23"/>
  <c r="W12" i="23" s="1"/>
  <c r="P12" i="23"/>
  <c r="Q12" i="23" s="1"/>
  <c r="K12" i="23"/>
  <c r="J12" i="23"/>
  <c r="D12" i="23"/>
  <c r="E12" i="23" s="1"/>
  <c r="CO11" i="23"/>
  <c r="CK11" i="23"/>
  <c r="CK26" i="23" s="1"/>
  <c r="CK41" i="23" s="1"/>
  <c r="CK56" i="23" s="1"/>
  <c r="CK71" i="23" s="1"/>
  <c r="CK86" i="23" s="1"/>
  <c r="CK101" i="23" s="1"/>
  <c r="CK116" i="23" s="1"/>
  <c r="CK131" i="23" s="1"/>
  <c r="CK146" i="23" s="1"/>
  <c r="CI11" i="23"/>
  <c r="CI26" i="23" s="1"/>
  <c r="CI41" i="23" s="1"/>
  <c r="CI56" i="23" s="1"/>
  <c r="CI71" i="23" s="1"/>
  <c r="CI86" i="23" s="1"/>
  <c r="CI101" i="23" s="1"/>
  <c r="CI116" i="23" s="1"/>
  <c r="CI131" i="23" s="1"/>
  <c r="CI146" i="23" s="1"/>
  <c r="CC11" i="23"/>
  <c r="BW11" i="23"/>
  <c r="BY11" i="23" s="1"/>
  <c r="BQ11" i="23"/>
  <c r="BS11" i="23" s="1"/>
  <c r="BK11" i="23"/>
  <c r="BM11" i="23" s="1"/>
  <c r="BE11" i="23"/>
  <c r="BG11" i="23" s="1"/>
  <c r="BA11" i="23"/>
  <c r="AY11" i="23"/>
  <c r="AS11" i="23"/>
  <c r="AU11" i="23" s="1"/>
  <c r="AM11" i="23"/>
  <c r="AO11" i="23" s="1"/>
  <c r="AG11" i="23"/>
  <c r="AI11" i="23" s="1"/>
  <c r="AA11" i="23"/>
  <c r="AC11" i="23" s="1"/>
  <c r="U11" i="23"/>
  <c r="W11" i="23" s="1"/>
  <c r="P11" i="23"/>
  <c r="Q11" i="23" s="1"/>
  <c r="K11" i="23"/>
  <c r="J11" i="23"/>
  <c r="D11" i="23"/>
  <c r="E11" i="23" s="1"/>
  <c r="CO10" i="23"/>
  <c r="CK10" i="23"/>
  <c r="CK25" i="23" s="1"/>
  <c r="CK40" i="23" s="1"/>
  <c r="CK55" i="23" s="1"/>
  <c r="CK70" i="23" s="1"/>
  <c r="CK85" i="23" s="1"/>
  <c r="CK100" i="23" s="1"/>
  <c r="CK115" i="23" s="1"/>
  <c r="CK130" i="23" s="1"/>
  <c r="CK145" i="23" s="1"/>
  <c r="CI10" i="23"/>
  <c r="CI25" i="23" s="1"/>
  <c r="CI40" i="23" s="1"/>
  <c r="CI55" i="23" s="1"/>
  <c r="CI70" i="23" s="1"/>
  <c r="CI85" i="23" s="1"/>
  <c r="CI100" i="23" s="1"/>
  <c r="CI115" i="23" s="1"/>
  <c r="CI130" i="23" s="1"/>
  <c r="CI145" i="23" s="1"/>
  <c r="CE10" i="23"/>
  <c r="CE25" i="23" s="1"/>
  <c r="CE40" i="23" s="1"/>
  <c r="CE55" i="23" s="1"/>
  <c r="CE70" i="23" s="1"/>
  <c r="CE85" i="23" s="1"/>
  <c r="CE100" i="23" s="1"/>
  <c r="CE115" i="23" s="1"/>
  <c r="CE130" i="23" s="1"/>
  <c r="CE145" i="23" s="1"/>
  <c r="CC10" i="23"/>
  <c r="CC25" i="23" s="1"/>
  <c r="BW10" i="23"/>
  <c r="BY10" i="23" s="1"/>
  <c r="BQ10" i="23"/>
  <c r="BS10" i="23" s="1"/>
  <c r="BK10" i="23"/>
  <c r="BM10" i="23" s="1"/>
  <c r="BE10" i="23"/>
  <c r="BG10" i="23" s="1"/>
  <c r="BA10" i="23"/>
  <c r="AY10" i="23"/>
  <c r="AS10" i="23"/>
  <c r="AU10" i="23" s="1"/>
  <c r="AM10" i="23"/>
  <c r="AO10" i="23" s="1"/>
  <c r="AI10" i="23"/>
  <c r="AG10" i="23"/>
  <c r="AA10" i="23"/>
  <c r="AC10" i="23" s="1"/>
  <c r="U10" i="23"/>
  <c r="W10" i="23" s="1"/>
  <c r="P10" i="23"/>
  <c r="Q10" i="23" s="1"/>
  <c r="J10" i="23"/>
  <c r="K10" i="23" s="1"/>
  <c r="D10" i="23"/>
  <c r="E10" i="23" s="1"/>
  <c r="CQ9" i="23"/>
  <c r="CQ24" i="23" s="1"/>
  <c r="CQ39" i="23" s="1"/>
  <c r="CQ54" i="23" s="1"/>
  <c r="CQ69" i="23" s="1"/>
  <c r="CQ84" i="23" s="1"/>
  <c r="CQ99" i="23" s="1"/>
  <c r="CQ114" i="23" s="1"/>
  <c r="CQ129" i="23" s="1"/>
  <c r="CQ144" i="23" s="1"/>
  <c r="CO9" i="23"/>
  <c r="CO24" i="23" s="1"/>
  <c r="CO39" i="23" s="1"/>
  <c r="CO54" i="23" s="1"/>
  <c r="CO69" i="23" s="1"/>
  <c r="CO84" i="23" s="1"/>
  <c r="CO99" i="23" s="1"/>
  <c r="CO114" i="23" s="1"/>
  <c r="CO129" i="23" s="1"/>
  <c r="CO144" i="23" s="1"/>
  <c r="CK9" i="23"/>
  <c r="CK24" i="23" s="1"/>
  <c r="CK39" i="23" s="1"/>
  <c r="CK54" i="23" s="1"/>
  <c r="CK69" i="23" s="1"/>
  <c r="CK84" i="23" s="1"/>
  <c r="CK99" i="23" s="1"/>
  <c r="CK114" i="23" s="1"/>
  <c r="CK129" i="23" s="1"/>
  <c r="CK144" i="23" s="1"/>
  <c r="CI9" i="23"/>
  <c r="CI24" i="23" s="1"/>
  <c r="CI39" i="23" s="1"/>
  <c r="CI54" i="23" s="1"/>
  <c r="CI69" i="23" s="1"/>
  <c r="CI84" i="23" s="1"/>
  <c r="CI99" i="23" s="1"/>
  <c r="CI114" i="23" s="1"/>
  <c r="CI129" i="23" s="1"/>
  <c r="CI144" i="23" s="1"/>
  <c r="CE9" i="23"/>
  <c r="CE24" i="23" s="1"/>
  <c r="CE39" i="23" s="1"/>
  <c r="CE54" i="23" s="1"/>
  <c r="CE69" i="23" s="1"/>
  <c r="CE84" i="23" s="1"/>
  <c r="CE99" i="23" s="1"/>
  <c r="CE114" i="23" s="1"/>
  <c r="CE129" i="23" s="1"/>
  <c r="CE144" i="23" s="1"/>
  <c r="CC9" i="23"/>
  <c r="CC39" i="23" s="1"/>
  <c r="CC54" i="23" s="1"/>
  <c r="CC69" i="23" s="1"/>
  <c r="CC84" i="23" s="1"/>
  <c r="CC99" i="23" s="1"/>
  <c r="CC114" i="23" s="1"/>
  <c r="CC129" i="23" s="1"/>
  <c r="CC144" i="23" s="1"/>
  <c r="BY9" i="23"/>
  <c r="BW9" i="23"/>
  <c r="BQ9" i="23"/>
  <c r="BS9" i="23" s="1"/>
  <c r="BK9" i="23"/>
  <c r="BM9" i="23" s="1"/>
  <c r="BE9" i="23"/>
  <c r="BG9" i="23" s="1"/>
  <c r="BA9" i="23"/>
  <c r="AY9" i="23"/>
  <c r="AS9" i="23"/>
  <c r="AU9" i="23" s="1"/>
  <c r="AM9" i="23"/>
  <c r="AO9" i="23" s="1"/>
  <c r="AI9" i="23"/>
  <c r="AG9" i="23"/>
  <c r="AA9" i="23"/>
  <c r="AC9" i="23" s="1"/>
  <c r="U9" i="23"/>
  <c r="W9" i="23" s="1"/>
  <c r="P9" i="23"/>
  <c r="Q9" i="23" s="1"/>
  <c r="J9" i="23"/>
  <c r="K9" i="23" s="1"/>
  <c r="D9" i="23"/>
  <c r="E9" i="23" s="1"/>
  <c r="CQ8" i="23"/>
  <c r="CQ23" i="23" s="1"/>
  <c r="CQ38" i="23" s="1"/>
  <c r="CQ53" i="23" s="1"/>
  <c r="CQ68" i="23" s="1"/>
  <c r="CQ83" i="23" s="1"/>
  <c r="CQ98" i="23" s="1"/>
  <c r="CQ113" i="23" s="1"/>
  <c r="CQ128" i="23" s="1"/>
  <c r="CQ143" i="23" s="1"/>
  <c r="CO8" i="23"/>
  <c r="CO23" i="23" s="1"/>
  <c r="CO38" i="23" s="1"/>
  <c r="CO53" i="23" s="1"/>
  <c r="CO68" i="23" s="1"/>
  <c r="CO83" i="23" s="1"/>
  <c r="CO98" i="23" s="1"/>
  <c r="CO113" i="23" s="1"/>
  <c r="CO128" i="23" s="1"/>
  <c r="CO143" i="23" s="1"/>
  <c r="CK8" i="23"/>
  <c r="CK23" i="23" s="1"/>
  <c r="CK38" i="23" s="1"/>
  <c r="CK53" i="23" s="1"/>
  <c r="CK68" i="23" s="1"/>
  <c r="CK83" i="23" s="1"/>
  <c r="CK98" i="23" s="1"/>
  <c r="CK113" i="23" s="1"/>
  <c r="CK128" i="23" s="1"/>
  <c r="CK143" i="23" s="1"/>
  <c r="CI8" i="23"/>
  <c r="CI23" i="23" s="1"/>
  <c r="CI38" i="23" s="1"/>
  <c r="CI53" i="23" s="1"/>
  <c r="CI68" i="23" s="1"/>
  <c r="CI83" i="23" s="1"/>
  <c r="CI98" i="23" s="1"/>
  <c r="CI113" i="23" s="1"/>
  <c r="CI128" i="23" s="1"/>
  <c r="CI143" i="23" s="1"/>
  <c r="CE8" i="23"/>
  <c r="CE23" i="23" s="1"/>
  <c r="CE38" i="23" s="1"/>
  <c r="CE53" i="23" s="1"/>
  <c r="CE68" i="23" s="1"/>
  <c r="CE83" i="23" s="1"/>
  <c r="CE98" i="23" s="1"/>
  <c r="CE113" i="23" s="1"/>
  <c r="CE128" i="23" s="1"/>
  <c r="CE143" i="23" s="1"/>
  <c r="CC8" i="23"/>
  <c r="CC38" i="23" s="1"/>
  <c r="CC53" i="23" s="1"/>
  <c r="CC68" i="23" s="1"/>
  <c r="CC83" i="23" s="1"/>
  <c r="CC98" i="23" s="1"/>
  <c r="CC113" i="23" s="1"/>
  <c r="CC128" i="23" s="1"/>
  <c r="CC143" i="23" s="1"/>
  <c r="BY8" i="23"/>
  <c r="BW8" i="23"/>
  <c r="BQ8" i="23"/>
  <c r="BS8" i="23" s="1"/>
  <c r="BK8" i="23"/>
  <c r="BM8" i="23" s="1"/>
  <c r="BE8" i="23"/>
  <c r="BG8" i="23" s="1"/>
  <c r="AY8" i="23"/>
  <c r="BA8" i="23" s="1"/>
  <c r="AS8" i="23"/>
  <c r="AU8" i="23" s="1"/>
  <c r="AM8" i="23"/>
  <c r="AO8" i="23" s="1"/>
  <c r="AI8" i="23"/>
  <c r="AG8" i="23"/>
  <c r="AA8" i="23"/>
  <c r="AC8" i="23" s="1"/>
  <c r="W8" i="23"/>
  <c r="U8" i="23"/>
  <c r="P8" i="23"/>
  <c r="Q8" i="23" s="1"/>
  <c r="J8" i="23"/>
  <c r="K8" i="23" s="1"/>
  <c r="E8" i="23"/>
  <c r="D8" i="23"/>
  <c r="CQ7" i="23"/>
  <c r="CQ22" i="23" s="1"/>
  <c r="CQ37" i="23" s="1"/>
  <c r="CQ52" i="23" s="1"/>
  <c r="CQ67" i="23" s="1"/>
  <c r="CQ82" i="23" s="1"/>
  <c r="CQ97" i="23" s="1"/>
  <c r="CQ112" i="23" s="1"/>
  <c r="CQ127" i="23" s="1"/>
  <c r="CQ142" i="23" s="1"/>
  <c r="CO7" i="23"/>
  <c r="CO22" i="23" s="1"/>
  <c r="CO37" i="23" s="1"/>
  <c r="CO52" i="23" s="1"/>
  <c r="CO67" i="23" s="1"/>
  <c r="CO82" i="23" s="1"/>
  <c r="CO97" i="23" s="1"/>
  <c r="CO112" i="23" s="1"/>
  <c r="CO127" i="23" s="1"/>
  <c r="CO142" i="23" s="1"/>
  <c r="CI7" i="23"/>
  <c r="CI22" i="23" s="1"/>
  <c r="CI37" i="23" s="1"/>
  <c r="CI52" i="23" s="1"/>
  <c r="CI67" i="23" s="1"/>
  <c r="CI82" i="23" s="1"/>
  <c r="CI97" i="23" s="1"/>
  <c r="CI112" i="23" s="1"/>
  <c r="CI127" i="23" s="1"/>
  <c r="CI142" i="23" s="1"/>
  <c r="CE7" i="23"/>
  <c r="CE22" i="23" s="1"/>
  <c r="CE37" i="23" s="1"/>
  <c r="CE52" i="23" s="1"/>
  <c r="CE67" i="23" s="1"/>
  <c r="CE82" i="23" s="1"/>
  <c r="CE97" i="23" s="1"/>
  <c r="CE112" i="23" s="1"/>
  <c r="CE127" i="23" s="1"/>
  <c r="CE142" i="23" s="1"/>
  <c r="CC7" i="23"/>
  <c r="BY7" i="23"/>
  <c r="BW7" i="23"/>
  <c r="BQ7" i="23"/>
  <c r="BS7" i="23" s="1"/>
  <c r="BM7" i="23"/>
  <c r="BK7" i="23"/>
  <c r="BE7" i="23"/>
  <c r="BG7" i="23" s="1"/>
  <c r="AY7" i="23"/>
  <c r="BA7" i="23" s="1"/>
  <c r="AS7" i="23"/>
  <c r="AU7" i="23" s="1"/>
  <c r="AM7" i="23"/>
  <c r="AO7" i="23" s="1"/>
  <c r="AG7" i="23"/>
  <c r="AI7" i="23" s="1"/>
  <c r="AA7" i="23"/>
  <c r="AC7" i="23" s="1"/>
  <c r="W7" i="23"/>
  <c r="U7" i="23"/>
  <c r="Q7" i="23"/>
  <c r="P7" i="23"/>
  <c r="J7" i="23"/>
  <c r="K7" i="23" s="1"/>
  <c r="E7" i="23"/>
  <c r="D7" i="23"/>
  <c r="CQ6" i="23"/>
  <c r="CQ21" i="23" s="1"/>
  <c r="CQ36" i="23" s="1"/>
  <c r="CQ51" i="23" s="1"/>
  <c r="CQ66" i="23" s="1"/>
  <c r="CQ81" i="23" s="1"/>
  <c r="CQ96" i="23" s="1"/>
  <c r="CQ111" i="23" s="1"/>
  <c r="CQ126" i="23" s="1"/>
  <c r="CQ141" i="23" s="1"/>
  <c r="CO6" i="23"/>
  <c r="CO21" i="23" s="1"/>
  <c r="CO36" i="23" s="1"/>
  <c r="CO51" i="23" s="1"/>
  <c r="CO66" i="23" s="1"/>
  <c r="CO81" i="23" s="1"/>
  <c r="CO96" i="23" s="1"/>
  <c r="CO111" i="23" s="1"/>
  <c r="CO126" i="23" s="1"/>
  <c r="CO141" i="23" s="1"/>
  <c r="CI6" i="23"/>
  <c r="CE6" i="23"/>
  <c r="CE21" i="23" s="1"/>
  <c r="CE36" i="23" s="1"/>
  <c r="CE51" i="23" s="1"/>
  <c r="CE66" i="23" s="1"/>
  <c r="CC6" i="23"/>
  <c r="BW6" i="23"/>
  <c r="BY6" i="23" s="1"/>
  <c r="BQ6" i="23"/>
  <c r="BS6" i="23" s="1"/>
  <c r="BK6" i="23"/>
  <c r="BM6" i="23" s="1"/>
  <c r="BE6" i="23"/>
  <c r="BG6" i="23" s="1"/>
  <c r="AY6" i="23"/>
  <c r="BA6" i="23" s="1"/>
  <c r="AS6" i="23"/>
  <c r="AU6" i="23" s="1"/>
  <c r="AM6" i="23"/>
  <c r="AO6" i="23" s="1"/>
  <c r="AG6" i="23"/>
  <c r="AI6" i="23" s="1"/>
  <c r="AA6" i="23"/>
  <c r="AC6" i="23" s="1"/>
  <c r="W6" i="23"/>
  <c r="U6" i="23"/>
  <c r="P6" i="23"/>
  <c r="Q6" i="23" s="1"/>
  <c r="K6" i="23"/>
  <c r="J6" i="23"/>
  <c r="E6" i="23"/>
  <c r="D6" i="23"/>
  <c r="CQ5" i="23"/>
  <c r="CQ20" i="23" s="1"/>
  <c r="CQ35" i="23" s="1"/>
  <c r="CQ50" i="23" s="1"/>
  <c r="CQ65" i="23" s="1"/>
  <c r="CQ80" i="23" s="1"/>
  <c r="CQ95" i="23" s="1"/>
  <c r="CQ110" i="23" s="1"/>
  <c r="CQ125" i="23" s="1"/>
  <c r="CQ140" i="23" s="1"/>
  <c r="CO5" i="23"/>
  <c r="CO20" i="23" s="1"/>
  <c r="CO35" i="23" s="1"/>
  <c r="CO50" i="23" s="1"/>
  <c r="CO65" i="23" s="1"/>
  <c r="CO80" i="23" s="1"/>
  <c r="CO95" i="23" s="1"/>
  <c r="CO110" i="23" s="1"/>
  <c r="CO125" i="23" s="1"/>
  <c r="CO140" i="23" s="1"/>
  <c r="CI5" i="23"/>
  <c r="CI20" i="23" s="1"/>
  <c r="CI35" i="23" s="1"/>
  <c r="CI50" i="23" s="1"/>
  <c r="CI65" i="23" s="1"/>
  <c r="CI80" i="23" s="1"/>
  <c r="CI95" i="23" s="1"/>
  <c r="CI110" i="23" s="1"/>
  <c r="CI125" i="23" s="1"/>
  <c r="CI140" i="23" s="1"/>
  <c r="CE5" i="23"/>
  <c r="CE20" i="23" s="1"/>
  <c r="CE35" i="23" s="1"/>
  <c r="CE50" i="23" s="1"/>
  <c r="CE65" i="23" s="1"/>
  <c r="CC5" i="23"/>
  <c r="CC20" i="23" s="1"/>
  <c r="BY5" i="23"/>
  <c r="BW5" i="23"/>
  <c r="BQ5" i="23"/>
  <c r="BS5" i="23" s="1"/>
  <c r="BM5" i="23"/>
  <c r="BK5" i="23"/>
  <c r="BE5" i="23"/>
  <c r="BG5" i="23" s="1"/>
  <c r="BA5" i="23"/>
  <c r="AY5" i="23"/>
  <c r="AS5" i="23"/>
  <c r="AU5" i="23" s="1"/>
  <c r="AM5" i="23"/>
  <c r="AO5" i="23" s="1"/>
  <c r="AG5" i="23"/>
  <c r="AI5" i="23" s="1"/>
  <c r="AC5" i="23"/>
  <c r="AA5" i="23"/>
  <c r="W5" i="23"/>
  <c r="U5" i="23"/>
  <c r="Q5" i="23"/>
  <c r="P5" i="23"/>
  <c r="J5" i="23"/>
  <c r="K5" i="23" s="1"/>
  <c r="E5" i="23"/>
  <c r="D5" i="23"/>
  <c r="CK5" i="23" l="1"/>
  <c r="CK20" i="23" s="1"/>
  <c r="CK35" i="23" s="1"/>
  <c r="CK50" i="23" s="1"/>
  <c r="CK65" i="23" s="1"/>
  <c r="CK80" i="23" s="1"/>
  <c r="CK95" i="23" s="1"/>
  <c r="CK110" i="23" s="1"/>
  <c r="CK125" i="23" s="1"/>
  <c r="CK140" i="23" s="1"/>
  <c r="Q50" i="23"/>
  <c r="Q65" i="23" s="1"/>
  <c r="CE80" i="23"/>
  <c r="CE95" i="23" s="1"/>
  <c r="CE110" i="23" s="1"/>
  <c r="CE125" i="23" s="1"/>
  <c r="CE140" i="23" s="1"/>
  <c r="CE81" i="23"/>
  <c r="CE96" i="23" s="1"/>
  <c r="CE111" i="23" s="1"/>
  <c r="CE126" i="23" s="1"/>
  <c r="CE141" i="23" s="1"/>
  <c r="CQ10" i="23"/>
  <c r="CQ25" i="23" s="1"/>
  <c r="CQ40" i="23" s="1"/>
  <c r="CQ55" i="23" s="1"/>
  <c r="CQ70" i="23" s="1"/>
  <c r="CQ85" i="23" s="1"/>
  <c r="CQ100" i="23" s="1"/>
  <c r="CQ115" i="23" s="1"/>
  <c r="CQ130" i="23" s="1"/>
  <c r="CQ145" i="23" s="1"/>
  <c r="CO25" i="23"/>
  <c r="CO40" i="23" s="1"/>
  <c r="CO55" i="23" s="1"/>
  <c r="CO70" i="23" s="1"/>
  <c r="CO85" i="23" s="1"/>
  <c r="CO100" i="23" s="1"/>
  <c r="CO115" i="23" s="1"/>
  <c r="CO130" i="23" s="1"/>
  <c r="CO145" i="23" s="1"/>
  <c r="CC42" i="23"/>
  <c r="CC57" i="23" s="1"/>
  <c r="CC72" i="23" s="1"/>
  <c r="CC87" i="23" s="1"/>
  <c r="CC102" i="23" s="1"/>
  <c r="CC117" i="23" s="1"/>
  <c r="CC132" i="23" s="1"/>
  <c r="CC147" i="23" s="1"/>
  <c r="CC27" i="23"/>
  <c r="CE12" i="23"/>
  <c r="CE27" i="23" s="1"/>
  <c r="CE42" i="23" s="1"/>
  <c r="CE57" i="23" s="1"/>
  <c r="CE72" i="23" s="1"/>
  <c r="CE87" i="23" s="1"/>
  <c r="CE102" i="23" s="1"/>
  <c r="CE117" i="23" s="1"/>
  <c r="CE132" i="23" s="1"/>
  <c r="CE147" i="23" s="1"/>
  <c r="CC26" i="23"/>
  <c r="CE11" i="23"/>
  <c r="CE26" i="23" s="1"/>
  <c r="CE41" i="23" s="1"/>
  <c r="CE56" i="23" s="1"/>
  <c r="CE71" i="23" s="1"/>
  <c r="CE86" i="23" s="1"/>
  <c r="CE101" i="23" s="1"/>
  <c r="CE116" i="23" s="1"/>
  <c r="CE131" i="23" s="1"/>
  <c r="CE146" i="23" s="1"/>
  <c r="CC41" i="23"/>
  <c r="CC56" i="23" s="1"/>
  <c r="CC71" i="23" s="1"/>
  <c r="CC86" i="23" s="1"/>
  <c r="CC101" i="23" s="1"/>
  <c r="CC116" i="23" s="1"/>
  <c r="CC131" i="23" s="1"/>
  <c r="CC146" i="23" s="1"/>
  <c r="CI28" i="23"/>
  <c r="CI43" i="23" s="1"/>
  <c r="CI58" i="23" s="1"/>
  <c r="CI73" i="23" s="1"/>
  <c r="CI88" i="23" s="1"/>
  <c r="CI103" i="23" s="1"/>
  <c r="CI118" i="23" s="1"/>
  <c r="CI133" i="23" s="1"/>
  <c r="CI148" i="23" s="1"/>
  <c r="CK13" i="23"/>
  <c r="CK28" i="23" s="1"/>
  <c r="CK43" i="23" s="1"/>
  <c r="CK58" i="23" s="1"/>
  <c r="CK73" i="23" s="1"/>
  <c r="CK88" i="23" s="1"/>
  <c r="CK103" i="23" s="1"/>
  <c r="CK118" i="23" s="1"/>
  <c r="CK133" i="23" s="1"/>
  <c r="CK148" i="23" s="1"/>
  <c r="CI27" i="23"/>
  <c r="CI42" i="23" s="1"/>
  <c r="CI57" i="23" s="1"/>
  <c r="CI72" i="23" s="1"/>
  <c r="CI87" i="23" s="1"/>
  <c r="CI102" i="23" s="1"/>
  <c r="CI117" i="23" s="1"/>
  <c r="CI132" i="23" s="1"/>
  <c r="CI147" i="23" s="1"/>
  <c r="CK12" i="23"/>
  <c r="CK27" i="23" s="1"/>
  <c r="CK42" i="23" s="1"/>
  <c r="CK57" i="23" s="1"/>
  <c r="CK72" i="23" s="1"/>
  <c r="CK87" i="23" s="1"/>
  <c r="CK102" i="23" s="1"/>
  <c r="CK117" i="23" s="1"/>
  <c r="CK132" i="23" s="1"/>
  <c r="CK147" i="23" s="1"/>
  <c r="CK14" i="23"/>
  <c r="CK29" i="23" s="1"/>
  <c r="CK44" i="23" s="1"/>
  <c r="CK59" i="23" s="1"/>
  <c r="CK74" i="23" s="1"/>
  <c r="CK89" i="23" s="1"/>
  <c r="CK104" i="23" s="1"/>
  <c r="CK119" i="23" s="1"/>
  <c r="CK134" i="23" s="1"/>
  <c r="CK149" i="23" s="1"/>
  <c r="CI29" i="23"/>
  <c r="CI44" i="23" s="1"/>
  <c r="CI59" i="23" s="1"/>
  <c r="CI74" i="23" s="1"/>
  <c r="CI89" i="23" s="1"/>
  <c r="CI104" i="23" s="1"/>
  <c r="CI119" i="23" s="1"/>
  <c r="CI134" i="23" s="1"/>
  <c r="CI149" i="23" s="1"/>
  <c r="CK6" i="23"/>
  <c r="CK21" i="23" s="1"/>
  <c r="CK36" i="23" s="1"/>
  <c r="CK51" i="23" s="1"/>
  <c r="CK66" i="23" s="1"/>
  <c r="CK81" i="23" s="1"/>
  <c r="CK96" i="23" s="1"/>
  <c r="CK111" i="23" s="1"/>
  <c r="CK126" i="23" s="1"/>
  <c r="CK141" i="23" s="1"/>
  <c r="CI21" i="23"/>
  <c r="CI36" i="23" s="1"/>
  <c r="CI51" i="23" s="1"/>
  <c r="CI66" i="23" s="1"/>
  <c r="CI81" i="23" s="1"/>
  <c r="CI96" i="23" s="1"/>
  <c r="CI111" i="23" s="1"/>
  <c r="CI126" i="23" s="1"/>
  <c r="CI141" i="23" s="1"/>
  <c r="CK7" i="23"/>
  <c r="CK22" i="23" s="1"/>
  <c r="CK37" i="23" s="1"/>
  <c r="CK52" i="23" s="1"/>
  <c r="CK67" i="23" s="1"/>
  <c r="CK82" i="23" s="1"/>
  <c r="CK97" i="23" s="1"/>
  <c r="CK112" i="23" s="1"/>
  <c r="CK127" i="23" s="1"/>
  <c r="CK142" i="23" s="1"/>
  <c r="CQ12" i="23"/>
  <c r="CQ27" i="23" s="1"/>
  <c r="CQ42" i="23" s="1"/>
  <c r="CQ57" i="23" s="1"/>
  <c r="CQ72" i="23" s="1"/>
  <c r="CQ87" i="23" s="1"/>
  <c r="CQ102" i="23" s="1"/>
  <c r="CQ117" i="23" s="1"/>
  <c r="CQ132" i="23" s="1"/>
  <c r="CQ147" i="23" s="1"/>
  <c r="CO27" i="23"/>
  <c r="CO42" i="23" s="1"/>
  <c r="CO57" i="23" s="1"/>
  <c r="CO72" i="23" s="1"/>
  <c r="CO87" i="23" s="1"/>
  <c r="CO102" i="23" s="1"/>
  <c r="CO117" i="23" s="1"/>
  <c r="CO132" i="23" s="1"/>
  <c r="CO147" i="23" s="1"/>
  <c r="CQ13" i="23"/>
  <c r="CQ28" i="23" s="1"/>
  <c r="CQ43" i="23" s="1"/>
  <c r="CQ58" i="23" s="1"/>
  <c r="CQ73" i="23" s="1"/>
  <c r="CQ88" i="23" s="1"/>
  <c r="CQ103" i="23" s="1"/>
  <c r="CQ118" i="23" s="1"/>
  <c r="CQ133" i="23" s="1"/>
  <c r="CQ148" i="23" s="1"/>
  <c r="CK15" i="23"/>
  <c r="CK30" i="23" s="1"/>
  <c r="CK45" i="23" s="1"/>
  <c r="CK60" i="23" s="1"/>
  <c r="CK75" i="23" s="1"/>
  <c r="CK90" i="23" s="1"/>
  <c r="CK105" i="23" s="1"/>
  <c r="CK120" i="23" s="1"/>
  <c r="CK135" i="23" s="1"/>
  <c r="CK150" i="23" s="1"/>
  <c r="CO26" i="23"/>
  <c r="CO41" i="23" s="1"/>
  <c r="CO56" i="23" s="1"/>
  <c r="CO71" i="23" s="1"/>
  <c r="CO86" i="23" s="1"/>
  <c r="CO101" i="23" s="1"/>
  <c r="CO116" i="23" s="1"/>
  <c r="CO131" i="23" s="1"/>
  <c r="CO146" i="23" s="1"/>
  <c r="CQ11" i="23"/>
  <c r="CQ26" i="23" s="1"/>
  <c r="CQ41" i="23" s="1"/>
  <c r="CQ56" i="23" s="1"/>
  <c r="CQ71" i="23" s="1"/>
  <c r="CQ86" i="23" s="1"/>
  <c r="CQ101" i="23" s="1"/>
  <c r="CQ116" i="23" s="1"/>
  <c r="CQ131" i="23" s="1"/>
  <c r="CQ146" i="23" s="1"/>
  <c r="CC21" i="23"/>
  <c r="CC36" i="23"/>
  <c r="CC51" i="23" s="1"/>
  <c r="CC66" i="23" s="1"/>
  <c r="CC81" i="23" s="1"/>
  <c r="CC96" i="23" s="1"/>
  <c r="CC111" i="23" s="1"/>
  <c r="CC126" i="23" s="1"/>
  <c r="CC141" i="23" s="1"/>
  <c r="CC22" i="23"/>
  <c r="CC37" i="23"/>
  <c r="CC52" i="23" s="1"/>
  <c r="CC67" i="23" s="1"/>
  <c r="CC82" i="23" s="1"/>
  <c r="CC97" i="23" s="1"/>
  <c r="CC112" i="23" s="1"/>
  <c r="CC127" i="23" s="1"/>
  <c r="CC142" i="23" s="1"/>
  <c r="CC43" i="23"/>
  <c r="CC58" i="23" s="1"/>
  <c r="CC73" i="23" s="1"/>
  <c r="CC88" i="23" s="1"/>
  <c r="CC103" i="23" s="1"/>
  <c r="CC118" i="23" s="1"/>
  <c r="CC133" i="23" s="1"/>
  <c r="CC148" i="23" s="1"/>
  <c r="CE13" i="23"/>
  <c r="CE28" i="23" s="1"/>
  <c r="CE43" i="23" s="1"/>
  <c r="CE58" i="23" s="1"/>
  <c r="CE73" i="23" s="1"/>
  <c r="CE88" i="23" s="1"/>
  <c r="CE103" i="23" s="1"/>
  <c r="CE118" i="23" s="1"/>
  <c r="CE133" i="23" s="1"/>
  <c r="CE148" i="23" s="1"/>
  <c r="CC28" i="23"/>
  <c r="CC44" i="23"/>
  <c r="CC59" i="23" s="1"/>
  <c r="CC74" i="23" s="1"/>
  <c r="CC89" i="23" s="1"/>
  <c r="CC104" i="23" s="1"/>
  <c r="CC119" i="23" s="1"/>
  <c r="CC134" i="23" s="1"/>
  <c r="CC149" i="23" s="1"/>
  <c r="CC29" i="23"/>
  <c r="CC35" i="23"/>
  <c r="CC50" i="23" s="1"/>
  <c r="CC65" i="23" s="1"/>
  <c r="CC80" i="23" s="1"/>
  <c r="CC95" i="23" s="1"/>
  <c r="CC110" i="23" s="1"/>
  <c r="CC125" i="23" s="1"/>
  <c r="CC140" i="23" s="1"/>
  <c r="CC24" i="23"/>
  <c r="CC40" i="23"/>
  <c r="CC55" i="23" s="1"/>
  <c r="CC70" i="23" s="1"/>
  <c r="CC85" i="23" s="1"/>
  <c r="CC100" i="23" s="1"/>
  <c r="CC115" i="23" s="1"/>
  <c r="CC130" i="23" s="1"/>
  <c r="CC145" i="23" s="1"/>
  <c r="AY65" i="23"/>
  <c r="BA50" i="23"/>
  <c r="BA65" i="23" s="1"/>
  <c r="CC23" i="23"/>
  <c r="CC31" i="23"/>
  <c r="AA65" i="23"/>
  <c r="AC50" i="23"/>
  <c r="AC65" i="23" s="1"/>
  <c r="BG50" i="23"/>
  <c r="BG65" i="23" s="1"/>
  <c r="CC30" i="23"/>
  <c r="D65" i="23"/>
  <c r="E50" i="23"/>
  <c r="E65" i="23" s="1"/>
  <c r="AI50" i="23"/>
  <c r="AI65" i="23" s="1"/>
  <c r="K50" i="23"/>
  <c r="K65" i="23" s="1"/>
  <c r="BW65" i="23"/>
  <c r="BY50" i="23"/>
  <c r="BY65" i="23" s="1"/>
  <c r="W50" i="23"/>
  <c r="W65" i="23" s="1"/>
  <c r="AU50" i="23"/>
  <c r="AU65" i="23" s="1"/>
  <c r="BS50" i="23"/>
  <c r="BS65" i="23" s="1"/>
  <c r="H15" i="27" l="1"/>
  <c r="M272" i="33"/>
  <c r="M271" i="33"/>
  <c r="M270" i="33"/>
  <c r="M269" i="33"/>
  <c r="M268" i="33"/>
  <c r="A298" i="33"/>
  <c r="B265" i="33" s="1"/>
  <c r="D268" i="33" s="1"/>
  <c r="D276" i="33" s="1"/>
  <c r="D284" i="33" s="1"/>
  <c r="D290" i="33" s="1"/>
  <c r="K310" i="33"/>
  <c r="J310" i="33"/>
  <c r="I310" i="33"/>
  <c r="K309" i="33"/>
  <c r="J309" i="33"/>
  <c r="I309" i="33"/>
  <c r="K308" i="33"/>
  <c r="J308" i="33"/>
  <c r="I308" i="33"/>
  <c r="K307" i="33"/>
  <c r="J307" i="33"/>
  <c r="I307" i="33"/>
  <c r="K306" i="33"/>
  <c r="J306" i="33"/>
  <c r="I306" i="33"/>
  <c r="K305" i="33"/>
  <c r="J305" i="33"/>
  <c r="I305" i="33"/>
  <c r="K304" i="33"/>
  <c r="J304" i="33"/>
  <c r="I304" i="33"/>
  <c r="K303" i="33"/>
  <c r="J303" i="33"/>
  <c r="I303" i="33"/>
  <c r="K302" i="33"/>
  <c r="J302" i="33"/>
  <c r="I302" i="33"/>
  <c r="K301" i="33"/>
  <c r="J301" i="33"/>
  <c r="I301" i="33"/>
  <c r="K300" i="33"/>
  <c r="J300" i="33"/>
  <c r="I300" i="33"/>
  <c r="K299" i="33"/>
  <c r="J299" i="33"/>
  <c r="I299" i="33"/>
  <c r="A311" i="33"/>
  <c r="A289" i="33"/>
  <c r="A283" i="33"/>
  <c r="A275" i="33"/>
  <c r="O269" i="33"/>
  <c r="H25" i="4" s="1"/>
  <c r="A267" i="33"/>
  <c r="Q262" i="33"/>
  <c r="O262" i="33"/>
  <c r="N262" i="33"/>
  <c r="M262" i="33"/>
  <c r="L262" i="33"/>
  <c r="H262" i="33"/>
  <c r="F262" i="33"/>
  <c r="E262" i="33"/>
  <c r="D262" i="33"/>
  <c r="C262" i="33"/>
  <c r="Q261" i="33"/>
  <c r="O261" i="33"/>
  <c r="N261" i="33"/>
  <c r="M261" i="33"/>
  <c r="L261" i="33"/>
  <c r="H261" i="33"/>
  <c r="F261" i="33"/>
  <c r="E261" i="33"/>
  <c r="D261" i="33"/>
  <c r="C261" i="33"/>
  <c r="Q260" i="33"/>
  <c r="O260" i="33"/>
  <c r="N260" i="33"/>
  <c r="M260" i="33"/>
  <c r="L260" i="33"/>
  <c r="H260" i="33"/>
  <c r="F260" i="33"/>
  <c r="E260" i="33"/>
  <c r="D260" i="33"/>
  <c r="C260" i="33"/>
  <c r="O259" i="33"/>
  <c r="N259" i="33"/>
  <c r="M259" i="33"/>
  <c r="L259" i="33"/>
  <c r="H259" i="33"/>
  <c r="F259" i="33"/>
  <c r="E259" i="33"/>
  <c r="D259" i="33"/>
  <c r="C259" i="33"/>
  <c r="O258" i="33"/>
  <c r="N258" i="33"/>
  <c r="M258" i="33"/>
  <c r="L258" i="33"/>
  <c r="F258" i="33"/>
  <c r="E258" i="33"/>
  <c r="D258" i="33"/>
  <c r="C258" i="33"/>
  <c r="O257" i="33"/>
  <c r="N257" i="33"/>
  <c r="M257" i="33"/>
  <c r="L257" i="33"/>
  <c r="F257" i="33"/>
  <c r="E257" i="33"/>
  <c r="D257" i="33"/>
  <c r="C257" i="33"/>
  <c r="O256" i="33"/>
  <c r="N256" i="33"/>
  <c r="M256" i="33"/>
  <c r="L256" i="33"/>
  <c r="F256" i="33"/>
  <c r="E256" i="33"/>
  <c r="D256" i="33"/>
  <c r="C256" i="33"/>
  <c r="O255" i="33"/>
  <c r="N255" i="33"/>
  <c r="M255" i="33"/>
  <c r="L255" i="33"/>
  <c r="F255" i="33"/>
  <c r="E255" i="33"/>
  <c r="D255" i="33"/>
  <c r="C255" i="33"/>
  <c r="O254" i="33"/>
  <c r="N254" i="33"/>
  <c r="M254" i="33"/>
  <c r="L254" i="33"/>
  <c r="F254" i="33"/>
  <c r="E254" i="33"/>
  <c r="D254" i="33"/>
  <c r="C254" i="33"/>
  <c r="O253" i="33"/>
  <c r="N253" i="33"/>
  <c r="M253" i="33"/>
  <c r="L253" i="33"/>
  <c r="F253" i="33"/>
  <c r="E253" i="33"/>
  <c r="D253" i="33"/>
  <c r="C253" i="33"/>
  <c r="O252" i="33"/>
  <c r="N252" i="33"/>
  <c r="M252" i="33"/>
  <c r="L252" i="33"/>
  <c r="F252" i="33"/>
  <c r="E252" i="33"/>
  <c r="D252" i="33"/>
  <c r="C252" i="33"/>
  <c r="O251" i="33"/>
  <c r="N251" i="33"/>
  <c r="M251" i="33"/>
  <c r="L251" i="33"/>
  <c r="H251" i="33"/>
  <c r="F251" i="33"/>
  <c r="E251" i="33"/>
  <c r="D251" i="33"/>
  <c r="C251" i="33"/>
  <c r="Q249" i="33"/>
  <c r="O249" i="33"/>
  <c r="N249" i="33"/>
  <c r="M249" i="33"/>
  <c r="L249" i="33"/>
  <c r="H249" i="33"/>
  <c r="F249" i="33"/>
  <c r="E249" i="33"/>
  <c r="D249" i="33"/>
  <c r="C249" i="33"/>
  <c r="Q248" i="33"/>
  <c r="O248" i="33"/>
  <c r="N248" i="33"/>
  <c r="M248" i="33"/>
  <c r="L248" i="33"/>
  <c r="H248" i="33"/>
  <c r="F248" i="33"/>
  <c r="E248" i="33"/>
  <c r="D248" i="33"/>
  <c r="C248" i="33"/>
  <c r="Q247" i="33"/>
  <c r="O247" i="33"/>
  <c r="N247" i="33"/>
  <c r="M247" i="33"/>
  <c r="L247" i="33"/>
  <c r="H247" i="33"/>
  <c r="F247" i="33"/>
  <c r="E247" i="33"/>
  <c r="D247" i="33"/>
  <c r="C247" i="33"/>
  <c r="O246" i="33"/>
  <c r="N246" i="33"/>
  <c r="M246" i="33"/>
  <c r="L246" i="33"/>
  <c r="H246" i="33"/>
  <c r="F246" i="33"/>
  <c r="E246" i="33"/>
  <c r="D246" i="33"/>
  <c r="C246" i="33"/>
  <c r="O245" i="33"/>
  <c r="N245" i="33"/>
  <c r="M245" i="33"/>
  <c r="L245" i="33"/>
  <c r="F245" i="33"/>
  <c r="E245" i="33"/>
  <c r="D245" i="33"/>
  <c r="C245" i="33"/>
  <c r="O244" i="33"/>
  <c r="N244" i="33"/>
  <c r="M244" i="33"/>
  <c r="L244" i="33"/>
  <c r="F244" i="33"/>
  <c r="E244" i="33"/>
  <c r="D244" i="33"/>
  <c r="C244" i="33"/>
  <c r="O243" i="33"/>
  <c r="N243" i="33"/>
  <c r="M243" i="33"/>
  <c r="L243" i="33"/>
  <c r="F243" i="33"/>
  <c r="E243" i="33"/>
  <c r="D243" i="33"/>
  <c r="C243" i="33"/>
  <c r="O242" i="33"/>
  <c r="N242" i="33"/>
  <c r="M242" i="33"/>
  <c r="L242" i="33"/>
  <c r="F242" i="33"/>
  <c r="E242" i="33"/>
  <c r="D242" i="33"/>
  <c r="C242" i="33"/>
  <c r="O241" i="33"/>
  <c r="N241" i="33"/>
  <c r="M241" i="33"/>
  <c r="L241" i="33"/>
  <c r="F241" i="33"/>
  <c r="E241" i="33"/>
  <c r="D241" i="33"/>
  <c r="C241" i="33"/>
  <c r="O240" i="33"/>
  <c r="N240" i="33"/>
  <c r="M240" i="33"/>
  <c r="L240" i="33"/>
  <c r="F240" i="33"/>
  <c r="E240" i="33"/>
  <c r="D240" i="33"/>
  <c r="C240" i="33"/>
  <c r="O239" i="33"/>
  <c r="N239" i="33"/>
  <c r="M239" i="33"/>
  <c r="L239" i="33"/>
  <c r="F239" i="33"/>
  <c r="E239" i="33"/>
  <c r="D239" i="33"/>
  <c r="C239" i="33"/>
  <c r="O238" i="33"/>
  <c r="N238" i="33"/>
  <c r="M238" i="33"/>
  <c r="L238" i="33"/>
  <c r="H238" i="33"/>
  <c r="F238" i="33"/>
  <c r="E238" i="33"/>
  <c r="D238" i="33"/>
  <c r="C238" i="33"/>
  <c r="Q236" i="33"/>
  <c r="O236" i="33"/>
  <c r="N236" i="33"/>
  <c r="M236" i="33"/>
  <c r="L236" i="33"/>
  <c r="H236" i="33"/>
  <c r="F236" i="33"/>
  <c r="E236" i="33"/>
  <c r="D236" i="33"/>
  <c r="C236" i="33"/>
  <c r="Q235" i="33"/>
  <c r="O235" i="33"/>
  <c r="N235" i="33"/>
  <c r="M235" i="33"/>
  <c r="L235" i="33"/>
  <c r="H235" i="33"/>
  <c r="F235" i="33"/>
  <c r="E235" i="33"/>
  <c r="D235" i="33"/>
  <c r="C235" i="33"/>
  <c r="Q234" i="33"/>
  <c r="O234" i="33"/>
  <c r="N234" i="33"/>
  <c r="M234" i="33"/>
  <c r="L234" i="33"/>
  <c r="H234" i="33"/>
  <c r="F234" i="33"/>
  <c r="E234" i="33"/>
  <c r="D234" i="33"/>
  <c r="C234" i="33"/>
  <c r="O233" i="33"/>
  <c r="N233" i="33"/>
  <c r="M233" i="33"/>
  <c r="L233" i="33"/>
  <c r="H233" i="33"/>
  <c r="F233" i="33"/>
  <c r="E233" i="33"/>
  <c r="D233" i="33"/>
  <c r="C233" i="33"/>
  <c r="O232" i="33"/>
  <c r="N232" i="33"/>
  <c r="M232" i="33"/>
  <c r="L232" i="33"/>
  <c r="F232" i="33"/>
  <c r="E232" i="33"/>
  <c r="D232" i="33"/>
  <c r="C232" i="33"/>
  <c r="O231" i="33"/>
  <c r="N231" i="33"/>
  <c r="M231" i="33"/>
  <c r="L231" i="33"/>
  <c r="F231" i="33"/>
  <c r="E231" i="33"/>
  <c r="D231" i="33"/>
  <c r="C231" i="33"/>
  <c r="O230" i="33"/>
  <c r="N230" i="33"/>
  <c r="M230" i="33"/>
  <c r="L230" i="33"/>
  <c r="F230" i="33"/>
  <c r="E230" i="33"/>
  <c r="D230" i="33"/>
  <c r="C230" i="33"/>
  <c r="O229" i="33"/>
  <c r="N229" i="33"/>
  <c r="M229" i="33"/>
  <c r="L229" i="33"/>
  <c r="F229" i="33"/>
  <c r="E229" i="33"/>
  <c r="D229" i="33"/>
  <c r="C229" i="33"/>
  <c r="O228" i="33"/>
  <c r="N228" i="33"/>
  <c r="M228" i="33"/>
  <c r="L228" i="33"/>
  <c r="F228" i="33"/>
  <c r="E228" i="33"/>
  <c r="D228" i="33"/>
  <c r="C228" i="33"/>
  <c r="O227" i="33"/>
  <c r="N227" i="33"/>
  <c r="M227" i="33"/>
  <c r="L227" i="33"/>
  <c r="F227" i="33"/>
  <c r="E227" i="33"/>
  <c r="D227" i="33"/>
  <c r="C227" i="33"/>
  <c r="O226" i="33"/>
  <c r="N226" i="33"/>
  <c r="M226" i="33"/>
  <c r="L226" i="33"/>
  <c r="F226" i="33"/>
  <c r="E226" i="33"/>
  <c r="D226" i="33"/>
  <c r="C226" i="33"/>
  <c r="O225" i="33"/>
  <c r="N225" i="33"/>
  <c r="M225" i="33"/>
  <c r="L225" i="33"/>
  <c r="H225" i="33"/>
  <c r="F225" i="33"/>
  <c r="E225" i="33"/>
  <c r="D225" i="33"/>
  <c r="C225" i="33"/>
  <c r="Q223" i="33"/>
  <c r="O223" i="33"/>
  <c r="N223" i="33"/>
  <c r="M223" i="33"/>
  <c r="L223" i="33"/>
  <c r="H223" i="33"/>
  <c r="F223" i="33"/>
  <c r="E223" i="33"/>
  <c r="D223" i="33"/>
  <c r="C223" i="33"/>
  <c r="Q222" i="33"/>
  <c r="O222" i="33"/>
  <c r="N222" i="33"/>
  <c r="M222" i="33"/>
  <c r="L222" i="33"/>
  <c r="H222" i="33"/>
  <c r="F222" i="33"/>
  <c r="E222" i="33"/>
  <c r="D222" i="33"/>
  <c r="C222" i="33"/>
  <c r="Q221" i="33"/>
  <c r="O221" i="33"/>
  <c r="N221" i="33"/>
  <c r="M221" i="33"/>
  <c r="L221" i="33"/>
  <c r="H221" i="33"/>
  <c r="F221" i="33"/>
  <c r="E221" i="33"/>
  <c r="D221" i="33"/>
  <c r="C221" i="33"/>
  <c r="O220" i="33"/>
  <c r="N220" i="33"/>
  <c r="M220" i="33"/>
  <c r="L220" i="33"/>
  <c r="H220" i="33"/>
  <c r="F220" i="33"/>
  <c r="E220" i="33"/>
  <c r="D220" i="33"/>
  <c r="C220" i="33"/>
  <c r="O219" i="33"/>
  <c r="N219" i="33"/>
  <c r="M219" i="33"/>
  <c r="L219" i="33"/>
  <c r="F219" i="33"/>
  <c r="E219" i="33"/>
  <c r="D219" i="33"/>
  <c r="C219" i="33"/>
  <c r="Q218" i="33"/>
  <c r="O218" i="33"/>
  <c r="N218" i="33"/>
  <c r="M218" i="33"/>
  <c r="L218" i="33"/>
  <c r="F218" i="33"/>
  <c r="E218" i="33"/>
  <c r="D218" i="33"/>
  <c r="C218" i="33"/>
  <c r="O217" i="33"/>
  <c r="N217" i="33"/>
  <c r="M217" i="33"/>
  <c r="L217" i="33"/>
  <c r="F217" i="33"/>
  <c r="E217" i="33"/>
  <c r="D217" i="33"/>
  <c r="C217" i="33"/>
  <c r="O216" i="33"/>
  <c r="N216" i="33"/>
  <c r="M216" i="33"/>
  <c r="L216" i="33"/>
  <c r="F216" i="33"/>
  <c r="E216" i="33"/>
  <c r="D216" i="33"/>
  <c r="C216" i="33"/>
  <c r="O215" i="33"/>
  <c r="N215" i="33"/>
  <c r="M215" i="33"/>
  <c r="L215" i="33"/>
  <c r="F215" i="33"/>
  <c r="E215" i="33"/>
  <c r="D215" i="33"/>
  <c r="C215" i="33"/>
  <c r="O214" i="33"/>
  <c r="N214" i="33"/>
  <c r="M214" i="33"/>
  <c r="L214" i="33"/>
  <c r="F214" i="33"/>
  <c r="E214" i="33"/>
  <c r="D214" i="33"/>
  <c r="C214" i="33"/>
  <c r="O213" i="33"/>
  <c r="N213" i="33"/>
  <c r="M213" i="33"/>
  <c r="L213" i="33"/>
  <c r="F213" i="33"/>
  <c r="E213" i="33"/>
  <c r="D213" i="33"/>
  <c r="C213" i="33"/>
  <c r="O212" i="33"/>
  <c r="N212" i="33"/>
  <c r="M212" i="33"/>
  <c r="L212" i="33"/>
  <c r="H212" i="33"/>
  <c r="F212" i="33"/>
  <c r="E212" i="33"/>
  <c r="D212" i="33"/>
  <c r="C212" i="33"/>
  <c r="L210" i="33"/>
  <c r="C210" i="33"/>
  <c r="Q207" i="33"/>
  <c r="O207" i="33"/>
  <c r="N207" i="33"/>
  <c r="M207" i="33"/>
  <c r="L207" i="33"/>
  <c r="H207" i="33"/>
  <c r="F207" i="33"/>
  <c r="E207" i="33"/>
  <c r="D207" i="33"/>
  <c r="C207" i="33"/>
  <c r="Q206" i="33"/>
  <c r="O206" i="33"/>
  <c r="N206" i="33"/>
  <c r="M206" i="33"/>
  <c r="L206" i="33"/>
  <c r="H206" i="33"/>
  <c r="F206" i="33"/>
  <c r="E206" i="33"/>
  <c r="D206" i="33"/>
  <c r="C206" i="33"/>
  <c r="Q205" i="33"/>
  <c r="O205" i="33"/>
  <c r="N205" i="33"/>
  <c r="M205" i="33"/>
  <c r="L205" i="33"/>
  <c r="H205" i="33"/>
  <c r="F205" i="33"/>
  <c r="E205" i="33"/>
  <c r="D205" i="33"/>
  <c r="C205" i="33"/>
  <c r="Q204" i="33"/>
  <c r="O204" i="33"/>
  <c r="N204" i="33"/>
  <c r="M204" i="33"/>
  <c r="L204" i="33"/>
  <c r="F204" i="33"/>
  <c r="E204" i="33"/>
  <c r="D204" i="33"/>
  <c r="C204" i="33"/>
  <c r="O203" i="33"/>
  <c r="N203" i="33"/>
  <c r="M203" i="33"/>
  <c r="L203" i="33"/>
  <c r="F203" i="33"/>
  <c r="E203" i="33"/>
  <c r="D203" i="33"/>
  <c r="C203" i="33"/>
  <c r="Q202" i="33"/>
  <c r="O202" i="33"/>
  <c r="N202" i="33"/>
  <c r="M202" i="33"/>
  <c r="L202" i="33"/>
  <c r="F202" i="33"/>
  <c r="E202" i="33"/>
  <c r="D202" i="33"/>
  <c r="C202" i="33"/>
  <c r="Q201" i="33"/>
  <c r="O201" i="33"/>
  <c r="N201" i="33"/>
  <c r="M201" i="33"/>
  <c r="L201" i="33"/>
  <c r="F201" i="33"/>
  <c r="E201" i="33"/>
  <c r="D201" i="33"/>
  <c r="C201" i="33"/>
  <c r="Q200" i="33"/>
  <c r="O200" i="33"/>
  <c r="N200" i="33"/>
  <c r="M200" i="33"/>
  <c r="L200" i="33"/>
  <c r="H200" i="33"/>
  <c r="F200" i="33"/>
  <c r="E200" i="33"/>
  <c r="D200" i="33"/>
  <c r="C200" i="33"/>
  <c r="O199" i="33"/>
  <c r="N199" i="33"/>
  <c r="M199" i="33"/>
  <c r="L199" i="33"/>
  <c r="H199" i="33"/>
  <c r="F199" i="33"/>
  <c r="E199" i="33"/>
  <c r="D199" i="33"/>
  <c r="C199" i="33"/>
  <c r="O198" i="33"/>
  <c r="N198" i="33"/>
  <c r="M198" i="33"/>
  <c r="L198" i="33"/>
  <c r="F198" i="33"/>
  <c r="E198" i="33"/>
  <c r="D198" i="33"/>
  <c r="C198" i="33"/>
  <c r="Q197" i="33"/>
  <c r="O197" i="33"/>
  <c r="N197" i="33"/>
  <c r="M197" i="33"/>
  <c r="L197" i="33"/>
  <c r="H197" i="33"/>
  <c r="F197" i="33"/>
  <c r="E197" i="33"/>
  <c r="D197" i="33"/>
  <c r="C197" i="33"/>
  <c r="Q196" i="33"/>
  <c r="O196" i="33"/>
  <c r="N196" i="33"/>
  <c r="M196" i="33"/>
  <c r="L196" i="33"/>
  <c r="F196" i="33"/>
  <c r="E196" i="33"/>
  <c r="D196" i="33"/>
  <c r="C196" i="33"/>
  <c r="Q194" i="33"/>
  <c r="O194" i="33"/>
  <c r="N194" i="33"/>
  <c r="M194" i="33"/>
  <c r="L194" i="33"/>
  <c r="H194" i="33"/>
  <c r="F194" i="33"/>
  <c r="E194" i="33"/>
  <c r="D194" i="33"/>
  <c r="C194" i="33"/>
  <c r="Q193" i="33"/>
  <c r="O193" i="33"/>
  <c r="N193" i="33"/>
  <c r="M193" i="33"/>
  <c r="L193" i="33"/>
  <c r="H193" i="33"/>
  <c r="F193" i="33"/>
  <c r="E193" i="33"/>
  <c r="D193" i="33"/>
  <c r="C193" i="33"/>
  <c r="Q192" i="33"/>
  <c r="O192" i="33"/>
  <c r="N192" i="33"/>
  <c r="M192" i="33"/>
  <c r="L192" i="33"/>
  <c r="H192" i="33"/>
  <c r="F192" i="33"/>
  <c r="E192" i="33"/>
  <c r="D192" i="33"/>
  <c r="C192" i="33"/>
  <c r="O191" i="33"/>
  <c r="N191" i="33"/>
  <c r="M191" i="33"/>
  <c r="L191" i="33"/>
  <c r="F191" i="33"/>
  <c r="E191" i="33"/>
  <c r="D191" i="33"/>
  <c r="C191" i="33"/>
  <c r="O190" i="33"/>
  <c r="N190" i="33"/>
  <c r="M190" i="33"/>
  <c r="L190" i="33"/>
  <c r="F190" i="33"/>
  <c r="E190" i="33"/>
  <c r="D190" i="33"/>
  <c r="C190" i="33"/>
  <c r="O189" i="33"/>
  <c r="N189" i="33"/>
  <c r="M189" i="33"/>
  <c r="L189" i="33"/>
  <c r="F189" i="33"/>
  <c r="E189" i="33"/>
  <c r="D189" i="33"/>
  <c r="C189" i="33"/>
  <c r="O188" i="33"/>
  <c r="N188" i="33"/>
  <c r="M188" i="33"/>
  <c r="L188" i="33"/>
  <c r="F188" i="33"/>
  <c r="E188" i="33"/>
  <c r="D188" i="33"/>
  <c r="C188" i="33"/>
  <c r="O187" i="33"/>
  <c r="N187" i="33"/>
  <c r="M187" i="33"/>
  <c r="L187" i="33"/>
  <c r="F187" i="33"/>
  <c r="E187" i="33"/>
  <c r="D187" i="33"/>
  <c r="C187" i="33"/>
  <c r="O186" i="33"/>
  <c r="N186" i="33"/>
  <c r="M186" i="33"/>
  <c r="L186" i="33"/>
  <c r="F186" i="33"/>
  <c r="E186" i="33"/>
  <c r="D186" i="33"/>
  <c r="C186" i="33"/>
  <c r="O185" i="33"/>
  <c r="N185" i="33"/>
  <c r="M185" i="33"/>
  <c r="L185" i="33"/>
  <c r="F185" i="33"/>
  <c r="E185" i="33"/>
  <c r="D185" i="33"/>
  <c r="C185" i="33"/>
  <c r="O184" i="33"/>
  <c r="N184" i="33"/>
  <c r="M184" i="33"/>
  <c r="L184" i="33"/>
  <c r="F184" i="33"/>
  <c r="E184" i="33"/>
  <c r="D184" i="33"/>
  <c r="C184" i="33"/>
  <c r="O183" i="33"/>
  <c r="N183" i="33"/>
  <c r="M183" i="33"/>
  <c r="L183" i="33"/>
  <c r="F183" i="33"/>
  <c r="E183" i="33"/>
  <c r="D183" i="33"/>
  <c r="C183" i="33"/>
  <c r="Q181" i="33"/>
  <c r="O181" i="33"/>
  <c r="N181" i="33"/>
  <c r="M181" i="33"/>
  <c r="L181" i="33"/>
  <c r="H181" i="33"/>
  <c r="F181" i="33"/>
  <c r="E181" i="33"/>
  <c r="D181" i="33"/>
  <c r="C181" i="33"/>
  <c r="Q180" i="33"/>
  <c r="O180" i="33"/>
  <c r="N180" i="33"/>
  <c r="M180" i="33"/>
  <c r="L180" i="33"/>
  <c r="H180" i="33"/>
  <c r="F180" i="33"/>
  <c r="E180" i="33"/>
  <c r="D180" i="33"/>
  <c r="C180" i="33"/>
  <c r="Q179" i="33"/>
  <c r="O179" i="33"/>
  <c r="N179" i="33"/>
  <c r="M179" i="33"/>
  <c r="L179" i="33"/>
  <c r="H179" i="33"/>
  <c r="F179" i="33"/>
  <c r="E179" i="33"/>
  <c r="D179" i="33"/>
  <c r="C179" i="33"/>
  <c r="O178" i="33"/>
  <c r="N178" i="33"/>
  <c r="M178" i="33"/>
  <c r="L178" i="33"/>
  <c r="F178" i="33"/>
  <c r="E178" i="33"/>
  <c r="D178" i="33"/>
  <c r="C178" i="33"/>
  <c r="O177" i="33"/>
  <c r="N177" i="33"/>
  <c r="M177" i="33"/>
  <c r="L177" i="33"/>
  <c r="F177" i="33"/>
  <c r="E177" i="33"/>
  <c r="D177" i="33"/>
  <c r="C177" i="33"/>
  <c r="O176" i="33"/>
  <c r="N176" i="33"/>
  <c r="M176" i="33"/>
  <c r="L176" i="33"/>
  <c r="F176" i="33"/>
  <c r="E176" i="33"/>
  <c r="D176" i="33"/>
  <c r="C176" i="33"/>
  <c r="O175" i="33"/>
  <c r="N175" i="33"/>
  <c r="M175" i="33"/>
  <c r="L175" i="33"/>
  <c r="F175" i="33"/>
  <c r="E175" i="33"/>
  <c r="D175" i="33"/>
  <c r="C175" i="33"/>
  <c r="O174" i="33"/>
  <c r="N174" i="33"/>
  <c r="M174" i="33"/>
  <c r="L174" i="33"/>
  <c r="F174" i="33"/>
  <c r="E174" i="33"/>
  <c r="D174" i="33"/>
  <c r="C174" i="33"/>
  <c r="O173" i="33"/>
  <c r="N173" i="33"/>
  <c r="M173" i="33"/>
  <c r="L173" i="33"/>
  <c r="F173" i="33"/>
  <c r="E173" i="33"/>
  <c r="D173" i="33"/>
  <c r="C173" i="33"/>
  <c r="O172" i="33"/>
  <c r="N172" i="33"/>
  <c r="M172" i="33"/>
  <c r="L172" i="33"/>
  <c r="F172" i="33"/>
  <c r="E172" i="33"/>
  <c r="D172" i="33"/>
  <c r="C172" i="33"/>
  <c r="O171" i="33"/>
  <c r="N171" i="33"/>
  <c r="M171" i="33"/>
  <c r="L171" i="33"/>
  <c r="F171" i="33"/>
  <c r="E171" i="33"/>
  <c r="D171" i="33"/>
  <c r="C171" i="33"/>
  <c r="O170" i="33"/>
  <c r="N170" i="33"/>
  <c r="M170" i="33"/>
  <c r="L170" i="33"/>
  <c r="F170" i="33"/>
  <c r="E170" i="33"/>
  <c r="D170" i="33"/>
  <c r="C170" i="33"/>
  <c r="Q168" i="33"/>
  <c r="O168" i="33"/>
  <c r="N168" i="33"/>
  <c r="M168" i="33"/>
  <c r="L168" i="33"/>
  <c r="H168" i="33"/>
  <c r="F168" i="33"/>
  <c r="E168" i="33"/>
  <c r="D168" i="33"/>
  <c r="C168" i="33"/>
  <c r="Q167" i="33"/>
  <c r="O167" i="33"/>
  <c r="N167" i="33"/>
  <c r="M167" i="33"/>
  <c r="L167" i="33"/>
  <c r="H167" i="33"/>
  <c r="F167" i="33"/>
  <c r="E167" i="33"/>
  <c r="D167" i="33"/>
  <c r="C167" i="33"/>
  <c r="Q166" i="33"/>
  <c r="O166" i="33"/>
  <c r="N166" i="33"/>
  <c r="M166" i="33"/>
  <c r="L166" i="33"/>
  <c r="H166" i="33"/>
  <c r="F166" i="33"/>
  <c r="E166" i="33"/>
  <c r="D166" i="33"/>
  <c r="C166" i="33"/>
  <c r="O165" i="33"/>
  <c r="N165" i="33"/>
  <c r="M165" i="33"/>
  <c r="L165" i="33"/>
  <c r="F165" i="33"/>
  <c r="E165" i="33"/>
  <c r="D165" i="33"/>
  <c r="C165" i="33"/>
  <c r="O164" i="33"/>
  <c r="N164" i="33"/>
  <c r="M164" i="33"/>
  <c r="L164" i="33"/>
  <c r="F164" i="33"/>
  <c r="E164" i="33"/>
  <c r="D164" i="33"/>
  <c r="C164" i="33"/>
  <c r="O163" i="33"/>
  <c r="N163" i="33"/>
  <c r="M163" i="33"/>
  <c r="L163" i="33"/>
  <c r="F163" i="33"/>
  <c r="E163" i="33"/>
  <c r="D163" i="33"/>
  <c r="C163" i="33"/>
  <c r="O162" i="33"/>
  <c r="N162" i="33"/>
  <c r="M162" i="33"/>
  <c r="L162" i="33"/>
  <c r="F162" i="33"/>
  <c r="E162" i="33"/>
  <c r="D162" i="33"/>
  <c r="C162" i="33"/>
  <c r="O161" i="33"/>
  <c r="N161" i="33"/>
  <c r="M161" i="33"/>
  <c r="L161" i="33"/>
  <c r="F161" i="33"/>
  <c r="E161" i="33"/>
  <c r="D161" i="33"/>
  <c r="C161" i="33"/>
  <c r="O160" i="33"/>
  <c r="N160" i="33"/>
  <c r="M160" i="33"/>
  <c r="L160" i="33"/>
  <c r="F160" i="33"/>
  <c r="E160" i="33"/>
  <c r="D160" i="33"/>
  <c r="C160" i="33"/>
  <c r="O159" i="33"/>
  <c r="N159" i="33"/>
  <c r="M159" i="33"/>
  <c r="L159" i="33"/>
  <c r="F159" i="33"/>
  <c r="E159" i="33"/>
  <c r="D159" i="33"/>
  <c r="C159" i="33"/>
  <c r="O158" i="33"/>
  <c r="N158" i="33"/>
  <c r="M158" i="33"/>
  <c r="L158" i="33"/>
  <c r="F158" i="33"/>
  <c r="E158" i="33"/>
  <c r="D158" i="33"/>
  <c r="C158" i="33"/>
  <c r="O157" i="33"/>
  <c r="N157" i="33"/>
  <c r="M157" i="33"/>
  <c r="L157" i="33"/>
  <c r="F157" i="33"/>
  <c r="E157" i="33"/>
  <c r="D157" i="33"/>
  <c r="C157" i="33"/>
  <c r="Q155" i="33"/>
  <c r="O155" i="33"/>
  <c r="N155" i="33"/>
  <c r="M155" i="33"/>
  <c r="L155" i="33"/>
  <c r="H155" i="33"/>
  <c r="F155" i="33"/>
  <c r="E155" i="33"/>
  <c r="D155" i="33"/>
  <c r="C155" i="33"/>
  <c r="Q154" i="33"/>
  <c r="O154" i="33"/>
  <c r="N154" i="33"/>
  <c r="M154" i="33"/>
  <c r="L154" i="33"/>
  <c r="H154" i="33"/>
  <c r="F154" i="33"/>
  <c r="E154" i="33"/>
  <c r="D154" i="33"/>
  <c r="C154" i="33"/>
  <c r="Q153" i="33"/>
  <c r="O153" i="33"/>
  <c r="N153" i="33"/>
  <c r="M153" i="33"/>
  <c r="L153" i="33"/>
  <c r="H153" i="33"/>
  <c r="F153" i="33"/>
  <c r="E153" i="33"/>
  <c r="D153" i="33"/>
  <c r="C153" i="33"/>
  <c r="O152" i="33"/>
  <c r="N152" i="33"/>
  <c r="M152" i="33"/>
  <c r="L152" i="33"/>
  <c r="F152" i="33"/>
  <c r="E152" i="33"/>
  <c r="D152" i="33"/>
  <c r="C152" i="33"/>
  <c r="O151" i="33"/>
  <c r="N151" i="33"/>
  <c r="M151" i="33"/>
  <c r="L151" i="33"/>
  <c r="F151" i="33"/>
  <c r="E151" i="33"/>
  <c r="D151" i="33"/>
  <c r="C151" i="33"/>
  <c r="O150" i="33"/>
  <c r="N150" i="33"/>
  <c r="M150" i="33"/>
  <c r="L150" i="33"/>
  <c r="F150" i="33"/>
  <c r="E150" i="33"/>
  <c r="D150" i="33"/>
  <c r="C150" i="33"/>
  <c r="O149" i="33"/>
  <c r="N149" i="33"/>
  <c r="M149" i="33"/>
  <c r="L149" i="33"/>
  <c r="F149" i="33"/>
  <c r="E149" i="33"/>
  <c r="D149" i="33"/>
  <c r="C149" i="33"/>
  <c r="O148" i="33"/>
  <c r="N148" i="33"/>
  <c r="M148" i="33"/>
  <c r="L148" i="33"/>
  <c r="F148" i="33"/>
  <c r="E148" i="33"/>
  <c r="D148" i="33"/>
  <c r="C148" i="33"/>
  <c r="O147" i="33"/>
  <c r="N147" i="33"/>
  <c r="M147" i="33"/>
  <c r="L147" i="33"/>
  <c r="F147" i="33"/>
  <c r="E147" i="33"/>
  <c r="D147" i="33"/>
  <c r="C147" i="33"/>
  <c r="O146" i="33"/>
  <c r="N146" i="33"/>
  <c r="M146" i="33"/>
  <c r="L146" i="33"/>
  <c r="F146" i="33"/>
  <c r="E146" i="33"/>
  <c r="D146" i="33"/>
  <c r="C146" i="33"/>
  <c r="O145" i="33"/>
  <c r="N145" i="33"/>
  <c r="M145" i="33"/>
  <c r="L145" i="33"/>
  <c r="F145" i="33"/>
  <c r="E145" i="33"/>
  <c r="D145" i="33"/>
  <c r="C145" i="33"/>
  <c r="O144" i="33"/>
  <c r="N144" i="33"/>
  <c r="M144" i="33"/>
  <c r="L144" i="33"/>
  <c r="F144" i="33"/>
  <c r="E144" i="33"/>
  <c r="D144" i="33"/>
  <c r="C144" i="33"/>
  <c r="Q142" i="33"/>
  <c r="O142" i="33"/>
  <c r="N142" i="33"/>
  <c r="M142" i="33"/>
  <c r="L142" i="33"/>
  <c r="H142" i="33"/>
  <c r="F142" i="33"/>
  <c r="E142" i="33"/>
  <c r="D142" i="33"/>
  <c r="C142" i="33"/>
  <c r="Q141" i="33"/>
  <c r="O141" i="33"/>
  <c r="N141" i="33"/>
  <c r="M141" i="33"/>
  <c r="L141" i="33"/>
  <c r="H141" i="33"/>
  <c r="F141" i="33"/>
  <c r="E141" i="33"/>
  <c r="D141" i="33"/>
  <c r="C141" i="33"/>
  <c r="Q140" i="33"/>
  <c r="O140" i="33"/>
  <c r="N140" i="33"/>
  <c r="M140" i="33"/>
  <c r="L140" i="33"/>
  <c r="H140" i="33"/>
  <c r="F140" i="33"/>
  <c r="E140" i="33"/>
  <c r="D140" i="33"/>
  <c r="C140" i="33"/>
  <c r="Q139" i="33"/>
  <c r="O139" i="33"/>
  <c r="N139" i="33"/>
  <c r="M139" i="33"/>
  <c r="L139" i="33"/>
  <c r="F139" i="33"/>
  <c r="E139" i="33"/>
  <c r="D139" i="33"/>
  <c r="C139" i="33"/>
  <c r="O138" i="33"/>
  <c r="N138" i="33"/>
  <c r="M138" i="33"/>
  <c r="L138" i="33"/>
  <c r="F138" i="33"/>
  <c r="E138" i="33"/>
  <c r="D138" i="33"/>
  <c r="C138" i="33"/>
  <c r="Q137" i="33"/>
  <c r="O137" i="33"/>
  <c r="N137" i="33"/>
  <c r="M137" i="33"/>
  <c r="L137" i="33"/>
  <c r="F137" i="33"/>
  <c r="E137" i="33"/>
  <c r="D137" i="33"/>
  <c r="C137" i="33"/>
  <c r="Q136" i="33"/>
  <c r="O136" i="33"/>
  <c r="N136" i="33"/>
  <c r="M136" i="33"/>
  <c r="L136" i="33"/>
  <c r="F136" i="33"/>
  <c r="E136" i="33"/>
  <c r="D136" i="33"/>
  <c r="C136" i="33"/>
  <c r="O135" i="33"/>
  <c r="N135" i="33"/>
  <c r="M135" i="33"/>
  <c r="L135" i="33"/>
  <c r="F135" i="33"/>
  <c r="E135" i="33"/>
  <c r="D135" i="33"/>
  <c r="C135" i="33"/>
  <c r="Q134" i="33"/>
  <c r="O134" i="33"/>
  <c r="N134" i="33"/>
  <c r="M134" i="33"/>
  <c r="L134" i="33"/>
  <c r="F134" i="33"/>
  <c r="E134" i="33"/>
  <c r="D134" i="33"/>
  <c r="C134" i="33"/>
  <c r="O133" i="33"/>
  <c r="N133" i="33"/>
  <c r="M133" i="33"/>
  <c r="L133" i="33"/>
  <c r="F133" i="33"/>
  <c r="E133" i="33"/>
  <c r="D133" i="33"/>
  <c r="C133" i="33"/>
  <c r="Q132" i="33"/>
  <c r="O132" i="33"/>
  <c r="N132" i="33"/>
  <c r="M132" i="33"/>
  <c r="L132" i="33"/>
  <c r="F132" i="33"/>
  <c r="E132" i="33"/>
  <c r="D132" i="33"/>
  <c r="C132" i="33"/>
  <c r="Q131" i="33"/>
  <c r="O131" i="33"/>
  <c r="N131" i="33"/>
  <c r="M131" i="33"/>
  <c r="L131" i="33"/>
  <c r="F131" i="33"/>
  <c r="E131" i="33"/>
  <c r="D131" i="33"/>
  <c r="C131" i="33"/>
  <c r="L129" i="33"/>
  <c r="C129" i="33"/>
  <c r="J128" i="33"/>
  <c r="T124" i="33"/>
  <c r="P262" i="33" s="1"/>
  <c r="M124" i="33"/>
  <c r="P261" i="33" s="1"/>
  <c r="F124" i="33"/>
  <c r="P260" i="33" s="1"/>
  <c r="T123" i="33"/>
  <c r="P249" i="33" s="1"/>
  <c r="M123" i="33"/>
  <c r="P248" i="33" s="1"/>
  <c r="F123" i="33"/>
  <c r="P247" i="33" s="1"/>
  <c r="T122" i="33"/>
  <c r="P236" i="33" s="1"/>
  <c r="M122" i="33"/>
  <c r="P235" i="33" s="1"/>
  <c r="F122" i="33"/>
  <c r="P234" i="33" s="1"/>
  <c r="T121" i="33"/>
  <c r="P223" i="33" s="1"/>
  <c r="M121" i="33"/>
  <c r="P222" i="33" s="1"/>
  <c r="F121" i="33"/>
  <c r="P221" i="33" s="1"/>
  <c r="S120" i="33"/>
  <c r="R120" i="33"/>
  <c r="Q120" i="33"/>
  <c r="L120" i="33"/>
  <c r="K120" i="33"/>
  <c r="J120" i="33"/>
  <c r="E120" i="33"/>
  <c r="D120" i="33"/>
  <c r="C120" i="33"/>
  <c r="P119" i="33"/>
  <c r="T118" i="33"/>
  <c r="G262" i="33" s="1"/>
  <c r="M118" i="33"/>
  <c r="G261" i="33" s="1"/>
  <c r="F118" i="33"/>
  <c r="G260" i="33" s="1"/>
  <c r="T117" i="33"/>
  <c r="G249" i="33" s="1"/>
  <c r="M117" i="33"/>
  <c r="G248" i="33" s="1"/>
  <c r="F117" i="33"/>
  <c r="G247" i="33" s="1"/>
  <c r="T116" i="33"/>
  <c r="G236" i="33" s="1"/>
  <c r="M116" i="33"/>
  <c r="G235" i="33" s="1"/>
  <c r="F116" i="33"/>
  <c r="G234" i="33" s="1"/>
  <c r="T115" i="33"/>
  <c r="G223" i="33" s="1"/>
  <c r="M115" i="33"/>
  <c r="G222" i="33" s="1"/>
  <c r="F115" i="33"/>
  <c r="G221" i="33" s="1"/>
  <c r="S114" i="33"/>
  <c r="R114" i="33"/>
  <c r="Q114" i="33"/>
  <c r="L114" i="33"/>
  <c r="K114" i="33"/>
  <c r="J114" i="33"/>
  <c r="E114" i="33"/>
  <c r="D114" i="33"/>
  <c r="C114" i="33"/>
  <c r="P113" i="33"/>
  <c r="T112" i="33"/>
  <c r="P207" i="33" s="1"/>
  <c r="M112" i="33"/>
  <c r="P206" i="33" s="1"/>
  <c r="F112" i="33"/>
  <c r="P205" i="33" s="1"/>
  <c r="T111" i="33"/>
  <c r="P194" i="33" s="1"/>
  <c r="M111" i="33"/>
  <c r="P193" i="33" s="1"/>
  <c r="F111" i="33"/>
  <c r="P192" i="33" s="1"/>
  <c r="T110" i="33"/>
  <c r="P181" i="33" s="1"/>
  <c r="M110" i="33"/>
  <c r="P180" i="33" s="1"/>
  <c r="F110" i="33"/>
  <c r="P179" i="33" s="1"/>
  <c r="T109" i="33"/>
  <c r="P168" i="33" s="1"/>
  <c r="M109" i="33"/>
  <c r="P167" i="33" s="1"/>
  <c r="F109" i="33"/>
  <c r="P166" i="33" s="1"/>
  <c r="T108" i="33"/>
  <c r="P155" i="33" s="1"/>
  <c r="M108" i="33"/>
  <c r="P154" i="33" s="1"/>
  <c r="F108" i="33"/>
  <c r="P153" i="33" s="1"/>
  <c r="T107" i="33"/>
  <c r="P142" i="33" s="1"/>
  <c r="M107" i="33"/>
  <c r="P141" i="33" s="1"/>
  <c r="F107" i="33"/>
  <c r="P140" i="33" s="1"/>
  <c r="S106" i="33"/>
  <c r="R106" i="33"/>
  <c r="Q106" i="33"/>
  <c r="L106" i="33"/>
  <c r="K106" i="33"/>
  <c r="J106" i="33"/>
  <c r="E106" i="33"/>
  <c r="D106" i="33"/>
  <c r="C106" i="33"/>
  <c r="P105" i="33"/>
  <c r="I105" i="33"/>
  <c r="T104" i="33"/>
  <c r="G207" i="33" s="1"/>
  <c r="M104" i="33"/>
  <c r="G206" i="33" s="1"/>
  <c r="F104" i="33"/>
  <c r="G205" i="33" s="1"/>
  <c r="T103" i="33"/>
  <c r="G194" i="33" s="1"/>
  <c r="M103" i="33"/>
  <c r="G193" i="33" s="1"/>
  <c r="F103" i="33"/>
  <c r="G192" i="33" s="1"/>
  <c r="T102" i="33"/>
  <c r="G181" i="33" s="1"/>
  <c r="M102" i="33"/>
  <c r="G180" i="33" s="1"/>
  <c r="F102" i="33"/>
  <c r="G179" i="33" s="1"/>
  <c r="T101" i="33"/>
  <c r="G168" i="33" s="1"/>
  <c r="M101" i="33"/>
  <c r="G167" i="33" s="1"/>
  <c r="F101" i="33"/>
  <c r="G166" i="33" s="1"/>
  <c r="T100" i="33"/>
  <c r="G155" i="33" s="1"/>
  <c r="M100" i="33"/>
  <c r="G154" i="33" s="1"/>
  <c r="F100" i="33"/>
  <c r="G153" i="33" s="1"/>
  <c r="T99" i="33"/>
  <c r="G142" i="33" s="1"/>
  <c r="M99" i="33"/>
  <c r="G141" i="33" s="1"/>
  <c r="F99" i="33"/>
  <c r="G140" i="33" s="1"/>
  <c r="P97" i="33"/>
  <c r="I97" i="33"/>
  <c r="U93" i="33"/>
  <c r="Q259" i="33" s="1"/>
  <c r="T93" i="33"/>
  <c r="P259" i="33" s="1"/>
  <c r="N93" i="33"/>
  <c r="Q258" i="33" s="1"/>
  <c r="M93" i="33"/>
  <c r="P258" i="33" s="1"/>
  <c r="G93" i="33"/>
  <c r="Q257" i="33" s="1"/>
  <c r="F93" i="33"/>
  <c r="P257" i="33" s="1"/>
  <c r="U92" i="33"/>
  <c r="Q246" i="33" s="1"/>
  <c r="T92" i="33"/>
  <c r="P246" i="33" s="1"/>
  <c r="N92" i="33"/>
  <c r="Q245" i="33" s="1"/>
  <c r="M92" i="33"/>
  <c r="P245" i="33" s="1"/>
  <c r="G92" i="33"/>
  <c r="Q244" i="33" s="1"/>
  <c r="F92" i="33"/>
  <c r="P244" i="33" s="1"/>
  <c r="U91" i="33"/>
  <c r="Q233" i="33" s="1"/>
  <c r="T91" i="33"/>
  <c r="P233" i="33" s="1"/>
  <c r="N91" i="33"/>
  <c r="Q232" i="33" s="1"/>
  <c r="M91" i="33"/>
  <c r="P232" i="33" s="1"/>
  <c r="G91" i="33"/>
  <c r="Q231" i="33" s="1"/>
  <c r="F91" i="33"/>
  <c r="P231" i="33" s="1"/>
  <c r="U90" i="33"/>
  <c r="Q220" i="33" s="1"/>
  <c r="T90" i="33"/>
  <c r="P220" i="33" s="1"/>
  <c r="N90" i="33"/>
  <c r="Q219" i="33" s="1"/>
  <c r="M90" i="33"/>
  <c r="P219" i="33" s="1"/>
  <c r="F90" i="33"/>
  <c r="P218" i="33" s="1"/>
  <c r="S89" i="33"/>
  <c r="R89" i="33"/>
  <c r="Q89" i="33"/>
  <c r="L89" i="33"/>
  <c r="K89" i="33"/>
  <c r="J89" i="33"/>
  <c r="E89" i="33"/>
  <c r="D89" i="33"/>
  <c r="C89" i="33"/>
  <c r="P88" i="33"/>
  <c r="T87" i="33"/>
  <c r="G259" i="33" s="1"/>
  <c r="N87" i="33"/>
  <c r="H258" i="33" s="1"/>
  <c r="M87" i="33"/>
  <c r="G258" i="33" s="1"/>
  <c r="G87" i="33"/>
  <c r="H257" i="33" s="1"/>
  <c r="F87" i="33"/>
  <c r="G257" i="33" s="1"/>
  <c r="T86" i="33"/>
  <c r="G246" i="33" s="1"/>
  <c r="N86" i="33"/>
  <c r="H245" i="33" s="1"/>
  <c r="M86" i="33"/>
  <c r="G245" i="33" s="1"/>
  <c r="G86" i="33"/>
  <c r="H244" i="33" s="1"/>
  <c r="F86" i="33"/>
  <c r="G244" i="33" s="1"/>
  <c r="T85" i="33"/>
  <c r="G233" i="33" s="1"/>
  <c r="N85" i="33"/>
  <c r="H232" i="33" s="1"/>
  <c r="M85" i="33"/>
  <c r="G232" i="33" s="1"/>
  <c r="G85" i="33"/>
  <c r="H231" i="33" s="1"/>
  <c r="F85" i="33"/>
  <c r="G231" i="33" s="1"/>
  <c r="T84" i="33"/>
  <c r="G220" i="33" s="1"/>
  <c r="N84" i="33"/>
  <c r="H219" i="33" s="1"/>
  <c r="M84" i="33"/>
  <c r="G219" i="33" s="1"/>
  <c r="G84" i="33"/>
  <c r="H218" i="33" s="1"/>
  <c r="F84" i="33"/>
  <c r="G218" i="33" s="1"/>
  <c r="S83" i="33"/>
  <c r="R83" i="33"/>
  <c r="Q83" i="33"/>
  <c r="L83" i="33"/>
  <c r="K83" i="33"/>
  <c r="J83" i="33"/>
  <c r="E83" i="33"/>
  <c r="D83" i="33"/>
  <c r="C83" i="33"/>
  <c r="P82" i="33"/>
  <c r="T81" i="33"/>
  <c r="P204" i="33" s="1"/>
  <c r="N81" i="33"/>
  <c r="Q203" i="33" s="1"/>
  <c r="M81" i="33"/>
  <c r="P203" i="33" s="1"/>
  <c r="F81" i="33"/>
  <c r="P202" i="33" s="1"/>
  <c r="U80" i="33"/>
  <c r="Q191" i="33" s="1"/>
  <c r="T80" i="33"/>
  <c r="P191" i="33" s="1"/>
  <c r="N80" i="33"/>
  <c r="Q190" i="33" s="1"/>
  <c r="M80" i="33"/>
  <c r="P190" i="33" s="1"/>
  <c r="G80" i="33"/>
  <c r="Q189" i="33" s="1"/>
  <c r="F80" i="33"/>
  <c r="P189" i="33" s="1"/>
  <c r="U79" i="33"/>
  <c r="Q178" i="33" s="1"/>
  <c r="T79" i="33"/>
  <c r="P178" i="33" s="1"/>
  <c r="N79" i="33"/>
  <c r="Q177" i="33" s="1"/>
  <c r="M79" i="33"/>
  <c r="P177" i="33" s="1"/>
  <c r="G79" i="33"/>
  <c r="Q176" i="33" s="1"/>
  <c r="F79" i="33"/>
  <c r="P176" i="33" s="1"/>
  <c r="U78" i="33"/>
  <c r="Q165" i="33" s="1"/>
  <c r="T78" i="33"/>
  <c r="P165" i="33" s="1"/>
  <c r="N78" i="33"/>
  <c r="Q164" i="33" s="1"/>
  <c r="M78" i="33"/>
  <c r="P164" i="33" s="1"/>
  <c r="G78" i="33"/>
  <c r="Q163" i="33" s="1"/>
  <c r="F78" i="33"/>
  <c r="P163" i="33" s="1"/>
  <c r="U77" i="33"/>
  <c r="Q152" i="33" s="1"/>
  <c r="T77" i="33"/>
  <c r="P152" i="33" s="1"/>
  <c r="N77" i="33"/>
  <c r="Q151" i="33" s="1"/>
  <c r="M77" i="33"/>
  <c r="P151" i="33" s="1"/>
  <c r="G77" i="33"/>
  <c r="Q150" i="33" s="1"/>
  <c r="F77" i="33"/>
  <c r="P150" i="33" s="1"/>
  <c r="T76" i="33"/>
  <c r="P139" i="33" s="1"/>
  <c r="N76" i="33"/>
  <c r="Q138" i="33" s="1"/>
  <c r="M76" i="33"/>
  <c r="P138" i="33" s="1"/>
  <c r="F76" i="33"/>
  <c r="P137" i="33" s="1"/>
  <c r="S75" i="33"/>
  <c r="R75" i="33"/>
  <c r="Q75" i="33"/>
  <c r="L75" i="33"/>
  <c r="K75" i="33"/>
  <c r="J75" i="33"/>
  <c r="E75" i="33"/>
  <c r="D75" i="33"/>
  <c r="C75" i="33"/>
  <c r="P74" i="33"/>
  <c r="I74" i="33"/>
  <c r="U73" i="33"/>
  <c r="H204" i="33" s="1"/>
  <c r="T73" i="33"/>
  <c r="G204" i="33" s="1"/>
  <c r="N73" i="33"/>
  <c r="H203" i="33" s="1"/>
  <c r="M73" i="33"/>
  <c r="G203" i="33" s="1"/>
  <c r="G73" i="33"/>
  <c r="H202" i="33" s="1"/>
  <c r="F73" i="33"/>
  <c r="G202" i="33" s="1"/>
  <c r="U72" i="33"/>
  <c r="H191" i="33" s="1"/>
  <c r="T72" i="33"/>
  <c r="G191" i="33" s="1"/>
  <c r="N72" i="33"/>
  <c r="H190" i="33" s="1"/>
  <c r="M72" i="33"/>
  <c r="G190" i="33" s="1"/>
  <c r="G72" i="33"/>
  <c r="H189" i="33" s="1"/>
  <c r="F72" i="33"/>
  <c r="G189" i="33" s="1"/>
  <c r="U71" i="33"/>
  <c r="H178" i="33" s="1"/>
  <c r="T71" i="33"/>
  <c r="G178" i="33" s="1"/>
  <c r="N71" i="33"/>
  <c r="H177" i="33" s="1"/>
  <c r="M71" i="33"/>
  <c r="G177" i="33" s="1"/>
  <c r="G71" i="33"/>
  <c r="H176" i="33" s="1"/>
  <c r="F71" i="33"/>
  <c r="G176" i="33" s="1"/>
  <c r="U70" i="33"/>
  <c r="H165" i="33" s="1"/>
  <c r="T70" i="33"/>
  <c r="G165" i="33" s="1"/>
  <c r="N70" i="33"/>
  <c r="H164" i="33" s="1"/>
  <c r="M70" i="33"/>
  <c r="G164" i="33" s="1"/>
  <c r="G70" i="33"/>
  <c r="H163" i="33" s="1"/>
  <c r="F70" i="33"/>
  <c r="G163" i="33" s="1"/>
  <c r="U69" i="33"/>
  <c r="H152" i="33" s="1"/>
  <c r="T69" i="33"/>
  <c r="G152" i="33" s="1"/>
  <c r="N69" i="33"/>
  <c r="H151" i="33" s="1"/>
  <c r="M69" i="33"/>
  <c r="G151" i="33" s="1"/>
  <c r="G69" i="33"/>
  <c r="H150" i="33" s="1"/>
  <c r="F69" i="33"/>
  <c r="G150" i="33" s="1"/>
  <c r="U68" i="33"/>
  <c r="H139" i="33" s="1"/>
  <c r="T68" i="33"/>
  <c r="G139" i="33" s="1"/>
  <c r="H138" i="33"/>
  <c r="M68" i="33"/>
  <c r="G138" i="33" s="1"/>
  <c r="G68" i="33"/>
  <c r="H137" i="33" s="1"/>
  <c r="F68" i="33"/>
  <c r="G137" i="33" s="1"/>
  <c r="P66" i="33"/>
  <c r="I66" i="33"/>
  <c r="U62" i="33"/>
  <c r="Q256" i="33" s="1"/>
  <c r="T62" i="33"/>
  <c r="P256" i="33" s="1"/>
  <c r="N62" i="33"/>
  <c r="Q255" i="33" s="1"/>
  <c r="M62" i="33"/>
  <c r="P255" i="33" s="1"/>
  <c r="G62" i="33"/>
  <c r="Q254" i="33" s="1"/>
  <c r="F62" i="33"/>
  <c r="P254" i="33" s="1"/>
  <c r="U61" i="33"/>
  <c r="Q243" i="33" s="1"/>
  <c r="T61" i="33"/>
  <c r="P243" i="33" s="1"/>
  <c r="N61" i="33"/>
  <c r="Q242" i="33" s="1"/>
  <c r="M61" i="33"/>
  <c r="P242" i="33" s="1"/>
  <c r="G61" i="33"/>
  <c r="Q241" i="33" s="1"/>
  <c r="F61" i="33"/>
  <c r="P241" i="33" s="1"/>
  <c r="U60" i="33"/>
  <c r="Q230" i="33" s="1"/>
  <c r="T60" i="33"/>
  <c r="P230" i="33" s="1"/>
  <c r="N60" i="33"/>
  <c r="Q229" i="33" s="1"/>
  <c r="M60" i="33"/>
  <c r="P229" i="33" s="1"/>
  <c r="G60" i="33"/>
  <c r="Q228" i="33" s="1"/>
  <c r="F60" i="33"/>
  <c r="P228" i="33" s="1"/>
  <c r="U59" i="33"/>
  <c r="Q217" i="33" s="1"/>
  <c r="T59" i="33"/>
  <c r="P217" i="33" s="1"/>
  <c r="N59" i="33"/>
  <c r="Q216" i="33" s="1"/>
  <c r="M59" i="33"/>
  <c r="P216" i="33" s="1"/>
  <c r="G59" i="33"/>
  <c r="Q215" i="33" s="1"/>
  <c r="F59" i="33"/>
  <c r="P215" i="33" s="1"/>
  <c r="S58" i="33"/>
  <c r="R58" i="33"/>
  <c r="Q58" i="33"/>
  <c r="L58" i="33"/>
  <c r="K58" i="33"/>
  <c r="J58" i="33"/>
  <c r="E58" i="33"/>
  <c r="D58" i="33"/>
  <c r="C58" i="33"/>
  <c r="B57" i="33"/>
  <c r="I57" i="33" s="1"/>
  <c r="P57" i="33" s="1"/>
  <c r="U56" i="33"/>
  <c r="H256" i="33" s="1"/>
  <c r="T56" i="33"/>
  <c r="G256" i="33" s="1"/>
  <c r="N56" i="33"/>
  <c r="H255" i="33" s="1"/>
  <c r="M56" i="33"/>
  <c r="G255" i="33" s="1"/>
  <c r="G56" i="33"/>
  <c r="H254" i="33" s="1"/>
  <c r="F56" i="33"/>
  <c r="G254" i="33" s="1"/>
  <c r="U55" i="33"/>
  <c r="H243" i="33" s="1"/>
  <c r="T55" i="33"/>
  <c r="G243" i="33" s="1"/>
  <c r="N55" i="33"/>
  <c r="H242" i="33" s="1"/>
  <c r="M55" i="33"/>
  <c r="G242" i="33" s="1"/>
  <c r="G55" i="33"/>
  <c r="H241" i="33" s="1"/>
  <c r="F55" i="33"/>
  <c r="G241" i="33" s="1"/>
  <c r="U54" i="33"/>
  <c r="H230" i="33" s="1"/>
  <c r="T54" i="33"/>
  <c r="G230" i="33" s="1"/>
  <c r="N54" i="33"/>
  <c r="H229" i="33" s="1"/>
  <c r="M54" i="33"/>
  <c r="G229" i="33" s="1"/>
  <c r="G54" i="33"/>
  <c r="H228" i="33" s="1"/>
  <c r="F54" i="33"/>
  <c r="G228" i="33" s="1"/>
  <c r="U53" i="33"/>
  <c r="H217" i="33" s="1"/>
  <c r="T53" i="33"/>
  <c r="G217" i="33" s="1"/>
  <c r="N53" i="33"/>
  <c r="H216" i="33" s="1"/>
  <c r="M53" i="33"/>
  <c r="G216" i="33" s="1"/>
  <c r="G53" i="33"/>
  <c r="H215" i="33" s="1"/>
  <c r="F53" i="33"/>
  <c r="G215" i="33" s="1"/>
  <c r="S52" i="33"/>
  <c r="R52" i="33"/>
  <c r="Q52" i="33"/>
  <c r="L52" i="33"/>
  <c r="K52" i="33"/>
  <c r="J52" i="33"/>
  <c r="E52" i="33"/>
  <c r="D52" i="33"/>
  <c r="C52" i="33"/>
  <c r="B51" i="33"/>
  <c r="I51" i="33" s="1"/>
  <c r="P51" i="33" s="1"/>
  <c r="T50" i="33"/>
  <c r="P201" i="33" s="1"/>
  <c r="M50" i="33"/>
  <c r="P200" i="33" s="1"/>
  <c r="G50" i="33"/>
  <c r="Q199" i="33" s="1"/>
  <c r="F50" i="33"/>
  <c r="P199" i="33" s="1"/>
  <c r="U49" i="33"/>
  <c r="Q188" i="33" s="1"/>
  <c r="T49" i="33"/>
  <c r="P188" i="33" s="1"/>
  <c r="N49" i="33"/>
  <c r="Q187" i="33" s="1"/>
  <c r="M49" i="33"/>
  <c r="P187" i="33" s="1"/>
  <c r="G49" i="33"/>
  <c r="Q186" i="33" s="1"/>
  <c r="F49" i="33"/>
  <c r="P186" i="33" s="1"/>
  <c r="U48" i="33"/>
  <c r="Q175" i="33" s="1"/>
  <c r="T48" i="33"/>
  <c r="P175" i="33" s="1"/>
  <c r="N48" i="33"/>
  <c r="Q174" i="33" s="1"/>
  <c r="M48" i="33"/>
  <c r="P174" i="33" s="1"/>
  <c r="G48" i="33"/>
  <c r="Q173" i="33" s="1"/>
  <c r="F48" i="33"/>
  <c r="P173" i="33" s="1"/>
  <c r="U47" i="33"/>
  <c r="Q162" i="33" s="1"/>
  <c r="T47" i="33"/>
  <c r="P162" i="33" s="1"/>
  <c r="N47" i="33"/>
  <c r="Q161" i="33" s="1"/>
  <c r="M47" i="33"/>
  <c r="P161" i="33" s="1"/>
  <c r="G47" i="33"/>
  <c r="Q160" i="33" s="1"/>
  <c r="F47" i="33"/>
  <c r="P160" i="33" s="1"/>
  <c r="U46" i="33"/>
  <c r="Q149" i="33" s="1"/>
  <c r="T46" i="33"/>
  <c r="P149" i="33" s="1"/>
  <c r="N46" i="33"/>
  <c r="Q148" i="33" s="1"/>
  <c r="M46" i="33"/>
  <c r="P148" i="33" s="1"/>
  <c r="G46" i="33"/>
  <c r="Q147" i="33" s="1"/>
  <c r="F46" i="33"/>
  <c r="P147" i="33" s="1"/>
  <c r="T45" i="33"/>
  <c r="P136" i="33" s="1"/>
  <c r="N45" i="33"/>
  <c r="Q135" i="33" s="1"/>
  <c r="M45" i="33"/>
  <c r="P135" i="33" s="1"/>
  <c r="F45" i="33"/>
  <c r="P134" i="33" s="1"/>
  <c r="S44" i="33"/>
  <c r="R44" i="33"/>
  <c r="Q44" i="33"/>
  <c r="L44" i="33"/>
  <c r="K44" i="33"/>
  <c r="J44" i="33"/>
  <c r="E44" i="33"/>
  <c r="D44" i="33"/>
  <c r="C44" i="33"/>
  <c r="B43" i="33"/>
  <c r="I43" i="33" s="1"/>
  <c r="P43" i="33" s="1"/>
  <c r="U42" i="33"/>
  <c r="H201" i="33" s="1"/>
  <c r="T42" i="33"/>
  <c r="G201" i="33" s="1"/>
  <c r="M42" i="33"/>
  <c r="G200" i="33" s="1"/>
  <c r="F42" i="33"/>
  <c r="G199" i="33" s="1"/>
  <c r="U41" i="33"/>
  <c r="H188" i="33" s="1"/>
  <c r="T41" i="33"/>
  <c r="G188" i="33" s="1"/>
  <c r="N41" i="33"/>
  <c r="H187" i="33" s="1"/>
  <c r="M41" i="33"/>
  <c r="G187" i="33" s="1"/>
  <c r="G41" i="33"/>
  <c r="H186" i="33" s="1"/>
  <c r="F41" i="33"/>
  <c r="G186" i="33" s="1"/>
  <c r="U40" i="33"/>
  <c r="H175" i="33" s="1"/>
  <c r="T40" i="33"/>
  <c r="G175" i="33" s="1"/>
  <c r="N40" i="33"/>
  <c r="H174" i="33" s="1"/>
  <c r="M40" i="33"/>
  <c r="G174" i="33" s="1"/>
  <c r="G40" i="33"/>
  <c r="H173" i="33" s="1"/>
  <c r="F40" i="33"/>
  <c r="G173" i="33" s="1"/>
  <c r="U39" i="33"/>
  <c r="H162" i="33" s="1"/>
  <c r="T39" i="33"/>
  <c r="G162" i="33" s="1"/>
  <c r="N39" i="33"/>
  <c r="H161" i="33" s="1"/>
  <c r="M39" i="33"/>
  <c r="G161" i="33" s="1"/>
  <c r="G39" i="33"/>
  <c r="H160" i="33" s="1"/>
  <c r="F39" i="33"/>
  <c r="G160" i="33" s="1"/>
  <c r="U38" i="33"/>
  <c r="H149" i="33" s="1"/>
  <c r="T38" i="33"/>
  <c r="G149" i="33" s="1"/>
  <c r="N38" i="33"/>
  <c r="H148" i="33" s="1"/>
  <c r="M38" i="33"/>
  <c r="G148" i="33" s="1"/>
  <c r="G38" i="33"/>
  <c r="H147" i="33" s="1"/>
  <c r="F38" i="33"/>
  <c r="G147" i="33" s="1"/>
  <c r="U37" i="33"/>
  <c r="H136" i="33" s="1"/>
  <c r="T37" i="33"/>
  <c r="G136" i="33" s="1"/>
  <c r="N37" i="33"/>
  <c r="H135" i="33" s="1"/>
  <c r="M37" i="33"/>
  <c r="G135" i="33" s="1"/>
  <c r="G37" i="33"/>
  <c r="H134" i="33" s="1"/>
  <c r="F37" i="33"/>
  <c r="G134" i="33" s="1"/>
  <c r="I35" i="33"/>
  <c r="P35" i="33" s="1"/>
  <c r="B35" i="33"/>
  <c r="U31" i="33"/>
  <c r="Q253" i="33" s="1"/>
  <c r="T31" i="33"/>
  <c r="P253" i="33" s="1"/>
  <c r="N31" i="33"/>
  <c r="Q252" i="33" s="1"/>
  <c r="M31" i="33"/>
  <c r="P252" i="33" s="1"/>
  <c r="G31" i="33"/>
  <c r="Q251" i="33" s="1"/>
  <c r="F31" i="33"/>
  <c r="P251" i="33" s="1"/>
  <c r="U30" i="33"/>
  <c r="Q240" i="33" s="1"/>
  <c r="T30" i="33"/>
  <c r="P240" i="33" s="1"/>
  <c r="N30" i="33"/>
  <c r="Q239" i="33" s="1"/>
  <c r="M30" i="33"/>
  <c r="P239" i="33" s="1"/>
  <c r="G30" i="33"/>
  <c r="Q238" i="33" s="1"/>
  <c r="F30" i="33"/>
  <c r="P238" i="33" s="1"/>
  <c r="U29" i="33"/>
  <c r="Q227" i="33" s="1"/>
  <c r="T29" i="33"/>
  <c r="P227" i="33" s="1"/>
  <c r="N29" i="33"/>
  <c r="Q226" i="33" s="1"/>
  <c r="M29" i="33"/>
  <c r="P226" i="33" s="1"/>
  <c r="G29" i="33"/>
  <c r="Q225" i="33" s="1"/>
  <c r="F29" i="33"/>
  <c r="P225" i="33" s="1"/>
  <c r="U28" i="33"/>
  <c r="Q214" i="33" s="1"/>
  <c r="T28" i="33"/>
  <c r="P214" i="33" s="1"/>
  <c r="N28" i="33"/>
  <c r="Q213" i="33" s="1"/>
  <c r="M28" i="33"/>
  <c r="P213" i="33" s="1"/>
  <c r="G28" i="33"/>
  <c r="Q212" i="33" s="1"/>
  <c r="F28" i="33"/>
  <c r="P212" i="33" s="1"/>
  <c r="S27" i="33"/>
  <c r="R27" i="33"/>
  <c r="Q27" i="33"/>
  <c r="L27" i="33"/>
  <c r="K27" i="33"/>
  <c r="J27" i="33"/>
  <c r="E27" i="33"/>
  <c r="D27" i="33"/>
  <c r="C27" i="33"/>
  <c r="P26" i="33"/>
  <c r="I26" i="33"/>
  <c r="U25" i="33"/>
  <c r="H253" i="33" s="1"/>
  <c r="T25" i="33"/>
  <c r="G253" i="33" s="1"/>
  <c r="N25" i="33"/>
  <c r="H252" i="33" s="1"/>
  <c r="M25" i="33"/>
  <c r="G252" i="33" s="1"/>
  <c r="F25" i="33"/>
  <c r="G251" i="33" s="1"/>
  <c r="U24" i="33"/>
  <c r="H240" i="33" s="1"/>
  <c r="T24" i="33"/>
  <c r="G240" i="33" s="1"/>
  <c r="N24" i="33"/>
  <c r="H239" i="33" s="1"/>
  <c r="M24" i="33"/>
  <c r="G239" i="33" s="1"/>
  <c r="F24" i="33"/>
  <c r="G238" i="33" s="1"/>
  <c r="U23" i="33"/>
  <c r="H227" i="33" s="1"/>
  <c r="T23" i="33"/>
  <c r="G227" i="33" s="1"/>
  <c r="N23" i="33"/>
  <c r="H226" i="33" s="1"/>
  <c r="M23" i="33"/>
  <c r="G226" i="33" s="1"/>
  <c r="F23" i="33"/>
  <c r="G225" i="33" s="1"/>
  <c r="U22" i="33"/>
  <c r="H214" i="33" s="1"/>
  <c r="T22" i="33"/>
  <c r="G214" i="33" s="1"/>
  <c r="N22" i="33"/>
  <c r="H213" i="33" s="1"/>
  <c r="M22" i="33"/>
  <c r="G213" i="33" s="1"/>
  <c r="F22" i="33"/>
  <c r="G212" i="33" s="1"/>
  <c r="S21" i="33"/>
  <c r="R21" i="33"/>
  <c r="Q21" i="33"/>
  <c r="L21" i="33"/>
  <c r="K21" i="33"/>
  <c r="J21" i="33"/>
  <c r="E21" i="33"/>
  <c r="D21" i="33"/>
  <c r="C21" i="33"/>
  <c r="P20" i="33"/>
  <c r="I20" i="33"/>
  <c r="U19" i="33"/>
  <c r="Q198" i="33" s="1"/>
  <c r="T19" i="33"/>
  <c r="P198" i="33" s="1"/>
  <c r="M19" i="33"/>
  <c r="P197" i="33" s="1"/>
  <c r="F19" i="33"/>
  <c r="P196" i="33" s="1"/>
  <c r="U18" i="33"/>
  <c r="Q185" i="33" s="1"/>
  <c r="T18" i="33"/>
  <c r="P185" i="33" s="1"/>
  <c r="N18" i="33"/>
  <c r="Q184" i="33" s="1"/>
  <c r="M18" i="33"/>
  <c r="P184" i="33" s="1"/>
  <c r="G18" i="33"/>
  <c r="Q183" i="33" s="1"/>
  <c r="F18" i="33"/>
  <c r="P183" i="33" s="1"/>
  <c r="U17" i="33"/>
  <c r="Q172" i="33" s="1"/>
  <c r="T17" i="33"/>
  <c r="P172" i="33" s="1"/>
  <c r="N17" i="33"/>
  <c r="Q171" i="33" s="1"/>
  <c r="M17" i="33"/>
  <c r="P171" i="33" s="1"/>
  <c r="G17" i="33"/>
  <c r="Q170" i="33" s="1"/>
  <c r="F17" i="33"/>
  <c r="P170" i="33" s="1"/>
  <c r="U16" i="33"/>
  <c r="Q159" i="33" s="1"/>
  <c r="T16" i="33"/>
  <c r="P159" i="33" s="1"/>
  <c r="N16" i="33"/>
  <c r="Q158" i="33" s="1"/>
  <c r="M16" i="33"/>
  <c r="P158" i="33" s="1"/>
  <c r="G16" i="33"/>
  <c r="Q157" i="33" s="1"/>
  <c r="F16" i="33"/>
  <c r="P157" i="33" s="1"/>
  <c r="U15" i="33"/>
  <c r="Q146" i="33" s="1"/>
  <c r="T15" i="33"/>
  <c r="P146" i="33" s="1"/>
  <c r="N15" i="33"/>
  <c r="Q145" i="33" s="1"/>
  <c r="M15" i="33"/>
  <c r="P145" i="33" s="1"/>
  <c r="G15" i="33"/>
  <c r="Q144" i="33" s="1"/>
  <c r="F15" i="33"/>
  <c r="P144" i="33" s="1"/>
  <c r="U14" i="33"/>
  <c r="Q133" i="33" s="1"/>
  <c r="T14" i="33"/>
  <c r="P133" i="33" s="1"/>
  <c r="M14" i="33"/>
  <c r="P132" i="33" s="1"/>
  <c r="F14" i="33"/>
  <c r="P131" i="33" s="1"/>
  <c r="S13" i="33"/>
  <c r="R13" i="33"/>
  <c r="Q13" i="33"/>
  <c r="L13" i="33"/>
  <c r="K13" i="33"/>
  <c r="J13" i="33"/>
  <c r="E13" i="33"/>
  <c r="D13" i="33"/>
  <c r="C13" i="33"/>
  <c r="P12" i="33"/>
  <c r="I12" i="33"/>
  <c r="U11" i="33"/>
  <c r="H198" i="33" s="1"/>
  <c r="T11" i="33"/>
  <c r="G198" i="33" s="1"/>
  <c r="M11" i="33"/>
  <c r="G197" i="33" s="1"/>
  <c r="G11" i="33"/>
  <c r="H196" i="33" s="1"/>
  <c r="F11" i="33"/>
  <c r="G196" i="33" s="1"/>
  <c r="U10" i="33"/>
  <c r="H185" i="33" s="1"/>
  <c r="T10" i="33"/>
  <c r="G185" i="33" s="1"/>
  <c r="N10" i="33"/>
  <c r="H184" i="33" s="1"/>
  <c r="M10" i="33"/>
  <c r="G184" i="33" s="1"/>
  <c r="G10" i="33"/>
  <c r="H183" i="33" s="1"/>
  <c r="F10" i="33"/>
  <c r="G183" i="33" s="1"/>
  <c r="U9" i="33"/>
  <c r="H172" i="33" s="1"/>
  <c r="T9" i="33"/>
  <c r="G172" i="33" s="1"/>
  <c r="N9" i="33"/>
  <c r="H171" i="33" s="1"/>
  <c r="M9" i="33"/>
  <c r="G171" i="33" s="1"/>
  <c r="G9" i="33"/>
  <c r="H170" i="33" s="1"/>
  <c r="F9" i="33"/>
  <c r="G170" i="33" s="1"/>
  <c r="U8" i="33"/>
  <c r="H159" i="33" s="1"/>
  <c r="T8" i="33"/>
  <c r="G159" i="33" s="1"/>
  <c r="N8" i="33"/>
  <c r="H158" i="33" s="1"/>
  <c r="M8" i="33"/>
  <c r="G158" i="33" s="1"/>
  <c r="G8" i="33"/>
  <c r="H157" i="33" s="1"/>
  <c r="F8" i="33"/>
  <c r="G157" i="33" s="1"/>
  <c r="U7" i="33"/>
  <c r="H146" i="33" s="1"/>
  <c r="T7" i="33"/>
  <c r="G146" i="33" s="1"/>
  <c r="N7" i="33"/>
  <c r="H145" i="33" s="1"/>
  <c r="M7" i="33"/>
  <c r="G145" i="33" s="1"/>
  <c r="G7" i="33"/>
  <c r="H144" i="33" s="1"/>
  <c r="F7" i="33"/>
  <c r="G144" i="33" s="1"/>
  <c r="U6" i="33"/>
  <c r="H133" i="33" s="1"/>
  <c r="T6" i="33"/>
  <c r="G133" i="33" s="1"/>
  <c r="N6" i="33"/>
  <c r="H132" i="33" s="1"/>
  <c r="M6" i="33"/>
  <c r="G132" i="33" s="1"/>
  <c r="G6" i="33"/>
  <c r="H131" i="33" s="1"/>
  <c r="F6" i="33"/>
  <c r="G131" i="33" s="1"/>
  <c r="P4" i="33"/>
  <c r="I4" i="33"/>
  <c r="V378" i="32"/>
  <c r="V377" i="32"/>
  <c r="T378" i="32"/>
  <c r="T377" i="32"/>
  <c r="A389" i="32"/>
  <c r="B373" i="32" s="1"/>
  <c r="H373" i="32" s="1"/>
  <c r="T373" i="32" s="1"/>
  <c r="K409" i="32"/>
  <c r="J409" i="32"/>
  <c r="I409" i="32"/>
  <c r="K408" i="32"/>
  <c r="J408" i="32"/>
  <c r="K407" i="32"/>
  <c r="J407" i="32"/>
  <c r="I407" i="32"/>
  <c r="K406" i="32"/>
  <c r="J406" i="32"/>
  <c r="I406" i="32"/>
  <c r="K405" i="32"/>
  <c r="J405" i="32"/>
  <c r="I405" i="32"/>
  <c r="K404" i="32"/>
  <c r="J404" i="32"/>
  <c r="I404" i="32"/>
  <c r="K403" i="32"/>
  <c r="J403" i="32"/>
  <c r="I403" i="32"/>
  <c r="K402" i="32"/>
  <c r="J402" i="32"/>
  <c r="I402" i="32"/>
  <c r="K401" i="32"/>
  <c r="J401" i="32"/>
  <c r="I401" i="32"/>
  <c r="K400" i="32"/>
  <c r="J400" i="32"/>
  <c r="I400" i="32"/>
  <c r="K399" i="32"/>
  <c r="J399" i="32"/>
  <c r="I399" i="32"/>
  <c r="K398" i="32"/>
  <c r="J398" i="32"/>
  <c r="I398" i="32"/>
  <c r="K397" i="32"/>
  <c r="J397" i="32"/>
  <c r="I397" i="32"/>
  <c r="K396" i="32"/>
  <c r="J396" i="32"/>
  <c r="I396" i="32"/>
  <c r="K395" i="32"/>
  <c r="J395" i="32"/>
  <c r="I395" i="32"/>
  <c r="K394" i="32"/>
  <c r="J394" i="32"/>
  <c r="I394" i="32"/>
  <c r="K393" i="32"/>
  <c r="J393" i="32"/>
  <c r="I393" i="32"/>
  <c r="K392" i="32"/>
  <c r="J392" i="32"/>
  <c r="I392" i="32"/>
  <c r="K391" i="32"/>
  <c r="J391" i="32"/>
  <c r="I391" i="32"/>
  <c r="K390" i="32"/>
  <c r="J390" i="32"/>
  <c r="I390" i="32"/>
  <c r="V371" i="32"/>
  <c r="U371" i="32"/>
  <c r="T371" i="32"/>
  <c r="S371" i="32"/>
  <c r="N371" i="32"/>
  <c r="M371" i="32"/>
  <c r="L371" i="32"/>
  <c r="K371" i="32"/>
  <c r="F371" i="32"/>
  <c r="E371" i="32"/>
  <c r="D371" i="32"/>
  <c r="C371" i="32"/>
  <c r="V370" i="32"/>
  <c r="U370" i="32"/>
  <c r="T370" i="32"/>
  <c r="S370" i="32"/>
  <c r="N370" i="32"/>
  <c r="M370" i="32"/>
  <c r="L370" i="32"/>
  <c r="K370" i="32"/>
  <c r="F370" i="32"/>
  <c r="E370" i="32"/>
  <c r="D370" i="32"/>
  <c r="C370" i="32"/>
  <c r="V369" i="32"/>
  <c r="U369" i="32"/>
  <c r="T369" i="32"/>
  <c r="S369" i="32"/>
  <c r="N369" i="32"/>
  <c r="M369" i="32"/>
  <c r="L369" i="32"/>
  <c r="K369" i="32"/>
  <c r="F369" i="32"/>
  <c r="E369" i="32"/>
  <c r="D369" i="32"/>
  <c r="C369" i="32"/>
  <c r="V368" i="32"/>
  <c r="U368" i="32"/>
  <c r="T368" i="32"/>
  <c r="S368" i="32"/>
  <c r="O368" i="32"/>
  <c r="N368" i="32"/>
  <c r="M368" i="32"/>
  <c r="L368" i="32"/>
  <c r="K368" i="32"/>
  <c r="F368" i="32"/>
  <c r="E368" i="32"/>
  <c r="D368" i="32"/>
  <c r="C368" i="32"/>
  <c r="V367" i="32"/>
  <c r="U367" i="32"/>
  <c r="T367" i="32"/>
  <c r="S367" i="32"/>
  <c r="N367" i="32"/>
  <c r="M367" i="32"/>
  <c r="L367" i="32"/>
  <c r="K367" i="32"/>
  <c r="F367" i="32"/>
  <c r="E367" i="32"/>
  <c r="D367" i="32"/>
  <c r="C367" i="32"/>
  <c r="V366" i="32"/>
  <c r="U366" i="32"/>
  <c r="T366" i="32"/>
  <c r="S366" i="32"/>
  <c r="N366" i="32"/>
  <c r="M366" i="32"/>
  <c r="L366" i="32"/>
  <c r="K366" i="32"/>
  <c r="F366" i="32"/>
  <c r="E366" i="32"/>
  <c r="D366" i="32"/>
  <c r="C366" i="32"/>
  <c r="V365" i="32"/>
  <c r="U365" i="32"/>
  <c r="T365" i="32"/>
  <c r="S365" i="32"/>
  <c r="N365" i="32"/>
  <c r="M365" i="32"/>
  <c r="L365" i="32"/>
  <c r="K365" i="32"/>
  <c r="F365" i="32"/>
  <c r="E365" i="32"/>
  <c r="D365" i="32"/>
  <c r="C365" i="32"/>
  <c r="V364" i="32"/>
  <c r="U364" i="32"/>
  <c r="T364" i="32"/>
  <c r="S364" i="32"/>
  <c r="N364" i="32"/>
  <c r="M364" i="32"/>
  <c r="L364" i="32"/>
  <c r="K364" i="32"/>
  <c r="F364" i="32"/>
  <c r="E364" i="32"/>
  <c r="D364" i="32"/>
  <c r="C364" i="32"/>
  <c r="V363" i="32"/>
  <c r="U363" i="32"/>
  <c r="T363" i="32"/>
  <c r="S363" i="32"/>
  <c r="N363" i="32"/>
  <c r="M363" i="32"/>
  <c r="L363" i="32"/>
  <c r="K363" i="32"/>
  <c r="F363" i="32"/>
  <c r="E363" i="32"/>
  <c r="D363" i="32"/>
  <c r="C363" i="32"/>
  <c r="V362" i="32"/>
  <c r="U362" i="32"/>
  <c r="T362" i="32"/>
  <c r="S362" i="32"/>
  <c r="N362" i="32"/>
  <c r="M362" i="32"/>
  <c r="L362" i="32"/>
  <c r="K362" i="32"/>
  <c r="G362" i="32"/>
  <c r="F362" i="32"/>
  <c r="E362" i="32"/>
  <c r="D362" i="32"/>
  <c r="C362" i="32"/>
  <c r="V361" i="32"/>
  <c r="U361" i="32"/>
  <c r="T361" i="32"/>
  <c r="S361" i="32"/>
  <c r="N361" i="32"/>
  <c r="M361" i="32"/>
  <c r="L361" i="32"/>
  <c r="K361" i="32"/>
  <c r="F361" i="32"/>
  <c r="E361" i="32"/>
  <c r="D361" i="32"/>
  <c r="C361" i="32"/>
  <c r="V360" i="32"/>
  <c r="U360" i="32"/>
  <c r="T360" i="32"/>
  <c r="S360" i="32"/>
  <c r="N360" i="32"/>
  <c r="M360" i="32"/>
  <c r="L360" i="32"/>
  <c r="K360" i="32"/>
  <c r="F360" i="32"/>
  <c r="E360" i="32"/>
  <c r="D360" i="32"/>
  <c r="C360" i="32"/>
  <c r="V359" i="32"/>
  <c r="U359" i="32"/>
  <c r="T359" i="32"/>
  <c r="S359" i="32"/>
  <c r="N359" i="32"/>
  <c r="M359" i="32"/>
  <c r="L359" i="32"/>
  <c r="K359" i="32"/>
  <c r="F359" i="32"/>
  <c r="E359" i="32"/>
  <c r="D359" i="32"/>
  <c r="C359" i="32"/>
  <c r="V358" i="32"/>
  <c r="U358" i="32"/>
  <c r="T358" i="32"/>
  <c r="S358" i="32"/>
  <c r="N358" i="32"/>
  <c r="M358" i="32"/>
  <c r="L358" i="32"/>
  <c r="K358" i="32"/>
  <c r="F358" i="32"/>
  <c r="E358" i="32"/>
  <c r="D358" i="32"/>
  <c r="C358" i="32"/>
  <c r="W357" i="32"/>
  <c r="V357" i="32"/>
  <c r="U357" i="32"/>
  <c r="T357" i="32"/>
  <c r="S357" i="32"/>
  <c r="N357" i="32"/>
  <c r="M357" i="32"/>
  <c r="L357" i="32"/>
  <c r="K357" i="32"/>
  <c r="F357" i="32"/>
  <c r="E357" i="32"/>
  <c r="D357" i="32"/>
  <c r="C357" i="32"/>
  <c r="V356" i="32"/>
  <c r="U356" i="32"/>
  <c r="T356" i="32"/>
  <c r="S356" i="32"/>
  <c r="N356" i="32"/>
  <c r="M356" i="32"/>
  <c r="L356" i="32"/>
  <c r="K356" i="32"/>
  <c r="F356" i="32"/>
  <c r="E356" i="32"/>
  <c r="D356" i="32"/>
  <c r="C356" i="32"/>
  <c r="V355" i="32"/>
  <c r="U355" i="32"/>
  <c r="T355" i="32"/>
  <c r="S355" i="32"/>
  <c r="N355" i="32"/>
  <c r="M355" i="32"/>
  <c r="L355" i="32"/>
  <c r="K355" i="32"/>
  <c r="F355" i="32"/>
  <c r="E355" i="32"/>
  <c r="D355" i="32"/>
  <c r="C355" i="32"/>
  <c r="V354" i="32"/>
  <c r="U354" i="32"/>
  <c r="T354" i="32"/>
  <c r="S354" i="32"/>
  <c r="N354" i="32"/>
  <c r="M354" i="32"/>
  <c r="L354" i="32"/>
  <c r="K354" i="32"/>
  <c r="F354" i="32"/>
  <c r="E354" i="32"/>
  <c r="D354" i="32"/>
  <c r="C354" i="32"/>
  <c r="V353" i="32"/>
  <c r="U353" i="32"/>
  <c r="T353" i="32"/>
  <c r="S353" i="32"/>
  <c r="N353" i="32"/>
  <c r="M353" i="32"/>
  <c r="L353" i="32"/>
  <c r="K353" i="32"/>
  <c r="F353" i="32"/>
  <c r="E353" i="32"/>
  <c r="D353" i="32"/>
  <c r="C353" i="32"/>
  <c r="V352" i="32"/>
  <c r="U352" i="32"/>
  <c r="T352" i="32"/>
  <c r="S352" i="32"/>
  <c r="N352" i="32"/>
  <c r="M352" i="32"/>
  <c r="L352" i="32"/>
  <c r="K352" i="32"/>
  <c r="F352" i="32"/>
  <c r="E352" i="32"/>
  <c r="D352" i="32"/>
  <c r="C352" i="32"/>
  <c r="V350" i="32"/>
  <c r="U350" i="32"/>
  <c r="T350" i="32"/>
  <c r="S350" i="32"/>
  <c r="O350" i="32"/>
  <c r="N350" i="32"/>
  <c r="M350" i="32"/>
  <c r="L350" i="32"/>
  <c r="K350" i="32"/>
  <c r="F350" i="32"/>
  <c r="E350" i="32"/>
  <c r="D350" i="32"/>
  <c r="C350" i="32"/>
  <c r="V349" i="32"/>
  <c r="U349" i="32"/>
  <c r="T349" i="32"/>
  <c r="S349" i="32"/>
  <c r="N349" i="32"/>
  <c r="M349" i="32"/>
  <c r="L349" i="32"/>
  <c r="K349" i="32"/>
  <c r="F349" i="32"/>
  <c r="E349" i="32"/>
  <c r="D349" i="32"/>
  <c r="C349" i="32"/>
  <c r="W348" i="32"/>
  <c r="V348" i="32"/>
  <c r="U348" i="32"/>
  <c r="T348" i="32"/>
  <c r="S348" i="32"/>
  <c r="N348" i="32"/>
  <c r="M348" i="32"/>
  <c r="L348" i="32"/>
  <c r="K348" i="32"/>
  <c r="F348" i="32"/>
  <c r="E348" i="32"/>
  <c r="D348" i="32"/>
  <c r="C348" i="32"/>
  <c r="V347" i="32"/>
  <c r="U347" i="32"/>
  <c r="T347" i="32"/>
  <c r="S347" i="32"/>
  <c r="N347" i="32"/>
  <c r="M347" i="32"/>
  <c r="L347" i="32"/>
  <c r="K347" i="32"/>
  <c r="F347" i="32"/>
  <c r="E347" i="32"/>
  <c r="D347" i="32"/>
  <c r="C347" i="32"/>
  <c r="V346" i="32"/>
  <c r="U346" i="32"/>
  <c r="T346" i="32"/>
  <c r="S346" i="32"/>
  <c r="N346" i="32"/>
  <c r="M346" i="32"/>
  <c r="L346" i="32"/>
  <c r="K346" i="32"/>
  <c r="G346" i="32"/>
  <c r="F346" i="32"/>
  <c r="E346" i="32"/>
  <c r="D346" i="32"/>
  <c r="C346" i="32"/>
  <c r="V345" i="32"/>
  <c r="U345" i="32"/>
  <c r="T345" i="32"/>
  <c r="S345" i="32"/>
  <c r="N345" i="32"/>
  <c r="M345" i="32"/>
  <c r="L345" i="32"/>
  <c r="K345" i="32"/>
  <c r="F345" i="32"/>
  <c r="E345" i="32"/>
  <c r="D345" i="32"/>
  <c r="C345" i="32"/>
  <c r="V344" i="32"/>
  <c r="U344" i="32"/>
  <c r="T344" i="32"/>
  <c r="S344" i="32"/>
  <c r="N344" i="32"/>
  <c r="M344" i="32"/>
  <c r="L344" i="32"/>
  <c r="K344" i="32"/>
  <c r="F344" i="32"/>
  <c r="E344" i="32"/>
  <c r="D344" i="32"/>
  <c r="C344" i="32"/>
  <c r="V343" i="32"/>
  <c r="U343" i="32"/>
  <c r="T343" i="32"/>
  <c r="S343" i="32"/>
  <c r="N343" i="32"/>
  <c r="M343" i="32"/>
  <c r="L343" i="32"/>
  <c r="K343" i="32"/>
  <c r="F343" i="32"/>
  <c r="E343" i="32"/>
  <c r="D343" i="32"/>
  <c r="C343" i="32"/>
  <c r="V342" i="32"/>
  <c r="U342" i="32"/>
  <c r="T342" i="32"/>
  <c r="S342" i="32"/>
  <c r="N342" i="32"/>
  <c r="M342" i="32"/>
  <c r="L342" i="32"/>
  <c r="K342" i="32"/>
  <c r="F342" i="32"/>
  <c r="E342" i="32"/>
  <c r="D342" i="32"/>
  <c r="C342" i="32"/>
  <c r="V341" i="32"/>
  <c r="U341" i="32"/>
  <c r="T341" i="32"/>
  <c r="S341" i="32"/>
  <c r="N341" i="32"/>
  <c r="M341" i="32"/>
  <c r="L341" i="32"/>
  <c r="K341" i="32"/>
  <c r="F341" i="32"/>
  <c r="E341" i="32"/>
  <c r="D341" i="32"/>
  <c r="C341" i="32"/>
  <c r="V340" i="32"/>
  <c r="U340" i="32"/>
  <c r="T340" i="32"/>
  <c r="S340" i="32"/>
  <c r="N340" i="32"/>
  <c r="M340" i="32"/>
  <c r="L340" i="32"/>
  <c r="K340" i="32"/>
  <c r="F340" i="32"/>
  <c r="E340" i="32"/>
  <c r="D340" i="32"/>
  <c r="C340" i="32"/>
  <c r="W339" i="32"/>
  <c r="V339" i="32"/>
  <c r="U339" i="32"/>
  <c r="T339" i="32"/>
  <c r="S339" i="32"/>
  <c r="N339" i="32"/>
  <c r="M339" i="32"/>
  <c r="L339" i="32"/>
  <c r="K339" i="32"/>
  <c r="F339" i="32"/>
  <c r="E339" i="32"/>
  <c r="D339" i="32"/>
  <c r="C339" i="32"/>
  <c r="V338" i="32"/>
  <c r="U338" i="32"/>
  <c r="T338" i="32"/>
  <c r="S338" i="32"/>
  <c r="N338" i="32"/>
  <c r="M338" i="32"/>
  <c r="L338" i="32"/>
  <c r="K338" i="32"/>
  <c r="F338" i="32"/>
  <c r="E338" i="32"/>
  <c r="D338" i="32"/>
  <c r="C338" i="32"/>
  <c r="V337" i="32"/>
  <c r="U337" i="32"/>
  <c r="T337" i="32"/>
  <c r="S337" i="32"/>
  <c r="N337" i="32"/>
  <c r="M337" i="32"/>
  <c r="L337" i="32"/>
  <c r="K337" i="32"/>
  <c r="F337" i="32"/>
  <c r="E337" i="32"/>
  <c r="D337" i="32"/>
  <c r="C337" i="32"/>
  <c r="V336" i="32"/>
  <c r="U336" i="32"/>
  <c r="T336" i="32"/>
  <c r="S336" i="32"/>
  <c r="N336" i="32"/>
  <c r="M336" i="32"/>
  <c r="L336" i="32"/>
  <c r="K336" i="32"/>
  <c r="F336" i="32"/>
  <c r="E336" i="32"/>
  <c r="D336" i="32"/>
  <c r="C336" i="32"/>
  <c r="V335" i="32"/>
  <c r="U335" i="32"/>
  <c r="T335" i="32"/>
  <c r="S335" i="32"/>
  <c r="O335" i="32"/>
  <c r="N335" i="32"/>
  <c r="M335" i="32"/>
  <c r="L335" i="32"/>
  <c r="K335" i="32"/>
  <c r="F335" i="32"/>
  <c r="E335" i="32"/>
  <c r="D335" i="32"/>
  <c r="C335" i="32"/>
  <c r="V334" i="32"/>
  <c r="U334" i="32"/>
  <c r="T334" i="32"/>
  <c r="S334" i="32"/>
  <c r="N334" i="32"/>
  <c r="M334" i="32"/>
  <c r="L334" i="32"/>
  <c r="K334" i="32"/>
  <c r="F334" i="32"/>
  <c r="E334" i="32"/>
  <c r="D334" i="32"/>
  <c r="C334" i="32"/>
  <c r="V333" i="32"/>
  <c r="U333" i="32"/>
  <c r="T333" i="32"/>
  <c r="S333" i="32"/>
  <c r="N333" i="32"/>
  <c r="M333" i="32"/>
  <c r="L333" i="32"/>
  <c r="K333" i="32"/>
  <c r="F333" i="32"/>
  <c r="E333" i="32"/>
  <c r="D333" i="32"/>
  <c r="C333" i="32"/>
  <c r="V332" i="32"/>
  <c r="U332" i="32"/>
  <c r="T332" i="32"/>
  <c r="S332" i="32"/>
  <c r="N332" i="32"/>
  <c r="M332" i="32"/>
  <c r="L332" i="32"/>
  <c r="K332" i="32"/>
  <c r="F332" i="32"/>
  <c r="E332" i="32"/>
  <c r="D332" i="32"/>
  <c r="C332" i="32"/>
  <c r="V331" i="32"/>
  <c r="U331" i="32"/>
  <c r="T331" i="32"/>
  <c r="S331" i="32"/>
  <c r="N331" i="32"/>
  <c r="M331" i="32"/>
  <c r="L331" i="32"/>
  <c r="K331" i="32"/>
  <c r="F331" i="32"/>
  <c r="E331" i="32"/>
  <c r="D331" i="32"/>
  <c r="C331" i="32"/>
  <c r="V329" i="32"/>
  <c r="U329" i="32"/>
  <c r="T329" i="32"/>
  <c r="S329" i="32"/>
  <c r="N329" i="32"/>
  <c r="M329" i="32"/>
  <c r="L329" i="32"/>
  <c r="K329" i="32"/>
  <c r="F329" i="32"/>
  <c r="E329" i="32"/>
  <c r="D329" i="32"/>
  <c r="C329" i="32"/>
  <c r="V328" i="32"/>
  <c r="U328" i="32"/>
  <c r="T328" i="32"/>
  <c r="S328" i="32"/>
  <c r="N328" i="32"/>
  <c r="M328" i="32"/>
  <c r="L328" i="32"/>
  <c r="K328" i="32"/>
  <c r="G328" i="32"/>
  <c r="F328" i="32"/>
  <c r="E328" i="32"/>
  <c r="D328" i="32"/>
  <c r="C328" i="32"/>
  <c r="V327" i="32"/>
  <c r="U327" i="32"/>
  <c r="T327" i="32"/>
  <c r="S327" i="32"/>
  <c r="N327" i="32"/>
  <c r="M327" i="32"/>
  <c r="L327" i="32"/>
  <c r="K327" i="32"/>
  <c r="F327" i="32"/>
  <c r="E327" i="32"/>
  <c r="D327" i="32"/>
  <c r="C327" i="32"/>
  <c r="V326" i="32"/>
  <c r="U326" i="32"/>
  <c r="T326" i="32"/>
  <c r="S326" i="32"/>
  <c r="O326" i="32"/>
  <c r="N326" i="32"/>
  <c r="M326" i="32"/>
  <c r="L326" i="32"/>
  <c r="K326" i="32"/>
  <c r="F326" i="32"/>
  <c r="E326" i="32"/>
  <c r="D326" i="32"/>
  <c r="C326" i="32"/>
  <c r="V325" i="32"/>
  <c r="U325" i="32"/>
  <c r="T325" i="32"/>
  <c r="S325" i="32"/>
  <c r="N325" i="32"/>
  <c r="M325" i="32"/>
  <c r="L325" i="32"/>
  <c r="K325" i="32"/>
  <c r="F325" i="32"/>
  <c r="E325" i="32"/>
  <c r="D325" i="32"/>
  <c r="C325" i="32"/>
  <c r="V324" i="32"/>
  <c r="U324" i="32"/>
  <c r="T324" i="32"/>
  <c r="S324" i="32"/>
  <c r="N324" i="32"/>
  <c r="M324" i="32"/>
  <c r="L324" i="32"/>
  <c r="K324" i="32"/>
  <c r="F324" i="32"/>
  <c r="E324" i="32"/>
  <c r="D324" i="32"/>
  <c r="C324" i="32"/>
  <c r="W323" i="32"/>
  <c r="V323" i="32"/>
  <c r="U323" i="32"/>
  <c r="T323" i="32"/>
  <c r="S323" i="32"/>
  <c r="N323" i="32"/>
  <c r="M323" i="32"/>
  <c r="L323" i="32"/>
  <c r="K323" i="32"/>
  <c r="F323" i="32"/>
  <c r="E323" i="32"/>
  <c r="D323" i="32"/>
  <c r="C323" i="32"/>
  <c r="V322" i="32"/>
  <c r="U322" i="32"/>
  <c r="T322" i="32"/>
  <c r="S322" i="32"/>
  <c r="N322" i="32"/>
  <c r="M322" i="32"/>
  <c r="L322" i="32"/>
  <c r="K322" i="32"/>
  <c r="F322" i="32"/>
  <c r="E322" i="32"/>
  <c r="D322" i="32"/>
  <c r="C322" i="32"/>
  <c r="V321" i="32"/>
  <c r="U321" i="32"/>
  <c r="T321" i="32"/>
  <c r="S321" i="32"/>
  <c r="N321" i="32"/>
  <c r="M321" i="32"/>
  <c r="L321" i="32"/>
  <c r="K321" i="32"/>
  <c r="F321" i="32"/>
  <c r="E321" i="32"/>
  <c r="D321" i="32"/>
  <c r="C321" i="32"/>
  <c r="V320" i="32"/>
  <c r="U320" i="32"/>
  <c r="T320" i="32"/>
  <c r="S320" i="32"/>
  <c r="N320" i="32"/>
  <c r="M320" i="32"/>
  <c r="L320" i="32"/>
  <c r="K320" i="32"/>
  <c r="F320" i="32"/>
  <c r="E320" i="32"/>
  <c r="D320" i="32"/>
  <c r="C320" i="32"/>
  <c r="V319" i="32"/>
  <c r="U319" i="32"/>
  <c r="T319" i="32"/>
  <c r="S319" i="32"/>
  <c r="N319" i="32"/>
  <c r="M319" i="32"/>
  <c r="L319" i="32"/>
  <c r="K319" i="32"/>
  <c r="F319" i="32"/>
  <c r="E319" i="32"/>
  <c r="D319" i="32"/>
  <c r="C319" i="32"/>
  <c r="V318" i="32"/>
  <c r="U318" i="32"/>
  <c r="T318" i="32"/>
  <c r="S318" i="32"/>
  <c r="N318" i="32"/>
  <c r="M318" i="32"/>
  <c r="L318" i="32"/>
  <c r="K318" i="32"/>
  <c r="F318" i="32"/>
  <c r="E318" i="32"/>
  <c r="D318" i="32"/>
  <c r="C318" i="32"/>
  <c r="V317" i="32"/>
  <c r="U317" i="32"/>
  <c r="T317" i="32"/>
  <c r="S317" i="32"/>
  <c r="O317" i="32"/>
  <c r="N317" i="32"/>
  <c r="M317" i="32"/>
  <c r="L317" i="32"/>
  <c r="K317" i="32"/>
  <c r="F317" i="32"/>
  <c r="E317" i="32"/>
  <c r="D317" i="32"/>
  <c r="C317" i="32"/>
  <c r="V316" i="32"/>
  <c r="U316" i="32"/>
  <c r="T316" i="32"/>
  <c r="S316" i="32"/>
  <c r="N316" i="32"/>
  <c r="M316" i="32"/>
  <c r="L316" i="32"/>
  <c r="K316" i="32"/>
  <c r="F316" i="32"/>
  <c r="E316" i="32"/>
  <c r="D316" i="32"/>
  <c r="C316" i="32"/>
  <c r="V315" i="32"/>
  <c r="U315" i="32"/>
  <c r="T315" i="32"/>
  <c r="S315" i="32"/>
  <c r="N315" i="32"/>
  <c r="M315" i="32"/>
  <c r="L315" i="32"/>
  <c r="K315" i="32"/>
  <c r="F315" i="32"/>
  <c r="E315" i="32"/>
  <c r="D315" i="32"/>
  <c r="C315" i="32"/>
  <c r="V314" i="32"/>
  <c r="U314" i="32"/>
  <c r="T314" i="32"/>
  <c r="S314" i="32"/>
  <c r="N314" i="32"/>
  <c r="M314" i="32"/>
  <c r="L314" i="32"/>
  <c r="K314" i="32"/>
  <c r="F314" i="32"/>
  <c r="E314" i="32"/>
  <c r="D314" i="32"/>
  <c r="C314" i="32"/>
  <c r="V313" i="32"/>
  <c r="U313" i="32"/>
  <c r="T313" i="32"/>
  <c r="S313" i="32"/>
  <c r="N313" i="32"/>
  <c r="M313" i="32"/>
  <c r="L313" i="32"/>
  <c r="K313" i="32"/>
  <c r="G313" i="32"/>
  <c r="F313" i="32"/>
  <c r="E313" i="32"/>
  <c r="D313" i="32"/>
  <c r="C313" i="32"/>
  <c r="V312" i="32"/>
  <c r="U312" i="32"/>
  <c r="T312" i="32"/>
  <c r="S312" i="32"/>
  <c r="N312" i="32"/>
  <c r="M312" i="32"/>
  <c r="L312" i="32"/>
  <c r="K312" i="32"/>
  <c r="F312" i="32"/>
  <c r="E312" i="32"/>
  <c r="D312" i="32"/>
  <c r="C312" i="32"/>
  <c r="V311" i="32"/>
  <c r="U311" i="32"/>
  <c r="T311" i="32"/>
  <c r="S311" i="32"/>
  <c r="N311" i="32"/>
  <c r="M311" i="32"/>
  <c r="L311" i="32"/>
  <c r="K311" i="32"/>
  <c r="F311" i="32"/>
  <c r="E311" i="32"/>
  <c r="D311" i="32"/>
  <c r="C311" i="32"/>
  <c r="V310" i="32"/>
  <c r="U310" i="32"/>
  <c r="T310" i="32"/>
  <c r="S310" i="32"/>
  <c r="N310" i="32"/>
  <c r="M310" i="32"/>
  <c r="L310" i="32"/>
  <c r="K310" i="32"/>
  <c r="F310" i="32"/>
  <c r="E310" i="32"/>
  <c r="D310" i="32"/>
  <c r="C310" i="32"/>
  <c r="V308" i="32"/>
  <c r="U308" i="32"/>
  <c r="T308" i="32"/>
  <c r="S308" i="32"/>
  <c r="N308" i="32"/>
  <c r="M308" i="32"/>
  <c r="L308" i="32"/>
  <c r="K308" i="32"/>
  <c r="F308" i="32"/>
  <c r="E308" i="32"/>
  <c r="D308" i="32"/>
  <c r="C308" i="32"/>
  <c r="V307" i="32"/>
  <c r="U307" i="32"/>
  <c r="T307" i="32"/>
  <c r="S307" i="32"/>
  <c r="N307" i="32"/>
  <c r="M307" i="32"/>
  <c r="L307" i="32"/>
  <c r="K307" i="32"/>
  <c r="F307" i="32"/>
  <c r="E307" i="32"/>
  <c r="D307" i="32"/>
  <c r="C307" i="32"/>
  <c r="V306" i="32"/>
  <c r="U306" i="32"/>
  <c r="T306" i="32"/>
  <c r="S306" i="32"/>
  <c r="N306" i="32"/>
  <c r="M306" i="32"/>
  <c r="L306" i="32"/>
  <c r="K306" i="32"/>
  <c r="F306" i="32"/>
  <c r="E306" i="32"/>
  <c r="D306" i="32"/>
  <c r="C306" i="32"/>
  <c r="W305" i="32"/>
  <c r="V305" i="32"/>
  <c r="U305" i="32"/>
  <c r="T305" i="32"/>
  <c r="S305" i="32"/>
  <c r="N305" i="32"/>
  <c r="M305" i="32"/>
  <c r="L305" i="32"/>
  <c r="K305" i="32"/>
  <c r="F305" i="32"/>
  <c r="E305" i="32"/>
  <c r="D305" i="32"/>
  <c r="C305" i="32"/>
  <c r="V304" i="32"/>
  <c r="U304" i="32"/>
  <c r="T304" i="32"/>
  <c r="S304" i="32"/>
  <c r="N304" i="32"/>
  <c r="M304" i="32"/>
  <c r="L304" i="32"/>
  <c r="K304" i="32"/>
  <c r="F304" i="32"/>
  <c r="E304" i="32"/>
  <c r="D304" i="32"/>
  <c r="C304" i="32"/>
  <c r="V303" i="32"/>
  <c r="U303" i="32"/>
  <c r="T303" i="32"/>
  <c r="S303" i="32"/>
  <c r="N303" i="32"/>
  <c r="M303" i="32"/>
  <c r="L303" i="32"/>
  <c r="K303" i="32"/>
  <c r="F303" i="32"/>
  <c r="E303" i="32"/>
  <c r="D303" i="32"/>
  <c r="C303" i="32"/>
  <c r="V302" i="32"/>
  <c r="U302" i="32"/>
  <c r="T302" i="32"/>
  <c r="S302" i="32"/>
  <c r="N302" i="32"/>
  <c r="M302" i="32"/>
  <c r="L302" i="32"/>
  <c r="K302" i="32"/>
  <c r="F302" i="32"/>
  <c r="E302" i="32"/>
  <c r="D302" i="32"/>
  <c r="C302" i="32"/>
  <c r="V301" i="32"/>
  <c r="U301" i="32"/>
  <c r="T301" i="32"/>
  <c r="S301" i="32"/>
  <c r="N301" i="32"/>
  <c r="M301" i="32"/>
  <c r="L301" i="32"/>
  <c r="K301" i="32"/>
  <c r="F301" i="32"/>
  <c r="E301" i="32"/>
  <c r="D301" i="32"/>
  <c r="C301" i="32"/>
  <c r="V300" i="32"/>
  <c r="U300" i="32"/>
  <c r="T300" i="32"/>
  <c r="S300" i="32"/>
  <c r="N300" i="32"/>
  <c r="M300" i="32"/>
  <c r="L300" i="32"/>
  <c r="K300" i="32"/>
  <c r="F300" i="32"/>
  <c r="E300" i="32"/>
  <c r="D300" i="32"/>
  <c r="C300" i="32"/>
  <c r="V299" i="32"/>
  <c r="U299" i="32"/>
  <c r="T299" i="32"/>
  <c r="S299" i="32"/>
  <c r="N299" i="32"/>
  <c r="M299" i="32"/>
  <c r="L299" i="32"/>
  <c r="K299" i="32"/>
  <c r="F299" i="32"/>
  <c r="E299" i="32"/>
  <c r="D299" i="32"/>
  <c r="C299" i="32"/>
  <c r="V298" i="32"/>
  <c r="U298" i="32"/>
  <c r="T298" i="32"/>
  <c r="S298" i="32"/>
  <c r="N298" i="32"/>
  <c r="M298" i="32"/>
  <c r="L298" i="32"/>
  <c r="K298" i="32"/>
  <c r="F298" i="32"/>
  <c r="E298" i="32"/>
  <c r="D298" i="32"/>
  <c r="C298" i="32"/>
  <c r="V297" i="32"/>
  <c r="U297" i="32"/>
  <c r="T297" i="32"/>
  <c r="S297" i="32"/>
  <c r="N297" i="32"/>
  <c r="M297" i="32"/>
  <c r="L297" i="32"/>
  <c r="K297" i="32"/>
  <c r="F297" i="32"/>
  <c r="E297" i="32"/>
  <c r="D297" i="32"/>
  <c r="C297" i="32"/>
  <c r="V296" i="32"/>
  <c r="U296" i="32"/>
  <c r="T296" i="32"/>
  <c r="S296" i="32"/>
  <c r="N296" i="32"/>
  <c r="M296" i="32"/>
  <c r="L296" i="32"/>
  <c r="K296" i="32"/>
  <c r="F296" i="32"/>
  <c r="E296" i="32"/>
  <c r="D296" i="32"/>
  <c r="C296" i="32"/>
  <c r="V295" i="32"/>
  <c r="U295" i="32"/>
  <c r="T295" i="32"/>
  <c r="S295" i="32"/>
  <c r="N295" i="32"/>
  <c r="M295" i="32"/>
  <c r="L295" i="32"/>
  <c r="K295" i="32"/>
  <c r="G295" i="32"/>
  <c r="F295" i="32"/>
  <c r="E295" i="32"/>
  <c r="D295" i="32"/>
  <c r="C295" i="32"/>
  <c r="V294" i="32"/>
  <c r="U294" i="32"/>
  <c r="T294" i="32"/>
  <c r="S294" i="32"/>
  <c r="N294" i="32"/>
  <c r="M294" i="32"/>
  <c r="L294" i="32"/>
  <c r="K294" i="32"/>
  <c r="F294" i="32"/>
  <c r="E294" i="32"/>
  <c r="D294" i="32"/>
  <c r="C294" i="32"/>
  <c r="V293" i="32"/>
  <c r="U293" i="32"/>
  <c r="T293" i="32"/>
  <c r="S293" i="32"/>
  <c r="N293" i="32"/>
  <c r="M293" i="32"/>
  <c r="L293" i="32"/>
  <c r="K293" i="32"/>
  <c r="F293" i="32"/>
  <c r="E293" i="32"/>
  <c r="D293" i="32"/>
  <c r="C293" i="32"/>
  <c r="Z292" i="32"/>
  <c r="V292" i="32"/>
  <c r="U292" i="32"/>
  <c r="T292" i="32"/>
  <c r="S292" i="32"/>
  <c r="N292" i="32"/>
  <c r="M292" i="32"/>
  <c r="L292" i="32"/>
  <c r="K292" i="32"/>
  <c r="F292" i="32"/>
  <c r="E292" i="32"/>
  <c r="D292" i="32"/>
  <c r="C292" i="32"/>
  <c r="Z291" i="32"/>
  <c r="V291" i="32"/>
  <c r="U291" i="32"/>
  <c r="T291" i="32"/>
  <c r="S291" i="32"/>
  <c r="N291" i="32"/>
  <c r="M291" i="32"/>
  <c r="L291" i="32"/>
  <c r="K291" i="32"/>
  <c r="F291" i="32"/>
  <c r="E291" i="32"/>
  <c r="D291" i="32"/>
  <c r="C291" i="32"/>
  <c r="Z290" i="32"/>
  <c r="V290" i="32"/>
  <c r="U290" i="32"/>
  <c r="T290" i="32"/>
  <c r="S290" i="32"/>
  <c r="O290" i="32"/>
  <c r="N290" i="32"/>
  <c r="M290" i="32"/>
  <c r="L290" i="32"/>
  <c r="K290" i="32"/>
  <c r="F290" i="32"/>
  <c r="E290" i="32"/>
  <c r="D290" i="32"/>
  <c r="C290" i="32"/>
  <c r="Z289" i="32"/>
  <c r="V289" i="32"/>
  <c r="U289" i="32"/>
  <c r="T289" i="32"/>
  <c r="S289" i="32"/>
  <c r="N289" i="32"/>
  <c r="M289" i="32"/>
  <c r="L289" i="32"/>
  <c r="K289" i="32"/>
  <c r="F289" i="32"/>
  <c r="E289" i="32"/>
  <c r="D289" i="32"/>
  <c r="C289" i="32"/>
  <c r="Z288" i="32"/>
  <c r="Z287" i="32"/>
  <c r="V287" i="32"/>
  <c r="U287" i="32"/>
  <c r="T287" i="32"/>
  <c r="S287" i="32"/>
  <c r="N287" i="32"/>
  <c r="M287" i="32"/>
  <c r="L287" i="32"/>
  <c r="K287" i="32"/>
  <c r="F287" i="32"/>
  <c r="E287" i="32"/>
  <c r="D287" i="32"/>
  <c r="C287" i="32"/>
  <c r="Z286" i="32"/>
  <c r="V286" i="32"/>
  <c r="U286" i="32"/>
  <c r="T286" i="32"/>
  <c r="S286" i="32"/>
  <c r="N286" i="32"/>
  <c r="M286" i="32"/>
  <c r="L286" i="32"/>
  <c r="K286" i="32"/>
  <c r="F286" i="32"/>
  <c r="E286" i="32"/>
  <c r="D286" i="32"/>
  <c r="C286" i="32"/>
  <c r="Z285" i="32"/>
  <c r="V285" i="32"/>
  <c r="U285" i="32"/>
  <c r="T285" i="32"/>
  <c r="S285" i="32"/>
  <c r="N285" i="32"/>
  <c r="M285" i="32"/>
  <c r="L285" i="32"/>
  <c r="K285" i="32"/>
  <c r="F285" i="32"/>
  <c r="E285" i="32"/>
  <c r="D285" i="32"/>
  <c r="C285" i="32"/>
  <c r="Z284" i="32"/>
  <c r="V284" i="32"/>
  <c r="U284" i="32"/>
  <c r="T284" i="32"/>
  <c r="S284" i="32"/>
  <c r="N284" i="32"/>
  <c r="M284" i="32"/>
  <c r="L284" i="32"/>
  <c r="K284" i="32"/>
  <c r="F284" i="32"/>
  <c r="E284" i="32"/>
  <c r="D284" i="32"/>
  <c r="C284" i="32"/>
  <c r="Z283" i="32"/>
  <c r="V283" i="32"/>
  <c r="U283" i="32"/>
  <c r="T283" i="32"/>
  <c r="S283" i="32"/>
  <c r="N283" i="32"/>
  <c r="M283" i="32"/>
  <c r="L283" i="32"/>
  <c r="K283" i="32"/>
  <c r="F283" i="32"/>
  <c r="E283" i="32"/>
  <c r="D283" i="32"/>
  <c r="C283" i="32"/>
  <c r="Z282" i="32"/>
  <c r="V282" i="32"/>
  <c r="U282" i="32"/>
  <c r="T282" i="32"/>
  <c r="S282" i="32"/>
  <c r="N282" i="32"/>
  <c r="M282" i="32"/>
  <c r="L282" i="32"/>
  <c r="K282" i="32"/>
  <c r="F282" i="32"/>
  <c r="E282" i="32"/>
  <c r="D282" i="32"/>
  <c r="C282" i="32"/>
  <c r="Z281" i="32"/>
  <c r="V281" i="32"/>
  <c r="U281" i="32"/>
  <c r="T281" i="32"/>
  <c r="S281" i="32"/>
  <c r="N281" i="32"/>
  <c r="M281" i="32"/>
  <c r="L281" i="32"/>
  <c r="K281" i="32"/>
  <c r="F281" i="32"/>
  <c r="E281" i="32"/>
  <c r="D281" i="32"/>
  <c r="C281" i="32"/>
  <c r="Z280" i="32"/>
  <c r="V280" i="32"/>
  <c r="U280" i="32"/>
  <c r="T280" i="32"/>
  <c r="S280" i="32"/>
  <c r="N280" i="32"/>
  <c r="M280" i="32"/>
  <c r="L280" i="32"/>
  <c r="K280" i="32"/>
  <c r="F280" i="32"/>
  <c r="E280" i="32"/>
  <c r="D280" i="32"/>
  <c r="C280" i="32"/>
  <c r="Z279" i="32"/>
  <c r="V279" i="32"/>
  <c r="U279" i="32"/>
  <c r="T279" i="32"/>
  <c r="S279" i="32"/>
  <c r="N279" i="32"/>
  <c r="M279" i="32"/>
  <c r="L279" i="32"/>
  <c r="K279" i="32"/>
  <c r="F279" i="32"/>
  <c r="E279" i="32"/>
  <c r="D279" i="32"/>
  <c r="C279" i="32"/>
  <c r="Z278" i="32"/>
  <c r="V278" i="32"/>
  <c r="U278" i="32"/>
  <c r="T278" i="32"/>
  <c r="S278" i="32"/>
  <c r="N278" i="32"/>
  <c r="M278" i="32"/>
  <c r="L278" i="32"/>
  <c r="K278" i="32"/>
  <c r="F278" i="32"/>
  <c r="E278" i="32"/>
  <c r="D278" i="32"/>
  <c r="C278" i="32"/>
  <c r="Z277" i="32"/>
  <c r="V277" i="32"/>
  <c r="U277" i="32"/>
  <c r="T277" i="32"/>
  <c r="S277" i="32"/>
  <c r="N277" i="32"/>
  <c r="M277" i="32"/>
  <c r="L277" i="32"/>
  <c r="K277" i="32"/>
  <c r="F277" i="32"/>
  <c r="E277" i="32"/>
  <c r="D277" i="32"/>
  <c r="C277" i="32"/>
  <c r="Z276" i="32"/>
  <c r="V276" i="32"/>
  <c r="U276" i="32"/>
  <c r="T276" i="32"/>
  <c r="S276" i="32"/>
  <c r="N276" i="32"/>
  <c r="M276" i="32"/>
  <c r="L276" i="32"/>
  <c r="K276" i="32"/>
  <c r="F276" i="32"/>
  <c r="E276" i="32"/>
  <c r="D276" i="32"/>
  <c r="C276" i="32"/>
  <c r="Z275" i="32"/>
  <c r="V275" i="32"/>
  <c r="U275" i="32"/>
  <c r="T275" i="32"/>
  <c r="S275" i="32"/>
  <c r="N275" i="32"/>
  <c r="M275" i="32"/>
  <c r="L275" i="32"/>
  <c r="K275" i="32"/>
  <c r="F275" i="32"/>
  <c r="E275" i="32"/>
  <c r="D275" i="32"/>
  <c r="C275" i="32"/>
  <c r="Z274" i="32"/>
  <c r="V274" i="32"/>
  <c r="U274" i="32"/>
  <c r="T274" i="32"/>
  <c r="S274" i="32"/>
  <c r="N274" i="32"/>
  <c r="M274" i="32"/>
  <c r="L274" i="32"/>
  <c r="K274" i="32"/>
  <c r="F274" i="32"/>
  <c r="E274" i="32"/>
  <c r="D274" i="32"/>
  <c r="C274" i="32"/>
  <c r="Z273" i="32"/>
  <c r="V273" i="32"/>
  <c r="U273" i="32"/>
  <c r="T273" i="32"/>
  <c r="S273" i="32"/>
  <c r="N273" i="32"/>
  <c r="M273" i="32"/>
  <c r="L273" i="32"/>
  <c r="K273" i="32"/>
  <c r="F273" i="32"/>
  <c r="E273" i="32"/>
  <c r="D273" i="32"/>
  <c r="C273" i="32"/>
  <c r="V272" i="32"/>
  <c r="U272" i="32"/>
  <c r="T272" i="32"/>
  <c r="S272" i="32"/>
  <c r="N272" i="32"/>
  <c r="M272" i="32"/>
  <c r="L272" i="32"/>
  <c r="K272" i="32"/>
  <c r="F272" i="32"/>
  <c r="E272" i="32"/>
  <c r="D272" i="32"/>
  <c r="C272" i="32"/>
  <c r="V271" i="32"/>
  <c r="U271" i="32"/>
  <c r="T271" i="32"/>
  <c r="S271" i="32"/>
  <c r="N271" i="32"/>
  <c r="M271" i="32"/>
  <c r="L271" i="32"/>
  <c r="K271" i="32"/>
  <c r="F271" i="32"/>
  <c r="E271" i="32"/>
  <c r="D271" i="32"/>
  <c r="C271" i="32"/>
  <c r="V270" i="32"/>
  <c r="U270" i="32"/>
  <c r="T270" i="32"/>
  <c r="S270" i="32"/>
  <c r="N270" i="32"/>
  <c r="M270" i="32"/>
  <c r="L270" i="32"/>
  <c r="K270" i="32"/>
  <c r="F270" i="32"/>
  <c r="E270" i="32"/>
  <c r="D270" i="32"/>
  <c r="C270" i="32"/>
  <c r="W269" i="32"/>
  <c r="V269" i="32"/>
  <c r="U269" i="32"/>
  <c r="T269" i="32"/>
  <c r="S269" i="32"/>
  <c r="N269" i="32"/>
  <c r="M269" i="32"/>
  <c r="L269" i="32"/>
  <c r="K269" i="32"/>
  <c r="F269" i="32"/>
  <c r="E269" i="32"/>
  <c r="D269" i="32"/>
  <c r="C269" i="32"/>
  <c r="Z268" i="32"/>
  <c r="V268" i="32"/>
  <c r="U268" i="32"/>
  <c r="T268" i="32"/>
  <c r="S268" i="32"/>
  <c r="N268" i="32"/>
  <c r="M268" i="32"/>
  <c r="L268" i="32"/>
  <c r="K268" i="32"/>
  <c r="F268" i="32"/>
  <c r="E268" i="32"/>
  <c r="D268" i="32"/>
  <c r="C268" i="32"/>
  <c r="Z267" i="32"/>
  <c r="Z266" i="32"/>
  <c r="V266" i="32"/>
  <c r="U266" i="32"/>
  <c r="T266" i="32"/>
  <c r="S266" i="32"/>
  <c r="N266" i="32"/>
  <c r="M266" i="32"/>
  <c r="L266" i="32"/>
  <c r="K266" i="32"/>
  <c r="F266" i="32"/>
  <c r="E266" i="32"/>
  <c r="D266" i="32"/>
  <c r="C266" i="32"/>
  <c r="Z265" i="32"/>
  <c r="V265" i="32"/>
  <c r="U265" i="32"/>
  <c r="T265" i="32"/>
  <c r="S265" i="32"/>
  <c r="N265" i="32"/>
  <c r="M265" i="32"/>
  <c r="L265" i="32"/>
  <c r="K265" i="32"/>
  <c r="F265" i="32"/>
  <c r="E265" i="32"/>
  <c r="D265" i="32"/>
  <c r="C265" i="32"/>
  <c r="Z264" i="32"/>
  <c r="V264" i="32"/>
  <c r="U264" i="32"/>
  <c r="T264" i="32"/>
  <c r="S264" i="32"/>
  <c r="N264" i="32"/>
  <c r="M264" i="32"/>
  <c r="L264" i="32"/>
  <c r="K264" i="32"/>
  <c r="F264" i="32"/>
  <c r="E264" i="32"/>
  <c r="D264" i="32"/>
  <c r="C264" i="32"/>
  <c r="Z263" i="32"/>
  <c r="V263" i="32"/>
  <c r="U263" i="32"/>
  <c r="T263" i="32"/>
  <c r="S263" i="32"/>
  <c r="N263" i="32"/>
  <c r="M263" i="32"/>
  <c r="L263" i="32"/>
  <c r="K263" i="32"/>
  <c r="F263" i="32"/>
  <c r="E263" i="32"/>
  <c r="D263" i="32"/>
  <c r="C263" i="32"/>
  <c r="Z262" i="32"/>
  <c r="V262" i="32"/>
  <c r="U262" i="32"/>
  <c r="T262" i="32"/>
  <c r="S262" i="32"/>
  <c r="N262" i="32"/>
  <c r="M262" i="32"/>
  <c r="L262" i="32"/>
  <c r="K262" i="32"/>
  <c r="F262" i="32"/>
  <c r="E262" i="32"/>
  <c r="D262" i="32"/>
  <c r="C262" i="32"/>
  <c r="Z261" i="32"/>
  <c r="V261" i="32"/>
  <c r="U261" i="32"/>
  <c r="T261" i="32"/>
  <c r="S261" i="32"/>
  <c r="N261" i="32"/>
  <c r="M261" i="32"/>
  <c r="L261" i="32"/>
  <c r="K261" i="32"/>
  <c r="F261" i="32"/>
  <c r="E261" i="32"/>
  <c r="D261" i="32"/>
  <c r="C261" i="32"/>
  <c r="Z260" i="32"/>
  <c r="V260" i="32"/>
  <c r="U260" i="32"/>
  <c r="T260" i="32"/>
  <c r="S260" i="32"/>
  <c r="N260" i="32"/>
  <c r="M260" i="32"/>
  <c r="L260" i="32"/>
  <c r="K260" i="32"/>
  <c r="F260" i="32"/>
  <c r="E260" i="32"/>
  <c r="D260" i="32"/>
  <c r="C260" i="32"/>
  <c r="Z259" i="32"/>
  <c r="V259" i="32"/>
  <c r="U259" i="32"/>
  <c r="T259" i="32"/>
  <c r="S259" i="32"/>
  <c r="N259" i="32"/>
  <c r="M259" i="32"/>
  <c r="L259" i="32"/>
  <c r="K259" i="32"/>
  <c r="F259" i="32"/>
  <c r="E259" i="32"/>
  <c r="D259" i="32"/>
  <c r="C259" i="32"/>
  <c r="Z258" i="32"/>
  <c r="V258" i="32"/>
  <c r="U258" i="32"/>
  <c r="T258" i="32"/>
  <c r="S258" i="32"/>
  <c r="N258" i="32"/>
  <c r="M258" i="32"/>
  <c r="L258" i="32"/>
  <c r="K258" i="32"/>
  <c r="F258" i="32"/>
  <c r="E258" i="32"/>
  <c r="D258" i="32"/>
  <c r="C258" i="32"/>
  <c r="Z257" i="32"/>
  <c r="V257" i="32"/>
  <c r="U257" i="32"/>
  <c r="T257" i="32"/>
  <c r="S257" i="32"/>
  <c r="N257" i="32"/>
  <c r="M257" i="32"/>
  <c r="L257" i="32"/>
  <c r="K257" i="32"/>
  <c r="F257" i="32"/>
  <c r="E257" i="32"/>
  <c r="D257" i="32"/>
  <c r="C257" i="32"/>
  <c r="Z256" i="32"/>
  <c r="V256" i="32"/>
  <c r="U256" i="32"/>
  <c r="T256" i="32"/>
  <c r="S256" i="32"/>
  <c r="N256" i="32"/>
  <c r="M256" i="32"/>
  <c r="L256" i="32"/>
  <c r="K256" i="32"/>
  <c r="F256" i="32"/>
  <c r="E256" i="32"/>
  <c r="D256" i="32"/>
  <c r="C256" i="32"/>
  <c r="Z255" i="32"/>
  <c r="V255" i="32"/>
  <c r="U255" i="32"/>
  <c r="T255" i="32"/>
  <c r="S255" i="32"/>
  <c r="N255" i="32"/>
  <c r="M255" i="32"/>
  <c r="L255" i="32"/>
  <c r="K255" i="32"/>
  <c r="F255" i="32"/>
  <c r="E255" i="32"/>
  <c r="D255" i="32"/>
  <c r="C255" i="32"/>
  <c r="Z254" i="32"/>
  <c r="V254" i="32"/>
  <c r="U254" i="32"/>
  <c r="T254" i="32"/>
  <c r="S254" i="32"/>
  <c r="N254" i="32"/>
  <c r="M254" i="32"/>
  <c r="L254" i="32"/>
  <c r="K254" i="32"/>
  <c r="F254" i="32"/>
  <c r="E254" i="32"/>
  <c r="D254" i="32"/>
  <c r="C254" i="32"/>
  <c r="Z253" i="32"/>
  <c r="V253" i="32"/>
  <c r="U253" i="32"/>
  <c r="T253" i="32"/>
  <c r="S253" i="32"/>
  <c r="N253" i="32"/>
  <c r="M253" i="32"/>
  <c r="L253" i="32"/>
  <c r="K253" i="32"/>
  <c r="G253" i="32"/>
  <c r="F253" i="32"/>
  <c r="E253" i="32"/>
  <c r="D253" i="32"/>
  <c r="C253" i="32"/>
  <c r="Z252" i="32"/>
  <c r="V252" i="32"/>
  <c r="U252" i="32"/>
  <c r="T252" i="32"/>
  <c r="S252" i="32"/>
  <c r="N252" i="32"/>
  <c r="M252" i="32"/>
  <c r="L252" i="32"/>
  <c r="K252" i="32"/>
  <c r="G252" i="32"/>
  <c r="F252" i="32"/>
  <c r="E252" i="32"/>
  <c r="D252" i="32"/>
  <c r="C252" i="32"/>
  <c r="Z251" i="32"/>
  <c r="V251" i="32"/>
  <c r="U251" i="32"/>
  <c r="T251" i="32"/>
  <c r="S251" i="32"/>
  <c r="N251" i="32"/>
  <c r="M251" i="32"/>
  <c r="L251" i="32"/>
  <c r="K251" i="32"/>
  <c r="F251" i="32"/>
  <c r="E251" i="32"/>
  <c r="D251" i="32"/>
  <c r="C251" i="32"/>
  <c r="Z250" i="32"/>
  <c r="V250" i="32"/>
  <c r="U250" i="32"/>
  <c r="T250" i="32"/>
  <c r="S250" i="32"/>
  <c r="N250" i="32"/>
  <c r="M250" i="32"/>
  <c r="L250" i="32"/>
  <c r="K250" i="32"/>
  <c r="F250" i="32"/>
  <c r="E250" i="32"/>
  <c r="D250" i="32"/>
  <c r="C250" i="32"/>
  <c r="Z249" i="32"/>
  <c r="V249" i="32"/>
  <c r="U249" i="32"/>
  <c r="T249" i="32"/>
  <c r="S249" i="32"/>
  <c r="N249" i="32"/>
  <c r="M249" i="32"/>
  <c r="L249" i="32"/>
  <c r="K249" i="32"/>
  <c r="G249" i="32"/>
  <c r="F249" i="32"/>
  <c r="E249" i="32"/>
  <c r="D249" i="32"/>
  <c r="C249" i="32"/>
  <c r="V248" i="32"/>
  <c r="U248" i="32"/>
  <c r="T248" i="32"/>
  <c r="S248" i="32"/>
  <c r="N248" i="32"/>
  <c r="M248" i="32"/>
  <c r="L248" i="32"/>
  <c r="K248" i="32"/>
  <c r="F248" i="32"/>
  <c r="E248" i="32"/>
  <c r="D248" i="32"/>
  <c r="C248" i="32"/>
  <c r="V247" i="32"/>
  <c r="U247" i="32"/>
  <c r="T247" i="32"/>
  <c r="S247" i="32"/>
  <c r="N247" i="32"/>
  <c r="M247" i="32"/>
  <c r="L247" i="32"/>
  <c r="K247" i="32"/>
  <c r="F247" i="32"/>
  <c r="E247" i="32"/>
  <c r="D247" i="32"/>
  <c r="C247" i="32"/>
  <c r="V245" i="32"/>
  <c r="U245" i="32"/>
  <c r="T245" i="32"/>
  <c r="S245" i="32"/>
  <c r="N245" i="32"/>
  <c r="M245" i="32"/>
  <c r="L245" i="32"/>
  <c r="K245" i="32"/>
  <c r="G245" i="32"/>
  <c r="F245" i="32"/>
  <c r="E245" i="32"/>
  <c r="D245" i="32"/>
  <c r="C245" i="32"/>
  <c r="Z244" i="32"/>
  <c r="V244" i="32"/>
  <c r="U244" i="32"/>
  <c r="T244" i="32"/>
  <c r="S244" i="32"/>
  <c r="N244" i="32"/>
  <c r="M244" i="32"/>
  <c r="L244" i="32"/>
  <c r="K244" i="32"/>
  <c r="F244" i="32"/>
  <c r="E244" i="32"/>
  <c r="D244" i="32"/>
  <c r="C244" i="32"/>
  <c r="Z243" i="32"/>
  <c r="V243" i="32"/>
  <c r="U243" i="32"/>
  <c r="T243" i="32"/>
  <c r="S243" i="32"/>
  <c r="O243" i="32"/>
  <c r="N243" i="32"/>
  <c r="M243" i="32"/>
  <c r="L243" i="32"/>
  <c r="K243" i="32"/>
  <c r="G243" i="32"/>
  <c r="F243" i="32"/>
  <c r="E243" i="32"/>
  <c r="D243" i="32"/>
  <c r="C243" i="32"/>
  <c r="Z242" i="32"/>
  <c r="V242" i="32"/>
  <c r="U242" i="32"/>
  <c r="T242" i="32"/>
  <c r="S242" i="32"/>
  <c r="O242" i="32"/>
  <c r="N242" i="32"/>
  <c r="M242" i="32"/>
  <c r="L242" i="32"/>
  <c r="K242" i="32"/>
  <c r="F242" i="32"/>
  <c r="E242" i="32"/>
  <c r="D242" i="32"/>
  <c r="C242" i="32"/>
  <c r="Z241" i="32"/>
  <c r="V241" i="32"/>
  <c r="U241" i="32"/>
  <c r="T241" i="32"/>
  <c r="S241" i="32"/>
  <c r="N241" i="32"/>
  <c r="M241" i="32"/>
  <c r="L241" i="32"/>
  <c r="K241" i="32"/>
  <c r="F241" i="32"/>
  <c r="E241" i="32"/>
  <c r="D241" i="32"/>
  <c r="C241" i="32"/>
  <c r="Z240" i="32"/>
  <c r="V240" i="32"/>
  <c r="U240" i="32"/>
  <c r="T240" i="32"/>
  <c r="S240" i="32"/>
  <c r="N240" i="32"/>
  <c r="M240" i="32"/>
  <c r="L240" i="32"/>
  <c r="K240" i="32"/>
  <c r="F240" i="32"/>
  <c r="E240" i="32"/>
  <c r="D240" i="32"/>
  <c r="C240" i="32"/>
  <c r="Z239" i="32"/>
  <c r="V239" i="32"/>
  <c r="U239" i="32"/>
  <c r="T239" i="32"/>
  <c r="S239" i="32"/>
  <c r="N239" i="32"/>
  <c r="M239" i="32"/>
  <c r="L239" i="32"/>
  <c r="K239" i="32"/>
  <c r="F239" i="32"/>
  <c r="E239" i="32"/>
  <c r="D239" i="32"/>
  <c r="C239" i="32"/>
  <c r="Z238" i="32"/>
  <c r="V238" i="32"/>
  <c r="U238" i="32"/>
  <c r="T238" i="32"/>
  <c r="S238" i="32"/>
  <c r="N238" i="32"/>
  <c r="M238" i="32"/>
  <c r="L238" i="32"/>
  <c r="K238" i="32"/>
  <c r="F238" i="32"/>
  <c r="E238" i="32"/>
  <c r="D238" i="32"/>
  <c r="C238" i="32"/>
  <c r="Z237" i="32"/>
  <c r="V237" i="32"/>
  <c r="U237" i="32"/>
  <c r="T237" i="32"/>
  <c r="S237" i="32"/>
  <c r="N237" i="32"/>
  <c r="M237" i="32"/>
  <c r="L237" i="32"/>
  <c r="K237" i="32"/>
  <c r="F237" i="32"/>
  <c r="E237" i="32"/>
  <c r="D237" i="32"/>
  <c r="C237" i="32"/>
  <c r="Z236" i="32"/>
  <c r="V236" i="32"/>
  <c r="U236" i="32"/>
  <c r="T236" i="32"/>
  <c r="S236" i="32"/>
  <c r="N236" i="32"/>
  <c r="M236" i="32"/>
  <c r="L236" i="32"/>
  <c r="K236" i="32"/>
  <c r="F236" i="32"/>
  <c r="E236" i="32"/>
  <c r="D236" i="32"/>
  <c r="C236" i="32"/>
  <c r="Z235" i="32"/>
  <c r="V235" i="32"/>
  <c r="U235" i="32"/>
  <c r="T235" i="32"/>
  <c r="S235" i="32"/>
  <c r="N235" i="32"/>
  <c r="M235" i="32"/>
  <c r="L235" i="32"/>
  <c r="K235" i="32"/>
  <c r="F235" i="32"/>
  <c r="E235" i="32"/>
  <c r="D235" i="32"/>
  <c r="C235" i="32"/>
  <c r="Z234" i="32"/>
  <c r="V234" i="32"/>
  <c r="U234" i="32"/>
  <c r="T234" i="32"/>
  <c r="S234" i="32"/>
  <c r="N234" i="32"/>
  <c r="M234" i="32"/>
  <c r="L234" i="32"/>
  <c r="K234" i="32"/>
  <c r="F234" i="32"/>
  <c r="E234" i="32"/>
  <c r="D234" i="32"/>
  <c r="C234" i="32"/>
  <c r="Z233" i="32"/>
  <c r="V233" i="32"/>
  <c r="U233" i="32"/>
  <c r="T233" i="32"/>
  <c r="S233" i="32"/>
  <c r="N233" i="32"/>
  <c r="M233" i="32"/>
  <c r="L233" i="32"/>
  <c r="K233" i="32"/>
  <c r="F233" i="32"/>
  <c r="E233" i="32"/>
  <c r="D233" i="32"/>
  <c r="C233" i="32"/>
  <c r="Z232" i="32"/>
  <c r="V232" i="32"/>
  <c r="U232" i="32"/>
  <c r="T232" i="32"/>
  <c r="S232" i="32"/>
  <c r="N232" i="32"/>
  <c r="M232" i="32"/>
  <c r="L232" i="32"/>
  <c r="K232" i="32"/>
  <c r="F232" i="32"/>
  <c r="E232" i="32"/>
  <c r="D232" i="32"/>
  <c r="C232" i="32"/>
  <c r="Z231" i="32"/>
  <c r="V231" i="32"/>
  <c r="U231" i="32"/>
  <c r="T231" i="32"/>
  <c r="S231" i="32"/>
  <c r="N231" i="32"/>
  <c r="M231" i="32"/>
  <c r="L231" i="32"/>
  <c r="K231" i="32"/>
  <c r="F231" i="32"/>
  <c r="E231" i="32"/>
  <c r="D231" i="32"/>
  <c r="C231" i="32"/>
  <c r="Z230" i="32"/>
  <c r="V230" i="32"/>
  <c r="U230" i="32"/>
  <c r="T230" i="32"/>
  <c r="S230" i="32"/>
  <c r="N230" i="32"/>
  <c r="M230" i="32"/>
  <c r="L230" i="32"/>
  <c r="K230" i="32"/>
  <c r="F230" i="32"/>
  <c r="E230" i="32"/>
  <c r="D230" i="32"/>
  <c r="C230" i="32"/>
  <c r="Z229" i="32"/>
  <c r="V229" i="32"/>
  <c r="U229" i="32"/>
  <c r="T229" i="32"/>
  <c r="S229" i="32"/>
  <c r="N229" i="32"/>
  <c r="M229" i="32"/>
  <c r="L229" i="32"/>
  <c r="K229" i="32"/>
  <c r="F229" i="32"/>
  <c r="E229" i="32"/>
  <c r="D229" i="32"/>
  <c r="C229" i="32"/>
  <c r="Z228" i="32"/>
  <c r="V228" i="32"/>
  <c r="U228" i="32"/>
  <c r="T228" i="32"/>
  <c r="S228" i="32"/>
  <c r="N228" i="32"/>
  <c r="M228" i="32"/>
  <c r="L228" i="32"/>
  <c r="K228" i="32"/>
  <c r="F228" i="32"/>
  <c r="E228" i="32"/>
  <c r="D228" i="32"/>
  <c r="C228" i="32"/>
  <c r="Z227" i="32"/>
  <c r="V227" i="32"/>
  <c r="U227" i="32"/>
  <c r="T227" i="32"/>
  <c r="S227" i="32"/>
  <c r="N227" i="32"/>
  <c r="M227" i="32"/>
  <c r="L227" i="32"/>
  <c r="K227" i="32"/>
  <c r="F227" i="32"/>
  <c r="E227" i="32"/>
  <c r="D227" i="32"/>
  <c r="C227" i="32"/>
  <c r="Z226" i="32"/>
  <c r="V226" i="32"/>
  <c r="U226" i="32"/>
  <c r="T226" i="32"/>
  <c r="S226" i="32"/>
  <c r="N226" i="32"/>
  <c r="M226" i="32"/>
  <c r="L226" i="32"/>
  <c r="K226" i="32"/>
  <c r="F226" i="32"/>
  <c r="E226" i="32"/>
  <c r="D226" i="32"/>
  <c r="C226" i="32"/>
  <c r="Z225" i="32"/>
  <c r="U220" i="32"/>
  <c r="W371" i="32" s="1"/>
  <c r="N220" i="32"/>
  <c r="O371" i="32" s="1"/>
  <c r="G220" i="32"/>
  <c r="G371" i="32" s="1"/>
  <c r="U219" i="32"/>
  <c r="W350" i="32" s="1"/>
  <c r="N219" i="32"/>
  <c r="G219" i="32"/>
  <c r="G350" i="32" s="1"/>
  <c r="U218" i="32"/>
  <c r="W329" i="32" s="1"/>
  <c r="N218" i="32"/>
  <c r="O329" i="32" s="1"/>
  <c r="G218" i="32"/>
  <c r="G329" i="32" s="1"/>
  <c r="U217" i="32"/>
  <c r="W308" i="32" s="1"/>
  <c r="N217" i="32"/>
  <c r="O308" i="32" s="1"/>
  <c r="G217" i="32"/>
  <c r="G308" i="32" s="1"/>
  <c r="U216" i="32"/>
  <c r="W287" i="32" s="1"/>
  <c r="N216" i="32"/>
  <c r="O287" i="32" s="1"/>
  <c r="G216" i="32"/>
  <c r="G287" i="32" s="1"/>
  <c r="U215" i="32"/>
  <c r="W266" i="32" s="1"/>
  <c r="N215" i="32"/>
  <c r="O266" i="32" s="1"/>
  <c r="G215" i="32"/>
  <c r="G266" i="32" s="1"/>
  <c r="U214" i="32"/>
  <c r="W245" i="32" s="1"/>
  <c r="N214" i="32"/>
  <c r="O245" i="32" s="1"/>
  <c r="G214" i="32"/>
  <c r="R213" i="32"/>
  <c r="L213" i="32"/>
  <c r="S213" i="32" s="1"/>
  <c r="K213" i="32"/>
  <c r="I211" i="32"/>
  <c r="P211" i="32" s="1"/>
  <c r="U209" i="32"/>
  <c r="W370" i="32" s="1"/>
  <c r="N209" i="32"/>
  <c r="O370" i="32" s="1"/>
  <c r="G209" i="32"/>
  <c r="G370" i="32" s="1"/>
  <c r="U208" i="32"/>
  <c r="W349" i="32" s="1"/>
  <c r="N208" i="32"/>
  <c r="O349" i="32" s="1"/>
  <c r="G208" i="32"/>
  <c r="G349" i="32" s="1"/>
  <c r="U207" i="32"/>
  <c r="W328" i="32" s="1"/>
  <c r="N207" i="32"/>
  <c r="O328" i="32" s="1"/>
  <c r="G207" i="32"/>
  <c r="U206" i="32"/>
  <c r="W307" i="32" s="1"/>
  <c r="N206" i="32"/>
  <c r="O307" i="32" s="1"/>
  <c r="G206" i="32"/>
  <c r="G307" i="32" s="1"/>
  <c r="U205" i="32"/>
  <c r="W286" i="32" s="1"/>
  <c r="N205" i="32"/>
  <c r="O286" i="32" s="1"/>
  <c r="G205" i="32"/>
  <c r="U204" i="32"/>
  <c r="W265" i="32" s="1"/>
  <c r="N204" i="32"/>
  <c r="O265" i="32" s="1"/>
  <c r="G204" i="32"/>
  <c r="G265" i="32" s="1"/>
  <c r="U203" i="32"/>
  <c r="W244" i="32" s="1"/>
  <c r="N203" i="32"/>
  <c r="O244" i="32" s="1"/>
  <c r="G203" i="32"/>
  <c r="G244" i="32" s="1"/>
  <c r="L202" i="32"/>
  <c r="S202" i="32" s="1"/>
  <c r="K202" i="32"/>
  <c r="R202" i="32" s="1"/>
  <c r="P200" i="32"/>
  <c r="I200" i="32"/>
  <c r="U198" i="32"/>
  <c r="W369" i="32" s="1"/>
  <c r="N198" i="32"/>
  <c r="O369" i="32" s="1"/>
  <c r="G198" i="32"/>
  <c r="G369" i="32" s="1"/>
  <c r="U197" i="32"/>
  <c r="N197" i="32"/>
  <c r="O348" i="32" s="1"/>
  <c r="G197" i="32"/>
  <c r="G348" i="32" s="1"/>
  <c r="U196" i="32"/>
  <c r="W327" i="32" s="1"/>
  <c r="N196" i="32"/>
  <c r="O327" i="32" s="1"/>
  <c r="G196" i="32"/>
  <c r="G327" i="32" s="1"/>
  <c r="U195" i="32"/>
  <c r="W306" i="32" s="1"/>
  <c r="N195" i="32"/>
  <c r="O306" i="32" s="1"/>
  <c r="G195" i="32"/>
  <c r="G306" i="32" s="1"/>
  <c r="U194" i="32"/>
  <c r="W285" i="32" s="1"/>
  <c r="N194" i="32"/>
  <c r="O285" i="32" s="1"/>
  <c r="G194" i="32"/>
  <c r="U193" i="32"/>
  <c r="W264" i="32" s="1"/>
  <c r="N193" i="32"/>
  <c r="O264" i="32" s="1"/>
  <c r="G193" i="32"/>
  <c r="G264" i="32" s="1"/>
  <c r="U192" i="32"/>
  <c r="W243" i="32" s="1"/>
  <c r="N192" i="32"/>
  <c r="G192" i="32"/>
  <c r="S191" i="32"/>
  <c r="L191" i="32"/>
  <c r="K191" i="32"/>
  <c r="R191" i="32" s="1"/>
  <c r="P189" i="32"/>
  <c r="I189" i="32"/>
  <c r="U187" i="32"/>
  <c r="W368" i="32" s="1"/>
  <c r="N187" i="32"/>
  <c r="G187" i="32"/>
  <c r="G368" i="32" s="1"/>
  <c r="U186" i="32"/>
  <c r="W347" i="32" s="1"/>
  <c r="N186" i="32"/>
  <c r="O347" i="32" s="1"/>
  <c r="G186" i="32"/>
  <c r="G347" i="32" s="1"/>
  <c r="U185" i="32"/>
  <c r="W326" i="32" s="1"/>
  <c r="N185" i="32"/>
  <c r="G185" i="32"/>
  <c r="G326" i="32" s="1"/>
  <c r="U184" i="32"/>
  <c r="N184" i="32"/>
  <c r="O305" i="32" s="1"/>
  <c r="G184" i="32"/>
  <c r="G305" i="32" s="1"/>
  <c r="U183" i="32"/>
  <c r="W284" i="32" s="1"/>
  <c r="N183" i="32"/>
  <c r="O284" i="32" s="1"/>
  <c r="G183" i="32"/>
  <c r="G284" i="32" s="1"/>
  <c r="U182" i="32"/>
  <c r="W263" i="32" s="1"/>
  <c r="N182" i="32"/>
  <c r="O263" i="32" s="1"/>
  <c r="G182" i="32"/>
  <c r="G263" i="32" s="1"/>
  <c r="U181" i="32"/>
  <c r="W242" i="32" s="1"/>
  <c r="N181" i="32"/>
  <c r="G181" i="32"/>
  <c r="G242" i="32" s="1"/>
  <c r="S180" i="32"/>
  <c r="R180" i="32"/>
  <c r="L180" i="32"/>
  <c r="K180" i="32"/>
  <c r="P178" i="32"/>
  <c r="I178" i="32"/>
  <c r="U176" i="32"/>
  <c r="W367" i="32" s="1"/>
  <c r="N176" i="32"/>
  <c r="O367" i="32" s="1"/>
  <c r="G176" i="32"/>
  <c r="G367" i="32" s="1"/>
  <c r="U175" i="32"/>
  <c r="W346" i="32" s="1"/>
  <c r="N175" i="32"/>
  <c r="O346" i="32" s="1"/>
  <c r="G175" i="32"/>
  <c r="U174" i="32"/>
  <c r="W325" i="32" s="1"/>
  <c r="N174" i="32"/>
  <c r="O325" i="32" s="1"/>
  <c r="G174" i="32"/>
  <c r="G325" i="32" s="1"/>
  <c r="U173" i="32"/>
  <c r="W304" i="32" s="1"/>
  <c r="N173" i="32"/>
  <c r="O304" i="32" s="1"/>
  <c r="G173" i="32"/>
  <c r="G304" i="32" s="1"/>
  <c r="U172" i="32"/>
  <c r="W283" i="32" s="1"/>
  <c r="N172" i="32"/>
  <c r="O283" i="32" s="1"/>
  <c r="G172" i="32"/>
  <c r="G283" i="32" s="1"/>
  <c r="U171" i="32"/>
  <c r="W262" i="32" s="1"/>
  <c r="N171" i="32"/>
  <c r="O262" i="32" s="1"/>
  <c r="G171" i="32"/>
  <c r="G262" i="32" s="1"/>
  <c r="U170" i="32"/>
  <c r="W241" i="32" s="1"/>
  <c r="N170" i="32"/>
  <c r="O241" i="32" s="1"/>
  <c r="G170" i="32"/>
  <c r="G241" i="32" s="1"/>
  <c r="L169" i="32"/>
  <c r="S169" i="32" s="1"/>
  <c r="K169" i="32"/>
  <c r="R169" i="32" s="1"/>
  <c r="I167" i="32"/>
  <c r="P167" i="32" s="1"/>
  <c r="U165" i="32"/>
  <c r="W366" i="32" s="1"/>
  <c r="N165" i="32"/>
  <c r="O366" i="32" s="1"/>
  <c r="G165" i="32"/>
  <c r="G366" i="32" s="1"/>
  <c r="U164" i="32"/>
  <c r="W345" i="32" s="1"/>
  <c r="N164" i="32"/>
  <c r="O345" i="32" s="1"/>
  <c r="G164" i="32"/>
  <c r="G345" i="32" s="1"/>
  <c r="U163" i="32"/>
  <c r="W324" i="32" s="1"/>
  <c r="N163" i="32"/>
  <c r="O324" i="32" s="1"/>
  <c r="G163" i="32"/>
  <c r="G324" i="32" s="1"/>
  <c r="U162" i="32"/>
  <c r="W303" i="32" s="1"/>
  <c r="N162" i="32"/>
  <c r="O303" i="32" s="1"/>
  <c r="G162" i="32"/>
  <c r="G303" i="32" s="1"/>
  <c r="U161" i="32"/>
  <c r="W282" i="32" s="1"/>
  <c r="N161" i="32"/>
  <c r="O282" i="32" s="1"/>
  <c r="G161" i="32"/>
  <c r="G282" i="32" s="1"/>
  <c r="U160" i="32"/>
  <c r="W261" i="32" s="1"/>
  <c r="N160" i="32"/>
  <c r="O261" i="32" s="1"/>
  <c r="G160" i="32"/>
  <c r="G261" i="32" s="1"/>
  <c r="U159" i="32"/>
  <c r="W240" i="32" s="1"/>
  <c r="N159" i="32"/>
  <c r="O240" i="32" s="1"/>
  <c r="G159" i="32"/>
  <c r="G240" i="32" s="1"/>
  <c r="L158" i="32"/>
  <c r="S158" i="32" s="1"/>
  <c r="K158" i="32"/>
  <c r="R158" i="32" s="1"/>
  <c r="I156" i="32"/>
  <c r="P156" i="32" s="1"/>
  <c r="U154" i="32"/>
  <c r="W365" i="32" s="1"/>
  <c r="N154" i="32"/>
  <c r="O365" i="32" s="1"/>
  <c r="G154" i="32"/>
  <c r="G365" i="32" s="1"/>
  <c r="U153" i="32"/>
  <c r="W344" i="32" s="1"/>
  <c r="N153" i="32"/>
  <c r="O344" i="32" s="1"/>
  <c r="G153" i="32"/>
  <c r="G344" i="32" s="1"/>
  <c r="U152" i="32"/>
  <c r="N152" i="32"/>
  <c r="O323" i="32" s="1"/>
  <c r="G152" i="32"/>
  <c r="G323" i="32" s="1"/>
  <c r="U151" i="32"/>
  <c r="W302" i="32" s="1"/>
  <c r="N151" i="32"/>
  <c r="G151" i="32"/>
  <c r="U150" i="32"/>
  <c r="W281" i="32" s="1"/>
  <c r="N150" i="32"/>
  <c r="G150" i="32"/>
  <c r="G281" i="32" s="1"/>
  <c r="U149" i="32"/>
  <c r="W260" i="32" s="1"/>
  <c r="N149" i="32"/>
  <c r="O260" i="32" s="1"/>
  <c r="G149" i="32"/>
  <c r="G260" i="32" s="1"/>
  <c r="U148" i="32"/>
  <c r="W239" i="32" s="1"/>
  <c r="N148" i="32"/>
  <c r="O239" i="32" s="1"/>
  <c r="G148" i="32"/>
  <c r="G239" i="32" s="1"/>
  <c r="S147" i="32"/>
  <c r="L147" i="32"/>
  <c r="K147" i="32"/>
  <c r="R147" i="32" s="1"/>
  <c r="I145" i="32"/>
  <c r="P145" i="32" s="1"/>
  <c r="U143" i="32"/>
  <c r="W364" i="32" s="1"/>
  <c r="N143" i="32"/>
  <c r="O364" i="32" s="1"/>
  <c r="G143" i="32"/>
  <c r="G364" i="32" s="1"/>
  <c r="U142" i="32"/>
  <c r="W343" i="32" s="1"/>
  <c r="N142" i="32"/>
  <c r="O343" i="32" s="1"/>
  <c r="G142" i="32"/>
  <c r="G343" i="32" s="1"/>
  <c r="U141" i="32"/>
  <c r="W322" i="32" s="1"/>
  <c r="N141" i="32"/>
  <c r="O322" i="32" s="1"/>
  <c r="G141" i="32"/>
  <c r="G322" i="32" s="1"/>
  <c r="U140" i="32"/>
  <c r="W301" i="32" s="1"/>
  <c r="N140" i="32"/>
  <c r="O301" i="32" s="1"/>
  <c r="G140" i="32"/>
  <c r="U139" i="32"/>
  <c r="W280" i="32" s="1"/>
  <c r="N139" i="32"/>
  <c r="O280" i="32" s="1"/>
  <c r="G139" i="32"/>
  <c r="G280" i="32" s="1"/>
  <c r="U138" i="32"/>
  <c r="W259" i="32" s="1"/>
  <c r="N138" i="32"/>
  <c r="O259" i="32" s="1"/>
  <c r="G138" i="32"/>
  <c r="G259" i="32" s="1"/>
  <c r="U137" i="32"/>
  <c r="W238" i="32" s="1"/>
  <c r="N137" i="32"/>
  <c r="O238" i="32" s="1"/>
  <c r="G137" i="32"/>
  <c r="G238" i="32" s="1"/>
  <c r="R136" i="32"/>
  <c r="L136" i="32"/>
  <c r="S136" i="32" s="1"/>
  <c r="K136" i="32"/>
  <c r="I134" i="32"/>
  <c r="P134" i="32" s="1"/>
  <c r="U132" i="32"/>
  <c r="W363" i="32" s="1"/>
  <c r="N132" i="32"/>
  <c r="O363" i="32" s="1"/>
  <c r="G132" i="32"/>
  <c r="G363" i="32" s="1"/>
  <c r="U131" i="32"/>
  <c r="W342" i="32" s="1"/>
  <c r="N131" i="32"/>
  <c r="O342" i="32" s="1"/>
  <c r="G131" i="32"/>
  <c r="G342" i="32" s="1"/>
  <c r="U130" i="32"/>
  <c r="W321" i="32" s="1"/>
  <c r="N130" i="32"/>
  <c r="O321" i="32" s="1"/>
  <c r="G130" i="32"/>
  <c r="G321" i="32" s="1"/>
  <c r="U129" i="32"/>
  <c r="W300" i="32" s="1"/>
  <c r="N129" i="32"/>
  <c r="O300" i="32" s="1"/>
  <c r="G129" i="32"/>
  <c r="G300" i="32" s="1"/>
  <c r="U128" i="32"/>
  <c r="W279" i="32" s="1"/>
  <c r="N128" i="32"/>
  <c r="O279" i="32" s="1"/>
  <c r="G128" i="32"/>
  <c r="G279" i="32" s="1"/>
  <c r="U127" i="32"/>
  <c r="W258" i="32" s="1"/>
  <c r="N127" i="32"/>
  <c r="O258" i="32" s="1"/>
  <c r="G127" i="32"/>
  <c r="G258" i="32" s="1"/>
  <c r="U126" i="32"/>
  <c r="W237" i="32" s="1"/>
  <c r="N126" i="32"/>
  <c r="O237" i="32" s="1"/>
  <c r="G126" i="32"/>
  <c r="G237" i="32" s="1"/>
  <c r="R125" i="32"/>
  <c r="L125" i="32"/>
  <c r="S125" i="32" s="1"/>
  <c r="K125" i="32"/>
  <c r="I123" i="32"/>
  <c r="P123" i="32" s="1"/>
  <c r="U121" i="32"/>
  <c r="W362" i="32" s="1"/>
  <c r="N121" i="32"/>
  <c r="O362" i="32" s="1"/>
  <c r="G121" i="32"/>
  <c r="U120" i="32"/>
  <c r="W341" i="32" s="1"/>
  <c r="N120" i="32"/>
  <c r="O341" i="32" s="1"/>
  <c r="G120" i="32"/>
  <c r="G341" i="32" s="1"/>
  <c r="U119" i="32"/>
  <c r="W320" i="32" s="1"/>
  <c r="N119" i="32"/>
  <c r="O320" i="32" s="1"/>
  <c r="G119" i="32"/>
  <c r="G320" i="32" s="1"/>
  <c r="U118" i="32"/>
  <c r="W299" i="32" s="1"/>
  <c r="N118" i="32"/>
  <c r="O299" i="32" s="1"/>
  <c r="G118" i="32"/>
  <c r="G299" i="32" s="1"/>
  <c r="U117" i="32"/>
  <c r="W278" i="32" s="1"/>
  <c r="N117" i="32"/>
  <c r="O278" i="32" s="1"/>
  <c r="G117" i="32"/>
  <c r="G278" i="32" s="1"/>
  <c r="U116" i="32"/>
  <c r="W257" i="32" s="1"/>
  <c r="N116" i="32"/>
  <c r="O257" i="32" s="1"/>
  <c r="G116" i="32"/>
  <c r="G257" i="32" s="1"/>
  <c r="U115" i="32"/>
  <c r="W236" i="32" s="1"/>
  <c r="N115" i="32"/>
  <c r="O236" i="32" s="1"/>
  <c r="G115" i="32"/>
  <c r="G236" i="32" s="1"/>
  <c r="R114" i="32"/>
  <c r="L114" i="32"/>
  <c r="S114" i="32" s="1"/>
  <c r="K114" i="32"/>
  <c r="P112" i="32"/>
  <c r="I112" i="32"/>
  <c r="U110" i="32"/>
  <c r="W361" i="32" s="1"/>
  <c r="N110" i="32"/>
  <c r="O361" i="32" s="1"/>
  <c r="G110" i="32"/>
  <c r="G361" i="32" s="1"/>
  <c r="U109" i="32"/>
  <c r="W340" i="32" s="1"/>
  <c r="N109" i="32"/>
  <c r="O340" i="32" s="1"/>
  <c r="G109" i="32"/>
  <c r="G340" i="32" s="1"/>
  <c r="U108" i="32"/>
  <c r="W319" i="32" s="1"/>
  <c r="N108" i="32"/>
  <c r="O319" i="32" s="1"/>
  <c r="G108" i="32"/>
  <c r="G319" i="32" s="1"/>
  <c r="U107" i="32"/>
  <c r="W298" i="32" s="1"/>
  <c r="N107" i="32"/>
  <c r="O298" i="32" s="1"/>
  <c r="G107" i="32"/>
  <c r="G298" i="32" s="1"/>
  <c r="U106" i="32"/>
  <c r="W277" i="32" s="1"/>
  <c r="N106" i="32"/>
  <c r="O277" i="32" s="1"/>
  <c r="G106" i="32"/>
  <c r="G277" i="32" s="1"/>
  <c r="U105" i="32"/>
  <c r="W256" i="32" s="1"/>
  <c r="N105" i="32"/>
  <c r="O256" i="32" s="1"/>
  <c r="G105" i="32"/>
  <c r="G256" i="32" s="1"/>
  <c r="U104" i="32"/>
  <c r="W235" i="32" s="1"/>
  <c r="N104" i="32"/>
  <c r="O235" i="32" s="1"/>
  <c r="G104" i="32"/>
  <c r="G235" i="32" s="1"/>
  <c r="L103" i="32"/>
  <c r="S103" i="32" s="1"/>
  <c r="K103" i="32"/>
  <c r="R103" i="32" s="1"/>
  <c r="P101" i="32"/>
  <c r="I101" i="32"/>
  <c r="U99" i="32"/>
  <c r="W360" i="32" s="1"/>
  <c r="N99" i="32"/>
  <c r="O360" i="32" s="1"/>
  <c r="G99" i="32"/>
  <c r="G360" i="32" s="1"/>
  <c r="U98" i="32"/>
  <c r="N98" i="32"/>
  <c r="O339" i="32" s="1"/>
  <c r="G98" i="32"/>
  <c r="G339" i="32" s="1"/>
  <c r="U97" i="32"/>
  <c r="W318" i="32" s="1"/>
  <c r="N97" i="32"/>
  <c r="O318" i="32" s="1"/>
  <c r="G97" i="32"/>
  <c r="G318" i="32" s="1"/>
  <c r="U96" i="32"/>
  <c r="W297" i="32" s="1"/>
  <c r="N96" i="32"/>
  <c r="O297" i="32" s="1"/>
  <c r="G96" i="32"/>
  <c r="G297" i="32" s="1"/>
  <c r="U95" i="32"/>
  <c r="W276" i="32" s="1"/>
  <c r="N95" i="32"/>
  <c r="O276" i="32" s="1"/>
  <c r="G95" i="32"/>
  <c r="G276" i="32" s="1"/>
  <c r="U94" i="32"/>
  <c r="W255" i="32" s="1"/>
  <c r="N94" i="32"/>
  <c r="O255" i="32" s="1"/>
  <c r="G94" i="32"/>
  <c r="G255" i="32" s="1"/>
  <c r="U93" i="32"/>
  <c r="W234" i="32" s="1"/>
  <c r="N93" i="32"/>
  <c r="O234" i="32" s="1"/>
  <c r="G93" i="32"/>
  <c r="G234" i="32" s="1"/>
  <c r="S92" i="32"/>
  <c r="R92" i="32"/>
  <c r="L92" i="32"/>
  <c r="K92" i="32"/>
  <c r="P90" i="32"/>
  <c r="I90" i="32"/>
  <c r="U88" i="32"/>
  <c r="W359" i="32" s="1"/>
  <c r="N88" i="32"/>
  <c r="O359" i="32" s="1"/>
  <c r="G88" i="32"/>
  <c r="G359" i="32" s="1"/>
  <c r="U87" i="32"/>
  <c r="W338" i="32" s="1"/>
  <c r="N87" i="32"/>
  <c r="O338" i="32" s="1"/>
  <c r="G87" i="32"/>
  <c r="G338" i="32" s="1"/>
  <c r="U86" i="32"/>
  <c r="W317" i="32" s="1"/>
  <c r="N86" i="32"/>
  <c r="G86" i="32"/>
  <c r="G317" i="32" s="1"/>
  <c r="U85" i="32"/>
  <c r="W296" i="32" s="1"/>
  <c r="N85" i="32"/>
  <c r="O296" i="32" s="1"/>
  <c r="G85" i="32"/>
  <c r="G296" i="32" s="1"/>
  <c r="U84" i="32"/>
  <c r="W275" i="32" s="1"/>
  <c r="N84" i="32"/>
  <c r="O275" i="32" s="1"/>
  <c r="G84" i="32"/>
  <c r="G275" i="32" s="1"/>
  <c r="U83" i="32"/>
  <c r="W254" i="32" s="1"/>
  <c r="N83" i="32"/>
  <c r="O254" i="32" s="1"/>
  <c r="G83" i="32"/>
  <c r="G254" i="32" s="1"/>
  <c r="U82" i="32"/>
  <c r="W233" i="32" s="1"/>
  <c r="N82" i="32"/>
  <c r="O233" i="32" s="1"/>
  <c r="G82" i="32"/>
  <c r="G233" i="32" s="1"/>
  <c r="S81" i="32"/>
  <c r="L81" i="32"/>
  <c r="K81" i="32"/>
  <c r="R81" i="32" s="1"/>
  <c r="I79" i="32"/>
  <c r="P79" i="32" s="1"/>
  <c r="U77" i="32"/>
  <c r="W358" i="32" s="1"/>
  <c r="N77" i="32"/>
  <c r="O358" i="32" s="1"/>
  <c r="G77" i="32"/>
  <c r="G358" i="32" s="1"/>
  <c r="U76" i="32"/>
  <c r="W337" i="32" s="1"/>
  <c r="N76" i="32"/>
  <c r="O337" i="32" s="1"/>
  <c r="G76" i="32"/>
  <c r="G337" i="32" s="1"/>
  <c r="U75" i="32"/>
  <c r="W316" i="32" s="1"/>
  <c r="N75" i="32"/>
  <c r="O316" i="32" s="1"/>
  <c r="G75" i="32"/>
  <c r="G316" i="32" s="1"/>
  <c r="U74" i="32"/>
  <c r="W295" i="32" s="1"/>
  <c r="N74" i="32"/>
  <c r="O295" i="32" s="1"/>
  <c r="G74" i="32"/>
  <c r="U73" i="32"/>
  <c r="W274" i="32" s="1"/>
  <c r="N73" i="32"/>
  <c r="O274" i="32" s="1"/>
  <c r="G73" i="32"/>
  <c r="G274" i="32" s="1"/>
  <c r="U72" i="32"/>
  <c r="W253" i="32" s="1"/>
  <c r="N72" i="32"/>
  <c r="O253" i="32" s="1"/>
  <c r="G72" i="32"/>
  <c r="U71" i="32"/>
  <c r="W232" i="32" s="1"/>
  <c r="N71" i="32"/>
  <c r="O232" i="32" s="1"/>
  <c r="G71" i="32"/>
  <c r="G232" i="32" s="1"/>
  <c r="L70" i="32"/>
  <c r="S70" i="32" s="1"/>
  <c r="K70" i="32"/>
  <c r="R70" i="32" s="1"/>
  <c r="P68" i="32"/>
  <c r="I68" i="32"/>
  <c r="U66" i="32"/>
  <c r="N66" i="32"/>
  <c r="O357" i="32" s="1"/>
  <c r="G66" i="32"/>
  <c r="G357" i="32" s="1"/>
  <c r="U65" i="32"/>
  <c r="W336" i="32" s="1"/>
  <c r="N65" i="32"/>
  <c r="O336" i="32" s="1"/>
  <c r="G65" i="32"/>
  <c r="G336" i="32" s="1"/>
  <c r="U64" i="32"/>
  <c r="W315" i="32" s="1"/>
  <c r="N64" i="32"/>
  <c r="O315" i="32" s="1"/>
  <c r="G64" i="32"/>
  <c r="G315" i="32" s="1"/>
  <c r="U63" i="32"/>
  <c r="W294" i="32" s="1"/>
  <c r="N63" i="32"/>
  <c r="O294" i="32" s="1"/>
  <c r="G63" i="32"/>
  <c r="G294" i="32" s="1"/>
  <c r="U62" i="32"/>
  <c r="W273" i="32" s="1"/>
  <c r="N62" i="32"/>
  <c r="O273" i="32" s="1"/>
  <c r="G62" i="32"/>
  <c r="G273" i="32" s="1"/>
  <c r="U61" i="32"/>
  <c r="W252" i="32" s="1"/>
  <c r="N61" i="32"/>
  <c r="O252" i="32" s="1"/>
  <c r="G61" i="32"/>
  <c r="U60" i="32"/>
  <c r="W231" i="32" s="1"/>
  <c r="N60" i="32"/>
  <c r="O231" i="32" s="1"/>
  <c r="G60" i="32"/>
  <c r="G231" i="32" s="1"/>
  <c r="S59" i="32"/>
  <c r="L59" i="32"/>
  <c r="K59" i="32"/>
  <c r="R59" i="32" s="1"/>
  <c r="I57" i="32"/>
  <c r="P57" i="32" s="1"/>
  <c r="U55" i="32"/>
  <c r="W356" i="32" s="1"/>
  <c r="N55" i="32"/>
  <c r="O356" i="32" s="1"/>
  <c r="G55" i="32"/>
  <c r="G356" i="32" s="1"/>
  <c r="U54" i="32"/>
  <c r="W335" i="32" s="1"/>
  <c r="N54" i="32"/>
  <c r="G54" i="32"/>
  <c r="G335" i="32" s="1"/>
  <c r="U53" i="32"/>
  <c r="W314" i="32" s="1"/>
  <c r="N53" i="32"/>
  <c r="O314" i="32" s="1"/>
  <c r="G53" i="32"/>
  <c r="G314" i="32" s="1"/>
  <c r="U52" i="32"/>
  <c r="W293" i="32" s="1"/>
  <c r="N52" i="32"/>
  <c r="O293" i="32" s="1"/>
  <c r="G52" i="32"/>
  <c r="G293" i="32" s="1"/>
  <c r="U51" i="32"/>
  <c r="W272" i="32" s="1"/>
  <c r="N51" i="32"/>
  <c r="O272" i="32" s="1"/>
  <c r="G51" i="32"/>
  <c r="G272" i="32" s="1"/>
  <c r="U50" i="32"/>
  <c r="W251" i="32" s="1"/>
  <c r="N50" i="32"/>
  <c r="O251" i="32" s="1"/>
  <c r="G50" i="32"/>
  <c r="G251" i="32" s="1"/>
  <c r="U49" i="32"/>
  <c r="W230" i="32" s="1"/>
  <c r="N49" i="32"/>
  <c r="O230" i="32" s="1"/>
  <c r="G49" i="32"/>
  <c r="G230" i="32" s="1"/>
  <c r="L48" i="32"/>
  <c r="S48" i="32" s="1"/>
  <c r="K48" i="32"/>
  <c r="R48" i="32" s="1"/>
  <c r="I46" i="32"/>
  <c r="P46" i="32" s="1"/>
  <c r="U44" i="32"/>
  <c r="W355" i="32" s="1"/>
  <c r="N44" i="32"/>
  <c r="O355" i="32" s="1"/>
  <c r="G44" i="32"/>
  <c r="G355" i="32" s="1"/>
  <c r="U43" i="32"/>
  <c r="W334" i="32" s="1"/>
  <c r="N43" i="32"/>
  <c r="O334" i="32" s="1"/>
  <c r="G43" i="32"/>
  <c r="G334" i="32" s="1"/>
  <c r="U42" i="32"/>
  <c r="W313" i="32" s="1"/>
  <c r="N42" i="32"/>
  <c r="O313" i="32" s="1"/>
  <c r="G42" i="32"/>
  <c r="U41" i="32"/>
  <c r="W292" i="32" s="1"/>
  <c r="N41" i="32"/>
  <c r="O292" i="32" s="1"/>
  <c r="G41" i="32"/>
  <c r="G292" i="32" s="1"/>
  <c r="U40" i="32"/>
  <c r="W271" i="32" s="1"/>
  <c r="N40" i="32"/>
  <c r="O271" i="32" s="1"/>
  <c r="G40" i="32"/>
  <c r="G271" i="32" s="1"/>
  <c r="U39" i="32"/>
  <c r="W250" i="32" s="1"/>
  <c r="N39" i="32"/>
  <c r="O250" i="32" s="1"/>
  <c r="G39" i="32"/>
  <c r="G250" i="32" s="1"/>
  <c r="U38" i="32"/>
  <c r="W229" i="32" s="1"/>
  <c r="N38" i="32"/>
  <c r="O229" i="32" s="1"/>
  <c r="G38" i="32"/>
  <c r="G229" i="32" s="1"/>
  <c r="R37" i="32"/>
  <c r="L37" i="32"/>
  <c r="S37" i="32" s="1"/>
  <c r="K37" i="32"/>
  <c r="I35" i="32"/>
  <c r="P35" i="32" s="1"/>
  <c r="U33" i="32"/>
  <c r="W354" i="32" s="1"/>
  <c r="N33" i="32"/>
  <c r="O354" i="32" s="1"/>
  <c r="G33" i="32"/>
  <c r="G354" i="32" s="1"/>
  <c r="U32" i="32"/>
  <c r="W333" i="32" s="1"/>
  <c r="N32" i="32"/>
  <c r="O333" i="32" s="1"/>
  <c r="G32" i="32"/>
  <c r="G333" i="32" s="1"/>
  <c r="U31" i="32"/>
  <c r="W312" i="32" s="1"/>
  <c r="N31" i="32"/>
  <c r="O312" i="32" s="1"/>
  <c r="G31" i="32"/>
  <c r="G312" i="32" s="1"/>
  <c r="U30" i="32"/>
  <c r="W291" i="32" s="1"/>
  <c r="N30" i="32"/>
  <c r="O291" i="32" s="1"/>
  <c r="G30" i="32"/>
  <c r="G291" i="32" s="1"/>
  <c r="U29" i="32"/>
  <c r="W270" i="32" s="1"/>
  <c r="N29" i="32"/>
  <c r="O270" i="32" s="1"/>
  <c r="G29" i="32"/>
  <c r="G270" i="32" s="1"/>
  <c r="U28" i="32"/>
  <c r="W249" i="32" s="1"/>
  <c r="N28" i="32"/>
  <c r="O249" i="32" s="1"/>
  <c r="G28" i="32"/>
  <c r="U27" i="32"/>
  <c r="W228" i="32" s="1"/>
  <c r="N27" i="32"/>
  <c r="O228" i="32" s="1"/>
  <c r="G27" i="32"/>
  <c r="G228" i="32" s="1"/>
  <c r="R26" i="32"/>
  <c r="L26" i="32"/>
  <c r="S26" i="32" s="1"/>
  <c r="K26" i="32"/>
  <c r="P24" i="32"/>
  <c r="I24" i="32"/>
  <c r="U22" i="32"/>
  <c r="W353" i="32" s="1"/>
  <c r="N22" i="32"/>
  <c r="O353" i="32" s="1"/>
  <c r="G22" i="32"/>
  <c r="G353" i="32" s="1"/>
  <c r="U21" i="32"/>
  <c r="W332" i="32" s="1"/>
  <c r="N21" i="32"/>
  <c r="O332" i="32" s="1"/>
  <c r="G21" i="32"/>
  <c r="G332" i="32" s="1"/>
  <c r="U20" i="32"/>
  <c r="W311" i="32" s="1"/>
  <c r="N20" i="32"/>
  <c r="O311" i="32" s="1"/>
  <c r="G20" i="32"/>
  <c r="G311" i="32" s="1"/>
  <c r="U19" i="32"/>
  <c r="W290" i="32" s="1"/>
  <c r="N19" i="32"/>
  <c r="G19" i="32"/>
  <c r="G290" i="32" s="1"/>
  <c r="U18" i="32"/>
  <c r="N18" i="32"/>
  <c r="O269" i="32" s="1"/>
  <c r="G18" i="32"/>
  <c r="G269" i="32" s="1"/>
  <c r="U17" i="32"/>
  <c r="W248" i="32" s="1"/>
  <c r="N17" i="32"/>
  <c r="O248" i="32" s="1"/>
  <c r="G17" i="32"/>
  <c r="G248" i="32" s="1"/>
  <c r="U16" i="32"/>
  <c r="W227" i="32" s="1"/>
  <c r="N16" i="32"/>
  <c r="O227" i="32" s="1"/>
  <c r="G16" i="32"/>
  <c r="G227" i="32" s="1"/>
  <c r="L15" i="32"/>
  <c r="S15" i="32" s="1"/>
  <c r="K15" i="32"/>
  <c r="R15" i="32" s="1"/>
  <c r="P13" i="32"/>
  <c r="I13" i="32"/>
  <c r="U11" i="32"/>
  <c r="W352" i="32" s="1"/>
  <c r="N11" i="32"/>
  <c r="O352" i="32" s="1"/>
  <c r="G11" i="32"/>
  <c r="G352" i="32" s="1"/>
  <c r="U10" i="32"/>
  <c r="W331" i="32" s="1"/>
  <c r="N10" i="32"/>
  <c r="O331" i="32" s="1"/>
  <c r="G10" i="32"/>
  <c r="G331" i="32" s="1"/>
  <c r="U9" i="32"/>
  <c r="W310" i="32" s="1"/>
  <c r="N9" i="32"/>
  <c r="G9" i="32"/>
  <c r="G310" i="32" s="1"/>
  <c r="U8" i="32"/>
  <c r="W289" i="32" s="1"/>
  <c r="N8" i="32"/>
  <c r="O289" i="32" s="1"/>
  <c r="G8" i="32"/>
  <c r="G289" i="32" s="1"/>
  <c r="U7" i="32"/>
  <c r="W268" i="32" s="1"/>
  <c r="N7" i="32"/>
  <c r="O268" i="32" s="1"/>
  <c r="G7" i="32"/>
  <c r="G268" i="32" s="1"/>
  <c r="U6" i="32"/>
  <c r="W247" i="32" s="1"/>
  <c r="N6" i="32"/>
  <c r="O247" i="32" s="1"/>
  <c r="G6" i="32"/>
  <c r="G247" i="32" s="1"/>
  <c r="U5" i="32"/>
  <c r="W226" i="32" s="1"/>
  <c r="N5" i="32"/>
  <c r="O226" i="32" s="1"/>
  <c r="G5" i="32"/>
  <c r="G226" i="32" s="1"/>
  <c r="S4" i="32"/>
  <c r="R4" i="32"/>
  <c r="L4" i="32"/>
  <c r="K4" i="32"/>
  <c r="P2" i="32"/>
  <c r="I2" i="32"/>
  <c r="A265" i="33" l="1"/>
  <c r="N298" i="33"/>
  <c r="N311" i="33" s="1"/>
  <c r="A107" i="2" s="1"/>
  <c r="B268" i="33"/>
  <c r="B276" i="33" s="1"/>
  <c r="B284" i="33" s="1"/>
  <c r="B290" i="33" s="1"/>
  <c r="C268" i="33"/>
  <c r="C276" i="33" s="1"/>
  <c r="C284" i="33" s="1"/>
  <c r="C290" i="33" s="1"/>
  <c r="A410" i="32"/>
  <c r="A373" i="32" s="1"/>
  <c r="E376" i="32" s="1"/>
  <c r="G301" i="32"/>
  <c r="G302" i="32"/>
  <c r="G286" i="32"/>
  <c r="G285" i="32"/>
  <c r="O302" i="32"/>
  <c r="O281" i="32"/>
  <c r="N373" i="32"/>
  <c r="O310" i="32"/>
  <c r="B375" i="32"/>
  <c r="H375" i="32" s="1"/>
  <c r="N375" i="32" s="1"/>
  <c r="C375" i="32"/>
  <c r="I375" i="32" s="1"/>
  <c r="O375" i="32" s="1"/>
  <c r="D375" i="32"/>
  <c r="J375" i="32" s="1"/>
  <c r="P375" i="32" s="1"/>
  <c r="F294" i="33" l="1"/>
  <c r="D293" i="33"/>
  <c r="B292" i="33"/>
  <c r="B288" i="33"/>
  <c r="F286" i="33"/>
  <c r="D285" i="33"/>
  <c r="F282" i="33"/>
  <c r="D281" i="33"/>
  <c r="B280" i="33"/>
  <c r="F278" i="33"/>
  <c r="D277" i="33"/>
  <c r="E273" i="33"/>
  <c r="A271" i="33"/>
  <c r="B270" i="33"/>
  <c r="E269" i="33"/>
  <c r="E294" i="33"/>
  <c r="C293" i="33"/>
  <c r="A292" i="33"/>
  <c r="A288" i="33"/>
  <c r="E286" i="33"/>
  <c r="C285" i="33"/>
  <c r="E282" i="33"/>
  <c r="C281" i="33"/>
  <c r="A280" i="33"/>
  <c r="E278" i="33"/>
  <c r="C277" i="33"/>
  <c r="F274" i="33"/>
  <c r="D273" i="33"/>
  <c r="A270" i="33"/>
  <c r="D269" i="33"/>
  <c r="D294" i="33"/>
  <c r="B293" i="33"/>
  <c r="F291" i="33"/>
  <c r="F287" i="33"/>
  <c r="D286" i="33"/>
  <c r="B285" i="33"/>
  <c r="I266" i="33" s="1"/>
  <c r="N269" i="33" s="1"/>
  <c r="D282" i="33"/>
  <c r="B281" i="33"/>
  <c r="F279" i="33"/>
  <c r="D278" i="33"/>
  <c r="B277" i="33"/>
  <c r="E274" i="33"/>
  <c r="C273" i="33"/>
  <c r="F272" i="33"/>
  <c r="C269" i="33"/>
  <c r="C294" i="33"/>
  <c r="A293" i="33"/>
  <c r="E291" i="33"/>
  <c r="E287" i="33"/>
  <c r="C286" i="33"/>
  <c r="A285" i="33"/>
  <c r="C282" i="33"/>
  <c r="A281" i="33"/>
  <c r="E279" i="33"/>
  <c r="C278" i="33"/>
  <c r="A277" i="33"/>
  <c r="D274" i="33"/>
  <c r="B273" i="33"/>
  <c r="E272" i="33"/>
  <c r="F271" i="33"/>
  <c r="B269" i="33"/>
  <c r="B294" i="33"/>
  <c r="F292" i="33"/>
  <c r="D291" i="33"/>
  <c r="F288" i="33"/>
  <c r="D287" i="33"/>
  <c r="B286" i="33"/>
  <c r="B282" i="33"/>
  <c r="F280" i="33"/>
  <c r="D279" i="33"/>
  <c r="B278" i="33"/>
  <c r="C274" i="33"/>
  <c r="A273" i="33"/>
  <c r="D272" i="33"/>
  <c r="E271" i="33"/>
  <c r="F270" i="33"/>
  <c r="A269" i="33"/>
  <c r="A294" i="33"/>
  <c r="E292" i="33"/>
  <c r="C291" i="33"/>
  <c r="E288" i="33"/>
  <c r="C287" i="33"/>
  <c r="A286" i="33"/>
  <c r="A282" i="33"/>
  <c r="E280" i="33"/>
  <c r="C279" i="33"/>
  <c r="A278" i="33"/>
  <c r="B274" i="33"/>
  <c r="C272" i="33"/>
  <c r="D271" i="33"/>
  <c r="E270" i="33"/>
  <c r="F293" i="33"/>
  <c r="D292" i="33"/>
  <c r="B291" i="33"/>
  <c r="D288" i="33"/>
  <c r="B287" i="33"/>
  <c r="F285" i="33"/>
  <c r="F281" i="33"/>
  <c r="D280" i="33"/>
  <c r="B279" i="33"/>
  <c r="F277" i="33"/>
  <c r="A274" i="33"/>
  <c r="B272" i="33"/>
  <c r="C271" i="33"/>
  <c r="D270" i="33"/>
  <c r="E293" i="33"/>
  <c r="C292" i="33"/>
  <c r="A291" i="33"/>
  <c r="C288" i="33"/>
  <c r="A287" i="33"/>
  <c r="E285" i="33"/>
  <c r="E281" i="33"/>
  <c r="C280" i="33"/>
  <c r="A279" i="33"/>
  <c r="E277" i="33"/>
  <c r="F273" i="33"/>
  <c r="A272" i="33"/>
  <c r="B271" i="33"/>
  <c r="C270" i="33"/>
  <c r="F269" i="33"/>
  <c r="C380" i="32"/>
  <c r="E381" i="32"/>
  <c r="B378" i="32"/>
  <c r="A380" i="32"/>
  <c r="A376" i="32"/>
  <c r="C377" i="32"/>
  <c r="E380" i="32"/>
  <c r="B381" i="32"/>
  <c r="D376" i="32"/>
  <c r="C379" i="32"/>
  <c r="A379" i="32"/>
  <c r="B382" i="32"/>
  <c r="D380" i="32"/>
  <c r="A377" i="32"/>
  <c r="E382" i="32"/>
  <c r="B380" i="32"/>
  <c r="D382" i="32"/>
  <c r="C376" i="32"/>
  <c r="B377" i="32"/>
  <c r="E379" i="32"/>
  <c r="D379" i="32"/>
  <c r="E377" i="32"/>
  <c r="D378" i="32"/>
  <c r="A382" i="32"/>
  <c r="E378" i="32"/>
  <c r="C381" i="32"/>
  <c r="G373" i="32"/>
  <c r="M373" i="32" s="1"/>
  <c r="D377" i="32"/>
  <c r="D381" i="32"/>
  <c r="S373" i="32"/>
  <c r="W379" i="32" s="1"/>
  <c r="O392" i="32" s="1"/>
  <c r="B379" i="32"/>
  <c r="C382" i="32"/>
  <c r="B376" i="32"/>
  <c r="A378" i="32"/>
  <c r="A381" i="32"/>
  <c r="C378" i="32"/>
  <c r="H379" i="32"/>
  <c r="G382" i="32"/>
  <c r="G379" i="32"/>
  <c r="G378" i="32"/>
  <c r="K379" i="32"/>
  <c r="H376" i="32"/>
  <c r="H380" i="32"/>
  <c r="J382" i="32"/>
  <c r="I380" i="32"/>
  <c r="K378" i="32" l="1"/>
  <c r="W377" i="32"/>
  <c r="O390" i="32" s="1"/>
  <c r="G15" i="27" s="1"/>
  <c r="I376" i="32"/>
  <c r="J381" i="32"/>
  <c r="K376" i="32"/>
  <c r="G376" i="32"/>
  <c r="J376" i="32"/>
  <c r="I381" i="32"/>
  <c r="H378" i="32"/>
  <c r="H377" i="32"/>
  <c r="I378" i="32"/>
  <c r="W378" i="32"/>
  <c r="O391" i="32" s="1"/>
  <c r="G16" i="27" s="1"/>
  <c r="K381" i="32"/>
  <c r="G380" i="32"/>
  <c r="K382" i="32"/>
  <c r="H382" i="32"/>
  <c r="J266" i="33"/>
  <c r="N270" i="33" s="1"/>
  <c r="O270" i="33" s="1"/>
  <c r="H26" i="4" s="1"/>
  <c r="H266" i="33"/>
  <c r="N268" i="33" s="1"/>
  <c r="I269" i="33" s="1"/>
  <c r="I272" i="33" s="1"/>
  <c r="G17" i="27" s="1"/>
  <c r="K266" i="33"/>
  <c r="N271" i="33" s="1"/>
  <c r="O271" i="33" s="1"/>
  <c r="H27" i="4" s="1"/>
  <c r="H269" i="33"/>
  <c r="N272" i="33" s="1"/>
  <c r="O272" i="33" s="1"/>
  <c r="I379" i="32"/>
  <c r="I382" i="32"/>
  <c r="J377" i="32"/>
  <c r="J378" i="32"/>
  <c r="H381" i="32"/>
  <c r="J379" i="32"/>
  <c r="I377" i="32"/>
  <c r="K380" i="32"/>
  <c r="G381" i="32"/>
  <c r="G377" i="32"/>
  <c r="J380" i="32"/>
  <c r="K377" i="32"/>
  <c r="S386" i="32"/>
  <c r="U377" i="32" s="1"/>
  <c r="N390" i="32" s="1"/>
  <c r="Q382" i="32"/>
  <c r="Q381" i="32"/>
  <c r="P380" i="32"/>
  <c r="Q379" i="32"/>
  <c r="O377" i="32"/>
  <c r="N376" i="32"/>
  <c r="P382" i="32"/>
  <c r="P381" i="32"/>
  <c r="O380" i="32"/>
  <c r="P379" i="32"/>
  <c r="N377" i="32"/>
  <c r="M376" i="32"/>
  <c r="O382" i="32"/>
  <c r="O381" i="32"/>
  <c r="N380" i="32"/>
  <c r="O379" i="32"/>
  <c r="M377" i="32"/>
  <c r="N382" i="32"/>
  <c r="N381" i="32"/>
  <c r="M380" i="32"/>
  <c r="N379" i="32"/>
  <c r="Q378" i="32"/>
  <c r="M382" i="32"/>
  <c r="M381" i="32"/>
  <c r="M379" i="32"/>
  <c r="P378" i="32"/>
  <c r="O378" i="32"/>
  <c r="Q376" i="32"/>
  <c r="P377" i="32"/>
  <c r="Q377" i="32"/>
  <c r="N378" i="32"/>
  <c r="M378" i="32"/>
  <c r="P376" i="32"/>
  <c r="O376" i="32"/>
  <c r="Q380" i="32"/>
  <c r="T381" i="32" l="1"/>
  <c r="E15" i="4" s="1"/>
  <c r="E15" i="27"/>
  <c r="T386" i="32"/>
  <c r="U378" i="32" s="1"/>
  <c r="N391" i="32" s="1"/>
  <c r="O268" i="33"/>
  <c r="H272" i="33" s="1"/>
  <c r="U386" i="32"/>
  <c r="U379" i="32" s="1"/>
  <c r="N392" i="32" s="1"/>
  <c r="T383" i="32" s="1"/>
  <c r="T382" i="32" l="1"/>
  <c r="E16" i="4" s="1"/>
  <c r="E16" i="27"/>
  <c r="H274" i="33"/>
  <c r="E17" i="4" s="1"/>
  <c r="E17" i="27"/>
  <c r="B45" i="27"/>
  <c r="B44" i="31" l="1"/>
  <c r="B43" i="31"/>
  <c r="B41" i="31"/>
  <c r="D18" i="31"/>
  <c r="D16" i="31"/>
  <c r="D10" i="31"/>
  <c r="D9" i="31"/>
  <c r="D8" i="31"/>
  <c r="E24" i="31"/>
  <c r="A2" i="31" l="1"/>
  <c r="B48" i="31" s="1"/>
  <c r="A46" i="22"/>
  <c r="A67" i="22" s="1"/>
  <c r="B55" i="4" s="1"/>
  <c r="A32" i="22"/>
  <c r="A17" i="31" l="1"/>
  <c r="A19" i="31"/>
  <c r="A20" i="31"/>
  <c r="A18" i="31"/>
  <c r="F156" i="23"/>
  <c r="U3" i="23" s="1"/>
  <c r="U18" i="23" s="1"/>
  <c r="U33" i="23" s="1"/>
  <c r="U48" i="23" s="1"/>
  <c r="U63" i="23" s="1"/>
  <c r="U78" i="23" s="1"/>
  <c r="U93" i="23" s="1"/>
  <c r="U108" i="23" s="1"/>
  <c r="U123" i="23" s="1"/>
  <c r="U138" i="23" s="1"/>
  <c r="R156" i="23" l="1"/>
  <c r="CO3" i="23" s="1"/>
  <c r="CO18" i="23" s="1"/>
  <c r="CO33" i="23" s="1"/>
  <c r="CO48" i="23" s="1"/>
  <c r="CO63" i="23" s="1"/>
  <c r="CO78" i="23" s="1"/>
  <c r="CO93" i="23" s="1"/>
  <c r="CO108" i="23" s="1"/>
  <c r="CO123" i="23" s="1"/>
  <c r="CO138" i="23" s="1"/>
  <c r="Q156" i="23"/>
  <c r="CI3" i="23" s="1"/>
  <c r="CI18" i="23" s="1"/>
  <c r="CI33" i="23" s="1"/>
  <c r="CI48" i="23" s="1"/>
  <c r="CI63" i="23" s="1"/>
  <c r="CI78" i="23" s="1"/>
  <c r="CI93" i="23" s="1"/>
  <c r="CI108" i="23" s="1"/>
  <c r="CI123" i="23" s="1"/>
  <c r="CI138" i="23" s="1"/>
  <c r="P156" i="23"/>
  <c r="CC3" i="23" s="1"/>
  <c r="CC18" i="23" s="1"/>
  <c r="CC33" i="23" s="1"/>
  <c r="CC48" i="23" s="1"/>
  <c r="CC63" i="23" s="1"/>
  <c r="CC78" i="23" s="1"/>
  <c r="CC93" i="23" s="1"/>
  <c r="CC108" i="23" s="1"/>
  <c r="CC123" i="23" s="1"/>
  <c r="CC138" i="23" s="1"/>
  <c r="O156" i="23"/>
  <c r="BW3" i="23" s="1"/>
  <c r="BW18" i="23" s="1"/>
  <c r="BW33" i="23" s="1"/>
  <c r="BW48" i="23" s="1"/>
  <c r="BW63" i="23" s="1"/>
  <c r="BW78" i="23" s="1"/>
  <c r="BW93" i="23" s="1"/>
  <c r="BW108" i="23" s="1"/>
  <c r="BW123" i="23" s="1"/>
  <c r="BW138" i="23" s="1"/>
  <c r="N156" i="23"/>
  <c r="BQ3" i="23" s="1"/>
  <c r="BQ18" i="23" s="1"/>
  <c r="BQ33" i="23" s="1"/>
  <c r="BQ48" i="23" s="1"/>
  <c r="BQ63" i="23" s="1"/>
  <c r="BQ78" i="23" s="1"/>
  <c r="BQ93" i="23" s="1"/>
  <c r="BQ108" i="23" s="1"/>
  <c r="BQ123" i="23" s="1"/>
  <c r="BQ138" i="23" s="1"/>
  <c r="M156" i="23"/>
  <c r="BK3" i="23" s="1"/>
  <c r="BK18" i="23" s="1"/>
  <c r="BK33" i="23" s="1"/>
  <c r="BK48" i="23" s="1"/>
  <c r="BK63" i="23" s="1"/>
  <c r="BK78" i="23" s="1"/>
  <c r="BK93" i="23" s="1"/>
  <c r="BK108" i="23" s="1"/>
  <c r="BK123" i="23" s="1"/>
  <c r="BK138" i="23" s="1"/>
  <c r="L156" i="23"/>
  <c r="BE3" i="23" s="1"/>
  <c r="BE18" i="23" s="1"/>
  <c r="BE33" i="23" s="1"/>
  <c r="BE48" i="23" s="1"/>
  <c r="BE63" i="23" s="1"/>
  <c r="BE78" i="23" s="1"/>
  <c r="BE93" i="23" s="1"/>
  <c r="BE108" i="23" s="1"/>
  <c r="BE123" i="23" s="1"/>
  <c r="BE138" i="23" s="1"/>
  <c r="K156" i="23"/>
  <c r="AY3" i="23" s="1"/>
  <c r="AY18" i="23" s="1"/>
  <c r="AY33" i="23" s="1"/>
  <c r="AY48" i="23" s="1"/>
  <c r="AY63" i="23" s="1"/>
  <c r="AY78" i="23" s="1"/>
  <c r="AY93" i="23" s="1"/>
  <c r="AY108" i="23" s="1"/>
  <c r="AY123" i="23" s="1"/>
  <c r="AY138" i="23" s="1"/>
  <c r="J156" i="23"/>
  <c r="AS3" i="23" s="1"/>
  <c r="AS18" i="23" s="1"/>
  <c r="AS33" i="23" s="1"/>
  <c r="AS48" i="23" s="1"/>
  <c r="AS63" i="23" s="1"/>
  <c r="AS78" i="23" s="1"/>
  <c r="AS93" i="23" s="1"/>
  <c r="AS108" i="23" s="1"/>
  <c r="AS123" i="23" s="1"/>
  <c r="AS138" i="23" s="1"/>
  <c r="I156" i="23"/>
  <c r="AM3" i="23" s="1"/>
  <c r="AM18" i="23" s="1"/>
  <c r="AM33" i="23" s="1"/>
  <c r="AM48" i="23" s="1"/>
  <c r="AM63" i="23" s="1"/>
  <c r="AM78" i="23" s="1"/>
  <c r="AM93" i="23" s="1"/>
  <c r="AM108" i="23" s="1"/>
  <c r="AM123" i="23" s="1"/>
  <c r="AM138" i="23" s="1"/>
  <c r="H156" i="23"/>
  <c r="AG3" i="23" s="1"/>
  <c r="AG18" i="23" s="1"/>
  <c r="AG33" i="23" s="1"/>
  <c r="AG48" i="23" s="1"/>
  <c r="AG63" i="23" s="1"/>
  <c r="AG78" i="23" s="1"/>
  <c r="AG93" i="23" s="1"/>
  <c r="AG108" i="23" s="1"/>
  <c r="AG123" i="23" s="1"/>
  <c r="AG138" i="23" s="1"/>
  <c r="G156" i="23"/>
  <c r="AA3" i="23" s="1"/>
  <c r="AA18" i="23" s="1"/>
  <c r="AA33" i="23" s="1"/>
  <c r="AA48" i="23" s="1"/>
  <c r="AA63" i="23" s="1"/>
  <c r="AA78" i="23" s="1"/>
  <c r="AA93" i="23" s="1"/>
  <c r="AA108" i="23" s="1"/>
  <c r="AA123" i="23" s="1"/>
  <c r="AA138" i="23" s="1"/>
  <c r="C261" i="23" l="1"/>
  <c r="C263" i="23"/>
  <c r="C262" i="23"/>
  <c r="C264" i="23"/>
  <c r="C272" i="23"/>
  <c r="C270" i="23"/>
  <c r="C271" i="23"/>
  <c r="C265" i="23"/>
  <c r="C266" i="23"/>
  <c r="C267" i="23"/>
  <c r="C268" i="23"/>
  <c r="C269" i="23"/>
  <c r="C27" i="4" l="1"/>
  <c r="B62" i="27"/>
  <c r="B32" i="27"/>
  <c r="L25" i="27"/>
  <c r="B23" i="27"/>
  <c r="A1" i="27"/>
  <c r="K30" i="2" l="1"/>
  <c r="A109" i="2" l="1"/>
  <c r="P35" i="2" s="1"/>
  <c r="J27" i="4"/>
  <c r="E7" i="4"/>
  <c r="E7" i="27" s="1"/>
  <c r="O50" i="4"/>
  <c r="B42" i="4" s="1"/>
  <c r="E8" i="4"/>
  <c r="G14" i="3"/>
  <c r="B6" i="3"/>
  <c r="B5" i="3"/>
  <c r="I351" i="23"/>
  <c r="I352" i="23"/>
  <c r="I353" i="23"/>
  <c r="I354" i="23"/>
  <c r="I355" i="23"/>
  <c r="I356" i="23"/>
  <c r="I357" i="23"/>
  <c r="I338" i="23"/>
  <c r="I339" i="23"/>
  <c r="I340" i="23"/>
  <c r="I341" i="23"/>
  <c r="I342" i="23"/>
  <c r="I343" i="23"/>
  <c r="I344" i="23"/>
  <c r="I325" i="23"/>
  <c r="I326" i="23"/>
  <c r="I327" i="23"/>
  <c r="I328" i="23"/>
  <c r="I329" i="23"/>
  <c r="I330" i="23"/>
  <c r="I331" i="23"/>
  <c r="I332" i="23"/>
  <c r="I312" i="23"/>
  <c r="I313" i="23"/>
  <c r="I314" i="23"/>
  <c r="I315" i="23"/>
  <c r="I316" i="23"/>
  <c r="I317" i="23"/>
  <c r="I318" i="23"/>
  <c r="I299" i="23"/>
  <c r="I300" i="23"/>
  <c r="I301" i="23"/>
  <c r="I302" i="23"/>
  <c r="I303" i="23"/>
  <c r="I304" i="23"/>
  <c r="I305" i="23"/>
  <c r="C351" i="23"/>
  <c r="C352" i="23"/>
  <c r="C353" i="23"/>
  <c r="C354" i="23"/>
  <c r="C355" i="23"/>
  <c r="C356" i="23"/>
  <c r="C357" i="23"/>
  <c r="C338" i="23"/>
  <c r="C339" i="23"/>
  <c r="C340" i="23"/>
  <c r="C341" i="23"/>
  <c r="C342" i="23"/>
  <c r="C343" i="23"/>
  <c r="C344" i="23"/>
  <c r="C325" i="23"/>
  <c r="C326" i="23"/>
  <c r="C327" i="23"/>
  <c r="C328" i="23"/>
  <c r="C329" i="23"/>
  <c r="C330" i="23"/>
  <c r="C331" i="23"/>
  <c r="C312" i="23"/>
  <c r="C313" i="23"/>
  <c r="C314" i="23"/>
  <c r="C315" i="23"/>
  <c r="C316" i="23"/>
  <c r="C317" i="23"/>
  <c r="C318" i="23"/>
  <c r="C299" i="23"/>
  <c r="C300" i="23"/>
  <c r="C301" i="23"/>
  <c r="C302" i="23"/>
  <c r="C303" i="23"/>
  <c r="C304" i="23"/>
  <c r="C305" i="23"/>
  <c r="C306" i="23"/>
  <c r="I350" i="23"/>
  <c r="J350" i="23" s="1"/>
  <c r="I337" i="23"/>
  <c r="J337" i="23" s="1"/>
  <c r="I324" i="23"/>
  <c r="J324" i="23" s="1"/>
  <c r="I311" i="23"/>
  <c r="J311" i="23" s="1"/>
  <c r="I298" i="23"/>
  <c r="J298" i="23" s="1"/>
  <c r="C350" i="23"/>
  <c r="D350" i="23" s="1"/>
  <c r="C337" i="23"/>
  <c r="D337" i="23" s="1"/>
  <c r="C324" i="23"/>
  <c r="D324" i="23" s="1"/>
  <c r="C311" i="23"/>
  <c r="D311" i="23" s="1"/>
  <c r="C298" i="23"/>
  <c r="D298" i="23" s="1"/>
  <c r="E298" i="23" s="1"/>
  <c r="A108" i="2"/>
  <c r="W156" i="23"/>
  <c r="V156" i="23"/>
  <c r="D173" i="23" s="1"/>
  <c r="V173" i="23" s="1"/>
  <c r="D190" i="23" s="1"/>
  <c r="V190" i="23" s="1"/>
  <c r="D207" i="23" s="1"/>
  <c r="U156" i="23"/>
  <c r="AG156" i="23"/>
  <c r="AG173" i="23" s="1"/>
  <c r="AG190" i="23" s="1"/>
  <c r="N173" i="23"/>
  <c r="N190" i="23" s="1"/>
  <c r="L173" i="23"/>
  <c r="L190" i="23" s="1"/>
  <c r="AC156" i="23"/>
  <c r="AC173" i="23" s="1"/>
  <c r="AC190" i="23" s="1"/>
  <c r="J173" i="23"/>
  <c r="J190" i="23" s="1"/>
  <c r="AA156" i="23"/>
  <c r="AA173" i="23" s="1"/>
  <c r="AA190" i="23" s="1"/>
  <c r="H173" i="23"/>
  <c r="H190" i="23" s="1"/>
  <c r="X156" i="23"/>
  <c r="C10" i="2"/>
  <c r="E9" i="27" s="1"/>
  <c r="D17" i="31" s="1"/>
  <c r="B52" i="31" s="1"/>
  <c r="B53" i="31" s="1"/>
  <c r="A9" i="2"/>
  <c r="A8" i="4" s="1"/>
  <c r="B57" i="31" l="1"/>
  <c r="B56" i="31"/>
  <c r="B55" i="31" s="1"/>
  <c r="D273" i="23"/>
  <c r="J207" i="23"/>
  <c r="J223" i="23" s="1"/>
  <c r="J239" i="23" s="1"/>
  <c r="J279" i="23" s="1"/>
  <c r="AC207" i="23"/>
  <c r="AC223" i="23" s="1"/>
  <c r="AC239" i="23" s="1"/>
  <c r="AA207" i="23"/>
  <c r="AA223" i="23" s="1"/>
  <c r="AA239" i="23" s="1"/>
  <c r="L207" i="23"/>
  <c r="L223" i="23" s="1"/>
  <c r="L239" i="23" s="1"/>
  <c r="L279" i="23" s="1"/>
  <c r="N207" i="23"/>
  <c r="N223" i="23" s="1"/>
  <c r="N239" i="23" s="1"/>
  <c r="N279" i="23" s="1"/>
  <c r="AG207" i="23"/>
  <c r="AG223" i="23" s="1"/>
  <c r="AG239" i="23" s="1"/>
  <c r="H207" i="23"/>
  <c r="H223" i="23" s="1"/>
  <c r="H239" i="23" s="1"/>
  <c r="H279" i="23" s="1"/>
  <c r="E8" i="5"/>
  <c r="E8" i="27"/>
  <c r="B51" i="5"/>
  <c r="B51" i="27" s="1"/>
  <c r="C173" i="23"/>
  <c r="X173" i="23"/>
  <c r="A8" i="5"/>
  <c r="A8" i="27"/>
  <c r="E173" i="23"/>
  <c r="N54" i="4"/>
  <c r="B48" i="4"/>
  <c r="AF156" i="23"/>
  <c r="AF173" i="23" s="1"/>
  <c r="AF190" i="23" s="1"/>
  <c r="F173" i="23"/>
  <c r="I173" i="23"/>
  <c r="I190" i="23" s="1"/>
  <c r="O173" i="23"/>
  <c r="O190" i="23" s="1"/>
  <c r="Y156" i="23"/>
  <c r="Y173" i="23" s="1"/>
  <c r="Y190" i="23" s="1"/>
  <c r="G173" i="23"/>
  <c r="G190" i="23" s="1"/>
  <c r="Z156" i="23"/>
  <c r="Z173" i="23" s="1"/>
  <c r="Z190" i="23" s="1"/>
  <c r="AB156" i="23"/>
  <c r="AB173" i="23" s="1"/>
  <c r="AB190" i="23" s="1"/>
  <c r="AD156" i="23"/>
  <c r="AD173" i="23" s="1"/>
  <c r="AD190" i="23" s="1"/>
  <c r="AE156" i="23"/>
  <c r="M173" i="23"/>
  <c r="M190" i="23" s="1"/>
  <c r="D223" i="23"/>
  <c r="D239" i="23" s="1"/>
  <c r="D279" i="23" s="1"/>
  <c r="V207" i="23"/>
  <c r="V223" i="23" s="1"/>
  <c r="V239" i="23" s="1"/>
  <c r="K173" i="23"/>
  <c r="E273" i="23" l="1"/>
  <c r="C86" i="2"/>
  <c r="O207" i="23"/>
  <c r="O223" i="23" s="1"/>
  <c r="O239" i="23" s="1"/>
  <c r="O279" i="23" s="1"/>
  <c r="I207" i="23"/>
  <c r="I223" i="23" s="1"/>
  <c r="I239" i="23" s="1"/>
  <c r="I279" i="23" s="1"/>
  <c r="Y207" i="23"/>
  <c r="Y223" i="23" s="1"/>
  <c r="Y239" i="23" s="1"/>
  <c r="AB207" i="23"/>
  <c r="AB223" i="23" s="1"/>
  <c r="AB239" i="23" s="1"/>
  <c r="M207" i="23"/>
  <c r="M223" i="23" s="1"/>
  <c r="M239" i="23" s="1"/>
  <c r="M279" i="23" s="1"/>
  <c r="AD207" i="23"/>
  <c r="AD223" i="23" s="1"/>
  <c r="AD239" i="23" s="1"/>
  <c r="Z207" i="23"/>
  <c r="Z223" i="23" s="1"/>
  <c r="Z239" i="23" s="1"/>
  <c r="AF207" i="23"/>
  <c r="AF223" i="23" s="1"/>
  <c r="AF239" i="23" s="1"/>
  <c r="G207" i="23"/>
  <c r="G223" i="23" s="1"/>
  <c r="G239" i="23" s="1"/>
  <c r="G279" i="23" s="1"/>
  <c r="U173" i="23"/>
  <c r="D261" i="23"/>
  <c r="D266" i="23"/>
  <c r="D267" i="23"/>
  <c r="D265" i="23"/>
  <c r="D263" i="23"/>
  <c r="D271" i="23"/>
  <c r="D272" i="23"/>
  <c r="D264" i="23"/>
  <c r="D268" i="23"/>
  <c r="D262" i="23"/>
  <c r="D270" i="23"/>
  <c r="D269" i="23"/>
  <c r="F190" i="23"/>
  <c r="F207" i="23" s="1"/>
  <c r="E263" i="23"/>
  <c r="E269" i="23"/>
  <c r="E272" i="23"/>
  <c r="E262" i="23"/>
  <c r="E265" i="23"/>
  <c r="E268" i="23"/>
  <c r="E270" i="23"/>
  <c r="E267" i="23"/>
  <c r="E271" i="23"/>
  <c r="E261" i="23"/>
  <c r="E264" i="23"/>
  <c r="E266" i="23"/>
  <c r="X190" i="23"/>
  <c r="X207" i="23" s="1"/>
  <c r="W173" i="23"/>
  <c r="E190" i="23" s="1"/>
  <c r="W190" i="23" s="1"/>
  <c r="E207" i="23" s="1"/>
  <c r="E324" i="23"/>
  <c r="K190" i="23"/>
  <c r="K207" i="23" s="1"/>
  <c r="AE173" i="23"/>
  <c r="J325" i="23" l="1"/>
  <c r="D325" i="23"/>
  <c r="J312" i="23"/>
  <c r="F87" i="2" s="1"/>
  <c r="J351" i="23"/>
  <c r="K351" i="23" s="1"/>
  <c r="J338" i="23"/>
  <c r="J299" i="23"/>
  <c r="D87" i="2" s="1"/>
  <c r="D338" i="23"/>
  <c r="I87" i="2" s="1"/>
  <c r="D351" i="23"/>
  <c r="E351" i="23" s="1"/>
  <c r="D312" i="23"/>
  <c r="E87" i="2" s="1"/>
  <c r="D299" i="23"/>
  <c r="E299" i="23" s="1"/>
  <c r="J313" i="23"/>
  <c r="J339" i="23"/>
  <c r="J326" i="23"/>
  <c r="D352" i="23"/>
  <c r="D313" i="23"/>
  <c r="D339" i="23"/>
  <c r="D300" i="23"/>
  <c r="E300" i="23" s="1"/>
  <c r="J352" i="23"/>
  <c r="D326" i="23"/>
  <c r="J300" i="23"/>
  <c r="F273" i="23"/>
  <c r="F269" i="23"/>
  <c r="C190" i="23"/>
  <c r="G262" i="23" s="1"/>
  <c r="J25" i="27"/>
  <c r="K25" i="27" s="1"/>
  <c r="F270" i="23"/>
  <c r="F266" i="23"/>
  <c r="F261" i="23"/>
  <c r="F262" i="23"/>
  <c r="F263" i="23"/>
  <c r="F272" i="23"/>
  <c r="F267" i="23"/>
  <c r="F271" i="23"/>
  <c r="F265" i="23"/>
  <c r="F264" i="23"/>
  <c r="F268" i="23"/>
  <c r="K325" i="23"/>
  <c r="E325" i="23"/>
  <c r="G86" i="2"/>
  <c r="K350" i="23"/>
  <c r="L86" i="2"/>
  <c r="K337" i="23"/>
  <c r="J86" i="2"/>
  <c r="K324" i="23"/>
  <c r="H86" i="2"/>
  <c r="K311" i="23"/>
  <c r="F86" i="2"/>
  <c r="K298" i="23"/>
  <c r="D86" i="2"/>
  <c r="E350" i="23"/>
  <c r="K86" i="2"/>
  <c r="E337" i="23"/>
  <c r="I86" i="2"/>
  <c r="E311" i="23"/>
  <c r="E86" i="2"/>
  <c r="AE190" i="23"/>
  <c r="U27" i="2"/>
  <c r="C87" i="2" l="1"/>
  <c r="G271" i="23"/>
  <c r="G263" i="23"/>
  <c r="D301" i="23"/>
  <c r="E301" i="23" s="1"/>
  <c r="D340" i="23"/>
  <c r="D327" i="23"/>
  <c r="J340" i="23"/>
  <c r="J301" i="23"/>
  <c r="D353" i="23"/>
  <c r="D314" i="23"/>
  <c r="J314" i="23"/>
  <c r="J327" i="23"/>
  <c r="J353" i="23"/>
  <c r="G273" i="23"/>
  <c r="U190" i="23"/>
  <c r="H271" i="23" s="1"/>
  <c r="G269" i="23"/>
  <c r="G266" i="23"/>
  <c r="G261" i="23"/>
  <c r="G270" i="23"/>
  <c r="G268" i="23"/>
  <c r="G265" i="23"/>
  <c r="G267" i="23"/>
  <c r="G264" i="23"/>
  <c r="G272" i="23"/>
  <c r="AE207" i="23"/>
  <c r="K299" i="23"/>
  <c r="O86" i="2"/>
  <c r="H261" i="23"/>
  <c r="F223" i="23"/>
  <c r="X223" i="23"/>
  <c r="W207" i="23"/>
  <c r="E223" i="23"/>
  <c r="K312" i="23"/>
  <c r="H87" i="2"/>
  <c r="E338" i="23"/>
  <c r="E312" i="23"/>
  <c r="G87" i="2"/>
  <c r="J87" i="2"/>
  <c r="K338" i="23"/>
  <c r="K87" i="2"/>
  <c r="L87" i="2"/>
  <c r="O32" i="4"/>
  <c r="J26" i="27"/>
  <c r="K26" i="27" s="1"/>
  <c r="O33" i="4"/>
  <c r="J25" i="5"/>
  <c r="K25" i="5" s="1"/>
  <c r="K352" i="23"/>
  <c r="L88" i="2"/>
  <c r="E352" i="23"/>
  <c r="K88" i="2"/>
  <c r="K339" i="23"/>
  <c r="J88" i="2"/>
  <c r="E339" i="23"/>
  <c r="I88" i="2"/>
  <c r="K326" i="23"/>
  <c r="H88" i="2"/>
  <c r="E326" i="23"/>
  <c r="G88" i="2"/>
  <c r="K313" i="23"/>
  <c r="F88" i="2"/>
  <c r="E313" i="23"/>
  <c r="E88" i="2"/>
  <c r="K300" i="23"/>
  <c r="D88" i="2"/>
  <c r="C88" i="2"/>
  <c r="K223" i="23"/>
  <c r="H262" i="23" l="1"/>
  <c r="H269" i="23"/>
  <c r="H264" i="23"/>
  <c r="H265" i="23"/>
  <c r="H272" i="23"/>
  <c r="H267" i="23"/>
  <c r="H270" i="23"/>
  <c r="H263" i="23"/>
  <c r="J315" i="23"/>
  <c r="F90" i="2" s="1"/>
  <c r="D328" i="23"/>
  <c r="G90" i="2" s="1"/>
  <c r="D315" i="23"/>
  <c r="E90" i="2" s="1"/>
  <c r="J328" i="23"/>
  <c r="K328" i="23" s="1"/>
  <c r="D354" i="23"/>
  <c r="E354" i="23" s="1"/>
  <c r="D302" i="23"/>
  <c r="E302" i="23" s="1"/>
  <c r="J354" i="23"/>
  <c r="K354" i="23" s="1"/>
  <c r="J302" i="23"/>
  <c r="D90" i="2" s="1"/>
  <c r="J341" i="23"/>
  <c r="D341" i="23"/>
  <c r="E341" i="23" s="1"/>
  <c r="H273" i="23"/>
  <c r="H266" i="23"/>
  <c r="H268" i="23"/>
  <c r="K341" i="23"/>
  <c r="C207" i="23"/>
  <c r="X239" i="23"/>
  <c r="F239" i="23"/>
  <c r="F279" i="23" s="1"/>
  <c r="E239" i="23"/>
  <c r="E279" i="23" s="1"/>
  <c r="W223" i="23"/>
  <c r="J27" i="27"/>
  <c r="K27" i="27" s="1"/>
  <c r="K353" i="23"/>
  <c r="L89" i="2"/>
  <c r="E353" i="23"/>
  <c r="K89" i="2"/>
  <c r="K340" i="23"/>
  <c r="J89" i="2"/>
  <c r="E340" i="23"/>
  <c r="I89" i="2"/>
  <c r="K327" i="23"/>
  <c r="H89" i="2"/>
  <c r="E327" i="23"/>
  <c r="G89" i="2"/>
  <c r="K314" i="23"/>
  <c r="F89" i="2"/>
  <c r="E314" i="23"/>
  <c r="E89" i="2"/>
  <c r="K301" i="23"/>
  <c r="D89" i="2"/>
  <c r="C89" i="2"/>
  <c r="AE223" i="23"/>
  <c r="K239" i="23"/>
  <c r="K279" i="23" s="1"/>
  <c r="D303" i="23" l="1"/>
  <c r="E303" i="23" s="1"/>
  <c r="J316" i="23"/>
  <c r="D329" i="23"/>
  <c r="E329" i="23" s="1"/>
  <c r="D355" i="23"/>
  <c r="E355" i="23" s="1"/>
  <c r="J342" i="23"/>
  <c r="K342" i="23" s="1"/>
  <c r="D316" i="23"/>
  <c r="E316" i="23" s="1"/>
  <c r="J303" i="23"/>
  <c r="K303" i="23" s="1"/>
  <c r="D342" i="23"/>
  <c r="E342" i="23" s="1"/>
  <c r="J355" i="23"/>
  <c r="K355" i="23" s="1"/>
  <c r="C90" i="2"/>
  <c r="J329" i="23"/>
  <c r="K329" i="23" s="1"/>
  <c r="I90" i="2"/>
  <c r="E328" i="23"/>
  <c r="K302" i="23"/>
  <c r="J90" i="2"/>
  <c r="L90" i="2"/>
  <c r="H90" i="2"/>
  <c r="E315" i="23"/>
  <c r="K315" i="23"/>
  <c r="I273" i="23"/>
  <c r="K90" i="2"/>
  <c r="I267" i="23"/>
  <c r="I261" i="23"/>
  <c r="U207" i="23"/>
  <c r="I269" i="23"/>
  <c r="I265" i="23"/>
  <c r="I268" i="23"/>
  <c r="I270" i="23"/>
  <c r="I271" i="23"/>
  <c r="I272" i="23"/>
  <c r="I263" i="23"/>
  <c r="I264" i="23"/>
  <c r="I266" i="23"/>
  <c r="C223" i="23"/>
  <c r="I262" i="23"/>
  <c r="W239" i="23"/>
  <c r="K316" i="23"/>
  <c r="F91" i="2"/>
  <c r="C91" i="2"/>
  <c r="AE239" i="23"/>
  <c r="J91" i="2" l="1"/>
  <c r="K91" i="2"/>
  <c r="E91" i="2"/>
  <c r="G91" i="2"/>
  <c r="D91" i="2"/>
  <c r="I91" i="2"/>
  <c r="L91" i="2"/>
  <c r="J317" i="23"/>
  <c r="D304" i="23"/>
  <c r="E304" i="23" s="1"/>
  <c r="J330" i="23"/>
  <c r="D343" i="23"/>
  <c r="J356" i="23"/>
  <c r="D317" i="23"/>
  <c r="J304" i="23"/>
  <c r="J343" i="23"/>
  <c r="D356" i="23"/>
  <c r="D330" i="23"/>
  <c r="H91" i="2"/>
  <c r="K273" i="23"/>
  <c r="J273" i="23"/>
  <c r="C239" i="23"/>
  <c r="C279" i="23" s="1"/>
  <c r="K267" i="23"/>
  <c r="K266" i="23"/>
  <c r="K269" i="23"/>
  <c r="K268" i="23"/>
  <c r="K272" i="23"/>
  <c r="K270" i="23"/>
  <c r="K264" i="23"/>
  <c r="K262" i="23"/>
  <c r="K265" i="23"/>
  <c r="K261" i="23"/>
  <c r="K271" i="23"/>
  <c r="K263" i="23"/>
  <c r="U223" i="23"/>
  <c r="J263" i="23"/>
  <c r="J261" i="23"/>
  <c r="J262" i="23"/>
  <c r="J269" i="23"/>
  <c r="J267" i="23"/>
  <c r="J272" i="23"/>
  <c r="J265" i="23"/>
  <c r="J266" i="23"/>
  <c r="J270" i="23"/>
  <c r="J264" i="23"/>
  <c r="J268" i="23"/>
  <c r="J271" i="23"/>
  <c r="D345" i="23" l="1"/>
  <c r="D319" i="23"/>
  <c r="J358" i="23"/>
  <c r="K358" i="23" s="1"/>
  <c r="J306" i="23"/>
  <c r="K306" i="23" s="1"/>
  <c r="D358" i="23"/>
  <c r="E358" i="23" s="1"/>
  <c r="D332" i="23"/>
  <c r="E332" i="23" s="1"/>
  <c r="J319" i="23"/>
  <c r="K319" i="23" s="1"/>
  <c r="J345" i="23"/>
  <c r="K345" i="23" s="1"/>
  <c r="D306" i="23"/>
  <c r="E306" i="23" s="1"/>
  <c r="J332" i="23"/>
  <c r="K332" i="23" s="1"/>
  <c r="D331" i="23"/>
  <c r="J305" i="23"/>
  <c r="D357" i="23"/>
  <c r="D318" i="23"/>
  <c r="D305" i="23"/>
  <c r="E305" i="23" s="1"/>
  <c r="J357" i="23"/>
  <c r="J318" i="23"/>
  <c r="J344" i="23"/>
  <c r="D344" i="23"/>
  <c r="J331" i="23"/>
  <c r="L273" i="23"/>
  <c r="C292" i="23" s="1"/>
  <c r="F9" i="3" s="1"/>
  <c r="H9" i="3" s="1"/>
  <c r="M9" i="3" s="1"/>
  <c r="C92" i="2"/>
  <c r="E317" i="23"/>
  <c r="E92" i="2"/>
  <c r="G92" i="2"/>
  <c r="E330" i="23"/>
  <c r="E319" i="23"/>
  <c r="E345" i="23"/>
  <c r="E356" i="23"/>
  <c r="K92" i="2"/>
  <c r="F92" i="2"/>
  <c r="K317" i="23"/>
  <c r="K343" i="23"/>
  <c r="J92" i="2"/>
  <c r="K304" i="23"/>
  <c r="D92" i="2"/>
  <c r="U239" i="23"/>
  <c r="K330" i="23"/>
  <c r="H92" i="2"/>
  <c r="E343" i="23"/>
  <c r="I92" i="2"/>
  <c r="K356" i="23"/>
  <c r="L92" i="2"/>
  <c r="B62" i="5"/>
  <c r="B32" i="5"/>
  <c r="B23" i="5"/>
  <c r="A1" i="5"/>
  <c r="D346" i="23" l="1"/>
  <c r="E346" i="23" s="1"/>
  <c r="D320" i="23"/>
  <c r="E320" i="23" s="1"/>
  <c r="D359" i="23"/>
  <c r="E359" i="23" s="1"/>
  <c r="J359" i="23"/>
  <c r="K359" i="23" s="1"/>
  <c r="J307" i="23"/>
  <c r="K307" i="23" s="1"/>
  <c r="J346" i="23"/>
  <c r="K346" i="23" s="1"/>
  <c r="J320" i="23"/>
  <c r="K320" i="23" s="1"/>
  <c r="D333" i="23"/>
  <c r="E333" i="23" s="1"/>
  <c r="K357" i="23"/>
  <c r="L93" i="2"/>
  <c r="K305" i="23"/>
  <c r="D93" i="2"/>
  <c r="E357" i="23"/>
  <c r="K93" i="2"/>
  <c r="K318" i="23"/>
  <c r="F93" i="2"/>
  <c r="K331" i="23"/>
  <c r="H93" i="2"/>
  <c r="E93" i="2"/>
  <c r="E318" i="23"/>
  <c r="K344" i="23"/>
  <c r="J93" i="2"/>
  <c r="I93" i="2"/>
  <c r="E344" i="23"/>
  <c r="C93" i="2"/>
  <c r="E331" i="23"/>
  <c r="G93" i="2"/>
  <c r="H94" i="2"/>
  <c r="C94" i="2"/>
  <c r="R63" i="4" l="1"/>
  <c r="H82" i="2"/>
  <c r="O94" i="2"/>
  <c r="N94" i="2"/>
  <c r="F15" i="3" s="1"/>
  <c r="K96" i="2" l="1"/>
  <c r="O48" i="4" s="1"/>
  <c r="H95" i="2"/>
  <c r="I333" i="23"/>
  <c r="J333" i="23" s="1"/>
  <c r="M33" i="3"/>
  <c r="M32" i="3"/>
  <c r="M31" i="3"/>
  <c r="M30" i="3"/>
  <c r="M29" i="3"/>
  <c r="M28" i="3"/>
  <c r="K32" i="3"/>
  <c r="K31" i="3"/>
  <c r="K30" i="3"/>
  <c r="K29" i="3"/>
  <c r="K28" i="3"/>
  <c r="H33" i="3"/>
  <c r="H32" i="3"/>
  <c r="H31" i="3"/>
  <c r="H30" i="3"/>
  <c r="H29" i="3"/>
  <c r="F31" i="3"/>
  <c r="F29" i="3"/>
  <c r="L33" i="3"/>
  <c r="L32" i="3"/>
  <c r="L31" i="3"/>
  <c r="L30" i="3"/>
  <c r="L29" i="3"/>
  <c r="K33" i="3"/>
  <c r="H28" i="3"/>
  <c r="F33" i="3"/>
  <c r="F32" i="3"/>
  <c r="F30" i="3"/>
  <c r="S92" i="2"/>
  <c r="S91" i="2"/>
  <c r="S90" i="2"/>
  <c r="S89" i="2"/>
  <c r="S88" i="2"/>
  <c r="S87" i="2"/>
  <c r="S86" i="2"/>
  <c r="R95" i="2"/>
  <c r="R94" i="2"/>
  <c r="R92" i="2"/>
  <c r="R91" i="2"/>
  <c r="R90" i="2"/>
  <c r="R89" i="2"/>
  <c r="R88" i="2"/>
  <c r="R87" i="2"/>
  <c r="R86" i="2"/>
  <c r="Q95" i="2"/>
  <c r="Q94" i="2"/>
  <c r="Q92" i="2"/>
  <c r="Q91" i="2"/>
  <c r="Q90" i="2"/>
  <c r="Q89" i="2"/>
  <c r="Q88" i="2"/>
  <c r="Q87" i="2"/>
  <c r="Q86" i="2"/>
  <c r="H41" i="2"/>
  <c r="E41" i="2"/>
  <c r="C41" i="2"/>
  <c r="F37" i="2"/>
  <c r="I18" i="2"/>
  <c r="I17" i="2"/>
  <c r="H18" i="2"/>
  <c r="H17" i="2"/>
  <c r="K333" i="23" l="1"/>
  <c r="T87" i="2"/>
  <c r="T86" i="2"/>
  <c r="T92" i="2"/>
  <c r="T91" i="2"/>
  <c r="T90" i="2"/>
  <c r="T89" i="2"/>
  <c r="T88" i="2"/>
  <c r="L25" i="5"/>
  <c r="E70" i="4"/>
  <c r="C70" i="4"/>
  <c r="B65" i="4"/>
  <c r="B57" i="4"/>
  <c r="B56" i="4"/>
  <c r="B54" i="4"/>
  <c r="B45" i="4"/>
  <c r="H36" i="4"/>
  <c r="H33" i="4"/>
  <c r="H32" i="4"/>
  <c r="H31" i="4"/>
  <c r="E21" i="4"/>
  <c r="E20" i="4"/>
  <c r="E12" i="4"/>
  <c r="E11" i="4"/>
  <c r="E10" i="4"/>
  <c r="E9" i="5"/>
  <c r="E7" i="5"/>
  <c r="E6" i="4"/>
  <c r="E5" i="4"/>
  <c r="E4" i="4"/>
  <c r="L28" i="3"/>
  <c r="B25" i="3"/>
  <c r="B24" i="3"/>
  <c r="G15" i="3"/>
  <c r="G13" i="3"/>
  <c r="G12" i="3"/>
  <c r="G11" i="3"/>
  <c r="G10" i="3"/>
  <c r="F11" i="3"/>
  <c r="O96" i="2"/>
  <c r="O83" i="2"/>
  <c r="T95" i="2"/>
  <c r="C82" i="2"/>
  <c r="T94" i="2"/>
  <c r="R52" i="2"/>
  <c r="R51" i="2"/>
  <c r="R50" i="2"/>
  <c r="R49" i="2"/>
  <c r="R48" i="2"/>
  <c r="R47" i="2"/>
  <c r="R46" i="2"/>
  <c r="R45" i="2"/>
  <c r="R44" i="2"/>
  <c r="R43" i="2"/>
  <c r="R42" i="2"/>
  <c r="R41" i="2"/>
  <c r="B41" i="2"/>
  <c r="R40" i="2"/>
  <c r="C40" i="2"/>
  <c r="D37" i="2"/>
  <c r="H34" i="4" s="1"/>
  <c r="F18" i="2"/>
  <c r="E18" i="2"/>
  <c r="F17" i="2"/>
  <c r="E17" i="2"/>
  <c r="B57" i="5" l="1"/>
  <c r="B57" i="27" s="1"/>
  <c r="B56" i="5"/>
  <c r="B56" i="27" s="1"/>
  <c r="B48" i="5"/>
  <c r="B48" i="27"/>
  <c r="E12" i="5"/>
  <c r="E12" i="27"/>
  <c r="D21" i="31" s="1"/>
  <c r="I39" i="5"/>
  <c r="I39" i="27"/>
  <c r="E20" i="5"/>
  <c r="E20" i="27"/>
  <c r="E10" i="5"/>
  <c r="E10" i="27"/>
  <c r="D19" i="31" s="1"/>
  <c r="E21" i="5"/>
  <c r="E21" i="27"/>
  <c r="E11" i="5"/>
  <c r="E11" i="27"/>
  <c r="D15" i="31" s="1"/>
  <c r="I37" i="5"/>
  <c r="I37" i="27"/>
  <c r="E6" i="5"/>
  <c r="I34" i="5"/>
  <c r="I34" i="27"/>
  <c r="B63" i="5"/>
  <c r="B63" i="27"/>
  <c r="E5" i="5"/>
  <c r="E5" i="27"/>
  <c r="I35" i="5"/>
  <c r="I35" i="27"/>
  <c r="E4" i="5"/>
  <c r="E4" i="27"/>
  <c r="I36" i="5"/>
  <c r="I36" i="27"/>
  <c r="B55" i="5"/>
  <c r="B55" i="27" s="1"/>
  <c r="C95" i="2"/>
  <c r="O95" i="2" s="1"/>
  <c r="K101" i="2" s="1"/>
  <c r="C307" i="23"/>
  <c r="D307" i="23" s="1"/>
  <c r="E307" i="23" s="1"/>
  <c r="H37" i="4"/>
  <c r="E40" i="2"/>
  <c r="G40" i="2" s="1"/>
  <c r="H40" i="2" s="1"/>
  <c r="N29" i="3"/>
  <c r="H11" i="3"/>
  <c r="M11" i="3" s="1"/>
  <c r="N30" i="3"/>
  <c r="N32" i="3"/>
  <c r="B47" i="4"/>
  <c r="N33" i="3"/>
  <c r="B46" i="4"/>
  <c r="O23" i="4"/>
  <c r="N28" i="3"/>
  <c r="H15" i="3"/>
  <c r="O24" i="4"/>
  <c r="I40" i="5" l="1"/>
  <c r="I40" i="27"/>
  <c r="B50" i="5"/>
  <c r="B50" i="27"/>
  <c r="B49" i="5"/>
  <c r="B49" i="27"/>
  <c r="N95" i="2"/>
  <c r="K11" i="3"/>
  <c r="N11" i="3" s="1"/>
  <c r="O25" i="4"/>
  <c r="M34" i="3"/>
  <c r="N31" i="3"/>
  <c r="N34" i="3" s="1"/>
  <c r="M15" i="3"/>
  <c r="K15" i="3"/>
  <c r="N15" i="3" s="1"/>
  <c r="E15" i="5" l="1"/>
  <c r="O93" i="2"/>
  <c r="M93" i="2"/>
  <c r="N93" i="2"/>
  <c r="N35" i="3"/>
  <c r="N36" i="3" s="1"/>
  <c r="N37" i="3" s="1"/>
  <c r="M92" i="2" l="1"/>
  <c r="M86" i="2"/>
  <c r="N86" i="2"/>
  <c r="O89" i="2"/>
  <c r="N89" i="2"/>
  <c r="M89" i="2"/>
  <c r="M90" i="2"/>
  <c r="N90" i="2"/>
  <c r="O90" i="2"/>
  <c r="O88" i="2"/>
  <c r="N88" i="2"/>
  <c r="M88" i="2"/>
  <c r="O92" i="2"/>
  <c r="N92" i="2"/>
  <c r="N87" i="2"/>
  <c r="M87" i="2"/>
  <c r="O87" i="2"/>
  <c r="E17" i="5"/>
  <c r="E16" i="5"/>
  <c r="J26" i="5" l="1"/>
  <c r="K26" i="5" s="1"/>
  <c r="O31" i="4"/>
  <c r="O34" i="4" s="1"/>
  <c r="O35" i="4" s="1"/>
  <c r="J27" i="5" l="1"/>
  <c r="K27" i="5" s="1"/>
  <c r="N91" i="2" l="1"/>
  <c r="K99" i="2" s="1"/>
  <c r="F13" i="3" l="1"/>
  <c r="H13" i="3" s="1"/>
  <c r="E42" i="4"/>
  <c r="M91" i="2"/>
  <c r="M94" i="2" s="1"/>
  <c r="K100" i="2"/>
  <c r="F14" i="3" s="1"/>
  <c r="H14" i="3" s="1"/>
  <c r="O91" i="2"/>
  <c r="K97" i="2" s="1"/>
  <c r="B290" i="23" s="1"/>
  <c r="F4" i="23" s="1"/>
  <c r="F7" i="23" l="1"/>
  <c r="F11" i="23" s="1"/>
  <c r="F5" i="23"/>
  <c r="F9" i="23" s="1"/>
  <c r="L4" i="23"/>
  <c r="F19" i="23"/>
  <c r="G45" i="5"/>
  <c r="G45" i="27"/>
  <c r="K14" i="3"/>
  <c r="N14" i="3" s="1"/>
  <c r="M14" i="3"/>
  <c r="K13" i="3"/>
  <c r="N13" i="3" s="1"/>
  <c r="M13" i="3"/>
  <c r="C42" i="4"/>
  <c r="O49" i="4" s="1"/>
  <c r="K98" i="2"/>
  <c r="F12" i="3" s="1"/>
  <c r="K102" i="2"/>
  <c r="F42" i="4"/>
  <c r="F22" i="23" l="1"/>
  <c r="F26" i="23" s="1"/>
  <c r="F34" i="23"/>
  <c r="L19" i="23"/>
  <c r="F20" i="23"/>
  <c r="F24" i="23" s="1"/>
  <c r="F28" i="23" s="1"/>
  <c r="C281" i="23" s="1"/>
  <c r="L7" i="23"/>
  <c r="L11" i="23" s="1"/>
  <c r="R4" i="23"/>
  <c r="L5" i="23"/>
  <c r="L9" i="23" s="1"/>
  <c r="F13" i="23"/>
  <c r="C280" i="23" s="1"/>
  <c r="D45" i="5"/>
  <c r="D45" i="27" s="1"/>
  <c r="G42" i="4"/>
  <c r="I45" i="27" s="1"/>
  <c r="O42" i="4"/>
  <c r="H45" i="27"/>
  <c r="O40" i="4"/>
  <c r="H45" i="5"/>
  <c r="K103" i="2"/>
  <c r="H12" i="3"/>
  <c r="D42" i="4"/>
  <c r="F45" i="27" s="1"/>
  <c r="X4" i="23" l="1"/>
  <c r="AD4" i="23" s="1"/>
  <c r="R7" i="23"/>
  <c r="R11" i="23" s="1"/>
  <c r="R5" i="23"/>
  <c r="R9" i="23" s="1"/>
  <c r="R13" i="23" s="1"/>
  <c r="E280" i="23" s="1"/>
  <c r="L22" i="23"/>
  <c r="L26" i="23" s="1"/>
  <c r="R19" i="23"/>
  <c r="L20" i="23"/>
  <c r="L24" i="23" s="1"/>
  <c r="F35" i="23"/>
  <c r="F39" i="23" s="1"/>
  <c r="F37" i="23"/>
  <c r="F41" i="23" s="1"/>
  <c r="L34" i="23"/>
  <c r="F49" i="23"/>
  <c r="L13" i="23"/>
  <c r="D280" i="23" s="1"/>
  <c r="C274" i="23" s="1"/>
  <c r="C275" i="23" s="1"/>
  <c r="O45" i="4"/>
  <c r="H70" i="4" s="1"/>
  <c r="Q16" i="2" s="1"/>
  <c r="F45" i="5"/>
  <c r="K12" i="3"/>
  <c r="N12" i="3" s="1"/>
  <c r="M12" i="3"/>
  <c r="L28" i="23" l="1"/>
  <c r="D281" i="23" s="1"/>
  <c r="D274" i="23" s="1"/>
  <c r="D275" i="23" s="1"/>
  <c r="AD7" i="23"/>
  <c r="AD11" i="23" s="1"/>
  <c r="AJ4" i="23"/>
  <c r="AD5" i="23"/>
  <c r="AD9" i="23" s="1"/>
  <c r="R22" i="23"/>
  <c r="R26" i="23" s="1"/>
  <c r="X19" i="23"/>
  <c r="AD19" i="23" s="1"/>
  <c r="R20" i="23"/>
  <c r="R24" i="23" s="1"/>
  <c r="R28" i="23" s="1"/>
  <c r="E281" i="23" s="1"/>
  <c r="L37" i="23"/>
  <c r="L41" i="23" s="1"/>
  <c r="R34" i="23"/>
  <c r="L35" i="23"/>
  <c r="L39" i="23" s="1"/>
  <c r="F52" i="23"/>
  <c r="F56" i="23" s="1"/>
  <c r="F64" i="23"/>
  <c r="L49" i="23"/>
  <c r="F50" i="23"/>
  <c r="F54" i="23" s="1"/>
  <c r="F43" i="23"/>
  <c r="C282" i="23" s="1"/>
  <c r="X5" i="23"/>
  <c r="X9" i="23" s="1"/>
  <c r="X7" i="23"/>
  <c r="X11" i="23" s="1"/>
  <c r="R6" i="2"/>
  <c r="H2" i="2" s="1"/>
  <c r="X13" i="23" l="1"/>
  <c r="F280" i="23" s="1"/>
  <c r="AD22" i="23"/>
  <c r="AD26" i="23" s="1"/>
  <c r="AJ19" i="23"/>
  <c r="AD20" i="23"/>
  <c r="AD24" i="23" s="1"/>
  <c r="AJ7" i="23"/>
  <c r="AJ11" i="23" s="1"/>
  <c r="AP4" i="23"/>
  <c r="AJ5" i="23"/>
  <c r="AJ9" i="23" s="1"/>
  <c r="AD13" i="23"/>
  <c r="G280" i="23" s="1"/>
  <c r="L43" i="23"/>
  <c r="D282" i="23" s="1"/>
  <c r="E274" i="23" s="1"/>
  <c r="E275" i="23" s="1"/>
  <c r="R37" i="23"/>
  <c r="R41" i="23" s="1"/>
  <c r="X34" i="23"/>
  <c r="AD34" i="23" s="1"/>
  <c r="R35" i="23"/>
  <c r="R39" i="23" s="1"/>
  <c r="R43" i="23" s="1"/>
  <c r="E282" i="23" s="1"/>
  <c r="F58" i="23"/>
  <c r="C283" i="23" s="1"/>
  <c r="X22" i="23"/>
  <c r="X26" i="23" s="1"/>
  <c r="X20" i="23"/>
  <c r="X24" i="23" s="1"/>
  <c r="L64" i="23"/>
  <c r="F79" i="23"/>
  <c r="F67" i="23"/>
  <c r="F71" i="23" s="1"/>
  <c r="F65" i="23"/>
  <c r="F69" i="23" s="1"/>
  <c r="F73" i="23" s="1"/>
  <c r="C284" i="23" s="1"/>
  <c r="L52" i="23"/>
  <c r="L56" i="23" s="1"/>
  <c r="R49" i="23"/>
  <c r="L50" i="23"/>
  <c r="L54" i="23" s="1"/>
  <c r="P34" i="2"/>
  <c r="A2" i="4"/>
  <c r="E33" i="22"/>
  <c r="K9" i="3"/>
  <c r="N9" i="3" s="1"/>
  <c r="AD37" i="23" l="1"/>
  <c r="AD41" i="23" s="1"/>
  <c r="AJ34" i="23"/>
  <c r="AD35" i="23"/>
  <c r="AD39" i="23" s="1"/>
  <c r="AD43" i="23" s="1"/>
  <c r="G282" i="23" s="1"/>
  <c r="AP7" i="23"/>
  <c r="AP11" i="23" s="1"/>
  <c r="AV4" i="23"/>
  <c r="AP5" i="23"/>
  <c r="AP9" i="23" s="1"/>
  <c r="AJ13" i="23"/>
  <c r="H280" i="23" s="1"/>
  <c r="AJ22" i="23"/>
  <c r="AJ26" i="23" s="1"/>
  <c r="AP19" i="23"/>
  <c r="AJ20" i="23"/>
  <c r="AJ24" i="23" s="1"/>
  <c r="AD28" i="23"/>
  <c r="G281" i="23" s="1"/>
  <c r="F82" i="23"/>
  <c r="F86" i="23" s="1"/>
  <c r="L79" i="23"/>
  <c r="F94" i="23"/>
  <c r="F80" i="23"/>
  <c r="F84" i="23" s="1"/>
  <c r="L67" i="23"/>
  <c r="L71" i="23" s="1"/>
  <c r="R64" i="23"/>
  <c r="L65" i="23"/>
  <c r="L69" i="23" s="1"/>
  <c r="L73" i="23" s="1"/>
  <c r="D284" i="23" s="1"/>
  <c r="G274" i="23" s="1"/>
  <c r="G275" i="23" s="1"/>
  <c r="R52" i="23"/>
  <c r="R56" i="23" s="1"/>
  <c r="X49" i="23"/>
  <c r="AD49" i="23" s="1"/>
  <c r="R50" i="23"/>
  <c r="R54" i="23" s="1"/>
  <c r="X28" i="23"/>
  <c r="F281" i="23" s="1"/>
  <c r="L58" i="23"/>
  <c r="D283" i="23" s="1"/>
  <c r="F274" i="23" s="1"/>
  <c r="F275" i="23" s="1"/>
  <c r="X37" i="23"/>
  <c r="X41" i="23" s="1"/>
  <c r="X35" i="23"/>
  <c r="X39" i="23" s="1"/>
  <c r="A2" i="5"/>
  <c r="A2" i="27"/>
  <c r="A3" i="31" s="1"/>
  <c r="F6" i="31" s="1"/>
  <c r="AJ28" i="23" l="1"/>
  <c r="H281" i="23" s="1"/>
  <c r="AP13" i="23"/>
  <c r="I280" i="23" s="1"/>
  <c r="AV5" i="23"/>
  <c r="AV9" i="23" s="1"/>
  <c r="BB4" i="23"/>
  <c r="AV7" i="23"/>
  <c r="AV11" i="23" s="1"/>
  <c r="AP22" i="23"/>
  <c r="AP26" i="23" s="1"/>
  <c r="AV19" i="23"/>
  <c r="AP20" i="23"/>
  <c r="AP24" i="23" s="1"/>
  <c r="AD52" i="23"/>
  <c r="AD56" i="23" s="1"/>
  <c r="AJ49" i="23"/>
  <c r="AD50" i="23"/>
  <c r="AD54" i="23" s="1"/>
  <c r="R58" i="23"/>
  <c r="E283" i="23" s="1"/>
  <c r="AJ37" i="23"/>
  <c r="AJ41" i="23" s="1"/>
  <c r="AP34" i="23"/>
  <c r="AJ35" i="23"/>
  <c r="AJ39" i="23" s="1"/>
  <c r="F88" i="23"/>
  <c r="C285" i="23" s="1"/>
  <c r="X43" i="23"/>
  <c r="F282" i="23" s="1"/>
  <c r="R67" i="23"/>
  <c r="R71" i="23" s="1"/>
  <c r="X64" i="23"/>
  <c r="AD64" i="23" s="1"/>
  <c r="R65" i="23"/>
  <c r="R69" i="23" s="1"/>
  <c r="F97" i="23"/>
  <c r="F101" i="23" s="1"/>
  <c r="L94" i="23"/>
  <c r="F109" i="23"/>
  <c r="F95" i="23"/>
  <c r="F99" i="23" s="1"/>
  <c r="L82" i="23"/>
  <c r="L86" i="23" s="1"/>
  <c r="R79" i="23"/>
  <c r="L80" i="23"/>
  <c r="L84" i="23" s="1"/>
  <c r="X52" i="23"/>
  <c r="X56" i="23" s="1"/>
  <c r="X50" i="23"/>
  <c r="X54" i="23" s="1"/>
  <c r="E37" i="22"/>
  <c r="E39" i="22" s="1"/>
  <c r="E42" i="22" s="1"/>
  <c r="A118" i="2" s="1"/>
  <c r="I45" i="5"/>
  <c r="B45" i="5"/>
  <c r="AV13" i="23" l="1"/>
  <c r="J280" i="23" s="1"/>
  <c r="AP28" i="23"/>
  <c r="I281" i="23" s="1"/>
  <c r="F103" i="23"/>
  <c r="C286" i="23" s="1"/>
  <c r="AJ43" i="23"/>
  <c r="H282" i="23" s="1"/>
  <c r="AP37" i="23"/>
  <c r="AP41" i="23" s="1"/>
  <c r="AV34" i="23"/>
  <c r="AP35" i="23"/>
  <c r="AP39" i="23" s="1"/>
  <c r="AD58" i="23"/>
  <c r="G283" i="23" s="1"/>
  <c r="AV22" i="23"/>
  <c r="AV26" i="23" s="1"/>
  <c r="BB19" i="23"/>
  <c r="AV20" i="23"/>
  <c r="AV24" i="23" s="1"/>
  <c r="AD67" i="23"/>
  <c r="AD71" i="23" s="1"/>
  <c r="AJ64" i="23"/>
  <c r="AD65" i="23"/>
  <c r="AD69" i="23" s="1"/>
  <c r="AJ52" i="23"/>
  <c r="AJ56" i="23" s="1"/>
  <c r="AP49" i="23"/>
  <c r="AJ50" i="23"/>
  <c r="AJ54" i="23" s="1"/>
  <c r="BB7" i="23"/>
  <c r="BB11" i="23" s="1"/>
  <c r="BH4" i="23"/>
  <c r="BB5" i="23"/>
  <c r="BB9" i="23" s="1"/>
  <c r="BB13" i="23" s="1"/>
  <c r="K280" i="23" s="1"/>
  <c r="L88" i="23"/>
  <c r="D285" i="23" s="1"/>
  <c r="H274" i="23" s="1"/>
  <c r="H275" i="23" s="1"/>
  <c r="F112" i="23"/>
  <c r="F116" i="23" s="1"/>
  <c r="F124" i="23"/>
  <c r="L109" i="23"/>
  <c r="F110" i="23"/>
  <c r="F114" i="23" s="1"/>
  <c r="L97" i="23"/>
  <c r="L101" i="23" s="1"/>
  <c r="R94" i="23"/>
  <c r="L95" i="23"/>
  <c r="L99" i="23" s="1"/>
  <c r="L103" i="23" s="1"/>
  <c r="D286" i="23" s="1"/>
  <c r="I274" i="23" s="1"/>
  <c r="I275" i="23" s="1"/>
  <c r="X58" i="23"/>
  <c r="F283" i="23" s="1"/>
  <c r="R82" i="23"/>
  <c r="R86" i="23" s="1"/>
  <c r="X79" i="23"/>
  <c r="AD79" i="23" s="1"/>
  <c r="R80" i="23"/>
  <c r="R84" i="23" s="1"/>
  <c r="X67" i="23"/>
  <c r="X71" i="23" s="1"/>
  <c r="X65" i="23"/>
  <c r="X69" i="23" s="1"/>
  <c r="R73" i="23"/>
  <c r="E284" i="23" s="1"/>
  <c r="B60" i="4"/>
  <c r="B60" i="27" s="1"/>
  <c r="P36" i="2"/>
  <c r="AV28" i="23" l="1"/>
  <c r="J281" i="23" s="1"/>
  <c r="AP43" i="23"/>
  <c r="I282" i="23" s="1"/>
  <c r="R88" i="23"/>
  <c r="E285" i="23" s="1"/>
  <c r="AD73" i="23"/>
  <c r="G284" i="23" s="1"/>
  <c r="BB22" i="23"/>
  <c r="BB26" i="23" s="1"/>
  <c r="BH19" i="23"/>
  <c r="BB20" i="23"/>
  <c r="BB24" i="23" s="1"/>
  <c r="F118" i="23"/>
  <c r="C287" i="23" s="1"/>
  <c r="AD82" i="23"/>
  <c r="AD86" i="23" s="1"/>
  <c r="AJ79" i="23"/>
  <c r="AD80" i="23"/>
  <c r="AD84" i="23" s="1"/>
  <c r="AP52" i="23"/>
  <c r="AP56" i="23" s="1"/>
  <c r="AP50" i="23"/>
  <c r="AP54" i="23" s="1"/>
  <c r="AV49" i="23"/>
  <c r="BH7" i="23"/>
  <c r="BH11" i="23" s="1"/>
  <c r="BN4" i="23"/>
  <c r="BH5" i="23"/>
  <c r="BH9" i="23" s="1"/>
  <c r="AV37" i="23"/>
  <c r="AV41" i="23" s="1"/>
  <c r="BB34" i="23"/>
  <c r="AV35" i="23"/>
  <c r="AV39" i="23" s="1"/>
  <c r="AJ67" i="23"/>
  <c r="AJ71" i="23" s="1"/>
  <c r="AP64" i="23"/>
  <c r="AJ65" i="23"/>
  <c r="AJ69" i="23" s="1"/>
  <c r="AJ58" i="23"/>
  <c r="H283" i="23" s="1"/>
  <c r="R97" i="23"/>
  <c r="R101" i="23" s="1"/>
  <c r="X94" i="23"/>
  <c r="AD94" i="23" s="1"/>
  <c r="R95" i="23"/>
  <c r="R99" i="23" s="1"/>
  <c r="X82" i="23"/>
  <c r="X86" i="23" s="1"/>
  <c r="X80" i="23"/>
  <c r="X84" i="23" s="1"/>
  <c r="L112" i="23"/>
  <c r="L116" i="23" s="1"/>
  <c r="R109" i="23"/>
  <c r="L110" i="23"/>
  <c r="L114" i="23" s="1"/>
  <c r="X73" i="23"/>
  <c r="F284" i="23" s="1"/>
  <c r="F127" i="23"/>
  <c r="F131" i="23" s="1"/>
  <c r="F125" i="23"/>
  <c r="F129" i="23" s="1"/>
  <c r="F139" i="23"/>
  <c r="L124" i="23"/>
  <c r="B60" i="5"/>
  <c r="L118" i="23" l="1"/>
  <c r="D287" i="23" s="1"/>
  <c r="J274" i="23" s="1"/>
  <c r="J275" i="23" s="1"/>
  <c r="BB28" i="23"/>
  <c r="K281" i="23" s="1"/>
  <c r="AJ73" i="23"/>
  <c r="H284" i="23" s="1"/>
  <c r="AV43" i="23"/>
  <c r="J282" i="23" s="1"/>
  <c r="R103" i="23"/>
  <c r="E286" i="23" s="1"/>
  <c r="BH13" i="23"/>
  <c r="L280" i="23" s="1"/>
  <c r="AJ82" i="23"/>
  <c r="AJ86" i="23" s="1"/>
  <c r="AJ80" i="23"/>
  <c r="AJ84" i="23" s="1"/>
  <c r="AP79" i="23"/>
  <c r="BN7" i="23"/>
  <c r="BN11" i="23" s="1"/>
  <c r="BT4" i="23"/>
  <c r="BN5" i="23"/>
  <c r="BN9" i="23" s="1"/>
  <c r="AP58" i="23"/>
  <c r="I283" i="23" s="1"/>
  <c r="AP67" i="23"/>
  <c r="AP71" i="23" s="1"/>
  <c r="AV64" i="23"/>
  <c r="AP65" i="23"/>
  <c r="AP69" i="23" s="1"/>
  <c r="BB37" i="23"/>
  <c r="BB41" i="23" s="1"/>
  <c r="BH34" i="23"/>
  <c r="BB35" i="23"/>
  <c r="BB39" i="23" s="1"/>
  <c r="BH22" i="23"/>
  <c r="BH26" i="23" s="1"/>
  <c r="BN19" i="23"/>
  <c r="BH20" i="23"/>
  <c r="BH24" i="23" s="1"/>
  <c r="AD97" i="23"/>
  <c r="AD101" i="23" s="1"/>
  <c r="AJ94" i="23"/>
  <c r="AD95" i="23"/>
  <c r="AD99" i="23" s="1"/>
  <c r="AD103" i="23" s="1"/>
  <c r="G286" i="23" s="1"/>
  <c r="AV52" i="23"/>
  <c r="AV56" i="23" s="1"/>
  <c r="BB49" i="23"/>
  <c r="AV50" i="23"/>
  <c r="AV54" i="23" s="1"/>
  <c r="AD88" i="23"/>
  <c r="G285" i="23" s="1"/>
  <c r="R112" i="23"/>
  <c r="R116" i="23" s="1"/>
  <c r="X109" i="23"/>
  <c r="AD109" i="23" s="1"/>
  <c r="R110" i="23"/>
  <c r="R114" i="23" s="1"/>
  <c r="F142" i="23"/>
  <c r="F146" i="23" s="1"/>
  <c r="L139" i="23"/>
  <c r="F140" i="23"/>
  <c r="F144" i="23" s="1"/>
  <c r="X88" i="23"/>
  <c r="F285" i="23" s="1"/>
  <c r="L127" i="23"/>
  <c r="L131" i="23" s="1"/>
  <c r="R124" i="23"/>
  <c r="L125" i="23"/>
  <c r="L129" i="23" s="1"/>
  <c r="F133" i="23"/>
  <c r="C288" i="23" s="1"/>
  <c r="X97" i="23"/>
  <c r="X101" i="23" s="1"/>
  <c r="X95" i="23"/>
  <c r="X99" i="23" s="1"/>
  <c r="BN13" i="23" l="1"/>
  <c r="M280" i="23" s="1"/>
  <c r="BB43" i="23"/>
  <c r="K282" i="23" s="1"/>
  <c r="AP73" i="23"/>
  <c r="I284" i="23" s="1"/>
  <c r="AV58" i="23"/>
  <c r="J283" i="23" s="1"/>
  <c r="BH37" i="23"/>
  <c r="BH41" i="23" s="1"/>
  <c r="BN34" i="23"/>
  <c r="BH35" i="23"/>
  <c r="BH39" i="23" s="1"/>
  <c r="BT7" i="23"/>
  <c r="BT11" i="23" s="1"/>
  <c r="BT5" i="23"/>
  <c r="BT9" i="23" s="1"/>
  <c r="BZ4" i="23"/>
  <c r="AV67" i="23"/>
  <c r="AV71" i="23" s="1"/>
  <c r="BB64" i="23"/>
  <c r="AV65" i="23"/>
  <c r="AV69" i="23" s="1"/>
  <c r="BB52" i="23"/>
  <c r="BB56" i="23" s="1"/>
  <c r="BH49" i="23"/>
  <c r="BB50" i="23"/>
  <c r="BB54" i="23" s="1"/>
  <c r="BB58" i="23" s="1"/>
  <c r="K283" i="23" s="1"/>
  <c r="BN22" i="23"/>
  <c r="BN26" i="23" s="1"/>
  <c r="BT19" i="23"/>
  <c r="BN20" i="23"/>
  <c r="BN24" i="23" s="1"/>
  <c r="BN28" i="23" s="1"/>
  <c r="M281" i="23" s="1"/>
  <c r="AP82" i="23"/>
  <c r="AP86" i="23" s="1"/>
  <c r="AV79" i="23"/>
  <c r="AP80" i="23"/>
  <c r="AP84" i="23" s="1"/>
  <c r="AJ97" i="23"/>
  <c r="AJ101" i="23" s="1"/>
  <c r="AP94" i="23"/>
  <c r="AJ95" i="23"/>
  <c r="AJ99" i="23" s="1"/>
  <c r="BH28" i="23"/>
  <c r="L281" i="23" s="1"/>
  <c r="R118" i="23"/>
  <c r="E287" i="23" s="1"/>
  <c r="AD112" i="23"/>
  <c r="AD116" i="23" s="1"/>
  <c r="AJ109" i="23"/>
  <c r="AD110" i="23"/>
  <c r="AD114" i="23" s="1"/>
  <c r="AJ88" i="23"/>
  <c r="H285" i="23" s="1"/>
  <c r="F148" i="23"/>
  <c r="C289" i="23" s="1"/>
  <c r="L142" i="23"/>
  <c r="L146" i="23" s="1"/>
  <c r="L140" i="23"/>
  <c r="L144" i="23" s="1"/>
  <c r="R139" i="23"/>
  <c r="X139" i="23" s="1"/>
  <c r="AD139" i="23" s="1"/>
  <c r="L133" i="23"/>
  <c r="D288" i="23" s="1"/>
  <c r="K274" i="23" s="1"/>
  <c r="K275" i="23" s="1"/>
  <c r="X112" i="23"/>
  <c r="X116" i="23" s="1"/>
  <c r="X110" i="23"/>
  <c r="X114" i="23" s="1"/>
  <c r="X103" i="23"/>
  <c r="F286" i="23" s="1"/>
  <c r="R127" i="23"/>
  <c r="R131" i="23" s="1"/>
  <c r="X124" i="23"/>
  <c r="AD124" i="23" s="1"/>
  <c r="R125" i="23"/>
  <c r="R129" i="23" s="1"/>
  <c r="AP88" i="23" l="1"/>
  <c r="I285" i="23" s="1"/>
  <c r="BH43" i="23"/>
  <c r="L282" i="23" s="1"/>
  <c r="AV73" i="23"/>
  <c r="J284" i="23" s="1"/>
  <c r="BB67" i="23"/>
  <c r="BB71" i="23" s="1"/>
  <c r="BH64" i="23"/>
  <c r="BB65" i="23"/>
  <c r="BB69" i="23" s="1"/>
  <c r="BB73" i="23" s="1"/>
  <c r="K284" i="23" s="1"/>
  <c r="BZ7" i="23"/>
  <c r="BZ11" i="23" s="1"/>
  <c r="CF4" i="23"/>
  <c r="BZ5" i="23"/>
  <c r="BZ9" i="23" s="1"/>
  <c r="AP97" i="23"/>
  <c r="AP101" i="23" s="1"/>
  <c r="AV94" i="23"/>
  <c r="AP95" i="23"/>
  <c r="AP99" i="23" s="1"/>
  <c r="AP103" i="23" s="1"/>
  <c r="I286" i="23" s="1"/>
  <c r="AD142" i="23"/>
  <c r="AD146" i="23" s="1"/>
  <c r="AJ139" i="23"/>
  <c r="AD140" i="23"/>
  <c r="AD144" i="23" s="1"/>
  <c r="BT13" i="23"/>
  <c r="N280" i="23" s="1"/>
  <c r="AJ103" i="23"/>
  <c r="H286" i="23" s="1"/>
  <c r="AV82" i="23"/>
  <c r="AV86" i="23" s="1"/>
  <c r="AV80" i="23"/>
  <c r="AV84" i="23" s="1"/>
  <c r="BB79" i="23"/>
  <c r="AD118" i="23"/>
  <c r="G287" i="23" s="1"/>
  <c r="BT22" i="23"/>
  <c r="BT26" i="23" s="1"/>
  <c r="BZ19" i="23"/>
  <c r="BT20" i="23"/>
  <c r="BT24" i="23" s="1"/>
  <c r="BT28" i="23" s="1"/>
  <c r="N281" i="23" s="1"/>
  <c r="BN37" i="23"/>
  <c r="BN41" i="23" s="1"/>
  <c r="BN35" i="23"/>
  <c r="BN39" i="23" s="1"/>
  <c r="BT34" i="23"/>
  <c r="BH52" i="23"/>
  <c r="BH56" i="23" s="1"/>
  <c r="BH50" i="23"/>
  <c r="BH54" i="23" s="1"/>
  <c r="BN49" i="23"/>
  <c r="X118" i="23"/>
  <c r="F287" i="23" s="1"/>
  <c r="AD127" i="23"/>
  <c r="AD131" i="23" s="1"/>
  <c r="AJ124" i="23"/>
  <c r="AD125" i="23"/>
  <c r="AD129" i="23" s="1"/>
  <c r="AJ112" i="23"/>
  <c r="AJ116" i="23" s="1"/>
  <c r="AJ110" i="23"/>
  <c r="AJ114" i="23" s="1"/>
  <c r="AP109" i="23"/>
  <c r="R133" i="23"/>
  <c r="E288" i="23" s="1"/>
  <c r="R142" i="23"/>
  <c r="R146" i="23" s="1"/>
  <c r="R140" i="23"/>
  <c r="R144" i="23" s="1"/>
  <c r="X127" i="23"/>
  <c r="X131" i="23" s="1"/>
  <c r="X125" i="23"/>
  <c r="X129" i="23" s="1"/>
  <c r="X133" i="23" s="1"/>
  <c r="F288" i="23" s="1"/>
  <c r="L148" i="23"/>
  <c r="D289" i="23" s="1"/>
  <c r="L274" i="23" s="1"/>
  <c r="L275" i="23" s="1"/>
  <c r="BN43" i="23" l="1"/>
  <c r="M282" i="23" s="1"/>
  <c r="AJ118" i="23"/>
  <c r="H287" i="23" s="1"/>
  <c r="BT37" i="23"/>
  <c r="BT41" i="23" s="1"/>
  <c r="BZ34" i="23"/>
  <c r="BT35" i="23"/>
  <c r="BT39" i="23" s="1"/>
  <c r="BT43" i="23" s="1"/>
  <c r="N282" i="23" s="1"/>
  <c r="AV97" i="23"/>
  <c r="AV101" i="23" s="1"/>
  <c r="BB94" i="23"/>
  <c r="AV95" i="23"/>
  <c r="AV99" i="23" s="1"/>
  <c r="AJ142" i="23"/>
  <c r="AJ146" i="23" s="1"/>
  <c r="AP139" i="23"/>
  <c r="AJ140" i="23"/>
  <c r="AJ144" i="23" s="1"/>
  <c r="AD148" i="23"/>
  <c r="G289" i="23" s="1"/>
  <c r="AD133" i="23"/>
  <c r="G288" i="23" s="1"/>
  <c r="BB82" i="23"/>
  <c r="BB86" i="23" s="1"/>
  <c r="BH79" i="23"/>
  <c r="BB80" i="23"/>
  <c r="BB84" i="23" s="1"/>
  <c r="CF7" i="23"/>
  <c r="CF11" i="23" s="1"/>
  <c r="CL4" i="23"/>
  <c r="CF5" i="23"/>
  <c r="CF9" i="23" s="1"/>
  <c r="AJ127" i="23"/>
  <c r="AJ131" i="23" s="1"/>
  <c r="AJ125" i="23"/>
  <c r="AJ129" i="23" s="1"/>
  <c r="AP124" i="23"/>
  <c r="BZ13" i="23"/>
  <c r="O280" i="23" s="1"/>
  <c r="AV88" i="23"/>
  <c r="J285" i="23" s="1"/>
  <c r="AP112" i="23"/>
  <c r="AP116" i="23" s="1"/>
  <c r="AV109" i="23"/>
  <c r="AP110" i="23"/>
  <c r="AP114" i="23" s="1"/>
  <c r="BN64" i="23"/>
  <c r="BH67" i="23"/>
  <c r="BH71" i="23" s="1"/>
  <c r="BH65" i="23"/>
  <c r="BH69" i="23" s="1"/>
  <c r="BZ22" i="23"/>
  <c r="BZ26" i="23" s="1"/>
  <c r="CF19" i="23"/>
  <c r="BZ20" i="23"/>
  <c r="BZ24" i="23" s="1"/>
  <c r="BN52" i="23"/>
  <c r="BN56" i="23" s="1"/>
  <c r="BT49" i="23"/>
  <c r="BN50" i="23"/>
  <c r="BN54" i="23" s="1"/>
  <c r="R148" i="23"/>
  <c r="E289" i="23" s="1"/>
  <c r="BH58" i="23"/>
  <c r="L283" i="23" s="1"/>
  <c r="X142" i="23"/>
  <c r="X146" i="23" s="1"/>
  <c r="X140" i="23"/>
  <c r="X144" i="23" s="1"/>
  <c r="C291" i="23"/>
  <c r="F10" i="3" s="1"/>
  <c r="H10" i="3" s="1"/>
  <c r="M10" i="3" s="1"/>
  <c r="M17" i="3" s="1"/>
  <c r="BZ28" i="23" l="1"/>
  <c r="O281" i="23" s="1"/>
  <c r="AJ148" i="23"/>
  <c r="H289" i="23" s="1"/>
  <c r="AP118" i="23"/>
  <c r="I287" i="23" s="1"/>
  <c r="CF13" i="23"/>
  <c r="P280" i="23" s="1"/>
  <c r="BB88" i="23"/>
  <c r="K285" i="23" s="1"/>
  <c r="AV112" i="23"/>
  <c r="AV116" i="23" s="1"/>
  <c r="AV110" i="23"/>
  <c r="AV114" i="23" s="1"/>
  <c r="BB109" i="23"/>
  <c r="BT52" i="23"/>
  <c r="BT56" i="23" s="1"/>
  <c r="BZ49" i="23"/>
  <c r="BT50" i="23"/>
  <c r="BT54" i="23" s="1"/>
  <c r="BT58" i="23" s="1"/>
  <c r="N283" i="23" s="1"/>
  <c r="AP127" i="23"/>
  <c r="AP131" i="23" s="1"/>
  <c r="AV124" i="23"/>
  <c r="AP125" i="23"/>
  <c r="AP129" i="23" s="1"/>
  <c r="AP142" i="23"/>
  <c r="AP146" i="23" s="1"/>
  <c r="AV139" i="23"/>
  <c r="AP140" i="23"/>
  <c r="AP144" i="23" s="1"/>
  <c r="BN58" i="23"/>
  <c r="M283" i="23" s="1"/>
  <c r="BB97" i="23"/>
  <c r="BB101" i="23" s="1"/>
  <c r="BH94" i="23"/>
  <c r="BB95" i="23"/>
  <c r="BB99" i="23" s="1"/>
  <c r="BB103" i="23" s="1"/>
  <c r="K286" i="23" s="1"/>
  <c r="AJ133" i="23"/>
  <c r="H288" i="23" s="1"/>
  <c r="CL7" i="23"/>
  <c r="CL11" i="23" s="1"/>
  <c r="CR4" i="23"/>
  <c r="CL5" i="23"/>
  <c r="CL9" i="23" s="1"/>
  <c r="AV103" i="23"/>
  <c r="J286" i="23" s="1"/>
  <c r="CF22" i="23"/>
  <c r="CF26" i="23" s="1"/>
  <c r="CL19" i="23"/>
  <c r="CF20" i="23"/>
  <c r="CF24" i="23" s="1"/>
  <c r="BH73" i="23"/>
  <c r="L284" i="23" s="1"/>
  <c r="BN67" i="23"/>
  <c r="BN71" i="23" s="1"/>
  <c r="BT64" i="23"/>
  <c r="BN65" i="23"/>
  <c r="BN69" i="23" s="1"/>
  <c r="BZ37" i="23"/>
  <c r="BZ41" i="23" s="1"/>
  <c r="CF34" i="23"/>
  <c r="BZ35" i="23"/>
  <c r="BZ39" i="23" s="1"/>
  <c r="BH82" i="23"/>
  <c r="BH86" i="23" s="1"/>
  <c r="BN79" i="23"/>
  <c r="BH80" i="23"/>
  <c r="BH84" i="23" s="1"/>
  <c r="BH88" i="23" s="1"/>
  <c r="L285" i="23" s="1"/>
  <c r="K10" i="3"/>
  <c r="N10" i="3" s="1"/>
  <c r="N17" i="3" s="1"/>
  <c r="N18" i="3" s="1"/>
  <c r="N19" i="3" s="1"/>
  <c r="X148" i="23"/>
  <c r="F289" i="23" s="1"/>
  <c r="BN73" i="23" l="1"/>
  <c r="M284" i="23" s="1"/>
  <c r="AP133" i="23"/>
  <c r="I288" i="23" s="1"/>
  <c r="AP148" i="23"/>
  <c r="I289" i="23" s="1"/>
  <c r="BN82" i="23"/>
  <c r="BN86" i="23" s="1"/>
  <c r="BT79" i="23"/>
  <c r="BN80" i="23"/>
  <c r="BN84" i="23" s="1"/>
  <c r="BN88" i="23" s="1"/>
  <c r="M285" i="23" s="1"/>
  <c r="CL22" i="23"/>
  <c r="CL26" i="23" s="1"/>
  <c r="CR19" i="23"/>
  <c r="CL20" i="23"/>
  <c r="CL24" i="23" s="1"/>
  <c r="AV142" i="23"/>
  <c r="AV146" i="23" s="1"/>
  <c r="AV140" i="23"/>
  <c r="AV144" i="23" s="1"/>
  <c r="BB139" i="23"/>
  <c r="BZ52" i="23"/>
  <c r="BZ56" i="23" s="1"/>
  <c r="BZ50" i="23"/>
  <c r="BZ54" i="23" s="1"/>
  <c r="CF49" i="23"/>
  <c r="CL13" i="23"/>
  <c r="Q280" i="23" s="1"/>
  <c r="AV127" i="23"/>
  <c r="AV131" i="23" s="1"/>
  <c r="AV125" i="23"/>
  <c r="AV129" i="23" s="1"/>
  <c r="BB124" i="23"/>
  <c r="CR7" i="23"/>
  <c r="CR11" i="23" s="1"/>
  <c r="CR5" i="23"/>
  <c r="CR9" i="23" s="1"/>
  <c r="CF37" i="23"/>
  <c r="CF41" i="23" s="1"/>
  <c r="CL34" i="23"/>
  <c r="CF35" i="23"/>
  <c r="CF39" i="23" s="1"/>
  <c r="BT67" i="23"/>
  <c r="BT71" i="23" s="1"/>
  <c r="BZ64" i="23"/>
  <c r="BT65" i="23"/>
  <c r="BT69" i="23" s="1"/>
  <c r="BH97" i="23"/>
  <c r="BH101" i="23" s="1"/>
  <c r="BH95" i="23"/>
  <c r="BH99" i="23" s="1"/>
  <c r="BN94" i="23"/>
  <c r="BB112" i="23"/>
  <c r="BB116" i="23" s="1"/>
  <c r="BH109" i="23"/>
  <c r="BB110" i="23"/>
  <c r="BB114" i="23" s="1"/>
  <c r="CF28" i="23"/>
  <c r="P281" i="23" s="1"/>
  <c r="BZ43" i="23"/>
  <c r="O282" i="23" s="1"/>
  <c r="AV118" i="23"/>
  <c r="J287" i="23" s="1"/>
  <c r="N20" i="3"/>
  <c r="J42" i="4" s="1"/>
  <c r="M45" i="27" s="1"/>
  <c r="BT73" i="23" l="1"/>
  <c r="N284" i="23" s="1"/>
  <c r="CF43" i="23"/>
  <c r="P282" i="23" s="1"/>
  <c r="BZ58" i="23"/>
  <c r="O283" i="23" s="1"/>
  <c r="BH103" i="23"/>
  <c r="L286" i="23" s="1"/>
  <c r="CR13" i="23"/>
  <c r="R280" i="23" s="1"/>
  <c r="BZ67" i="23"/>
  <c r="BZ71" i="23" s="1"/>
  <c r="CF64" i="23"/>
  <c r="BZ65" i="23"/>
  <c r="BZ69" i="23" s="1"/>
  <c r="BZ73" i="23" s="1"/>
  <c r="O284" i="23" s="1"/>
  <c r="AV148" i="23"/>
  <c r="J289" i="23" s="1"/>
  <c r="BB118" i="23"/>
  <c r="K287" i="23" s="1"/>
  <c r="BB127" i="23"/>
  <c r="BB131" i="23" s="1"/>
  <c r="BH124" i="23"/>
  <c r="BB125" i="23"/>
  <c r="BB129" i="23" s="1"/>
  <c r="BN97" i="23"/>
  <c r="BN101" i="23" s="1"/>
  <c r="BT94" i="23"/>
  <c r="BN95" i="23"/>
  <c r="BN99" i="23" s="1"/>
  <c r="BN103" i="23" s="1"/>
  <c r="M286" i="23" s="1"/>
  <c r="AV133" i="23"/>
  <c r="J288" i="23" s="1"/>
  <c r="BT82" i="23"/>
  <c r="BT86" i="23" s="1"/>
  <c r="BT80" i="23"/>
  <c r="BT84" i="23" s="1"/>
  <c r="BZ79" i="23"/>
  <c r="BB142" i="23"/>
  <c r="BB146" i="23" s="1"/>
  <c r="BH139" i="23"/>
  <c r="BB140" i="23"/>
  <c r="BB144" i="23" s="1"/>
  <c r="BB148" i="23" s="1"/>
  <c r="K289" i="23" s="1"/>
  <c r="CL37" i="23"/>
  <c r="CL41" i="23" s="1"/>
  <c r="CR34" i="23"/>
  <c r="CL35" i="23"/>
  <c r="CL39" i="23" s="1"/>
  <c r="CL28" i="23"/>
  <c r="Q281" i="23" s="1"/>
  <c r="CR22" i="23"/>
  <c r="CR26" i="23" s="1"/>
  <c r="CR20" i="23"/>
  <c r="CR24" i="23" s="1"/>
  <c r="BH112" i="23"/>
  <c r="BH116" i="23" s="1"/>
  <c r="BN109" i="23"/>
  <c r="BH110" i="23"/>
  <c r="BH114" i="23" s="1"/>
  <c r="CF52" i="23"/>
  <c r="CF56" i="23" s="1"/>
  <c r="CL49" i="23"/>
  <c r="CF50" i="23"/>
  <c r="CF54" i="23" s="1"/>
  <c r="CF58" i="23" s="1"/>
  <c r="P283" i="23" s="1"/>
  <c r="L45" i="5"/>
  <c r="BH118" i="23" l="1"/>
  <c r="L287" i="23" s="1"/>
  <c r="BB133" i="23"/>
  <c r="K288" i="23" s="1"/>
  <c r="CR28" i="23"/>
  <c r="R281" i="23" s="1"/>
  <c r="CL43" i="23"/>
  <c r="Q282" i="23" s="1"/>
  <c r="CR37" i="23"/>
  <c r="CR41" i="23" s="1"/>
  <c r="CR35" i="23"/>
  <c r="CR39" i="23" s="1"/>
  <c r="BH127" i="23"/>
  <c r="BH131" i="23" s="1"/>
  <c r="BH125" i="23"/>
  <c r="BH129" i="23" s="1"/>
  <c r="BN124" i="23"/>
  <c r="BT97" i="23"/>
  <c r="BT101" i="23" s="1"/>
  <c r="BZ94" i="23"/>
  <c r="BT95" i="23"/>
  <c r="BT99" i="23" s="1"/>
  <c r="BT103" i="23" s="1"/>
  <c r="N286" i="23" s="1"/>
  <c r="CL52" i="23"/>
  <c r="CL56" i="23" s="1"/>
  <c r="CR49" i="23"/>
  <c r="CL50" i="23"/>
  <c r="CL54" i="23" s="1"/>
  <c r="BH142" i="23"/>
  <c r="BH146" i="23" s="1"/>
  <c r="BN139" i="23"/>
  <c r="BH140" i="23"/>
  <c r="BH144" i="23" s="1"/>
  <c r="BZ82" i="23"/>
  <c r="BZ86" i="23" s="1"/>
  <c r="CF79" i="23"/>
  <c r="BZ80" i="23"/>
  <c r="BZ84" i="23" s="1"/>
  <c r="BN112" i="23"/>
  <c r="BN116" i="23" s="1"/>
  <c r="BT109" i="23"/>
  <c r="BN110" i="23"/>
  <c r="BN114" i="23" s="1"/>
  <c r="CF67" i="23"/>
  <c r="CF71" i="23" s="1"/>
  <c r="CL64" i="23"/>
  <c r="CF65" i="23"/>
  <c r="CF69" i="23" s="1"/>
  <c r="BT88" i="23"/>
  <c r="N285" i="23" s="1"/>
  <c r="BN118" i="23" l="1"/>
  <c r="M287" i="23" s="1"/>
  <c r="CR43" i="23"/>
  <c r="R282" i="23" s="1"/>
  <c r="BH133" i="23"/>
  <c r="L288" i="23" s="1"/>
  <c r="CF73" i="23"/>
  <c r="P284" i="23" s="1"/>
  <c r="CR52" i="23"/>
  <c r="CR56" i="23" s="1"/>
  <c r="CR50" i="23"/>
  <c r="CR54" i="23" s="1"/>
  <c r="CR58" i="23" s="1"/>
  <c r="R283" i="23" s="1"/>
  <c r="CL58" i="23"/>
  <c r="Q283" i="23" s="1"/>
  <c r="CL67" i="23"/>
  <c r="CL71" i="23" s="1"/>
  <c r="CR64" i="23"/>
  <c r="CL65" i="23"/>
  <c r="CL69" i="23" s="1"/>
  <c r="BT112" i="23"/>
  <c r="BT116" i="23" s="1"/>
  <c r="BZ109" i="23"/>
  <c r="BT110" i="23"/>
  <c r="BT114" i="23" s="1"/>
  <c r="BZ97" i="23"/>
  <c r="BZ101" i="23" s="1"/>
  <c r="CF94" i="23"/>
  <c r="BZ95" i="23"/>
  <c r="BZ99" i="23" s="1"/>
  <c r="BN127" i="23"/>
  <c r="BN131" i="23" s="1"/>
  <c r="BT124" i="23"/>
  <c r="BN125" i="23"/>
  <c r="BN129" i="23" s="1"/>
  <c r="CF82" i="23"/>
  <c r="CF86" i="23" s="1"/>
  <c r="CL79" i="23"/>
  <c r="CF80" i="23"/>
  <c r="CF84" i="23" s="1"/>
  <c r="BZ88" i="23"/>
  <c r="O285" i="23" s="1"/>
  <c r="BH148" i="23"/>
  <c r="L289" i="23" s="1"/>
  <c r="BN142" i="23"/>
  <c r="BN146" i="23" s="1"/>
  <c r="BT139" i="23"/>
  <c r="BN140" i="23"/>
  <c r="BN144" i="23" s="1"/>
  <c r="BN133" i="23" l="1"/>
  <c r="M288" i="23" s="1"/>
  <c r="BZ103" i="23"/>
  <c r="O286" i="23" s="1"/>
  <c r="BT118" i="23"/>
  <c r="N287" i="23" s="1"/>
  <c r="CF88" i="23"/>
  <c r="P285" i="23" s="1"/>
  <c r="CL73" i="23"/>
  <c r="Q284" i="23" s="1"/>
  <c r="BN148" i="23"/>
  <c r="M289" i="23" s="1"/>
  <c r="CF97" i="23"/>
  <c r="CF101" i="23" s="1"/>
  <c r="CL94" i="23"/>
  <c r="CF95" i="23"/>
  <c r="CF99" i="23" s="1"/>
  <c r="CL82" i="23"/>
  <c r="CL86" i="23" s="1"/>
  <c r="CR79" i="23"/>
  <c r="CL80" i="23"/>
  <c r="CL84" i="23" s="1"/>
  <c r="CL88" i="23" s="1"/>
  <c r="Q285" i="23" s="1"/>
  <c r="CR67" i="23"/>
  <c r="CR71" i="23" s="1"/>
  <c r="CR65" i="23"/>
  <c r="CR69" i="23" s="1"/>
  <c r="BT142" i="23"/>
  <c r="BT146" i="23" s="1"/>
  <c r="BZ139" i="23"/>
  <c r="BT140" i="23"/>
  <c r="BT144" i="23" s="1"/>
  <c r="BZ112" i="23"/>
  <c r="BZ116" i="23" s="1"/>
  <c r="CF109" i="23"/>
  <c r="BZ110" i="23"/>
  <c r="BZ114" i="23" s="1"/>
  <c r="BT127" i="23"/>
  <c r="BT131" i="23" s="1"/>
  <c r="BZ124" i="23"/>
  <c r="BT125" i="23"/>
  <c r="BT129" i="23" s="1"/>
  <c r="CR73" i="23" l="1"/>
  <c r="R284" i="23" s="1"/>
  <c r="BT148" i="23"/>
  <c r="N289" i="23" s="1"/>
  <c r="CF103" i="23"/>
  <c r="P286" i="23" s="1"/>
  <c r="BZ118" i="23"/>
  <c r="O287" i="23" s="1"/>
  <c r="CL97" i="23"/>
  <c r="CL101" i="23" s="1"/>
  <c r="CL95" i="23"/>
  <c r="CL99" i="23" s="1"/>
  <c r="CR94" i="23"/>
  <c r="CF139" i="23"/>
  <c r="BZ142" i="23"/>
  <c r="BZ146" i="23" s="1"/>
  <c r="BZ140" i="23"/>
  <c r="BZ144" i="23" s="1"/>
  <c r="BT133" i="23"/>
  <c r="N288" i="23" s="1"/>
  <c r="CR82" i="23"/>
  <c r="CR86" i="23" s="1"/>
  <c r="CR88" i="23" s="1"/>
  <c r="R285" i="23" s="1"/>
  <c r="CR80" i="23"/>
  <c r="CR84" i="23" s="1"/>
  <c r="BZ127" i="23"/>
  <c r="BZ131" i="23" s="1"/>
  <c r="CF124" i="23"/>
  <c r="BZ125" i="23"/>
  <c r="BZ129" i="23" s="1"/>
  <c r="CF112" i="23"/>
  <c r="CF116" i="23" s="1"/>
  <c r="CL109" i="23"/>
  <c r="CF110" i="23"/>
  <c r="CF114" i="23" s="1"/>
  <c r="BZ133" i="23" l="1"/>
  <c r="O288" i="23" s="1"/>
  <c r="CF127" i="23"/>
  <c r="CF131" i="23" s="1"/>
  <c r="CL124" i="23"/>
  <c r="CF125" i="23"/>
  <c r="CF129" i="23" s="1"/>
  <c r="CF142" i="23"/>
  <c r="CF146" i="23" s="1"/>
  <c r="CL139" i="23"/>
  <c r="CF140" i="23"/>
  <c r="CF144" i="23" s="1"/>
  <c r="CL103" i="23"/>
  <c r="Q286" i="23" s="1"/>
  <c r="BZ148" i="23"/>
  <c r="O289" i="23" s="1"/>
  <c r="CR97" i="23"/>
  <c r="CR101" i="23" s="1"/>
  <c r="CR95" i="23"/>
  <c r="CR99" i="23" s="1"/>
  <c r="CL112" i="23"/>
  <c r="CL116" i="23" s="1"/>
  <c r="CL110" i="23"/>
  <c r="CL114" i="23" s="1"/>
  <c r="CR109" i="23"/>
  <c r="CF118" i="23"/>
  <c r="P287" i="23" s="1"/>
  <c r="CF133" i="23" l="1"/>
  <c r="P288" i="23" s="1"/>
  <c r="CR103" i="23"/>
  <c r="R286" i="23" s="1"/>
  <c r="CF148" i="23"/>
  <c r="P289" i="23" s="1"/>
  <c r="CL127" i="23"/>
  <c r="CL131" i="23" s="1"/>
  <c r="CR124" i="23"/>
  <c r="CL125" i="23"/>
  <c r="CL129" i="23" s="1"/>
  <c r="CL118" i="23"/>
  <c r="Q287" i="23" s="1"/>
  <c r="CL142" i="23"/>
  <c r="CL146" i="23" s="1"/>
  <c r="CR139" i="23"/>
  <c r="CL140" i="23"/>
  <c r="CL144" i="23" s="1"/>
  <c r="CL148" i="23" s="1"/>
  <c r="Q289" i="23" s="1"/>
  <c r="CR112" i="23"/>
  <c r="CR116" i="23" s="1"/>
  <c r="CR110" i="23"/>
  <c r="CR114" i="23" s="1"/>
  <c r="CL133" i="23" l="1"/>
  <c r="Q288" i="23" s="1"/>
  <c r="CR118" i="23"/>
  <c r="R287" i="23" s="1"/>
  <c r="CR140" i="23"/>
  <c r="CR144" i="23" s="1"/>
  <c r="CR142" i="23"/>
  <c r="CR146" i="23" s="1"/>
  <c r="CR127" i="23"/>
  <c r="CR131" i="23" s="1"/>
  <c r="CR125" i="23"/>
  <c r="CR129" i="23" s="1"/>
  <c r="CR133" i="23" l="1"/>
  <c r="R288" i="23" s="1"/>
  <c r="CR148" i="23"/>
  <c r="R289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  <author>Windows User</author>
    <author>ismail - [2010]</author>
    <author>ALIENWARE</author>
    <author>PC-Zaen</author>
    <author>Windows 8.1</author>
  </authors>
  <commentList>
    <comment ref="H16" authorId="0" shapeId="0" xr:uid="{00000000-0006-0000-0100-000001000000}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Validasi</t>
        </r>
      </text>
    </comment>
    <comment ref="N27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jangan lupa diisi
</t>
        </r>
      </text>
    </comment>
    <comment ref="P27" authorId="2" shapeId="0" xr:uid="{F5254900-FE85-4A2B-AF82-D417CB7FA678}">
      <text>
        <r>
          <rPr>
            <b/>
            <sz val="9"/>
            <color indexed="81"/>
            <rFont val="Tahoma"/>
            <family val="2"/>
          </rPr>
          <t>ismail - [2010]:</t>
        </r>
        <r>
          <rPr>
            <sz val="9"/>
            <color indexed="81"/>
            <rFont val="Tahoma"/>
            <family val="2"/>
          </rPr>
          <t xml:space="preserve">
Kalau NG ini diisi dengan tanda -</t>
        </r>
      </text>
    </comment>
    <comment ref="F37" authorId="3" shapeId="0" xr:uid="{00000000-0006-0000-0100-000003000000}">
      <text>
        <r>
          <rPr>
            <b/>
            <sz val="9"/>
            <rFont val="Tahoma"/>
            <family val="2"/>
          </rPr>
          <t>ALIENWARE:</t>
        </r>
        <r>
          <rPr>
            <sz val="9"/>
            <rFont val="Tahoma"/>
            <family val="2"/>
          </rPr>
          <t xml:space="preserve">
hasil validasi</t>
        </r>
      </text>
    </comment>
    <comment ref="A41" authorId="0" shapeId="0" xr:uid="{00000000-0006-0000-0100-000004000000}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Nilai dari acuan</t>
        </r>
      </text>
    </comment>
    <comment ref="G41" authorId="0" shapeId="0" xr:uid="{00000000-0006-0000-0100-000005000000}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Acuan dari tabel grading factor disamping</t>
        </r>
      </text>
    </comment>
    <comment ref="A113" authorId="4" shapeId="0" xr:uid="{AD000BE9-62B3-4507-91A0-3398EBC7985B}">
      <text>
        <r>
          <rPr>
            <b/>
            <sz val="9"/>
            <color indexed="81"/>
            <rFont val="Tahoma"/>
            <family val="2"/>
          </rPr>
          <t>PC-Zaen:</t>
        </r>
        <r>
          <rPr>
            <sz val="9"/>
            <color indexed="81"/>
            <rFont val="Tahoma"/>
            <family val="2"/>
          </rPr>
          <t xml:space="preserve">
Jika Tidak menggunakan HIOKI harap dikosongkan</t>
        </r>
      </text>
    </comment>
    <comment ref="N117" authorId="5" shapeId="0" xr:uid="{00000000-0006-0000-0100-000006000000}">
      <text>
        <r>
          <rPr>
            <b/>
            <sz val="9"/>
            <rFont val="Tahoma"/>
            <family val="2"/>
          </rPr>
          <t>Windows 8.1:</t>
        </r>
        <r>
          <rPr>
            <sz val="9"/>
            <rFont val="Tahoma"/>
            <family val="2"/>
          </rPr>
          <t xml:space="preserve">
tolong diganti rumusnya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PC-Zaen</author>
  </authors>
  <commentList>
    <comment ref="B55" authorId="0" shapeId="0" xr:uid="{53CC7578-CD83-4D17-A5D2-11AA04313961}">
      <text>
        <r>
          <rPr>
            <b/>
            <sz val="9"/>
            <color indexed="81"/>
            <rFont val="Tahoma"/>
            <family val="2"/>
          </rPr>
          <t>PC-Zaen:</t>
        </r>
        <r>
          <rPr>
            <sz val="9"/>
            <color indexed="81"/>
            <rFont val="Tahoma"/>
            <family val="2"/>
          </rPr>
          <t xml:space="preserve">
Jika Tidak menggunakan HIOKI harap di hide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PC-Zaen</author>
  </authors>
  <commentList>
    <comment ref="B56" authorId="0" shapeId="0" xr:uid="{EDC25D32-01E4-492F-90DD-915A32B47174}">
      <text>
        <r>
          <rPr>
            <b/>
            <sz val="9"/>
            <color indexed="81"/>
            <rFont val="Tahoma"/>
            <family val="2"/>
          </rPr>
          <t>PC-Zaen:</t>
        </r>
        <r>
          <rPr>
            <sz val="9"/>
            <color indexed="81"/>
            <rFont val="Tahoma"/>
            <family val="2"/>
          </rPr>
          <t xml:space="preserve">
Jika Tidak menggunakan HIOKI harap di hide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PC-Zaen</author>
  </authors>
  <commentList>
    <comment ref="B56" authorId="0" shapeId="0" xr:uid="{F6C4E541-D7C7-4061-96CC-43DC3A5AA4DC}">
      <text>
        <r>
          <rPr>
            <b/>
            <sz val="9"/>
            <color indexed="81"/>
            <rFont val="Tahoma"/>
            <family val="2"/>
          </rPr>
          <t>PC-Zaen:</t>
        </r>
        <r>
          <rPr>
            <sz val="9"/>
            <color indexed="81"/>
            <rFont val="Tahoma"/>
            <family val="2"/>
          </rPr>
          <t xml:space="preserve">
Jika tidak menggunakan HIOKI harap di hide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0" authorId="0" shapeId="0" xr:uid="{73BB5500-511C-4C1C-AB0F-AC1E880EBEEB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<sst xmlns="http://schemas.openxmlformats.org/spreadsheetml/2006/main" count="2580" uniqueCount="574">
  <si>
    <t>Merek</t>
  </si>
  <si>
    <t>:</t>
  </si>
  <si>
    <t xml:space="preserve">Model/Tipe                    </t>
  </si>
  <si>
    <t xml:space="preserve">No. Seri                          </t>
  </si>
  <si>
    <t>Resolusi</t>
  </si>
  <si>
    <t xml:space="preserve">Tanggal Kalibrasi                            </t>
  </si>
  <si>
    <t xml:space="preserve">Tempat Kalibrasi                             </t>
  </si>
  <si>
    <t xml:space="preserve">Nama Ruang                                    </t>
  </si>
  <si>
    <t>I.Kondisi Ruang</t>
  </si>
  <si>
    <t>Awal</t>
  </si>
  <si>
    <t>Akhir</t>
  </si>
  <si>
    <t>Skor</t>
  </si>
  <si>
    <t>1. Suhu</t>
  </si>
  <si>
    <t xml:space="preserve">2. Kelembaban </t>
  </si>
  <si>
    <t>%RH</t>
  </si>
  <si>
    <t>3. Tegangan jala-jala</t>
  </si>
  <si>
    <t>II. Pemeriksaan Kondisi Fisik dan Fungsi Komponen Alat</t>
  </si>
  <si>
    <t>1. Fisik</t>
  </si>
  <si>
    <t>: Baik / Tidak baik</t>
  </si>
  <si>
    <t>(Pilih salah satu dan coret yang tidak perlu)</t>
  </si>
  <si>
    <t>2. Fungsi</t>
  </si>
  <si>
    <t>III. Hasil Pengujian Keselamatan Listrik</t>
  </si>
  <si>
    <t>No</t>
  </si>
  <si>
    <t xml:space="preserve">Parameter </t>
  </si>
  <si>
    <t>Hasil ukur</t>
  </si>
  <si>
    <t>Ambang Batas yang diijinkan</t>
  </si>
  <si>
    <t>Resistansi Isolasi</t>
  </si>
  <si>
    <t>MΩ</t>
  </si>
  <si>
    <t>≥ 2 MΩ</t>
  </si>
  <si>
    <t>Resistansi Pembumian Protektif</t>
  </si>
  <si>
    <t>Ω</t>
  </si>
  <si>
    <t>≤ 0.2 Ω</t>
  </si>
  <si>
    <t>Arus Bocor Peralatan</t>
  </si>
  <si>
    <t>mA</t>
  </si>
  <si>
    <t xml:space="preserve"> </t>
  </si>
  <si>
    <t>Arus bocor peralatan untuk peralatan elektromedik kelas I</t>
  </si>
  <si>
    <t>µA</t>
  </si>
  <si>
    <t>≤ 500 µA</t>
  </si>
  <si>
    <t xml:space="preserve">IV. Hasil Pengukuran </t>
  </si>
  <si>
    <t>a. Volume Enclosure</t>
  </si>
  <si>
    <t>Panjang (m)</t>
  </si>
  <si>
    <t>Lebar           (m)</t>
  </si>
  <si>
    <t>Tinggi               (m)</t>
  </si>
  <si>
    <r>
      <rPr>
        <sz val="12"/>
        <rFont val="Arial"/>
        <family val="2"/>
      </rPr>
      <t>Volume (m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)</t>
    </r>
  </si>
  <si>
    <t>Resolusi Alat</t>
  </si>
  <si>
    <t>b. Jumlah Titik Ukur</t>
  </si>
  <si>
    <t>Δt         (°C)</t>
  </si>
  <si>
    <r>
      <rPr>
        <sz val="12"/>
        <rFont val="Arial"/>
        <family val="2"/>
      </rPr>
      <t>R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= 2 x Δt  (°C)</t>
    </r>
  </si>
  <si>
    <r>
      <rPr>
        <sz val="12"/>
        <rFont val="Arial"/>
        <family val="2"/>
      </rPr>
      <t>D = t</t>
    </r>
    <r>
      <rPr>
        <vertAlign val="subscript"/>
        <sz val="12"/>
        <rFont val="Arial"/>
        <family val="2"/>
      </rPr>
      <t>setting</t>
    </r>
    <r>
      <rPr>
        <sz val="12"/>
        <rFont val="Arial"/>
        <family val="2"/>
      </rPr>
      <t xml:space="preserve"> - t</t>
    </r>
    <r>
      <rPr>
        <vertAlign val="subscript"/>
        <sz val="12"/>
        <rFont val="Arial"/>
        <family val="2"/>
      </rPr>
      <t>ruang</t>
    </r>
  </si>
  <si>
    <t>f =   100Ro
      100 + D</t>
  </si>
  <si>
    <r>
      <rPr>
        <sz val="12"/>
        <rFont val="Arial"/>
        <family val="2"/>
      </rPr>
      <t>N = 3 + 3G</t>
    </r>
    <r>
      <rPr>
        <vertAlign val="superscript"/>
        <sz val="12"/>
        <rFont val="Arial"/>
        <family val="2"/>
      </rPr>
      <t>0.6</t>
    </r>
    <r>
      <rPr>
        <sz val="12"/>
        <rFont val="Arial"/>
        <family val="2"/>
      </rPr>
      <t>.V</t>
    </r>
    <r>
      <rPr>
        <vertAlign val="superscript"/>
        <sz val="12"/>
        <rFont val="Arial"/>
        <family val="2"/>
      </rPr>
      <t xml:space="preserve">0.2 </t>
    </r>
    <r>
      <rPr>
        <sz val="12"/>
        <rFont val="Arial"/>
        <family val="2"/>
      </rPr>
      <t>± 10%</t>
    </r>
  </si>
  <si>
    <t>c. Posisi Tituik Uji</t>
  </si>
  <si>
    <t>d. Pengukuran Suhu</t>
  </si>
  <si>
    <t>Set-point (°C)</t>
  </si>
  <si>
    <t>Posisi Termokopel</t>
  </si>
  <si>
    <t>Pembacaan Alat Standar (°C)</t>
  </si>
  <si>
    <t>t1</t>
  </si>
  <si>
    <t>t2</t>
  </si>
  <si>
    <t>t3</t>
  </si>
  <si>
    <t>t4</t>
  </si>
  <si>
    <t>t5</t>
  </si>
  <si>
    <t>t6</t>
  </si>
  <si>
    <t>t7</t>
  </si>
  <si>
    <t>t8</t>
  </si>
  <si>
    <t>P. Indicator</t>
  </si>
  <si>
    <t>Suhu ruang</t>
  </si>
  <si>
    <t>V. Keterangan</t>
  </si>
  <si>
    <t>VI. Alat Ukur yang digunakan</t>
  </si>
  <si>
    <t>Thermocouple Data Logger,  Merek : Madgetech, Model : Oct Temp 2000, SN :  P40270 / P41878</t>
  </si>
  <si>
    <t>Mobile Corder, Merek : Yokogawa, Model : GP 10, SN : S5T810599</t>
  </si>
  <si>
    <t>VII. Kesimpulan</t>
  </si>
  <si>
    <t>……………………………………………</t>
  </si>
  <si>
    <t xml:space="preserve">Merek                                     </t>
  </si>
  <si>
    <t xml:space="preserve">Model/Tipe                         </t>
  </si>
  <si>
    <t xml:space="preserve">No. Seri                                  </t>
  </si>
  <si>
    <r>
      <rPr>
        <vertAlign val="superscript"/>
        <sz val="12"/>
        <rFont val="Arial"/>
        <family val="2"/>
      </rPr>
      <t>°</t>
    </r>
    <r>
      <rPr>
        <sz val="12"/>
        <rFont val="Arial"/>
        <family val="2"/>
      </rPr>
      <t>C</t>
    </r>
  </si>
  <si>
    <t xml:space="preserve">Nama Ruang                                         </t>
  </si>
  <si>
    <t xml:space="preserve">Metode Kerja                    </t>
  </si>
  <si>
    <t>Rata-rata</t>
  </si>
  <si>
    <t>deviasi</t>
  </si>
  <si>
    <t>°C</t>
  </si>
  <si>
    <t>Volt</t>
  </si>
  <si>
    <t xml:space="preserve">1. Fisik             </t>
  </si>
  <si>
    <t>Baik</t>
  </si>
  <si>
    <t xml:space="preserve">2. Fungsi        </t>
  </si>
  <si>
    <t>&gt; 2 MΩ</t>
  </si>
  <si>
    <t>Lebar                         (m)</t>
  </si>
  <si>
    <t>Tinggi    (m)</t>
  </si>
  <si>
    <t>Vol</t>
  </si>
  <si>
    <t xml:space="preserve">G R A D I N G   F A C T O R </t>
  </si>
  <si>
    <t>G</t>
  </si>
  <si>
    <t>fm</t>
  </si>
  <si>
    <t>D = 30</t>
  </si>
  <si>
    <t>D = 100</t>
  </si>
  <si>
    <t>D = 300</t>
  </si>
  <si>
    <t>D = 1000</t>
  </si>
  <si>
    <t>Δt                              (°C)</t>
  </si>
  <si>
    <t>c. Posisi Titik Uji</t>
  </si>
  <si>
    <t>diff                (°C)</t>
  </si>
  <si>
    <t>midrange               (°C)</t>
  </si>
  <si>
    <t>midrange terkoreksi     (°C)</t>
  </si>
  <si>
    <t>Koreksi</t>
  </si>
  <si>
    <t>Penunjukkan Indikator</t>
  </si>
  <si>
    <t>Suhu Ruang</t>
  </si>
  <si>
    <t>Variasi suhu spasial</t>
  </si>
  <si>
    <t>Variasi suhu temporal</t>
  </si>
  <si>
    <t>Variasi Total</t>
  </si>
  <si>
    <t>Kestabilan</t>
  </si>
  <si>
    <t>Ketidakpastian pengukuran dilaporkan pada tingkat kepercayaan 95% dengan faktor cakupan k=2</t>
  </si>
  <si>
    <t>Muhammad Irfan Husnuzhzhan</t>
  </si>
  <si>
    <t>IX. Tanggal pembuatan laporan</t>
  </si>
  <si>
    <t xml:space="preserve">                                            </t>
  </si>
  <si>
    <t>UNCERTAINTY BUDGET</t>
  </si>
  <si>
    <t>Resolusi Alat :</t>
  </si>
  <si>
    <t xml:space="preserve"> °C</t>
  </si>
  <si>
    <t>Titik Ukur         :</t>
  </si>
  <si>
    <t>Komponen Ketidakpastian</t>
  </si>
  <si>
    <t>Unit</t>
  </si>
  <si>
    <t>Distribusi</t>
  </si>
  <si>
    <t>u</t>
  </si>
  <si>
    <t>pembagi</t>
  </si>
  <si>
    <r>
      <rPr>
        <sz val="11"/>
        <rFont val="Calibri"/>
        <family val="2"/>
      </rPr>
      <t>u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</si>
  <si>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</si>
  <si>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u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</si>
  <si>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v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</si>
  <si>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u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  <r>
      <rPr>
        <vertAlign val="superscript"/>
        <sz val="11"/>
        <rFont val="Calibri"/>
        <family val="2"/>
      </rPr>
      <t>2</t>
    </r>
  </si>
  <si>
    <r>
      <rPr>
        <sz val="11"/>
        <rFont val="Calibri"/>
        <family val="2"/>
      </rPr>
      <t>(u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)</t>
    </r>
    <r>
      <rPr>
        <vertAlign val="superscript"/>
        <sz val="11"/>
        <rFont val="Calibri"/>
        <family val="2"/>
      </rPr>
      <t>4</t>
    </r>
    <r>
      <rPr>
        <sz val="11"/>
        <rFont val="Calibri"/>
        <family val="2"/>
      </rPr>
      <t>/v</t>
    </r>
    <r>
      <rPr>
        <vertAlign val="subscript"/>
        <sz val="11"/>
        <rFont val="Calibri"/>
        <family val="2"/>
      </rPr>
      <t>i</t>
    </r>
  </si>
  <si>
    <t>1. Sertifikat Standar TC-K</t>
  </si>
  <si>
    <r>
      <rPr>
        <vertAlign val="superscript"/>
        <sz val="11"/>
        <rFont val="Calibri"/>
        <family val="2"/>
      </rPr>
      <t>○</t>
    </r>
    <r>
      <rPr>
        <sz val="11"/>
        <rFont val="Calibri"/>
        <family val="2"/>
      </rPr>
      <t>C</t>
    </r>
  </si>
  <si>
    <t>Normal</t>
  </si>
  <si>
    <t>2. Drift Std.</t>
  </si>
  <si>
    <t>Rect</t>
  </si>
  <si>
    <t>3. Resolusi Alat</t>
  </si>
  <si>
    <t>4. Variasi Spasial</t>
  </si>
  <si>
    <t>5. Variasi Temporal</t>
  </si>
  <si>
    <t>6. Variasi Penunjukkan Indikator</t>
  </si>
  <si>
    <t>KTP Gabungan Uc</t>
  </si>
  <si>
    <t>Derajat kebebasan effektif</t>
  </si>
  <si>
    <t>Faktor cakupan pada veff dan 95%</t>
  </si>
  <si>
    <t>KTP U(95) = k x uc</t>
  </si>
  <si>
    <t>V A L I D A S I</t>
  </si>
  <si>
    <r>
      <rPr>
        <sz val="11"/>
        <color rgb="FFFF0000"/>
        <rFont val="Calibri"/>
        <family val="2"/>
      </rPr>
      <t>u</t>
    </r>
    <r>
      <rPr>
        <vertAlign val="subscript"/>
        <sz val="11"/>
        <color rgb="FFFF0000"/>
        <rFont val="Calibri"/>
        <family val="2"/>
      </rPr>
      <t>i</t>
    </r>
  </si>
  <si>
    <r>
      <rPr>
        <sz val="11"/>
        <color rgb="FFFF0000"/>
        <rFont val="Calibri"/>
        <family val="2"/>
      </rPr>
      <t>c</t>
    </r>
    <r>
      <rPr>
        <vertAlign val="subscript"/>
        <sz val="11"/>
        <color rgb="FFFF0000"/>
        <rFont val="Calibri"/>
        <family val="2"/>
      </rPr>
      <t>i</t>
    </r>
  </si>
  <si>
    <r>
      <rPr>
        <sz val="11"/>
        <color rgb="FFFF0000"/>
        <rFont val="Calibri"/>
        <family val="2"/>
      </rPr>
      <t>u</t>
    </r>
    <r>
      <rPr>
        <vertAlign val="subscript"/>
        <sz val="11"/>
        <color rgb="FFFF0000"/>
        <rFont val="Calibri"/>
        <family val="2"/>
      </rPr>
      <t>i</t>
    </r>
    <r>
      <rPr>
        <sz val="11"/>
        <color rgb="FFFF0000"/>
        <rFont val="Calibri"/>
        <family val="2"/>
      </rPr>
      <t>c</t>
    </r>
    <r>
      <rPr>
        <vertAlign val="subscript"/>
        <sz val="11"/>
        <color rgb="FFFF0000"/>
        <rFont val="Calibri"/>
        <family val="2"/>
      </rPr>
      <t>i</t>
    </r>
  </si>
  <si>
    <r>
      <rPr>
        <sz val="11"/>
        <color rgb="FFFF0000"/>
        <rFont val="Calibri"/>
        <family val="2"/>
      </rPr>
      <t>v</t>
    </r>
    <r>
      <rPr>
        <vertAlign val="subscript"/>
        <sz val="11"/>
        <color rgb="FFFF0000"/>
        <rFont val="Calibri"/>
        <family val="2"/>
      </rPr>
      <t>i</t>
    </r>
  </si>
  <si>
    <r>
      <rPr>
        <sz val="11"/>
        <color rgb="FFFF0000"/>
        <rFont val="Calibri"/>
        <family val="2"/>
      </rPr>
      <t>u</t>
    </r>
    <r>
      <rPr>
        <vertAlign val="subscript"/>
        <sz val="11"/>
        <color rgb="FFFF0000"/>
        <rFont val="Calibri"/>
        <family val="2"/>
      </rPr>
      <t>i</t>
    </r>
    <r>
      <rPr>
        <sz val="11"/>
        <color rgb="FFFF0000"/>
        <rFont val="Calibri"/>
        <family val="2"/>
      </rPr>
      <t>c</t>
    </r>
    <r>
      <rPr>
        <vertAlign val="subscript"/>
        <sz val="11"/>
        <color rgb="FFFF0000"/>
        <rFont val="Calibri"/>
        <family val="2"/>
      </rPr>
      <t>i</t>
    </r>
    <r>
      <rPr>
        <vertAlign val="superscript"/>
        <sz val="11"/>
        <color rgb="FFFF0000"/>
        <rFont val="Calibri"/>
        <family val="2"/>
      </rPr>
      <t>2</t>
    </r>
  </si>
  <si>
    <r>
      <rPr>
        <sz val="11"/>
        <color rgb="FFFF0000"/>
        <rFont val="Calibri"/>
        <family val="2"/>
      </rPr>
      <t>(u</t>
    </r>
    <r>
      <rPr>
        <vertAlign val="subscript"/>
        <sz val="11"/>
        <color rgb="FFFF0000"/>
        <rFont val="Calibri"/>
        <family val="2"/>
      </rPr>
      <t>i</t>
    </r>
    <r>
      <rPr>
        <sz val="11"/>
        <color rgb="FFFF0000"/>
        <rFont val="Calibri"/>
        <family val="2"/>
      </rPr>
      <t>c</t>
    </r>
    <r>
      <rPr>
        <vertAlign val="subscript"/>
        <sz val="11"/>
        <color rgb="FFFF0000"/>
        <rFont val="Calibri"/>
        <family val="2"/>
      </rPr>
      <t>i</t>
    </r>
    <r>
      <rPr>
        <sz val="11"/>
        <color rgb="FFFF0000"/>
        <rFont val="Calibri"/>
        <family val="2"/>
      </rPr>
      <t>)</t>
    </r>
    <r>
      <rPr>
        <vertAlign val="superscript"/>
        <sz val="11"/>
        <color rgb="FFFF0000"/>
        <rFont val="Calibri"/>
        <family val="2"/>
      </rPr>
      <t>4</t>
    </r>
    <r>
      <rPr>
        <sz val="11"/>
        <color rgb="FFFF0000"/>
        <rFont val="Calibri"/>
        <family val="2"/>
      </rPr>
      <t>/v</t>
    </r>
    <r>
      <rPr>
        <vertAlign val="subscript"/>
        <sz val="11"/>
        <color rgb="FFFF0000"/>
        <rFont val="Calibri"/>
        <family val="2"/>
      </rPr>
      <t>i</t>
    </r>
  </si>
  <si>
    <r>
      <rPr>
        <vertAlign val="superscript"/>
        <sz val="11"/>
        <color rgb="FFFF0000"/>
        <rFont val="Calibri"/>
        <family val="2"/>
      </rPr>
      <t>○</t>
    </r>
    <r>
      <rPr>
        <sz val="11"/>
        <color rgb="FFFF0000"/>
        <rFont val="Calibri"/>
        <family val="2"/>
      </rPr>
      <t>C</t>
    </r>
  </si>
  <si>
    <t xml:space="preserve">Merek                                 </t>
  </si>
  <si>
    <t xml:space="preserve">Model/Tipe                        </t>
  </si>
  <si>
    <t xml:space="preserve">No. Seri                               </t>
  </si>
  <si>
    <t xml:space="preserve">Nama Ruang                                   </t>
  </si>
  <si>
    <t>I.</t>
  </si>
  <si>
    <t>Kondisi Ruang</t>
  </si>
  <si>
    <t xml:space="preserve">1. Suhu                            </t>
  </si>
  <si>
    <t xml:space="preserve">2. Kelembaban Relatif </t>
  </si>
  <si>
    <t>II.</t>
  </si>
  <si>
    <t>Pemeriksaan Kondisi Fisik dan Fungsi Komponen Alat</t>
  </si>
  <si>
    <t xml:space="preserve">1. Fisik          </t>
  </si>
  <si>
    <t xml:space="preserve">2. Fungsi      </t>
  </si>
  <si>
    <t>Parameter</t>
  </si>
  <si>
    <t>III.</t>
  </si>
  <si>
    <t>Fisik</t>
  </si>
  <si>
    <t>Fungsi</t>
  </si>
  <si>
    <t>IV.</t>
  </si>
  <si>
    <t xml:space="preserve">Panjang   </t>
  </si>
  <si>
    <t>m</t>
  </si>
  <si>
    <t xml:space="preserve">Lebar       </t>
  </si>
  <si>
    <t xml:space="preserve">Tinggi      </t>
  </si>
  <si>
    <t xml:space="preserve">Volume    </t>
  </si>
  <si>
    <r>
      <rPr>
        <sz val="12"/>
        <rFont val="Arial"/>
        <family val="2"/>
      </rPr>
      <t>m</t>
    </r>
    <r>
      <rPr>
        <vertAlign val="superscript"/>
        <sz val="12"/>
        <rFont val="Arial"/>
        <family val="2"/>
      </rPr>
      <t>3</t>
    </r>
  </si>
  <si>
    <t xml:space="preserve">Δt             </t>
  </si>
  <si>
    <t>Penunjukan Alat           (°C)</t>
  </si>
  <si>
    <t>Hasil Pengukuran   (°C)</t>
  </si>
  <si>
    <t>Variasi spasial</t>
  </si>
  <si>
    <t>Variasi temporal</t>
  </si>
  <si>
    <t xml:space="preserve">Akurasi </t>
  </si>
  <si>
    <t>V.</t>
  </si>
  <si>
    <t>Keterangan</t>
  </si>
  <si>
    <t>SKORING</t>
  </si>
  <si>
    <t>VI.</t>
  </si>
  <si>
    <t>Alat Ukur yang digunakan</t>
  </si>
  <si>
    <t>VII.</t>
  </si>
  <si>
    <t>Kesimpulan</t>
  </si>
  <si>
    <t>VIII.</t>
  </si>
  <si>
    <t>Nama</t>
  </si>
  <si>
    <t>Tanggal</t>
  </si>
  <si>
    <t>Paraf</t>
  </si>
  <si>
    <t>Presentase</t>
  </si>
  <si>
    <t>Dibuat :</t>
  </si>
  <si>
    <t>Diperiksa :</t>
  </si>
  <si>
    <t xml:space="preserve">Merek                            </t>
  </si>
  <si>
    <t xml:space="preserve">No. Seri                         </t>
  </si>
  <si>
    <t xml:space="preserve">Metode Kerja                </t>
  </si>
  <si>
    <t xml:space="preserve">I. </t>
  </si>
  <si>
    <t>2. Kelembaban</t>
  </si>
  <si>
    <t xml:space="preserve">1. Fisik         </t>
  </si>
  <si>
    <t>Resistansi Pembumian  Protektif</t>
  </si>
  <si>
    <t>Dimensi Enclosure</t>
  </si>
  <si>
    <t xml:space="preserve">Panjang    </t>
  </si>
  <si>
    <t xml:space="preserve"> m</t>
  </si>
  <si>
    <t xml:space="preserve">Tinggi       </t>
  </si>
  <si>
    <t xml:space="preserve"> m3</t>
  </si>
  <si>
    <t>Δt</t>
  </si>
  <si>
    <t>R0 = 2Δt</t>
  </si>
  <si>
    <t xml:space="preserve">VI. </t>
  </si>
  <si>
    <t xml:space="preserve">VII. </t>
  </si>
  <si>
    <t>Menyetujui ,</t>
  </si>
  <si>
    <t>Kepala Instalasi Laboratorium</t>
  </si>
  <si>
    <t>Pengujian dan Kalibrasi</t>
  </si>
  <si>
    <t>Halaman 2 dari 2 Halaman</t>
  </si>
  <si>
    <t>Current Leakage</t>
  </si>
  <si>
    <t>Resistance</t>
  </si>
  <si>
    <t>-</t>
  </si>
  <si>
    <t>CH 1</t>
  </si>
  <si>
    <t>DRIFT</t>
  </si>
  <si>
    <t>CH 2</t>
  </si>
  <si>
    <t>CH 3</t>
  </si>
  <si>
    <t>CH 4</t>
  </si>
  <si>
    <t>CH 5</t>
  </si>
  <si>
    <t>CH 6</t>
  </si>
  <si>
    <t>CH 7</t>
  </si>
  <si>
    <t>Choirul Huda</t>
  </si>
  <si>
    <t>Fatimah Novrianisa</t>
  </si>
  <si>
    <t>Gusti Arya Dinata</t>
  </si>
  <si>
    <t>Hamdan Syarif</t>
  </si>
  <si>
    <t>Hary Ernanto</t>
  </si>
  <si>
    <t>Isra Mahensa</t>
  </si>
  <si>
    <t>Muhammad Arrizal Septiawan</t>
  </si>
  <si>
    <t>Muhammad Iqbal Saiful Rahman</t>
  </si>
  <si>
    <t>CH 8</t>
  </si>
  <si>
    <t>Muhammad Zaenuri Sugiasmoro</t>
  </si>
  <si>
    <t>Rangga Setya Hantoko</t>
  </si>
  <si>
    <t>Septia Khairunnisa</t>
  </si>
  <si>
    <t>Taufik Priawan</t>
  </si>
  <si>
    <t>Venna Filosofia</t>
  </si>
  <si>
    <t>Wardimanul Abrar</t>
  </si>
  <si>
    <t>U95</t>
  </si>
  <si>
    <t>Drifft</t>
  </si>
  <si>
    <t>Kumpulan DRIFT</t>
  </si>
  <si>
    <t>INTERPOLASI MAX 1</t>
  </si>
  <si>
    <t>Suhu Terukur</t>
  </si>
  <si>
    <t>Suhu Terkoreksi</t>
  </si>
  <si>
    <t>koreksi</t>
  </si>
  <si>
    <t>Validasi</t>
  </si>
  <si>
    <t>Sensor 1</t>
  </si>
  <si>
    <t>Sensor 2</t>
  </si>
  <si>
    <t>Sensor 3</t>
  </si>
  <si>
    <t>Sensor 4</t>
  </si>
  <si>
    <t>Sensor 5</t>
  </si>
  <si>
    <t>Sensor 6</t>
  </si>
  <si>
    <t>Sensor 7</t>
  </si>
  <si>
    <t>Sensor 8</t>
  </si>
  <si>
    <t>Drift Max</t>
  </si>
  <si>
    <t>INTERPOLASI MIN 1</t>
  </si>
  <si>
    <t>U95 max</t>
  </si>
  <si>
    <t>INPUT SERTIFIKAT THERMOHYGROMETER</t>
  </si>
  <si>
    <t>KOREKSI KIMO THERMOHYGROMETER 15062873</t>
  </si>
  <si>
    <t>Suhu</t>
  </si>
  <si>
    <t>Tahun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</si>
  <si>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</si>
  <si>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</si>
  <si>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</si>
  <si>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</si>
  <si>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</si>
  <si>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</si>
  <si>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</si>
  <si>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</si>
  <si>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</si>
  <si>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</si>
  <si>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</si>
  <si>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</si>
  <si>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</si>
  <si>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</si>
  <si>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</si>
  <si>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A</t>
  </si>
  <si>
    <t>B</t>
  </si>
  <si>
    <t>C</t>
  </si>
  <si>
    <t>D</t>
  </si>
  <si>
    <t>E</t>
  </si>
  <si>
    <t>F</t>
  </si>
  <si>
    <t>Rata-rata standar</t>
  </si>
  <si>
    <t>Rata-rata Terkoreksi</t>
  </si>
  <si>
    <t>STDEV</t>
  </si>
  <si>
    <t>HASIL</t>
  </si>
  <si>
    <t>Konversi TEXT</t>
  </si>
  <si>
    <t xml:space="preserve"> %RH</t>
  </si>
  <si>
    <t>Thermohygrolight, Merek : KIMO, Model : KH-210-AO, SN : 14082463</t>
  </si>
  <si>
    <t xml:space="preserve">( </t>
  </si>
  <si>
    <t xml:space="preserve"> ± </t>
  </si>
  <si>
    <t xml:space="preserve"> )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</si>
  <si>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</si>
  <si>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</si>
  <si>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</si>
  <si>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</si>
  <si>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</si>
  <si>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</si>
  <si>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INPUT DATA SERTIFIKAT ESA</t>
  </si>
  <si>
    <t>ESA 620 (1837056)</t>
  </si>
  <si>
    <t>ESA 620 (1834020)</t>
  </si>
  <si>
    <t>ESA 615 (2853077)</t>
  </si>
  <si>
    <t>KOREKSI ESA</t>
  </si>
  <si>
    <t>Setting VAC</t>
  </si>
  <si>
    <t>Driff</t>
  </si>
  <si>
    <t>( V )</t>
  </si>
  <si>
    <t>( uA )</t>
  </si>
  <si>
    <t>Main-PE</t>
  </si>
  <si>
    <t>ESA 615 (2853078)</t>
  </si>
  <si>
    <t>ESA 615 (3148907)</t>
  </si>
  <si>
    <t>ESA 615 (3148908)</t>
  </si>
  <si>
    <t>ESA 615 (3699030)</t>
  </si>
  <si>
    <t>H</t>
  </si>
  <si>
    <t>I</t>
  </si>
  <si>
    <t>II</t>
  </si>
  <si>
    <t>III</t>
  </si>
  <si>
    <t>IV</t>
  </si>
  <si>
    <t>V</t>
  </si>
  <si>
    <t>VI</t>
  </si>
  <si>
    <t>Pembacaan Standar</t>
  </si>
  <si>
    <t>Pembacaan terkoreksi</t>
  </si>
  <si>
    <t>Hasil</t>
  </si>
  <si>
    <t>Resistansi pembumian protektif</t>
  </si>
  <si>
    <t>Laboratorium</t>
  </si>
  <si>
    <t>24 Mei 2019</t>
  </si>
  <si>
    <t>Penunjukkan Standar   (°C)</t>
  </si>
  <si>
    <t>stdev (°C)</t>
  </si>
  <si>
    <t>diff (°C)</t>
  </si>
  <si>
    <t>Rata-Rata (°C)</t>
  </si>
  <si>
    <t>t - min1</t>
  </si>
  <si>
    <t>t - max1</t>
  </si>
  <si>
    <t>t - min2</t>
  </si>
  <si>
    <t>t - max2</t>
  </si>
  <si>
    <t>t - min3</t>
  </si>
  <si>
    <t>t - max3</t>
  </si>
  <si>
    <t>t - min4</t>
  </si>
  <si>
    <t>t - max4</t>
  </si>
  <si>
    <t>t - min5</t>
  </si>
  <si>
    <t>t - max5</t>
  </si>
  <si>
    <t>Akurasi</t>
  </si>
  <si>
    <t>INTERPOLASI MAX 2</t>
  </si>
  <si>
    <t>INTERPOLASI MIN 2</t>
  </si>
  <si>
    <t>INTERPOLASI MAX 3</t>
  </si>
  <si>
    <t>INTERPOLASI MIN 4</t>
  </si>
  <si>
    <t>INTERPOLASI MIN 5</t>
  </si>
  <si>
    <t>INTERPOLASI MIN 3</t>
  </si>
  <si>
    <t>INTERPOLASI MAX 4</t>
  </si>
  <si>
    <t>INTERPOLASI MAX 5</t>
  </si>
  <si>
    <t>NIP 198008062010121001</t>
  </si>
  <si>
    <t>Alat yang dikalibrasi dalam batas toleransi dan dinyatakan LAIK PAKAI, dimana hasil atau skor akhir sama dengan atau melampaui 70% berdasarkan Keputusan Direktur Jenderal Pelayanan Kesehatan No : HK.02.02/V/5771/2018</t>
  </si>
  <si>
    <t>Alat yang dikalibrasi melebihi batas toleransi dan dinyatakan TIDAK LAIK PAKAI, dimana hasil atau skor akhir dibawah 70% berdasarkan Keputusan Direktur Jenderal Pelayanan Kesehatan No : HK.02.02/V/5771/2018</t>
  </si>
  <si>
    <t>Binder</t>
  </si>
  <si>
    <t>WTC</t>
  </si>
  <si>
    <t>900165</t>
  </si>
  <si>
    <t>18 Februari 2020</t>
  </si>
  <si>
    <t xml:space="preserve">Resistansi isolasi </t>
  </si>
  <si>
    <t>Ketidakpastian Pengukuran (°C)</t>
  </si>
  <si>
    <t>Ketidakpastian  Pengukuran (°C)</t>
  </si>
  <si>
    <t>Nomor Sertifikat / Nomor Surat Keterangan : 31  / ………… /…… - ........  / E -…………   DL</t>
  </si>
  <si>
    <r>
      <t>Akurasi = 2-8</t>
    </r>
    <r>
      <rPr>
        <sz val="12"/>
        <rFont val="Calibri"/>
        <family val="2"/>
      </rPr>
      <t>°</t>
    </r>
    <r>
      <rPr>
        <sz val="13.8"/>
        <rFont val="Arial"/>
        <family val="2"/>
      </rPr>
      <t>C</t>
    </r>
  </si>
  <si>
    <t>MK.032-18</t>
  </si>
  <si>
    <t>INPUT DATA HASIL PENGUJIAN LABORATORIUM REFRIGERATOR</t>
  </si>
  <si>
    <t>II. Pemeriksaan Kondisi Fisik dan Fungsi Alat</t>
  </si>
  <si>
    <t>III. Pengujian Keselamatan Listrik</t>
  </si>
  <si>
    <t>I. Kondisi Ruang</t>
  </si>
  <si>
    <t>IV. Pengujian Kinerja</t>
  </si>
  <si>
    <t>d. Kalibrasi Akurasi Suhu</t>
  </si>
  <si>
    <t>HASIL PENGUJIAN LABORATORIUM REFRIGERATOR</t>
  </si>
  <si>
    <t>Pemeriksaan Kondisi Fisik dan Fungsi Alat</t>
  </si>
  <si>
    <t>Pengujian Keselamatan Listrik</t>
  </si>
  <si>
    <t>Pengujian Kinerja</t>
  </si>
  <si>
    <t>Petugas Pengujian</t>
  </si>
  <si>
    <t>VIII. Petugas Pengujian</t>
  </si>
  <si>
    <r>
      <t>Variasi total = 4</t>
    </r>
    <r>
      <rPr>
        <sz val="12"/>
        <rFont val="Calibri"/>
        <family val="2"/>
      </rPr>
      <t>°</t>
    </r>
    <r>
      <rPr>
        <sz val="13.8"/>
        <rFont val="Arial"/>
        <family val="2"/>
      </rPr>
      <t>C</t>
    </r>
  </si>
  <si>
    <t xml:space="preserve">Nomor Sertifikat : 30 /      /      -       / E - </t>
  </si>
  <si>
    <t xml:space="preserve">Nomor Surat Keterangan : 30 /        /        -      / E - </t>
  </si>
  <si>
    <t>Suhu refrigerator dari penunjukkan indikator</t>
  </si>
  <si>
    <t>Suhu refrigerator dari pengukuran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</si>
  <si>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</si>
  <si>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</si>
  <si>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</si>
  <si>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Thermocouple Data Logger, Merek : MADGETECH, Model : OctTemp 2000, SN : P41878</t>
  </si>
  <si>
    <t>Thermocouple Data Logger, Merek : MADGETECH, Model : OctTemp 2000, SN : P40270</t>
  </si>
  <si>
    <t>CEK LAGI BOSS !!!!!</t>
  </si>
  <si>
    <t>NC</t>
  </si>
  <si>
    <t>Nomor Sertifikat : 31</t>
  </si>
  <si>
    <t>Nomor Surat Keterangan : 31</t>
  </si>
  <si>
    <t>/ 1 / IX - 20 / E - 024.34 DL</t>
  </si>
  <si>
    <t>Variasi Spasial</t>
  </si>
  <si>
    <t>Electrical Safety Analyzer, Merek : Fluke Model : ESA 620 No Seri :1837056, 1834020</t>
  </si>
  <si>
    <t xml:space="preserve">Electrical Safety Analyzer, Merek : Fluke, Model : ESA 615, No Seri :2853077, 2853078, 3148907, 3148908, </t>
  </si>
  <si>
    <t>Electrical Safety Analyzer, Merek : Fluke, Model : ESA 615, No Seri :3699030, 4670010, 4669058</t>
  </si>
  <si>
    <t>Thermohygrolightmeter, Merek : KIMO, KH-210-AO No Seri :14082463, 15062872, 15062873, 15062874, 15062875</t>
  </si>
  <si>
    <t>Thermohygrobarometer, Merek : Greisinger, Model : GFTB 200, SN : 34903046, 34903053, 34903051, 34904091</t>
  </si>
  <si>
    <t>Thermohygrobarometer, Merek : EXTECH, Model : SD700, SN : A.100586, A.100605, A.100609, A.100611, A.100616,</t>
  </si>
  <si>
    <t>LEMBAR KERJA KALIBRASI LABORATORIUM REFRIGERATOR</t>
  </si>
  <si>
    <t>Tanggal Penerimaan Alat</t>
  </si>
  <si>
    <r>
      <rPr>
        <sz val="12"/>
        <rFont val="Calibri"/>
        <family val="2"/>
      </rPr>
      <t>°</t>
    </r>
    <r>
      <rPr>
        <sz val="12"/>
        <rFont val="Arial"/>
        <family val="2"/>
      </rPr>
      <t>C</t>
    </r>
  </si>
  <si>
    <t>Temperature Recorder (Monitor) : Merek : HIOKI, Model : LR 8410, SN : 200812984, 200812985, 210368322</t>
  </si>
  <si>
    <t>Temperature Recorder (Monitor) : Merek : HIOKI, Model : LR 8410, SN : 210368323, 210368324</t>
  </si>
  <si>
    <t>Wireless Temperature Recorder (Modul) : Merek : HIOKI, Model : LR 8510, SN : 200936000, 200821397, 200936001</t>
  </si>
  <si>
    <t>Wireless Temperature Recorder (Modul) : Merek : HIOKI, Model : LR 8510, SN : 210411983, 210411984, 210411985</t>
  </si>
  <si>
    <t>Wireless Temperature Recorder (Modul) : Merek : HIOKI, Model : LR 8510, SN : 210746054, 210746055, 210746056</t>
  </si>
  <si>
    <t>Thermohygrobarometer, Merek : EXTECH, Model : SD700, SN : A.100617, A.100618, A.100615</t>
  </si>
  <si>
    <t>Hasil pengujian kinerja suhu ke Sistem Internasional ( SI ) melalui PT. Kaliman ( LK-032-IDN )</t>
  </si>
  <si>
    <t>Hasil pengujian kinerja suhu ke Sistem Internasional ( SI ) melalui PT. Certus Metrology Indonesia</t>
  </si>
  <si>
    <t>Temperature Recorder, Merek : HIOKI, Model : LR 8410, SN : 200812984</t>
  </si>
  <si>
    <t>Temperature Recorder, Merek : HIOKI, Model : LR 8410, SN : 200812985</t>
  </si>
  <si>
    <t>Temperature Recorder, Merek : HIOKI, Model : LR 8410, SN : 210368322</t>
  </si>
  <si>
    <t>Temperature Recorder, Merek : HIOKI, Model : LR 8410, SN : 210368323</t>
  </si>
  <si>
    <t>Temperature Recorder, Merek : HIOKI, Model : LR 8410, SN : 210368324</t>
  </si>
  <si>
    <t>Wireless Temperature Recorder : Merek : HIOKI, Model : LR 8510, SN : 200936000</t>
  </si>
  <si>
    <t>Wireless Temperature Recorder : Merek : HIOKI, Model : LR 8510, SN : 200936001</t>
  </si>
  <si>
    <t>Wireless Temperature Recorder : Merek : HIOKI, Model : LR 8510, SN : 200821397</t>
  </si>
  <si>
    <t>Wireless Temperature Recorder : Merek : HIOKI, Model : LR 8510, SN : 210411983</t>
  </si>
  <si>
    <t>Wireless Temperature Recorder : Merek : HIOKI, Model : LR 8510, SN : 210411984</t>
  </si>
  <si>
    <t>Wireless Temperature Recorder : Merek : HIOKI, Model : LR 8510, SN : 210411985</t>
  </si>
  <si>
    <t>Wireless Temperature Recorder : Merek : HIOKI, Model : LR 8510, SN : 210746054</t>
  </si>
  <si>
    <t>Wireless Temperature Recorder : Merek : HIOKI, Model : LR 8510, SN : 210746055</t>
  </si>
  <si>
    <t>Wireless Temperature Recorder : Merek : HIOKI, Model : LR 8510, SN : 210746056</t>
  </si>
  <si>
    <t>Muhammad Alpian Hadi</t>
  </si>
  <si>
    <t>Ryan Rama Chaesar R</t>
  </si>
  <si>
    <t>Siti Fathul Jannah</t>
  </si>
  <si>
    <t>Azhar Alamsyah</t>
  </si>
  <si>
    <t>Sholihatussa'diah</t>
  </si>
  <si>
    <t xml:space="preserve">D R I F T  S T A N D A R </t>
  </si>
  <si>
    <t>CH 9</t>
  </si>
  <si>
    <t>CH 10</t>
  </si>
  <si>
    <t>DATA SERTIFIKAT</t>
  </si>
  <si>
    <t>CH 11</t>
  </si>
  <si>
    <t>CH 12</t>
  </si>
  <si>
    <t>DATA STANDAR</t>
  </si>
  <si>
    <t>D R I F T</t>
  </si>
  <si>
    <t>Sensor 9</t>
  </si>
  <si>
    <t>Sensor 10</t>
  </si>
  <si>
    <t>ESA 615 (4670010)</t>
  </si>
  <si>
    <t>Electrical Safety Analyzer, Merek : Fluke, Model : ESA 615, SN : 4670010</t>
  </si>
  <si>
    <t>Electrical Safety Analyzer, Merek : Fluke, Model : ESA 615, SN : 4669058</t>
  </si>
  <si>
    <t>6. Variasi Total</t>
  </si>
  <si>
    <t>µ</t>
  </si>
  <si>
    <r>
      <t>Akurasi suhu     2-8 °C         Variasi Total       ≤ R</t>
    </r>
    <r>
      <rPr>
        <vertAlign val="subscript"/>
        <sz val="12"/>
        <rFont val="Arial"/>
        <family val="2"/>
      </rPr>
      <t>O</t>
    </r>
  </si>
  <si>
    <r>
      <t>R</t>
    </r>
    <r>
      <rPr>
        <vertAlign val="subscript"/>
        <sz val="12"/>
        <rFont val="Arial"/>
        <family val="2"/>
      </rPr>
      <t xml:space="preserve">O                        </t>
    </r>
  </si>
  <si>
    <t>Toleransi</t>
  </si>
  <si>
    <t>Digital</t>
  </si>
  <si>
    <t>Analog</t>
  </si>
  <si>
    <t>Penunjukan Standar           (°C)</t>
  </si>
  <si>
    <t>Penunjukan Standar          (°C)</t>
  </si>
  <si>
    <t>Alat</t>
  </si>
  <si>
    <t>Koreksi    (°C)</t>
  </si>
  <si>
    <t>Toleransi              (°C)</t>
  </si>
  <si>
    <t>Koreksi        (°C)</t>
  </si>
  <si>
    <t>Choirul Huda, S.Tr. Kes</t>
  </si>
  <si>
    <t xml:space="preserve">Tidak terdapat grounding </t>
  </si>
  <si>
    <t>Tidak dilakukan pengujian keselamatan listrik karena alat tidak boleh dalam kondisi off</t>
  </si>
  <si>
    <t xml:space="preserve">    </t>
  </si>
  <si>
    <t>Arus bocor peralatan untuk peralatan elektromedik kelas II</t>
  </si>
  <si>
    <t>Alat tidak boleh digunakan pada instalasi tanpa dilengkapi grounding</t>
  </si>
  <si>
    <t>Reference Thermometer, Merek : FLUKE, Model : 1524, SN : 1803037</t>
  </si>
  <si>
    <t>Reference Thermometer, Merek : APPA, Model : APPA51, SN : 03002948</t>
  </si>
  <si>
    <t>Reference Thermometer, Merek : FLUKE, Model : 1524, SN : 1803038</t>
  </si>
  <si>
    <t>No.</t>
  </si>
  <si>
    <t>Revisi</t>
  </si>
  <si>
    <t>Venna</t>
  </si>
  <si>
    <t>8.3.2022</t>
  </si>
  <si>
    <t>Bagian Kelistrikan, jika keadaan arus bocor melebihi toleransi kemudian dilakukan pengukuran NC(masuk toleransi), software otomatis tidak laik pakai (sebaiknya masih laik pakai dengan keterangan)</t>
  </si>
  <si>
    <t>Bagian Kelistrikan, jika keadaan arus bocor diberi strip (keadaan NG), software otomatis tidak laik pakai (sebaiknya masih laik pakai dengan pengurangan score)</t>
  </si>
  <si>
    <t>Wireless Temperature Recorder : Merek : HIOKI, Model : LR 8510, SN : x x x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</si>
  <si>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</si>
  <si>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</si>
  <si>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</si>
  <si>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</si>
  <si>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</si>
  <si>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</si>
  <si>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</si>
  <si>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</si>
  <si>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t>diganti pengujian</t>
  </si>
  <si>
    <t>Kata-kata kalibrasi</t>
  </si>
  <si>
    <t xml:space="preserve">Tanggal Pengujian                              </t>
  </si>
  <si>
    <t xml:space="preserve">Tempat Pengujian                              </t>
  </si>
  <si>
    <t>Alat yang diuji dalam batas toleransi dan dinyatakan LAIK PAKAI, dimana hasil atau skor akhir sama dengan atau melampaui 70% berdasarkan Keputusan Direktur Jenderal Pelayanan Kesehatan No : HK.02.02 / V / 0412 / 2020</t>
  </si>
  <si>
    <t>Alat yang diuji melebihi batas toleransi dan dinyatakan TIDAK LAIK PAKAI, dimana hasil atau skor akhir dibawah 70% berdasarkan Keputusan Direktur Jenderal Pelayanan Kesehatan No : HK.02.02 / V / 0412 / 2020</t>
  </si>
  <si>
    <t xml:space="preserve">Tanggal Pengujian                                </t>
  </si>
  <si>
    <t xml:space="preserve">Tanggal Pengujian                                 </t>
  </si>
  <si>
    <t xml:space="preserve">Tempat Pengujian                                </t>
  </si>
  <si>
    <t xml:space="preserve">Tanggal Pengujian                             </t>
  </si>
  <si>
    <t xml:space="preserve">Tempat Pengujian                          </t>
  </si>
  <si>
    <t>Sudah diperbaiki</t>
  </si>
  <si>
    <t>Zaen</t>
  </si>
  <si>
    <t>OL</t>
  </si>
  <si>
    <t>Tekanan</t>
  </si>
  <si>
    <t>hPa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</si>
  <si>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</si>
  <si>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</si>
  <si>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</si>
  <si>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</si>
  <si>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</si>
  <si>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</si>
  <si>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</si>
  <si>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</si>
  <si>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Koreksi Suhu</t>
  </si>
  <si>
    <t>Koreksi Kelembaban</t>
  </si>
  <si>
    <t>Koreksi tekanan</t>
  </si>
  <si>
    <t xml:space="preserve"> hPa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</si>
  <si>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</si>
  <si>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</si>
  <si>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</si>
  <si>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</si>
  <si>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</si>
  <si>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</si>
  <si>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</si>
  <si>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</si>
  <si>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</si>
  <si>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</si>
  <si>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ESA 615 (4669058)</t>
  </si>
  <si>
    <t>J</t>
  </si>
  <si>
    <t>K</t>
  </si>
  <si>
    <t>L</t>
  </si>
  <si>
    <t>No. Urut</t>
  </si>
  <si>
    <t>Koreksi Tegangan Jala jala</t>
  </si>
  <si>
    <t>Koreksi Resistansi Isolasi</t>
  </si>
  <si>
    <t>Koreksi Resistansi Pembumian</t>
  </si>
  <si>
    <t>Koreksi Arus Bocor (NO)</t>
  </si>
  <si>
    <t>Koreksi Arus bocor (NC)</t>
  </si>
  <si>
    <t>U95 Jala-jala</t>
  </si>
  <si>
    <t>NO</t>
  </si>
  <si>
    <t xml:space="preserve"> Volt</t>
  </si>
  <si>
    <t>Hasil pengukuran keselamatan listrik tertelusur ke Satuan Internasional ( SI ) melalui PT. Kaliman (LK-032-IDN)</t>
  </si>
  <si>
    <t>Electrical Safety Analyzer, Merek : Fluke, Model : ESA 615, SN : --</t>
  </si>
  <si>
    <t>Electrical Safety Analyzer 11</t>
  </si>
  <si>
    <t>Electrical Safety Analyzer 12</t>
  </si>
  <si>
    <r>
      <t xml:space="preserve"> Akurasi suhu       2-8 °C   Variasi Total    ≤ R</t>
    </r>
    <r>
      <rPr>
        <vertAlign val="subscript"/>
        <sz val="12"/>
        <rFont val="Arial"/>
        <family val="2"/>
      </rPr>
      <t>O</t>
    </r>
  </si>
  <si>
    <r>
      <t xml:space="preserve">  Akurasi suhu       2-8 °C       Variasi Total    ≤ R</t>
    </r>
    <r>
      <rPr>
        <vertAlign val="subscript"/>
        <sz val="12"/>
        <rFont val="Arial"/>
        <family val="2"/>
      </rPr>
      <t>O</t>
    </r>
  </si>
  <si>
    <t>Penunjukkan Standar (°C)</t>
  </si>
  <si>
    <t>Penunjukan Alat (°C)</t>
  </si>
  <si>
    <t>Koreksi (°C)</t>
  </si>
  <si>
    <t>OK</t>
  </si>
  <si>
    <t>JOSS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</si>
  <si>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</si>
  <si>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</si>
  <si>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</si>
  <si>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</si>
  <si>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</si>
  <si>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</si>
  <si>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</si>
  <si>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</si>
  <si>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Nama Ruang</t>
  </si>
  <si>
    <t>Laik Pakai, disarankan untuk dikalibrasi ulang pada tanggal…......</t>
  </si>
  <si>
    <t>Metode Kerja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</si>
  <si>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</si>
  <si>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</si>
  <si>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</si>
  <si>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</si>
  <si>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</si>
  <si>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</si>
  <si>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</si>
  <si>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</si>
  <si>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</si>
  <si>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</si>
  <si>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</si>
  <si>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</si>
  <si>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</si>
  <si>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</si>
  <si>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</si>
  <si>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</si>
  <si>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</si>
  <si>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</si>
  <si>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</si>
  <si>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</si>
  <si>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SH.032-18</t>
  </si>
  <si>
    <t>Laboratorium Refrigerator</t>
  </si>
  <si>
    <t>Bandar</t>
  </si>
  <si>
    <t>Jalan Buntu</t>
  </si>
  <si>
    <t>VII. Petugas Pengujian</t>
  </si>
  <si>
    <t>Interpolasi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</si>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</sst>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164" formatCode="0.000"/>
    <numFmt numFmtId="165" formatCode="0.00000000000"/>
    <numFmt numFmtId="166" formatCode="0.0"/>
    <numFmt numFmtId="167" formatCode="0.0000"/>
    <numFmt numFmtId="168" formatCode="0.0\ \ &quot;%RH&quot;"/>
    <numFmt numFmtId="169" formatCode="0.00000"/>
    <numFmt numFmtId="170" formatCode="&quot;±&quot;\ 0.0"/>
    <numFmt numFmtId="171" formatCode="0.00_ "/>
    <numFmt numFmtId="172" formatCode="0_ "/>
    <numFmt numFmtId="173" formatCode="0.0\ \ \ \ \ &quot;±&quot;"/>
    <numFmt numFmtId="174" formatCode="0.0\ \ \ \ \ \ \ &quot;±&quot;"/>
    <numFmt numFmtId="175" formatCode="0.0\ \ &quot;°&quot;\C"/>
    <numFmt numFmtId="176" formatCode="0.000%"/>
    <numFmt numFmtId="177" formatCode="0.0\ \V\o\l\t"/>
    <numFmt numFmtId="178" formatCode="0.0_ "/>
    <numFmt numFmtId="179" formatCode="0.00000000"/>
    <numFmt numFmtId="180" formatCode="0.000_ "/>
    <numFmt numFmtId="181" formatCode="0.0000000000000"/>
    <numFmt numFmtId="182" formatCode="\±\ 0.0"/>
    <numFmt numFmtId="183" formatCode="0.0\ \ &quot;MΩ&quot;"/>
    <numFmt numFmtId="184" formatCode="0.000\ \ &quot;Ω&quot;"/>
    <numFmt numFmtId="185" formatCode="0.0\ \ &quot;µA&quot;"/>
    <numFmt numFmtId="186" formatCode="0.000\ "/>
    <numFmt numFmtId="187" formatCode="\≤\ 0\ \ &quot;µA&quot;"/>
    <numFmt numFmtId="188" formatCode="[$-421]dd\ mmmm\ yyyy;@"/>
    <numFmt numFmtId="189" formatCode="0.0000000000"/>
    <numFmt numFmtId="190" formatCode="0.000000"/>
    <numFmt numFmtId="191" formatCode="0.000000000"/>
    <numFmt numFmtId="192" formatCode="0.00000000000000"/>
    <numFmt numFmtId="193" formatCode="0.0000000"/>
  </numFmts>
  <fonts count="103">
    <font>
      <sz val="10"/>
      <name val="Arial"/>
      <charset val="134"/>
    </font>
    <font>
      <b/>
      <u/>
      <sz val="14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8"/>
      <color theme="1"/>
      <name val="Calibri"/>
      <family val="2"/>
      <scheme val="minor"/>
    </font>
    <font>
      <b/>
      <sz val="8"/>
      <name val="Times New Roman"/>
      <family val="1"/>
    </font>
    <font>
      <b/>
      <sz val="8"/>
      <color theme="0"/>
      <name val="Times New Roman"/>
      <family val="1"/>
    </font>
    <font>
      <b/>
      <sz val="8"/>
      <name val="Arial"/>
      <family val="2"/>
    </font>
    <font>
      <b/>
      <sz val="10"/>
      <name val="Times New Roman"/>
      <family val="1"/>
    </font>
    <font>
      <sz val="10"/>
      <name val="Calibri"/>
      <family val="2"/>
    </font>
    <font>
      <sz val="12"/>
      <name val="Calibri"/>
      <family val="2"/>
    </font>
    <font>
      <b/>
      <sz val="14"/>
      <name val="Times New Roman"/>
      <family val="1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sz val="12"/>
      <name val="Calibri"/>
      <family val="2"/>
      <scheme val="minor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</font>
    <font>
      <sz val="12"/>
      <color rgb="FFFF0000"/>
      <name val="Calibri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sz val="11"/>
      <name val="Calibri"/>
      <family val="2"/>
    </font>
    <font>
      <u/>
      <sz val="11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2"/>
      <name val="Arial"/>
      <family val="2"/>
    </font>
    <font>
      <i/>
      <u/>
      <sz val="12"/>
      <name val="Arial"/>
      <family val="2"/>
    </font>
    <font>
      <b/>
      <i/>
      <sz val="12"/>
      <name val="Arial"/>
      <family val="2"/>
    </font>
    <font>
      <u/>
      <sz val="12"/>
      <name val="Arial"/>
      <family val="2"/>
    </font>
    <font>
      <sz val="13"/>
      <name val="Arial"/>
      <family val="2"/>
    </font>
    <font>
      <sz val="12"/>
      <color rgb="FFFFFFFF"/>
      <name val="Courier New"/>
      <family val="3"/>
    </font>
    <font>
      <b/>
      <sz val="10"/>
      <name val="Calibri"/>
      <family val="2"/>
      <scheme val="minor"/>
    </font>
    <font>
      <b/>
      <sz val="22"/>
      <name val="Calibri"/>
      <family val="2"/>
    </font>
    <font>
      <b/>
      <sz val="14"/>
      <name val="Calibri"/>
      <family val="2"/>
    </font>
    <font>
      <vertAlign val="superscript"/>
      <sz val="11"/>
      <name val="Calibri"/>
      <family val="2"/>
    </font>
    <font>
      <sz val="11"/>
      <color rgb="FFFF0000"/>
      <name val="Calibri"/>
      <family val="2"/>
    </font>
    <font>
      <vertAlign val="superscript"/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Times New Roman"/>
      <family val="1"/>
    </font>
    <font>
      <u/>
      <sz val="10"/>
      <name val="Calibri"/>
      <family val="2"/>
    </font>
    <font>
      <sz val="12"/>
      <color theme="0"/>
      <name val="Arial"/>
      <family val="2"/>
    </font>
    <font>
      <sz val="24"/>
      <color theme="0"/>
      <name val="Arial"/>
      <family val="2"/>
    </font>
    <font>
      <vertAlign val="subscript"/>
      <sz val="12"/>
      <name val="Arial"/>
      <family val="2"/>
    </font>
    <font>
      <vertAlign val="subscript"/>
      <sz val="11"/>
      <name val="Calibri"/>
      <family val="2"/>
    </font>
    <font>
      <vertAlign val="subscript"/>
      <sz val="11"/>
      <color rgb="FFFF0000"/>
      <name val="Calibri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3.8"/>
      <name val="Arial"/>
      <family val="2"/>
    </font>
    <font>
      <sz val="11"/>
      <color rgb="FF006100"/>
      <name val="Calibri"/>
      <family val="2"/>
      <scheme val="minor"/>
    </font>
    <font>
      <b/>
      <sz val="30"/>
      <color rgb="FF006100"/>
      <name val="Calibri"/>
      <family val="2"/>
      <scheme val="minor"/>
    </font>
    <font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rgb="FF006100"/>
      <name val="Calibri"/>
      <family val="2"/>
      <scheme val="minor"/>
    </font>
    <font>
      <i/>
      <u/>
      <sz val="8"/>
      <name val="Arial"/>
      <family val="2"/>
    </font>
    <font>
      <sz val="8"/>
      <color rgb="FFFF0000"/>
      <name val="Arial"/>
      <family val="2"/>
    </font>
    <font>
      <b/>
      <sz val="18"/>
      <name val="Exotc350 Bd BT"/>
      <family val="5"/>
    </font>
    <font>
      <b/>
      <sz val="20"/>
      <name val="Exotc350 Bd BT"/>
      <family val="5"/>
    </font>
    <font>
      <sz val="26"/>
      <name val="Exotc350 Bd BT"/>
      <family val="5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2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b/>
      <u/>
      <sz val="24"/>
      <name val="Times New Roman"/>
      <family val="1"/>
    </font>
    <font>
      <sz val="9"/>
      <name val="Calibri"/>
      <family val="2"/>
    </font>
    <font>
      <b/>
      <sz val="10"/>
      <color rgb="FF000000"/>
      <name val="Times New Roman"/>
      <family val="1"/>
    </font>
    <font>
      <sz val="10"/>
      <color rgb="FF963634"/>
      <name val="Arial"/>
      <family val="2"/>
    </font>
    <font>
      <sz val="11"/>
      <color rgb="FF000000"/>
      <name val="Times New Roman"/>
      <family val="1"/>
    </font>
    <font>
      <sz val="11"/>
      <color rgb="FF963634"/>
      <name val="Times New Roman"/>
      <family val="1"/>
    </font>
    <font>
      <sz val="13"/>
      <color rgb="FFFF0000"/>
      <name val="Arial"/>
      <family val="2"/>
    </font>
    <font>
      <sz val="8"/>
      <color theme="0"/>
      <name val="Arial"/>
      <family val="2"/>
    </font>
    <font>
      <sz val="12"/>
      <color theme="1"/>
      <name val="Calibri"/>
      <family val="2"/>
    </font>
    <font>
      <sz val="24"/>
      <color theme="1"/>
      <name val="Arial"/>
      <family val="2"/>
    </font>
    <font>
      <vertAlign val="superscript"/>
      <sz val="12"/>
      <color theme="1"/>
      <name val="Arial"/>
      <family val="2"/>
    </font>
    <font>
      <b/>
      <sz val="12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C6EFC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</fills>
  <borders count="8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6">
    <xf numFmtId="0" fontId="0" fillId="0" borderId="0">
      <alignment vertical="center"/>
    </xf>
    <xf numFmtId="0" fontId="62" fillId="0" borderId="0">
      <protection locked="0"/>
    </xf>
    <xf numFmtId="0" fontId="62" fillId="0" borderId="0">
      <protection locked="0"/>
    </xf>
    <xf numFmtId="0" fontId="70" fillId="18" borderId="0" applyNumberFormat="0" applyBorder="0" applyAlignment="0" applyProtection="0"/>
    <xf numFmtId="0" fontId="83" fillId="27" borderId="0" applyNumberFormat="0" applyBorder="0" applyAlignment="0" applyProtection="0"/>
    <xf numFmtId="0" fontId="62" fillId="0" borderId="0"/>
  </cellStyleXfs>
  <cellXfs count="142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25" fillId="0" borderId="0" xfId="0" applyFont="1">
      <alignment vertical="center"/>
    </xf>
    <xf numFmtId="2" fontId="25" fillId="0" borderId="3" xfId="0" applyNumberFormat="1" applyFont="1" applyBorder="1" applyAlignment="1" applyProtection="1">
      <alignment horizontal="center" vertical="center"/>
    </xf>
    <xf numFmtId="0" fontId="25" fillId="0" borderId="0" xfId="0" applyFont="1" applyAlignment="1" applyProtection="1">
      <alignment horizontal="left" vertical="center"/>
      <protection locked="0"/>
    </xf>
    <xf numFmtId="0" fontId="25" fillId="12" borderId="0" xfId="0" applyFont="1" applyFill="1" applyAlignment="1" applyProtection="1">
      <alignment horizontal="left" vertical="center"/>
      <protection locked="0"/>
    </xf>
    <xf numFmtId="0" fontId="25" fillId="0" borderId="0" xfId="0" applyFont="1" applyProtection="1">
      <alignment vertical="center"/>
      <protection locked="0"/>
    </xf>
    <xf numFmtId="0" fontId="25" fillId="0" borderId="0" xfId="0" applyFont="1" applyBorder="1" applyAlignment="1" applyProtection="1">
      <alignment horizontal="center" vertical="center"/>
      <protection locked="0"/>
    </xf>
    <xf numFmtId="164" fontId="25" fillId="0" borderId="0" xfId="0" applyNumberFormat="1" applyFont="1" applyBorder="1" applyAlignment="1" applyProtection="1">
      <alignment horizontal="right" vertical="center"/>
      <protection locked="0"/>
    </xf>
    <xf numFmtId="0" fontId="25" fillId="12" borderId="0" xfId="0" applyFont="1" applyFill="1" applyProtection="1">
      <alignment vertical="center"/>
      <protection locked="0"/>
    </xf>
    <xf numFmtId="166" fontId="25" fillId="0" borderId="0" xfId="0" applyNumberFormat="1" applyFont="1" applyBorder="1" applyAlignment="1" applyProtection="1">
      <alignment horizontal="right" vertical="center"/>
      <protection locked="0"/>
    </xf>
    <xf numFmtId="0" fontId="34" fillId="0" borderId="0" xfId="0" applyFont="1" applyAlignment="1" applyProtection="1">
      <alignment horizontal="left" vertical="center"/>
      <protection locked="0"/>
    </xf>
    <xf numFmtId="0" fontId="34" fillId="12" borderId="0" xfId="0" applyFont="1" applyFill="1" applyProtection="1">
      <alignment vertical="center"/>
      <protection locked="0"/>
    </xf>
    <xf numFmtId="2" fontId="33" fillId="0" borderId="0" xfId="0" applyNumberFormat="1" applyFont="1" applyBorder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3" fillId="12" borderId="0" xfId="0" applyFont="1" applyFill="1" applyBorder="1" applyAlignment="1">
      <alignment horizontal="left" vertical="center"/>
    </xf>
    <xf numFmtId="0" fontId="33" fillId="0" borderId="0" xfId="0" applyFont="1" applyBorder="1">
      <alignment vertical="center"/>
    </xf>
    <xf numFmtId="0" fontId="2" fillId="12" borderId="0" xfId="0" applyFont="1" applyFill="1" applyBorder="1">
      <alignment vertical="center"/>
    </xf>
    <xf numFmtId="0" fontId="33" fillId="12" borderId="0" xfId="0" applyFont="1" applyFill="1" applyBorder="1">
      <alignment vertical="center"/>
    </xf>
    <xf numFmtId="166" fontId="33" fillId="0" borderId="0" xfId="0" applyNumberFormat="1" applyFont="1" applyBorder="1">
      <alignment vertical="center"/>
    </xf>
    <xf numFmtId="166" fontId="2" fillId="0" borderId="0" xfId="0" applyNumberFormat="1" applyFont="1" applyBorder="1" applyAlignment="1">
      <alignment horizontal="left" vertical="center"/>
    </xf>
    <xf numFmtId="166" fontId="33" fillId="0" borderId="0" xfId="0" applyNumberFormat="1" applyFont="1" applyBorder="1" applyAlignment="1">
      <alignment horizontal="left" vertical="center"/>
    </xf>
    <xf numFmtId="0" fontId="25" fillId="0" borderId="0" xfId="0" applyFont="1" applyAlignment="1">
      <alignment vertical="center" wrapText="1"/>
    </xf>
    <xf numFmtId="167" fontId="33" fillId="0" borderId="0" xfId="0" applyNumberFormat="1" applyFont="1" applyBorder="1" applyAlignment="1">
      <alignment horizontal="center" vertical="center"/>
    </xf>
    <xf numFmtId="167" fontId="33" fillId="0" borderId="0" xfId="0" applyNumberFormat="1" applyFont="1" applyBorder="1">
      <alignment vertical="center"/>
    </xf>
    <xf numFmtId="0" fontId="33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3" fillId="0" borderId="0" xfId="0" applyFont="1" applyBorder="1" applyAlignment="1">
      <alignment horizontal="center" vertical="center" wrapText="1"/>
    </xf>
    <xf numFmtId="166" fontId="33" fillId="0" borderId="0" xfId="0" applyNumberFormat="1" applyFont="1" applyBorder="1" applyAlignment="1" applyProtection="1">
      <alignment horizontal="center" vertical="center"/>
      <protection locked="0"/>
    </xf>
    <xf numFmtId="164" fontId="33" fillId="0" borderId="0" xfId="0" applyNumberFormat="1" applyFont="1" applyBorder="1" applyAlignment="1">
      <alignment horizontal="right" vertical="center"/>
    </xf>
    <xf numFmtId="166" fontId="33" fillId="0" borderId="0" xfId="0" applyNumberFormat="1" applyFont="1" applyBorder="1" applyAlignment="1">
      <alignment horizontal="right" vertical="center"/>
    </xf>
    <xf numFmtId="0" fontId="33" fillId="0" borderId="0" xfId="0" applyFont="1" applyFill="1">
      <alignment vertical="center"/>
    </xf>
    <xf numFmtId="0" fontId="25" fillId="0" borderId="0" xfId="0" applyFont="1" applyFill="1" applyProtection="1">
      <alignment vertical="center"/>
      <protection locked="0"/>
    </xf>
    <xf numFmtId="0" fontId="29" fillId="0" borderId="0" xfId="0" applyFont="1" applyAlignment="1" applyProtection="1">
      <alignment horizontal="right"/>
      <protection locked="0"/>
    </xf>
    <xf numFmtId="0" fontId="33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3" fillId="12" borderId="0" xfId="0" applyFont="1" applyFill="1" applyAlignment="1">
      <alignment vertical="center"/>
    </xf>
    <xf numFmtId="0" fontId="33" fillId="12" borderId="0" xfId="0" applyFont="1" applyFill="1" applyAlignment="1">
      <alignment horizontal="right" vertical="center"/>
    </xf>
    <xf numFmtId="0" fontId="33" fillId="12" borderId="0" xfId="0" applyFont="1" applyFill="1" applyAlignment="1">
      <alignment horizontal="left" vertical="center"/>
    </xf>
    <xf numFmtId="0" fontId="33" fillId="0" borderId="0" xfId="0" applyFont="1" applyFill="1" applyAlignment="1">
      <alignment vertical="center"/>
    </xf>
    <xf numFmtId="0" fontId="42" fillId="0" borderId="0" xfId="0" applyFont="1" applyFill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33" fillId="0" borderId="3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3" fillId="0" borderId="0" xfId="0" applyFont="1" applyFill="1" applyBorder="1">
      <alignment vertical="center"/>
    </xf>
    <xf numFmtId="0" fontId="33" fillId="0" borderId="0" xfId="0" applyFont="1" applyFill="1" applyBorder="1" applyAlignment="1">
      <alignment vertical="center"/>
    </xf>
    <xf numFmtId="2" fontId="33" fillId="0" borderId="3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>
      <alignment vertical="center"/>
    </xf>
    <xf numFmtId="0" fontId="33" fillId="0" borderId="0" xfId="0" applyFont="1" applyAlignment="1" applyProtection="1">
      <alignment vertical="center"/>
      <protection locked="0"/>
    </xf>
    <xf numFmtId="0" fontId="33" fillId="12" borderId="0" xfId="0" applyFont="1" applyFill="1" applyAlignment="1" applyProtection="1">
      <alignment horizontal="left" vertical="center"/>
      <protection locked="0"/>
    </xf>
    <xf numFmtId="164" fontId="33" fillId="0" borderId="0" xfId="0" applyNumberFormat="1" applyFont="1" applyBorder="1" applyAlignment="1" applyProtection="1">
      <alignment horizontal="right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12" borderId="0" xfId="0" applyFont="1" applyFill="1" applyAlignment="1" applyProtection="1">
      <alignment vertical="center"/>
      <protection locked="0"/>
    </xf>
    <xf numFmtId="0" fontId="33" fillId="12" borderId="0" xfId="0" applyFont="1" applyFill="1" applyAlignment="1" applyProtection="1">
      <alignment vertical="center"/>
      <protection locked="0"/>
    </xf>
    <xf numFmtId="166" fontId="33" fillId="0" borderId="0" xfId="0" applyNumberFormat="1" applyFont="1" applyBorder="1" applyAlignment="1">
      <alignment vertical="center"/>
    </xf>
    <xf numFmtId="9" fontId="33" fillId="0" borderId="0" xfId="0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vertical="center"/>
      <protection locked="0"/>
    </xf>
    <xf numFmtId="0" fontId="40" fillId="0" borderId="0" xfId="0" applyFont="1" applyFill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166" fontId="33" fillId="0" borderId="0" xfId="0" applyNumberFormat="1" applyFont="1" applyBorder="1" applyAlignment="1">
      <alignment horizontal="center" vertical="center"/>
    </xf>
    <xf numFmtId="2" fontId="33" fillId="0" borderId="0" xfId="0" applyNumberFormat="1" applyFont="1" applyBorder="1" applyAlignment="1">
      <alignment horizontal="center" vertical="center"/>
    </xf>
    <xf numFmtId="9" fontId="33" fillId="0" borderId="0" xfId="0" applyNumberFormat="1" applyFont="1" applyBorder="1" applyAlignment="1">
      <alignment horizontal="center" vertical="center"/>
    </xf>
    <xf numFmtId="0" fontId="46" fillId="0" borderId="0" xfId="0" applyFont="1">
      <alignment vertical="center"/>
    </xf>
    <xf numFmtId="164" fontId="40" fillId="0" borderId="0" xfId="0" applyNumberFormat="1" applyFont="1" applyFill="1" applyAlignment="1">
      <alignment vertical="center"/>
    </xf>
    <xf numFmtId="0" fontId="40" fillId="0" borderId="0" xfId="0" applyFont="1" applyFill="1" applyAlignment="1">
      <alignment vertical="center"/>
    </xf>
    <xf numFmtId="167" fontId="33" fillId="0" borderId="0" xfId="0" applyNumberFormat="1" applyFont="1" applyBorder="1" applyAlignment="1">
      <alignment vertical="center"/>
    </xf>
    <xf numFmtId="9" fontId="33" fillId="0" borderId="0" xfId="0" applyNumberFormat="1" applyFont="1" applyAlignment="1">
      <alignment vertical="center"/>
    </xf>
    <xf numFmtId="0" fontId="39" fillId="0" borderId="38" xfId="0" applyFont="1" applyBorder="1" applyAlignment="1" applyProtection="1">
      <alignment vertical="center"/>
      <protection locked="0"/>
    </xf>
    <xf numFmtId="0" fontId="39" fillId="0" borderId="30" xfId="0" applyFont="1" applyBorder="1" applyAlignment="1" applyProtection="1">
      <alignment vertical="center"/>
      <protection locked="0"/>
    </xf>
    <xf numFmtId="0" fontId="39" fillId="0" borderId="47" xfId="0" applyFont="1" applyBorder="1" applyAlignment="1" applyProtection="1">
      <alignment vertical="center"/>
      <protection locked="0"/>
    </xf>
    <xf numFmtId="0" fontId="47" fillId="0" borderId="0" xfId="0" applyFont="1" applyFill="1" applyBorder="1" applyAlignment="1" applyProtection="1">
      <alignment vertical="center"/>
      <protection locked="0"/>
    </xf>
    <xf numFmtId="167" fontId="47" fillId="0" borderId="0" xfId="0" applyNumberFormat="1" applyFont="1" applyFill="1" applyBorder="1" applyAlignment="1" applyProtection="1">
      <alignment vertical="center"/>
      <protection locked="0"/>
    </xf>
    <xf numFmtId="167" fontId="47" fillId="0" borderId="0" xfId="0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 applyProtection="1">
      <alignment vertical="center"/>
      <protection locked="0"/>
    </xf>
    <xf numFmtId="0" fontId="22" fillId="0" borderId="0" xfId="0" applyFont="1" applyFill="1" applyAlignment="1" applyProtection="1">
      <alignment vertical="center"/>
      <protection locked="0"/>
    </xf>
    <xf numFmtId="0" fontId="39" fillId="0" borderId="0" xfId="0" applyFont="1" applyFill="1" applyAlignment="1">
      <alignment vertical="center"/>
    </xf>
    <xf numFmtId="0" fontId="22" fillId="0" borderId="0" xfId="0" applyFont="1" applyFill="1" applyBorder="1" applyAlignment="1" applyProtection="1">
      <alignment horizontal="left" vertical="center"/>
      <protection locked="0"/>
    </xf>
    <xf numFmtId="0" fontId="26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30" fillId="0" borderId="0" xfId="0" applyFont="1" applyBorder="1">
      <alignment vertical="center"/>
    </xf>
    <xf numFmtId="0" fontId="48" fillId="13" borderId="0" xfId="0" applyFont="1" applyFill="1" applyBorder="1">
      <alignment vertical="center"/>
    </xf>
    <xf numFmtId="0" fontId="30" fillId="12" borderId="0" xfId="0" applyFont="1" applyFill="1" applyBorder="1">
      <alignment vertical="center"/>
    </xf>
    <xf numFmtId="0" fontId="16" fillId="0" borderId="0" xfId="0" applyFont="1" applyBorder="1">
      <alignment vertical="center"/>
    </xf>
    <xf numFmtId="0" fontId="16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0" fontId="37" fillId="0" borderId="0" xfId="0" applyFont="1">
      <alignment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0" xfId="0" applyFont="1" applyBorder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2" fontId="37" fillId="0" borderId="3" xfId="0" applyNumberFormat="1" applyFont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 vertical="center"/>
    </xf>
    <xf numFmtId="164" fontId="16" fillId="0" borderId="0" xfId="0" applyNumberFormat="1" applyFont="1">
      <alignment vertical="center"/>
    </xf>
    <xf numFmtId="0" fontId="51" fillId="5" borderId="0" xfId="0" applyFont="1" applyFill="1">
      <alignment vertical="center"/>
    </xf>
    <xf numFmtId="0" fontId="51" fillId="5" borderId="0" xfId="0" applyFont="1" applyFill="1" applyBorder="1" applyAlignment="1">
      <alignment horizontal="center" vertical="center"/>
    </xf>
    <xf numFmtId="0" fontId="51" fillId="5" borderId="0" xfId="0" applyFont="1" applyFill="1" applyBorder="1">
      <alignment vertical="center"/>
    </xf>
    <xf numFmtId="0" fontId="51" fillId="5" borderId="0" xfId="0" applyFont="1" applyFill="1" applyAlignment="1">
      <alignment horizontal="center" vertical="center"/>
    </xf>
    <xf numFmtId="0" fontId="51" fillId="5" borderId="3" xfId="0" applyFont="1" applyFill="1" applyBorder="1" applyAlignment="1">
      <alignment horizontal="center" vertical="center"/>
    </xf>
    <xf numFmtId="0" fontId="51" fillId="5" borderId="29" xfId="0" applyFont="1" applyFill="1" applyBorder="1">
      <alignment vertical="center"/>
    </xf>
    <xf numFmtId="0" fontId="51" fillId="5" borderId="30" xfId="0" applyFont="1" applyFill="1" applyBorder="1">
      <alignment vertical="center"/>
    </xf>
    <xf numFmtId="0" fontId="51" fillId="5" borderId="41" xfId="0" applyFont="1" applyFill="1" applyBorder="1">
      <alignment vertical="center"/>
    </xf>
    <xf numFmtId="0" fontId="52" fillId="5" borderId="47" xfId="0" applyFont="1" applyFill="1" applyBorder="1" applyAlignment="1">
      <alignment horizontal="center" vertical="center"/>
    </xf>
    <xf numFmtId="0" fontId="51" fillId="5" borderId="29" xfId="0" applyFont="1" applyFill="1" applyBorder="1" applyAlignment="1">
      <alignment horizontal="left" vertical="center"/>
    </xf>
    <xf numFmtId="0" fontId="51" fillId="5" borderId="30" xfId="0" applyFont="1" applyFill="1" applyBorder="1" applyAlignment="1">
      <alignment horizontal="left" vertical="center"/>
    </xf>
    <xf numFmtId="0" fontId="51" fillId="5" borderId="41" xfId="0" applyFont="1" applyFill="1" applyBorder="1" applyAlignment="1">
      <alignment horizontal="left" vertical="center"/>
    </xf>
    <xf numFmtId="0" fontId="52" fillId="5" borderId="70" xfId="0" applyFont="1" applyFill="1" applyBorder="1" applyAlignment="1">
      <alignment horizontal="center" vertical="center"/>
    </xf>
    <xf numFmtId="0" fontId="51" fillId="5" borderId="25" xfId="0" applyFont="1" applyFill="1" applyBorder="1" applyAlignment="1">
      <alignment horizontal="center" vertical="center"/>
    </xf>
    <xf numFmtId="0" fontId="16" fillId="5" borderId="0" xfId="0" applyFont="1" applyFill="1">
      <alignment vertical="center"/>
    </xf>
    <xf numFmtId="164" fontId="16" fillId="5" borderId="0" xfId="0" applyNumberFormat="1" applyFont="1" applyFill="1">
      <alignment vertical="center"/>
    </xf>
    <xf numFmtId="0" fontId="30" fillId="0" borderId="0" xfId="0" applyFont="1" applyBorder="1" applyAlignment="1">
      <alignment horizontal="center" vertical="center"/>
    </xf>
    <xf numFmtId="2" fontId="16" fillId="0" borderId="0" xfId="0" applyNumberFormat="1" applyFont="1" applyBorder="1" applyAlignment="1">
      <alignment horizontal="center" vertical="center"/>
    </xf>
    <xf numFmtId="2" fontId="16" fillId="12" borderId="0" xfId="0" applyNumberFormat="1" applyFont="1" applyFill="1" applyBorder="1" applyAlignment="1">
      <alignment horizontal="center" vertical="center"/>
    </xf>
    <xf numFmtId="0" fontId="16" fillId="12" borderId="0" xfId="0" applyFont="1" applyFill="1" applyBorder="1" applyAlignment="1">
      <alignment horizontal="center" vertical="center"/>
    </xf>
    <xf numFmtId="2" fontId="30" fillId="12" borderId="0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" fontId="37" fillId="0" borderId="3" xfId="0" applyNumberFormat="1" applyFont="1" applyBorder="1" applyAlignment="1">
      <alignment horizontal="center" vertical="center"/>
    </xf>
    <xf numFmtId="169" fontId="37" fillId="0" borderId="3" xfId="0" applyNumberFormat="1" applyFont="1" applyBorder="1" applyAlignment="1">
      <alignment horizontal="center" vertical="center"/>
    </xf>
    <xf numFmtId="169" fontId="37" fillId="0" borderId="3" xfId="0" applyNumberFormat="1" applyFont="1" applyFill="1" applyBorder="1" applyAlignment="1">
      <alignment horizontal="center" vertical="center"/>
    </xf>
    <xf numFmtId="167" fontId="37" fillId="0" borderId="3" xfId="0" applyNumberFormat="1" applyFont="1" applyBorder="1">
      <alignment vertical="center"/>
    </xf>
    <xf numFmtId="169" fontId="37" fillId="0" borderId="3" xfId="0" applyNumberFormat="1" applyFont="1" applyBorder="1">
      <alignment vertical="center"/>
    </xf>
    <xf numFmtId="2" fontId="37" fillId="0" borderId="3" xfId="0" applyNumberFormat="1" applyFont="1" applyBorder="1">
      <alignment vertical="center"/>
    </xf>
    <xf numFmtId="1" fontId="8" fillId="0" borderId="3" xfId="0" applyNumberFormat="1" applyFont="1" applyFill="1" applyBorder="1" applyAlignment="1">
      <alignment horizontal="right"/>
    </xf>
    <xf numFmtId="2" fontId="19" fillId="0" borderId="3" xfId="0" applyNumberFormat="1" applyFont="1" applyBorder="1">
      <alignment vertical="center"/>
    </xf>
    <xf numFmtId="2" fontId="54" fillId="2" borderId="3" xfId="0" applyNumberFormat="1" applyFont="1" applyFill="1" applyBorder="1">
      <alignment vertical="center"/>
    </xf>
    <xf numFmtId="0" fontId="53" fillId="5" borderId="0" xfId="0" applyFont="1" applyFill="1">
      <alignment vertical="center"/>
    </xf>
    <xf numFmtId="1" fontId="51" fillId="5" borderId="3" xfId="0" applyNumberFormat="1" applyFont="1" applyFill="1" applyBorder="1" applyAlignment="1">
      <alignment horizontal="center" vertical="center"/>
    </xf>
    <xf numFmtId="169" fontId="51" fillId="0" borderId="3" xfId="0" applyNumberFormat="1" applyFont="1" applyBorder="1" applyAlignment="1">
      <alignment horizontal="center" vertical="center"/>
    </xf>
    <xf numFmtId="169" fontId="51" fillId="0" borderId="23" xfId="0" applyNumberFormat="1" applyFont="1" applyFill="1" applyBorder="1" applyAlignment="1">
      <alignment horizontal="center" vertical="center"/>
    </xf>
    <xf numFmtId="0" fontId="52" fillId="5" borderId="3" xfId="0" applyFont="1" applyFill="1" applyBorder="1" applyAlignment="1">
      <alignment horizontal="center" vertical="center"/>
    </xf>
    <xf numFmtId="0" fontId="52" fillId="5" borderId="25" xfId="0" applyFont="1" applyFill="1" applyBorder="1" applyAlignment="1">
      <alignment horizontal="center" vertical="center"/>
    </xf>
    <xf numFmtId="167" fontId="51" fillId="0" borderId="12" xfId="0" applyNumberFormat="1" applyFont="1" applyBorder="1">
      <alignment vertical="center"/>
    </xf>
    <xf numFmtId="167" fontId="51" fillId="0" borderId="14" xfId="0" applyNumberFormat="1" applyFont="1" applyBorder="1">
      <alignment vertical="center"/>
    </xf>
    <xf numFmtId="0" fontId="51" fillId="5" borderId="18" xfId="0" applyFont="1" applyFill="1" applyBorder="1">
      <alignment vertical="center"/>
    </xf>
    <xf numFmtId="167" fontId="51" fillId="0" borderId="23" xfId="0" applyNumberFormat="1" applyFont="1" applyBorder="1">
      <alignment vertical="center"/>
    </xf>
    <xf numFmtId="2" fontId="51" fillId="5" borderId="18" xfId="0" applyNumberFormat="1" applyFont="1" applyFill="1" applyBorder="1">
      <alignment vertical="center"/>
    </xf>
    <xf numFmtId="1" fontId="55" fillId="0" borderId="23" xfId="0" applyNumberFormat="1" applyFont="1" applyFill="1" applyBorder="1" applyAlignment="1">
      <alignment horizontal="right"/>
    </xf>
    <xf numFmtId="2" fontId="53" fillId="5" borderId="24" xfId="0" applyNumberFormat="1" applyFont="1" applyFill="1" applyBorder="1">
      <alignment vertical="center"/>
    </xf>
    <xf numFmtId="2" fontId="53" fillId="2" borderId="26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30" fillId="0" borderId="0" xfId="0" applyFont="1" applyFill="1" applyBorder="1" applyAlignment="1">
      <alignment horizontal="center" vertical="center"/>
    </xf>
    <xf numFmtId="2" fontId="16" fillId="0" borderId="0" xfId="0" applyNumberFormat="1" applyFont="1" applyBorder="1">
      <alignment vertical="center"/>
    </xf>
    <xf numFmtId="2" fontId="30" fillId="0" borderId="0" xfId="0" applyNumberFormat="1" applyFont="1" applyFill="1" applyBorder="1" applyAlignment="1">
      <alignment horizontal="center" vertical="center"/>
    </xf>
    <xf numFmtId="2" fontId="16" fillId="12" borderId="0" xfId="0" applyNumberFormat="1" applyFont="1" applyFill="1" applyBorder="1">
      <alignment vertical="center"/>
    </xf>
    <xf numFmtId="0" fontId="30" fillId="12" borderId="0" xfId="0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vertical="center"/>
    </xf>
    <xf numFmtId="0" fontId="16" fillId="12" borderId="0" xfId="0" applyFont="1" applyFill="1" applyBorder="1">
      <alignment vertical="center"/>
    </xf>
    <xf numFmtId="165" fontId="30" fillId="0" borderId="0" xfId="0" applyNumberFormat="1" applyFont="1" applyBorder="1">
      <alignment vertical="center"/>
    </xf>
    <xf numFmtId="0" fontId="56" fillId="0" borderId="0" xfId="0" applyFont="1">
      <alignment vertical="center"/>
    </xf>
    <xf numFmtId="0" fontId="16" fillId="12" borderId="0" xfId="0" applyFont="1" applyFill="1">
      <alignment vertical="center"/>
    </xf>
    <xf numFmtId="0" fontId="2" fillId="12" borderId="0" xfId="0" applyFont="1" applyFill="1" applyAlignment="1">
      <alignment horizontal="center" vertical="center"/>
    </xf>
    <xf numFmtId="2" fontId="33" fillId="0" borderId="3" xfId="0" applyNumberFormat="1" applyFont="1" applyBorder="1" applyAlignment="1">
      <alignment horizontal="center" vertical="center"/>
    </xf>
    <xf numFmtId="0" fontId="25" fillId="0" borderId="38" xfId="0" applyFont="1" applyFill="1" applyBorder="1" applyAlignment="1" applyProtection="1">
      <alignment horizontal="left" vertical="center"/>
      <protection locked="0"/>
    </xf>
    <xf numFmtId="0" fontId="33" fillId="0" borderId="46" xfId="0" applyFont="1" applyFill="1" applyBorder="1">
      <alignment vertical="center"/>
    </xf>
    <xf numFmtId="0" fontId="33" fillId="0" borderId="51" xfId="0" applyFont="1" applyFill="1" applyBorder="1" applyAlignment="1">
      <alignment vertical="center"/>
    </xf>
    <xf numFmtId="0" fontId="33" fillId="0" borderId="52" xfId="0" applyFont="1" applyFill="1" applyBorder="1" applyAlignment="1">
      <alignment vertical="center"/>
    </xf>
    <xf numFmtId="0" fontId="33" fillId="0" borderId="57" xfId="0" applyFont="1" applyFill="1" applyBorder="1" applyAlignment="1">
      <alignment vertical="center"/>
    </xf>
    <xf numFmtId="0" fontId="33" fillId="0" borderId="58" xfId="0" applyFont="1" applyFill="1" applyBorder="1" applyAlignment="1">
      <alignment vertical="center"/>
    </xf>
    <xf numFmtId="0" fontId="33" fillId="0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33" fillId="0" borderId="25" xfId="0" applyFont="1" applyBorder="1" applyAlignment="1">
      <alignment horizontal="center" vertical="center"/>
    </xf>
    <xf numFmtId="0" fontId="57" fillId="0" borderId="0" xfId="0" applyFont="1" applyFill="1" applyBorder="1" applyAlignment="1">
      <alignment vertical="center"/>
    </xf>
    <xf numFmtId="0" fontId="33" fillId="0" borderId="0" xfId="0" applyNumberFormat="1" applyFont="1" applyBorder="1" applyAlignment="1">
      <alignment horizontal="left" vertical="center"/>
    </xf>
    <xf numFmtId="0" fontId="44" fillId="12" borderId="0" xfId="0" applyFont="1" applyFill="1" applyBorder="1" applyAlignment="1" applyProtection="1">
      <alignment horizontal="center" vertical="center"/>
      <protection locked="0"/>
    </xf>
    <xf numFmtId="0" fontId="33" fillId="0" borderId="0" xfId="0" applyFont="1" applyAlignment="1"/>
    <xf numFmtId="0" fontId="33" fillId="12" borderId="0" xfId="0" applyFont="1" applyFill="1" applyAlignment="1"/>
    <xf numFmtId="0" fontId="33" fillId="12" borderId="0" xfId="0" applyFont="1" applyFill="1" applyAlignment="1">
      <alignment horizontal="right"/>
    </xf>
    <xf numFmtId="0" fontId="33" fillId="0" borderId="52" xfId="0" applyFont="1" applyBorder="1" applyAlignment="1"/>
    <xf numFmtId="0" fontId="33" fillId="12" borderId="52" xfId="0" applyFont="1" applyFill="1" applyBorder="1" applyAlignment="1"/>
    <xf numFmtId="0" fontId="33" fillId="12" borderId="52" xfId="0" applyFont="1" applyFill="1" applyBorder="1" applyAlignment="1">
      <alignment horizontal="right"/>
    </xf>
    <xf numFmtId="0" fontId="33" fillId="12" borderId="0" xfId="0" applyFont="1" applyFill="1">
      <alignment vertical="center"/>
    </xf>
    <xf numFmtId="0" fontId="33" fillId="0" borderId="55" xfId="0" applyFont="1" applyBorder="1" applyAlignment="1"/>
    <xf numFmtId="0" fontId="33" fillId="12" borderId="55" xfId="0" applyFont="1" applyFill="1" applyBorder="1" applyAlignment="1"/>
    <xf numFmtId="0" fontId="33" fillId="12" borderId="55" xfId="0" applyFont="1" applyFill="1" applyBorder="1" applyAlignment="1">
      <alignment horizontal="right"/>
    </xf>
    <xf numFmtId="0" fontId="33" fillId="12" borderId="55" xfId="0" applyFont="1" applyFill="1" applyBorder="1">
      <alignment vertical="center"/>
    </xf>
    <xf numFmtId="0" fontId="33" fillId="12" borderId="55" xfId="0" applyFont="1" applyFill="1" applyBorder="1" applyAlignment="1">
      <alignment horizontal="right" vertical="center"/>
    </xf>
    <xf numFmtId="0" fontId="2" fillId="12" borderId="0" xfId="0" applyFont="1" applyFill="1" applyAlignment="1"/>
    <xf numFmtId="0" fontId="33" fillId="0" borderId="0" xfId="0" applyFont="1" applyAlignment="1">
      <alignment horizontal="right"/>
    </xf>
    <xf numFmtId="0" fontId="33" fillId="0" borderId="75" xfId="0" applyFont="1" applyBorder="1" applyAlignment="1">
      <alignment horizontal="center"/>
    </xf>
    <xf numFmtId="0" fontId="33" fillId="12" borderId="76" xfId="0" applyFont="1" applyFill="1" applyBorder="1" applyAlignment="1">
      <alignment horizontal="center"/>
    </xf>
    <xf numFmtId="0" fontId="33" fillId="12" borderId="0" xfId="0" applyFont="1" applyFill="1" applyBorder="1" applyAlignment="1"/>
    <xf numFmtId="0" fontId="33" fillId="12" borderId="43" xfId="0" applyNumberFormat="1" applyFont="1" applyFill="1" applyBorder="1" applyAlignment="1"/>
    <xf numFmtId="0" fontId="33" fillId="0" borderId="14" xfId="0" applyFont="1" applyBorder="1" applyAlignment="1"/>
    <xf numFmtId="0" fontId="33" fillId="12" borderId="0" xfId="0" applyFont="1" applyFill="1" applyAlignment="1">
      <alignment horizontal="left"/>
    </xf>
    <xf numFmtId="0" fontId="33" fillId="12" borderId="24" xfId="0" applyFont="1" applyFill="1" applyBorder="1" applyAlignment="1">
      <alignment horizontal="left"/>
    </xf>
    <xf numFmtId="0" fontId="33" fillId="0" borderId="26" xfId="0" applyFont="1" applyBorder="1" applyAlignment="1"/>
    <xf numFmtId="0" fontId="2" fillId="0" borderId="0" xfId="0" applyFont="1" applyAlignment="1"/>
    <xf numFmtId="0" fontId="41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3" fillId="0" borderId="0" xfId="0" applyFont="1" applyFill="1" applyAlignment="1"/>
    <xf numFmtId="0" fontId="33" fillId="0" borderId="53" xfId="0" applyFont="1" applyBorder="1" applyAlignment="1">
      <alignment horizontal="center"/>
    </xf>
    <xf numFmtId="0" fontId="33" fillId="0" borderId="54" xfId="0" applyFont="1" applyFill="1" applyBorder="1">
      <alignment vertical="center"/>
    </xf>
    <xf numFmtId="0" fontId="33" fillId="0" borderId="55" xfId="0" applyFont="1" applyFill="1" applyBorder="1" applyAlignment="1"/>
    <xf numFmtId="0" fontId="33" fillId="0" borderId="55" xfId="0" applyFont="1" applyBorder="1" applyAlignment="1">
      <alignment horizontal="center"/>
    </xf>
    <xf numFmtId="0" fontId="33" fillId="0" borderId="61" xfId="0" applyFont="1" applyBorder="1" applyAlignment="1"/>
    <xf numFmtId="0" fontId="33" fillId="0" borderId="54" xfId="0" applyFont="1" applyBorder="1" applyAlignment="1"/>
    <xf numFmtId="0" fontId="33" fillId="0" borderId="56" xfId="0" applyFont="1" applyBorder="1" applyAlignment="1">
      <alignment horizontal="center"/>
    </xf>
    <xf numFmtId="0" fontId="33" fillId="0" borderId="57" xfId="0" applyFont="1" applyFill="1" applyBorder="1">
      <alignment vertical="center"/>
    </xf>
    <xf numFmtId="0" fontId="33" fillId="0" borderId="58" xfId="0" applyFont="1" applyFill="1" applyBorder="1" applyAlignment="1"/>
    <xf numFmtId="0" fontId="33" fillId="0" borderId="58" xfId="0" applyFont="1" applyBorder="1" applyAlignment="1">
      <alignment horizontal="center"/>
    </xf>
    <xf numFmtId="0" fontId="33" fillId="0" borderId="62" xfId="0" applyFont="1" applyBorder="1" applyAlignment="1"/>
    <xf numFmtId="0" fontId="33" fillId="0" borderId="57" xfId="0" applyFont="1" applyBorder="1" applyAlignment="1"/>
    <xf numFmtId="0" fontId="33" fillId="0" borderId="50" xfId="0" applyFont="1" applyBorder="1" applyAlignment="1">
      <alignment horizontal="center"/>
    </xf>
    <xf numFmtId="0" fontId="33" fillId="0" borderId="51" xfId="0" applyFont="1" applyFill="1" applyBorder="1">
      <alignment vertical="center"/>
    </xf>
    <xf numFmtId="0" fontId="33" fillId="0" borderId="52" xfId="0" applyFont="1" applyFill="1" applyBorder="1" applyAlignment="1"/>
    <xf numFmtId="0" fontId="33" fillId="0" borderId="52" xfId="0" applyFont="1" applyBorder="1" applyAlignment="1">
      <alignment horizontal="center"/>
    </xf>
    <xf numFmtId="0" fontId="33" fillId="0" borderId="60" xfId="0" applyFont="1" applyBorder="1" applyAlignment="1"/>
    <xf numFmtId="0" fontId="33" fillId="0" borderId="51" xfId="0" applyFont="1" applyBorder="1" applyAlignment="1"/>
    <xf numFmtId="1" fontId="33" fillId="0" borderId="56" xfId="0" applyNumberFormat="1" applyFont="1" applyBorder="1" applyAlignment="1">
      <alignment horizontal="center"/>
    </xf>
    <xf numFmtId="0" fontId="33" fillId="0" borderId="0" xfId="0" applyFont="1" applyBorder="1" applyAlignment="1"/>
    <xf numFmtId="0" fontId="33" fillId="0" borderId="13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3" fillId="0" borderId="75" xfId="0" applyFont="1" applyBorder="1" applyAlignment="1">
      <alignment horizontal="center" vertical="center" wrapText="1"/>
    </xf>
    <xf numFmtId="0" fontId="33" fillId="0" borderId="77" xfId="0" applyFont="1" applyBorder="1" applyAlignment="1">
      <alignment horizontal="center" vertical="center" wrapText="1"/>
    </xf>
    <xf numFmtId="167" fontId="33" fillId="0" borderId="0" xfId="0" applyNumberFormat="1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0" borderId="61" xfId="0" applyFont="1" applyBorder="1" applyAlignment="1">
      <alignment horizontal="center" vertical="center"/>
    </xf>
    <xf numFmtId="0" fontId="33" fillId="0" borderId="62" xfId="0" applyFont="1" applyBorder="1" applyAlignment="1">
      <alignment horizontal="center" vertical="center"/>
    </xf>
    <xf numFmtId="0" fontId="33" fillId="0" borderId="60" xfId="0" applyFont="1" applyBorder="1" applyAlignment="1">
      <alignment horizontal="center" vertical="center"/>
    </xf>
    <xf numFmtId="0" fontId="33" fillId="0" borderId="78" xfId="0" applyFont="1" applyBorder="1" applyAlignment="1">
      <alignment horizontal="center" vertical="center"/>
    </xf>
    <xf numFmtId="0" fontId="33" fillId="0" borderId="79" xfId="0" applyFont="1" applyBorder="1" applyAlignment="1"/>
    <xf numFmtId="164" fontId="33" fillId="0" borderId="0" xfId="0" applyNumberFormat="1" applyFont="1" applyBorder="1" applyAlignment="1">
      <alignment horizontal="right"/>
    </xf>
    <xf numFmtId="166" fontId="33" fillId="0" borderId="0" xfId="0" applyNumberFormat="1" applyFont="1" applyBorder="1" applyAlignment="1">
      <alignment horizontal="right"/>
    </xf>
    <xf numFmtId="166" fontId="33" fillId="0" borderId="0" xfId="0" applyNumberFormat="1" applyFont="1" applyBorder="1" applyAlignment="1"/>
    <xf numFmtId="0" fontId="2" fillId="0" borderId="0" xfId="0" applyFont="1" applyBorder="1" applyAlignment="1"/>
    <xf numFmtId="166" fontId="33" fillId="0" borderId="3" xfId="0" applyNumberFormat="1" applyFont="1" applyBorder="1" applyAlignment="1"/>
    <xf numFmtId="0" fontId="33" fillId="0" borderId="80" xfId="0" applyFont="1" applyBorder="1" applyAlignment="1"/>
    <xf numFmtId="166" fontId="33" fillId="0" borderId="0" xfId="0" applyNumberFormat="1" applyFont="1" applyBorder="1" applyAlignment="1">
      <alignment horizontal="left"/>
    </xf>
    <xf numFmtId="0" fontId="44" fillId="12" borderId="0" xfId="0" applyFont="1" applyFill="1" applyBorder="1" applyAlignment="1">
      <alignment horizontal="center"/>
    </xf>
    <xf numFmtId="167" fontId="51" fillId="0" borderId="3" xfId="0" applyNumberFormat="1" applyFont="1" applyFill="1" applyBorder="1" applyAlignment="1">
      <alignment horizontal="center" vertical="center"/>
    </xf>
    <xf numFmtId="167" fontId="37" fillId="0" borderId="3" xfId="0" applyNumberFormat="1" applyFont="1" applyFill="1" applyBorder="1" applyAlignment="1">
      <alignment horizontal="center" vertical="center"/>
    </xf>
    <xf numFmtId="167" fontId="37" fillId="0" borderId="3" xfId="0" applyNumberFormat="1" applyFont="1" applyBorder="1" applyAlignment="1">
      <alignment horizontal="center" vertical="center"/>
    </xf>
    <xf numFmtId="167" fontId="51" fillId="5" borderId="3" xfId="0" applyNumberFormat="1" applyFont="1" applyFill="1" applyBorder="1" applyAlignment="1">
      <alignment horizontal="center" vertical="center"/>
    </xf>
    <xf numFmtId="167" fontId="51" fillId="0" borderId="3" xfId="0" applyNumberFormat="1" applyFont="1" applyBorder="1" applyAlignment="1">
      <alignment horizontal="center" vertical="center"/>
    </xf>
    <xf numFmtId="167" fontId="67" fillId="6" borderId="33" xfId="0" applyNumberFormat="1" applyFont="1" applyFill="1" applyBorder="1" applyAlignment="1">
      <alignment horizontal="center" vertical="center"/>
    </xf>
    <xf numFmtId="167" fontId="51" fillId="11" borderId="3" xfId="0" applyNumberFormat="1" applyFont="1" applyFill="1" applyBorder="1" applyAlignment="1">
      <alignment horizontal="center" vertical="center"/>
    </xf>
    <xf numFmtId="167" fontId="51" fillId="5" borderId="25" xfId="0" applyNumberFormat="1" applyFont="1" applyFill="1" applyBorder="1" applyAlignment="1">
      <alignment horizontal="center" vertical="center"/>
    </xf>
    <xf numFmtId="0" fontId="33" fillId="0" borderId="3" xfId="0" applyFont="1" applyBorder="1" applyAlignment="1"/>
    <xf numFmtId="0" fontId="33" fillId="0" borderId="3" xfId="0" applyFont="1" applyBorder="1" applyAlignment="1">
      <alignment horizontal="center" vertical="center" wrapText="1"/>
    </xf>
    <xf numFmtId="2" fontId="33" fillId="0" borderId="0" xfId="0" applyNumberFormat="1" applyFont="1" applyFill="1" applyBorder="1" applyAlignment="1">
      <alignment horizontal="center" vertical="center"/>
    </xf>
    <xf numFmtId="164" fontId="33" fillId="0" borderId="3" xfId="0" applyNumberFormat="1" applyFont="1" applyBorder="1" applyAlignment="1">
      <alignment vertical="center"/>
    </xf>
    <xf numFmtId="164" fontId="33" fillId="0" borderId="3" xfId="0" applyNumberFormat="1" applyFont="1" applyBorder="1" applyAlignment="1"/>
    <xf numFmtId="181" fontId="37" fillId="0" borderId="3" xfId="0" applyNumberFormat="1" applyFont="1" applyFill="1" applyBorder="1" applyAlignment="1">
      <alignment horizontal="center" vertical="center"/>
    </xf>
    <xf numFmtId="179" fontId="37" fillId="0" borderId="3" xfId="0" applyNumberFormat="1" applyFont="1" applyBorder="1">
      <alignment vertical="center"/>
    </xf>
    <xf numFmtId="0" fontId="33" fillId="0" borderId="0" xfId="0" applyFont="1" applyBorder="1" applyAlignment="1" applyProtection="1">
      <alignment horizontal="center" vertical="center"/>
      <protection locked="0"/>
    </xf>
    <xf numFmtId="166" fontId="33" fillId="0" borderId="0" xfId="0" applyNumberFormat="1" applyFont="1" applyBorder="1" applyAlignment="1" applyProtection="1">
      <alignment horizontal="left" vertical="center"/>
      <protection locked="0"/>
    </xf>
    <xf numFmtId="0" fontId="39" fillId="0" borderId="3" xfId="0" applyFont="1" applyBorder="1" applyAlignment="1" applyProtection="1">
      <alignment horizontal="center" vertical="center"/>
      <protection locked="0"/>
    </xf>
    <xf numFmtId="0" fontId="1" fillId="12" borderId="0" xfId="0" applyFont="1" applyFill="1" applyAlignment="1" applyProtection="1">
      <alignment vertical="center"/>
    </xf>
    <xf numFmtId="0" fontId="33" fillId="0" borderId="0" xfId="0" applyFont="1" applyAlignment="1" applyProtection="1">
      <alignment vertical="center"/>
    </xf>
    <xf numFmtId="0" fontId="45" fillId="12" borderId="0" xfId="0" applyFont="1" applyFill="1" applyAlignment="1" applyProtection="1">
      <alignment vertical="center"/>
    </xf>
    <xf numFmtId="0" fontId="39" fillId="0" borderId="0" xfId="0" applyFont="1" applyAlignment="1" applyProtection="1">
      <alignment vertical="center"/>
    </xf>
    <xf numFmtId="0" fontId="40" fillId="12" borderId="0" xfId="0" applyFont="1" applyFill="1" applyAlignment="1" applyProtection="1">
      <alignment horizontal="center" vertical="center"/>
    </xf>
    <xf numFmtId="0" fontId="22" fillId="0" borderId="0" xfId="0" applyFont="1" applyAlignment="1" applyProtection="1">
      <alignment vertical="center"/>
    </xf>
    <xf numFmtId="0" fontId="33" fillId="12" borderId="0" xfId="0" applyFont="1" applyFill="1" applyAlignment="1" applyProtection="1">
      <alignment vertical="center"/>
    </xf>
    <xf numFmtId="0" fontId="33" fillId="12" borderId="0" xfId="0" applyFont="1" applyFill="1" applyAlignment="1" applyProtection="1">
      <alignment horizontal="right" vertical="center"/>
    </xf>
    <xf numFmtId="0" fontId="33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vertical="center"/>
    </xf>
    <xf numFmtId="0" fontId="2" fillId="12" borderId="0" xfId="0" applyFont="1" applyFill="1" applyAlignment="1" applyProtection="1">
      <alignment vertical="center"/>
    </xf>
    <xf numFmtId="0" fontId="33" fillId="0" borderId="0" xfId="0" applyFont="1" applyBorder="1" applyAlignment="1" applyProtection="1">
      <alignment horizontal="center" vertical="center"/>
    </xf>
    <xf numFmtId="0" fontId="33" fillId="12" borderId="0" xfId="0" applyFont="1" applyFill="1" applyBorder="1" applyAlignment="1" applyProtection="1">
      <alignment horizontal="center" vertical="center"/>
    </xf>
    <xf numFmtId="0" fontId="33" fillId="12" borderId="0" xfId="0" applyFont="1" applyFill="1" applyAlignment="1" applyProtection="1">
      <alignment horizontal="left" vertical="center"/>
    </xf>
    <xf numFmtId="0" fontId="33" fillId="12" borderId="0" xfId="0" applyNumberFormat="1" applyFont="1" applyFill="1" applyBorder="1" applyAlignment="1" applyProtection="1">
      <alignment horizontal="right" vertical="center"/>
    </xf>
    <xf numFmtId="173" fontId="33" fillId="6" borderId="0" xfId="0" applyNumberFormat="1" applyFont="1" applyFill="1" applyAlignment="1" applyProtection="1">
      <alignment horizontal="left" vertical="center"/>
    </xf>
    <xf numFmtId="175" fontId="33" fillId="6" borderId="0" xfId="0" applyNumberFormat="1" applyFont="1" applyFill="1" applyAlignment="1" applyProtection="1">
      <alignment horizontal="left" vertical="center"/>
    </xf>
    <xf numFmtId="0" fontId="41" fillId="6" borderId="0" xfId="0" applyFont="1" applyFill="1" applyAlignment="1" applyProtection="1">
      <alignment vertical="center"/>
    </xf>
    <xf numFmtId="0" fontId="33" fillId="6" borderId="0" xfId="0" applyFont="1" applyFill="1" applyBorder="1" applyAlignment="1" applyProtection="1">
      <alignment horizontal="center" vertical="center"/>
    </xf>
    <xf numFmtId="0" fontId="33" fillId="6" borderId="0" xfId="0" applyFont="1" applyFill="1" applyAlignment="1" applyProtection="1">
      <alignment vertical="center"/>
    </xf>
    <xf numFmtId="0" fontId="33" fillId="12" borderId="0" xfId="0" applyFont="1" applyFill="1" applyBorder="1" applyAlignment="1" applyProtection="1">
      <alignment horizontal="right" vertical="center"/>
    </xf>
    <xf numFmtId="168" fontId="33" fillId="6" borderId="0" xfId="0" applyNumberFormat="1" applyFont="1" applyFill="1" applyAlignment="1" applyProtection="1">
      <alignment horizontal="left" vertical="center"/>
    </xf>
    <xf numFmtId="0" fontId="41" fillId="0" borderId="0" xfId="0" applyFont="1" applyAlignment="1" applyProtection="1">
      <alignment horizontal="left" vertical="center"/>
    </xf>
    <xf numFmtId="0" fontId="33" fillId="0" borderId="0" xfId="0" applyFont="1" applyFill="1" applyAlignment="1" applyProtection="1">
      <alignment horizontal="left" vertical="center"/>
    </xf>
    <xf numFmtId="0" fontId="33" fillId="0" borderId="0" xfId="0" applyFont="1" applyFill="1" applyAlignment="1" applyProtection="1">
      <alignment horizontal="right" vertical="center"/>
    </xf>
    <xf numFmtId="0" fontId="33" fillId="0" borderId="0" xfId="0" applyFont="1" applyFill="1" applyAlignment="1" applyProtection="1">
      <alignment vertical="center"/>
    </xf>
    <xf numFmtId="0" fontId="42" fillId="0" borderId="0" xfId="0" applyFont="1" applyFill="1" applyAlignment="1" applyProtection="1">
      <alignment vertical="center" wrapText="1"/>
    </xf>
    <xf numFmtId="0" fontId="42" fillId="0" borderId="0" xfId="0" applyFont="1" applyFill="1" applyAlignment="1" applyProtection="1">
      <alignment horizontal="center" vertical="center" wrapText="1"/>
    </xf>
    <xf numFmtId="0" fontId="33" fillId="0" borderId="38" xfId="0" applyFont="1" applyBorder="1" applyAlignment="1" applyProtection="1">
      <alignment vertical="center"/>
    </xf>
    <xf numFmtId="9" fontId="33" fillId="0" borderId="3" xfId="0" applyNumberFormat="1" applyFont="1" applyBorder="1" applyAlignment="1" applyProtection="1">
      <alignment vertical="center"/>
    </xf>
    <xf numFmtId="0" fontId="2" fillId="0" borderId="3" xfId="0" applyFont="1" applyBorder="1" applyAlignment="1" applyProtection="1">
      <alignment horizontal="center" vertical="center" wrapText="1"/>
    </xf>
    <xf numFmtId="0" fontId="33" fillId="0" borderId="3" xfId="0" applyFont="1" applyBorder="1" applyAlignment="1" applyProtection="1">
      <alignment horizontal="center" vertical="center"/>
    </xf>
    <xf numFmtId="0" fontId="25" fillId="0" borderId="64" xfId="0" applyFont="1" applyFill="1" applyBorder="1" applyAlignment="1" applyProtection="1">
      <alignment horizontal="left" vertical="center"/>
    </xf>
    <xf numFmtId="0" fontId="33" fillId="0" borderId="30" xfId="0" applyFont="1" applyBorder="1" applyAlignment="1" applyProtection="1">
      <alignment vertical="center"/>
    </xf>
    <xf numFmtId="0" fontId="33" fillId="0" borderId="30" xfId="0" applyFont="1" applyFill="1" applyBorder="1" applyAlignment="1" applyProtection="1">
      <alignment vertical="center"/>
    </xf>
    <xf numFmtId="0" fontId="33" fillId="0" borderId="47" xfId="0" applyFont="1" applyFill="1" applyBorder="1" applyAlignment="1" applyProtection="1">
      <alignment vertical="center"/>
    </xf>
    <xf numFmtId="0" fontId="25" fillId="3" borderId="46" xfId="0" applyFont="1" applyFill="1" applyBorder="1" applyAlignment="1" applyProtection="1">
      <alignment vertical="center"/>
    </xf>
    <xf numFmtId="0" fontId="33" fillId="0" borderId="48" xfId="0" applyFont="1" applyBorder="1" applyAlignment="1" applyProtection="1">
      <alignment vertical="center"/>
    </xf>
    <xf numFmtId="0" fontId="33" fillId="0" borderId="48" xfId="0" applyFont="1" applyFill="1" applyBorder="1" applyAlignment="1" applyProtection="1">
      <alignment vertical="center"/>
    </xf>
    <xf numFmtId="0" fontId="33" fillId="0" borderId="65" xfId="0" applyFont="1" applyFill="1" applyBorder="1" applyAlignment="1" applyProtection="1">
      <alignment vertical="center"/>
    </xf>
    <xf numFmtId="0" fontId="33" fillId="0" borderId="0" xfId="0" applyFont="1" applyBorder="1" applyAlignment="1" applyProtection="1">
      <alignment vertical="center"/>
    </xf>
    <xf numFmtId="0" fontId="33" fillId="0" borderId="0" xfId="0" applyFont="1" applyFill="1" applyBorder="1" applyProtection="1">
      <alignment vertical="center"/>
    </xf>
    <xf numFmtId="0" fontId="33" fillId="0" borderId="0" xfId="0" applyFont="1" applyFill="1" applyBorder="1" applyAlignment="1" applyProtection="1">
      <alignment vertical="center"/>
    </xf>
    <xf numFmtId="0" fontId="25" fillId="0" borderId="0" xfId="0" applyFont="1" applyBorder="1" applyAlignment="1" applyProtection="1">
      <alignment horizontal="center" vertical="center"/>
    </xf>
    <xf numFmtId="0" fontId="44" fillId="0" borderId="0" xfId="0" applyFont="1" applyBorder="1" applyAlignment="1" applyProtection="1">
      <alignment horizontal="center" vertical="center"/>
    </xf>
    <xf numFmtId="2" fontId="33" fillId="0" borderId="0" xfId="0" applyNumberFormat="1" applyFont="1" applyBorder="1" applyAlignment="1" applyProtection="1">
      <alignment horizontal="right" vertical="center"/>
    </xf>
    <xf numFmtId="164" fontId="33" fillId="0" borderId="0" xfId="0" applyNumberFormat="1" applyFont="1" applyBorder="1" applyAlignment="1" applyProtection="1">
      <alignment horizontal="right" vertical="center"/>
    </xf>
    <xf numFmtId="0" fontId="33" fillId="0" borderId="3" xfId="0" applyFont="1" applyBorder="1" applyAlignment="1" applyProtection="1">
      <alignment vertical="center"/>
    </xf>
    <xf numFmtId="0" fontId="33" fillId="0" borderId="66" xfId="0" applyFont="1" applyBorder="1" applyAlignment="1" applyProtection="1">
      <alignment vertical="center"/>
    </xf>
    <xf numFmtId="2" fontId="33" fillId="0" borderId="67" xfId="0" applyNumberFormat="1" applyFont="1" applyBorder="1" applyAlignment="1" applyProtection="1">
      <alignment vertical="center"/>
    </xf>
    <xf numFmtId="166" fontId="33" fillId="0" borderId="68" xfId="0" applyNumberFormat="1" applyFont="1" applyBorder="1" applyAlignment="1" applyProtection="1">
      <alignment vertical="center"/>
    </xf>
    <xf numFmtId="166" fontId="33" fillId="0" borderId="0" xfId="0" applyNumberFormat="1" applyFont="1" applyBorder="1" applyAlignment="1" applyProtection="1">
      <alignment horizontal="center" vertical="center"/>
    </xf>
    <xf numFmtId="0" fontId="33" fillId="0" borderId="3" xfId="0" applyFont="1" applyBorder="1" applyAlignment="1" applyProtection="1">
      <alignment horizontal="right" vertical="center"/>
    </xf>
    <xf numFmtId="176" fontId="33" fillId="0" borderId="3" xfId="0" applyNumberFormat="1" applyFont="1" applyBorder="1" applyAlignment="1" applyProtection="1">
      <alignment vertical="center"/>
    </xf>
    <xf numFmtId="0" fontId="33" fillId="0" borderId="53" xfId="0" applyFont="1" applyBorder="1" applyAlignment="1" applyProtection="1">
      <alignment vertical="center"/>
    </xf>
    <xf numFmtId="2" fontId="33" fillId="0" borderId="55" xfId="0" applyNumberFormat="1" applyFont="1" applyBorder="1" applyAlignment="1" applyProtection="1">
      <alignment vertical="center"/>
    </xf>
    <xf numFmtId="0" fontId="33" fillId="0" borderId="61" xfId="0" applyFont="1" applyBorder="1" applyAlignment="1" applyProtection="1">
      <alignment vertical="center"/>
    </xf>
    <xf numFmtId="2" fontId="33" fillId="0" borderId="0" xfId="0" applyNumberFormat="1" applyFont="1" applyBorder="1" applyAlignment="1" applyProtection="1">
      <alignment horizontal="center" vertical="center"/>
    </xf>
    <xf numFmtId="0" fontId="33" fillId="0" borderId="0" xfId="0" applyFont="1" applyBorder="1" applyAlignment="1" applyProtection="1">
      <alignment horizontal="left" vertical="center"/>
    </xf>
    <xf numFmtId="0" fontId="33" fillId="0" borderId="56" xfId="0" applyFont="1" applyBorder="1" applyAlignment="1" applyProtection="1">
      <alignment vertical="center"/>
    </xf>
    <xf numFmtId="2" fontId="33" fillId="0" borderId="58" xfId="0" applyNumberFormat="1" applyFont="1" applyBorder="1" applyAlignment="1" applyProtection="1">
      <alignment vertical="center"/>
    </xf>
    <xf numFmtId="0" fontId="33" fillId="0" borderId="62" xfId="0" applyFont="1" applyBorder="1" applyAlignment="1" applyProtection="1">
      <alignment vertical="center"/>
    </xf>
    <xf numFmtId="10" fontId="33" fillId="0" borderId="3" xfId="0" applyNumberFormat="1" applyFont="1" applyBorder="1" applyAlignment="1" applyProtection="1">
      <alignment vertical="center"/>
    </xf>
    <xf numFmtId="0" fontId="33" fillId="0" borderId="67" xfId="0" applyFont="1" applyBorder="1" applyAlignment="1" applyProtection="1">
      <alignment vertical="center"/>
    </xf>
    <xf numFmtId="0" fontId="33" fillId="0" borderId="68" xfId="0" applyFont="1" applyBorder="1" applyAlignment="1" applyProtection="1">
      <alignment vertical="center"/>
    </xf>
    <xf numFmtId="0" fontId="33" fillId="0" borderId="58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horizontal="center" vertical="center"/>
    </xf>
    <xf numFmtId="0" fontId="33" fillId="12" borderId="0" xfId="0" applyFont="1" applyFill="1" applyBorder="1" applyAlignment="1" applyProtection="1">
      <alignment horizontal="left" vertical="center"/>
    </xf>
    <xf numFmtId="171" fontId="33" fillId="0" borderId="3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vertical="center"/>
      <protection locked="0"/>
    </xf>
    <xf numFmtId="166" fontId="33" fillId="0" borderId="0" xfId="0" applyNumberFormat="1" applyFont="1" applyBorder="1" applyAlignment="1" applyProtection="1">
      <alignment vertical="center"/>
      <protection locked="0"/>
    </xf>
    <xf numFmtId="166" fontId="2" fillId="0" borderId="0" xfId="0" applyNumberFormat="1" applyFont="1" applyBorder="1" applyAlignment="1" applyProtection="1">
      <alignment vertical="center"/>
      <protection locked="0"/>
    </xf>
    <xf numFmtId="166" fontId="33" fillId="0" borderId="0" xfId="0" applyNumberFormat="1" applyFont="1" applyBorder="1" applyAlignment="1" applyProtection="1">
      <alignment horizontal="left" vertical="center" wrapText="1"/>
      <protection locked="0"/>
    </xf>
    <xf numFmtId="166" fontId="2" fillId="0" borderId="0" xfId="0" applyNumberFormat="1" applyFont="1" applyBorder="1" applyAlignment="1" applyProtection="1">
      <alignment horizontal="left" vertical="center"/>
      <protection locked="0"/>
    </xf>
    <xf numFmtId="166" fontId="33" fillId="0" borderId="0" xfId="0" applyNumberFormat="1" applyFont="1" applyBorder="1" applyAlignment="1" applyProtection="1">
      <alignment horizontal="right" vertical="center"/>
      <protection locked="0"/>
    </xf>
    <xf numFmtId="0" fontId="44" fillId="0" borderId="0" xfId="0" applyFont="1" applyBorder="1" applyAlignment="1" applyProtection="1">
      <alignment horizontal="center" vertical="center"/>
      <protection locked="0"/>
    </xf>
    <xf numFmtId="0" fontId="34" fillId="0" borderId="0" xfId="0" applyFont="1" applyAlignment="1" applyProtection="1">
      <alignment horizontal="left" vertical="center"/>
    </xf>
    <xf numFmtId="0" fontId="25" fillId="0" borderId="0" xfId="0" applyFont="1" applyProtection="1">
      <alignment vertical="center"/>
    </xf>
    <xf numFmtId="164" fontId="25" fillId="0" borderId="0" xfId="0" applyNumberFormat="1" applyFont="1" applyBorder="1" applyAlignment="1" applyProtection="1">
      <alignment horizontal="right" vertical="center"/>
    </xf>
    <xf numFmtId="0" fontId="25" fillId="0" borderId="0" xfId="0" applyFont="1" applyAlignment="1" applyProtection="1">
      <alignment horizontal="left" vertical="center"/>
    </xf>
    <xf numFmtId="0" fontId="25" fillId="12" borderId="0" xfId="0" applyFont="1" applyFill="1" applyProtection="1">
      <alignment vertical="center"/>
    </xf>
    <xf numFmtId="0" fontId="34" fillId="12" borderId="0" xfId="0" applyFont="1" applyFill="1" applyProtection="1">
      <alignment vertical="center"/>
    </xf>
    <xf numFmtId="0" fontId="25" fillId="12" borderId="0" xfId="0" applyFont="1" applyFill="1" applyAlignment="1" applyProtection="1">
      <alignment horizontal="center" vertical="center"/>
    </xf>
    <xf numFmtId="0" fontId="25" fillId="0" borderId="0" xfId="0" applyFont="1" applyFill="1" applyProtection="1">
      <alignment vertical="center"/>
    </xf>
    <xf numFmtId="0" fontId="25" fillId="12" borderId="0" xfId="0" applyFont="1" applyFill="1" applyAlignment="1" applyProtection="1">
      <alignment vertical="center"/>
    </xf>
    <xf numFmtId="0" fontId="25" fillId="12" borderId="0" xfId="0" applyFont="1" applyFill="1" applyAlignment="1" applyProtection="1">
      <alignment horizontal="right" vertical="center"/>
    </xf>
    <xf numFmtId="0" fontId="25" fillId="0" borderId="0" xfId="0" quotePrefix="1" applyFont="1" applyAlignment="1" applyProtection="1">
      <alignment horizontal="left" vertical="center"/>
    </xf>
    <xf numFmtId="0" fontId="34" fillId="0" borderId="0" xfId="0" applyFont="1" applyProtection="1">
      <alignment vertical="center"/>
    </xf>
    <xf numFmtId="0" fontId="34" fillId="0" borderId="0" xfId="0" applyFont="1" applyAlignment="1" applyProtection="1">
      <alignment horizontal="center" vertical="center"/>
    </xf>
    <xf numFmtId="0" fontId="25" fillId="12" borderId="0" xfId="0" applyFont="1" applyFill="1" applyBorder="1" applyAlignment="1" applyProtection="1">
      <alignment horizontal="center" vertical="center"/>
    </xf>
    <xf numFmtId="174" fontId="25" fillId="12" borderId="0" xfId="0" applyNumberFormat="1" applyFont="1" applyFill="1" applyBorder="1" applyAlignment="1" applyProtection="1">
      <alignment horizontal="left" vertical="center"/>
    </xf>
    <xf numFmtId="175" fontId="25" fillId="0" borderId="0" xfId="0" applyNumberFormat="1" applyFont="1" applyBorder="1" applyAlignment="1" applyProtection="1">
      <alignment horizontal="left" vertical="center"/>
    </xf>
    <xf numFmtId="0" fontId="35" fillId="12" borderId="0" xfId="0" applyFont="1" applyFill="1" applyProtection="1">
      <alignment vertical="center"/>
    </xf>
    <xf numFmtId="174" fontId="25" fillId="12" borderId="0" xfId="0" applyNumberFormat="1" applyFont="1" applyFill="1" applyBorder="1" applyAlignment="1" applyProtection="1">
      <alignment vertical="center"/>
    </xf>
    <xf numFmtId="168" fontId="25" fillId="0" borderId="0" xfId="0" applyNumberFormat="1" applyFont="1" applyBorder="1" applyAlignment="1" applyProtection="1">
      <alignment vertical="center"/>
    </xf>
    <xf numFmtId="177" fontId="25" fillId="12" borderId="0" xfId="0" applyNumberFormat="1" applyFont="1" applyFill="1" applyAlignment="1" applyProtection="1">
      <alignment vertical="center"/>
    </xf>
    <xf numFmtId="0" fontId="35" fillId="0" borderId="0" xfId="0" applyFont="1" applyAlignment="1" applyProtection="1">
      <alignment horizontal="left" vertical="center"/>
    </xf>
    <xf numFmtId="0" fontId="25" fillId="0" borderId="0" xfId="0" applyFont="1" applyAlignment="1" applyProtection="1">
      <alignment horizontal="right" vertical="center"/>
    </xf>
    <xf numFmtId="0" fontId="36" fillId="0" borderId="0" xfId="0" applyFont="1" applyFill="1" applyAlignment="1" applyProtection="1">
      <alignment vertical="center" wrapText="1"/>
    </xf>
    <xf numFmtId="0" fontId="25" fillId="0" borderId="0" xfId="0" applyFont="1" applyAlignment="1" applyProtection="1">
      <alignment horizontal="center" vertical="center"/>
    </xf>
    <xf numFmtId="0" fontId="36" fillId="0" borderId="0" xfId="0" applyFont="1" applyFill="1" applyAlignment="1" applyProtection="1">
      <alignment horizontal="center" vertical="center" wrapText="1"/>
    </xf>
    <xf numFmtId="0" fontId="25" fillId="0" borderId="38" xfId="0" applyFont="1" applyFill="1" applyBorder="1" applyProtection="1">
      <alignment vertical="center"/>
    </xf>
    <xf numFmtId="0" fontId="25" fillId="0" borderId="30" xfId="0" applyFont="1" applyFill="1" applyBorder="1" applyAlignment="1" applyProtection="1">
      <alignment vertical="center"/>
    </xf>
    <xf numFmtId="0" fontId="25" fillId="0" borderId="30" xfId="0" applyFont="1" applyBorder="1" applyProtection="1">
      <alignment vertical="center"/>
    </xf>
    <xf numFmtId="0" fontId="25" fillId="0" borderId="47" xfId="0" applyFont="1" applyFill="1" applyBorder="1" applyAlignment="1" applyProtection="1">
      <alignment vertical="center"/>
    </xf>
    <xf numFmtId="1" fontId="25" fillId="0" borderId="50" xfId="0" applyNumberFormat="1" applyFont="1" applyBorder="1" applyAlignment="1" applyProtection="1">
      <alignment horizontal="center" vertical="center"/>
    </xf>
    <xf numFmtId="0" fontId="25" fillId="0" borderId="51" xfId="0" applyFont="1" applyFill="1" applyBorder="1" applyAlignment="1" applyProtection="1">
      <alignment horizontal="left" vertical="center"/>
    </xf>
    <xf numFmtId="0" fontId="25" fillId="0" borderId="52" xfId="0" applyFont="1" applyFill="1" applyBorder="1" applyAlignment="1" applyProtection="1">
      <alignment horizontal="left" vertical="center"/>
    </xf>
    <xf numFmtId="0" fontId="25" fillId="0" borderId="52" xfId="0" applyFont="1" applyBorder="1" applyProtection="1">
      <alignment vertical="center"/>
    </xf>
    <xf numFmtId="0" fontId="25" fillId="0" borderId="60" xfId="0" applyFont="1" applyFill="1" applyBorder="1" applyAlignment="1" applyProtection="1">
      <alignment horizontal="left" vertical="center"/>
    </xf>
    <xf numFmtId="166" fontId="25" fillId="0" borderId="51" xfId="0" applyNumberFormat="1" applyFont="1" applyBorder="1" applyAlignment="1" applyProtection="1">
      <alignment horizontal="right" vertical="center"/>
    </xf>
    <xf numFmtId="0" fontId="25" fillId="0" borderId="60" xfId="0" applyFont="1" applyBorder="1" applyAlignment="1" applyProtection="1">
      <alignment horizontal="left" vertical="center"/>
    </xf>
    <xf numFmtId="1" fontId="25" fillId="0" borderId="53" xfId="0" applyNumberFormat="1" applyFont="1" applyBorder="1" applyAlignment="1" applyProtection="1">
      <alignment horizontal="center" vertical="center"/>
    </xf>
    <xf numFmtId="0" fontId="25" fillId="0" borderId="54" xfId="0" applyFont="1" applyFill="1" applyBorder="1" applyAlignment="1" applyProtection="1">
      <alignment horizontal="left" vertical="center"/>
    </xf>
    <xf numFmtId="0" fontId="25" fillId="0" borderId="55" xfId="0" applyFont="1" applyFill="1" applyBorder="1" applyAlignment="1" applyProtection="1">
      <alignment horizontal="left" vertical="center"/>
    </xf>
    <xf numFmtId="0" fontId="25" fillId="0" borderId="55" xfId="0" applyFont="1" applyBorder="1" applyProtection="1">
      <alignment vertical="center"/>
    </xf>
    <xf numFmtId="0" fontId="25" fillId="0" borderId="61" xfId="0" applyFont="1" applyFill="1" applyBorder="1" applyAlignment="1" applyProtection="1">
      <alignment horizontal="left" vertical="center"/>
    </xf>
    <xf numFmtId="166" fontId="25" fillId="0" borderId="54" xfId="0" applyNumberFormat="1" applyFont="1" applyBorder="1" applyAlignment="1" applyProtection="1">
      <alignment horizontal="right" vertical="center"/>
    </xf>
    <xf numFmtId="0" fontId="25" fillId="0" borderId="61" xfId="0" applyFont="1" applyBorder="1" applyAlignment="1" applyProtection="1">
      <alignment horizontal="left" vertical="center"/>
    </xf>
    <xf numFmtId="1" fontId="25" fillId="0" borderId="56" xfId="0" applyNumberFormat="1" applyFont="1" applyBorder="1" applyAlignment="1" applyProtection="1">
      <alignment horizontal="center" vertical="center"/>
    </xf>
    <xf numFmtId="0" fontId="25" fillId="0" borderId="57" xfId="0" applyFont="1" applyFill="1" applyBorder="1" applyAlignment="1" applyProtection="1">
      <alignment horizontal="left" vertical="center"/>
    </xf>
    <xf numFmtId="0" fontId="25" fillId="0" borderId="58" xfId="0" applyFont="1" applyFill="1" applyBorder="1" applyAlignment="1" applyProtection="1">
      <alignment horizontal="left" vertical="center"/>
    </xf>
    <xf numFmtId="0" fontId="25" fillId="0" borderId="58" xfId="0" applyFont="1" applyBorder="1" applyProtection="1">
      <alignment vertical="center"/>
    </xf>
    <xf numFmtId="0" fontId="25" fillId="0" borderId="62" xfId="0" applyFont="1" applyFill="1" applyBorder="1" applyAlignment="1" applyProtection="1">
      <alignment horizontal="left" vertical="center"/>
    </xf>
    <xf numFmtId="166" fontId="25" fillId="0" borderId="57" xfId="0" applyNumberFormat="1" applyFont="1" applyBorder="1" applyAlignment="1" applyProtection="1">
      <alignment horizontal="right" vertical="center"/>
    </xf>
    <xf numFmtId="0" fontId="25" fillId="0" borderId="62" xfId="0" applyFont="1" applyBorder="1" applyAlignment="1" applyProtection="1">
      <alignment horizontal="left" vertical="center"/>
    </xf>
    <xf numFmtId="1" fontId="25" fillId="0" borderId="0" xfId="0" applyNumberFormat="1" applyFont="1" applyBorder="1" applyAlignment="1" applyProtection="1">
      <alignment horizontal="center" vertical="center"/>
    </xf>
    <xf numFmtId="0" fontId="25" fillId="0" borderId="0" xfId="0" applyFont="1" applyFill="1" applyBorder="1" applyProtection="1">
      <alignment vertical="center"/>
    </xf>
    <xf numFmtId="0" fontId="25" fillId="0" borderId="0" xfId="0" applyFont="1" applyBorder="1" applyProtection="1">
      <alignment vertical="center"/>
    </xf>
    <xf numFmtId="0" fontId="25" fillId="0" borderId="0" xfId="0" applyFont="1" applyBorder="1" applyAlignment="1" applyProtection="1">
      <alignment horizontal="right" vertical="center"/>
    </xf>
    <xf numFmtId="0" fontId="25" fillId="0" borderId="0" xfId="0" applyFont="1" applyBorder="1" applyAlignment="1" applyProtection="1">
      <alignment horizontal="left" vertical="center"/>
    </xf>
    <xf numFmtId="0" fontId="38" fillId="0" borderId="0" xfId="0" applyFont="1" applyBorder="1" applyAlignment="1" applyProtection="1">
      <alignment horizontal="left" vertical="center"/>
    </xf>
    <xf numFmtId="0" fontId="25" fillId="0" borderId="45" xfId="0" applyFont="1" applyBorder="1" applyProtection="1">
      <alignment vertical="center"/>
    </xf>
    <xf numFmtId="2" fontId="25" fillId="0" borderId="38" xfId="0" applyNumberFormat="1" applyFont="1" applyBorder="1" applyProtection="1">
      <alignment vertical="center"/>
    </xf>
    <xf numFmtId="166" fontId="25" fillId="0" borderId="47" xfId="0" applyNumberFormat="1" applyFont="1" applyBorder="1" applyProtection="1">
      <alignment vertical="center"/>
    </xf>
    <xf numFmtId="166" fontId="25" fillId="0" borderId="0" xfId="0" applyNumberFormat="1" applyFont="1" applyBorder="1" applyAlignment="1" applyProtection="1">
      <alignment horizontal="center" vertical="center"/>
    </xf>
    <xf numFmtId="0" fontId="25" fillId="0" borderId="47" xfId="0" applyFont="1" applyBorder="1" applyProtection="1">
      <alignment vertical="center"/>
    </xf>
    <xf numFmtId="2" fontId="25" fillId="0" borderId="0" xfId="0" applyNumberFormat="1" applyFont="1" applyBorder="1" applyAlignment="1" applyProtection="1">
      <alignment horizontal="center" vertical="center"/>
    </xf>
    <xf numFmtId="0" fontId="25" fillId="0" borderId="38" xfId="0" applyFont="1" applyBorder="1" applyProtection="1">
      <alignment vertical="center"/>
    </xf>
    <xf numFmtId="171" fontId="25" fillId="0" borderId="3" xfId="0" applyNumberFormat="1" applyFont="1" applyBorder="1" applyAlignment="1" applyProtection="1">
      <alignment horizontal="center" vertical="center"/>
    </xf>
    <xf numFmtId="0" fontId="34" fillId="0" borderId="0" xfId="0" applyFont="1" applyBorder="1" applyAlignment="1" applyProtection="1">
      <alignment horizontal="left" vertical="center"/>
      <protection locked="0"/>
    </xf>
    <xf numFmtId="0" fontId="34" fillId="0" borderId="0" xfId="0" applyFont="1" applyBorder="1" applyProtection="1">
      <alignment vertical="center"/>
      <protection locked="0"/>
    </xf>
    <xf numFmtId="0" fontId="25" fillId="12" borderId="0" xfId="0" applyFont="1" applyFill="1" applyAlignment="1" applyProtection="1">
      <alignment horizontal="center" vertical="center"/>
      <protection locked="0"/>
    </xf>
    <xf numFmtId="0" fontId="38" fillId="12" borderId="0" xfId="0" applyFont="1" applyFill="1" applyBorder="1" applyAlignment="1" applyProtection="1">
      <alignment horizontal="center" vertical="center"/>
      <protection locked="0"/>
    </xf>
    <xf numFmtId="166" fontId="25" fillId="0" borderId="0" xfId="0" applyNumberFormat="1" applyFont="1" applyBorder="1" applyAlignment="1" applyProtection="1">
      <alignment horizontal="left" vertical="center"/>
      <protection locked="0"/>
    </xf>
    <xf numFmtId="164" fontId="25" fillId="0" borderId="0" xfId="0" applyNumberFormat="1" applyFont="1" applyBorder="1" applyAlignment="1" applyProtection="1">
      <alignment horizontal="center" vertical="center"/>
      <protection locked="0"/>
    </xf>
    <xf numFmtId="166" fontId="25" fillId="0" borderId="0" xfId="0" applyNumberFormat="1" applyFont="1" applyBorder="1" applyProtection="1">
      <alignment vertical="center"/>
      <protection locked="0"/>
    </xf>
    <xf numFmtId="166" fontId="34" fillId="0" borderId="0" xfId="0" applyNumberFormat="1" applyFont="1" applyBorder="1" applyProtection="1">
      <alignment vertical="center"/>
      <protection locked="0"/>
    </xf>
    <xf numFmtId="0" fontId="25" fillId="0" borderId="0" xfId="0" applyFont="1" applyAlignment="1" applyProtection="1">
      <alignment horizontal="left" vertical="center" wrapText="1"/>
      <protection locked="0"/>
    </xf>
    <xf numFmtId="0" fontId="25" fillId="0" borderId="0" xfId="0" applyFont="1" applyAlignment="1" applyProtection="1">
      <alignment vertical="center" wrapText="1"/>
      <protection locked="0"/>
    </xf>
    <xf numFmtId="166" fontId="25" fillId="0" borderId="0" xfId="0" applyNumberFormat="1" applyFont="1" applyBorder="1" applyAlignment="1" applyProtection="1">
      <alignment horizontal="left" vertical="center" wrapText="1"/>
      <protection locked="0"/>
    </xf>
    <xf numFmtId="166" fontId="34" fillId="0" borderId="0" xfId="0" applyNumberFormat="1" applyFont="1" applyBorder="1" applyAlignment="1" applyProtection="1">
      <alignment horizontal="left" vertical="center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167" fontId="34" fillId="0" borderId="0" xfId="0" applyNumberFormat="1" applyFont="1" applyFill="1" applyBorder="1" applyAlignment="1" applyProtection="1">
      <alignment vertical="center"/>
      <protection locked="0"/>
    </xf>
    <xf numFmtId="0" fontId="34" fillId="0" borderId="0" xfId="0" applyFont="1" applyFill="1" applyBorder="1" applyAlignment="1" applyProtection="1">
      <alignment vertical="center"/>
      <protection locked="0"/>
    </xf>
    <xf numFmtId="164" fontId="25" fillId="0" borderId="0" xfId="0" applyNumberFormat="1" applyFont="1" applyFill="1" applyBorder="1" applyProtection="1">
      <alignment vertical="center"/>
      <protection locked="0"/>
    </xf>
    <xf numFmtId="167" fontId="34" fillId="0" borderId="0" xfId="0" applyNumberFormat="1" applyFont="1" applyFill="1" applyBorder="1" applyAlignment="1" applyProtection="1">
      <alignment horizontal="center" vertical="center"/>
      <protection locked="0"/>
    </xf>
    <xf numFmtId="167" fontId="25" fillId="0" borderId="0" xfId="0" applyNumberFormat="1" applyFont="1" applyFill="1" applyBorder="1" applyAlignment="1" applyProtection="1">
      <alignment vertical="center"/>
      <protection locked="0"/>
    </xf>
    <xf numFmtId="0" fontId="68" fillId="0" borderId="0" xfId="0" applyFont="1" applyProtection="1">
      <alignment vertical="center"/>
      <protection locked="0"/>
    </xf>
    <xf numFmtId="0" fontId="33" fillId="0" borderId="77" xfId="0" applyFont="1" applyBorder="1" applyAlignment="1">
      <alignment horizontal="center" vertical="center"/>
    </xf>
    <xf numFmtId="0" fontId="33" fillId="0" borderId="75" xfId="0" applyFont="1" applyBorder="1" applyAlignment="1">
      <alignment horizontal="center" vertical="center"/>
    </xf>
    <xf numFmtId="2" fontId="33" fillId="0" borderId="3" xfId="0" applyNumberFormat="1" applyFont="1" applyFill="1" applyBorder="1" applyAlignment="1" applyProtection="1">
      <alignment horizontal="center" vertical="center"/>
    </xf>
    <xf numFmtId="0" fontId="57" fillId="0" borderId="0" xfId="0" applyFont="1" applyFill="1" applyBorder="1" applyAlignment="1" applyProtection="1">
      <alignment vertical="center"/>
    </xf>
    <xf numFmtId="2" fontId="33" fillId="0" borderId="0" xfId="0" applyNumberFormat="1" applyFont="1" applyAlignment="1">
      <alignment vertical="center"/>
    </xf>
    <xf numFmtId="182" fontId="33" fillId="0" borderId="0" xfId="0" applyNumberFormat="1" applyFont="1" applyAlignment="1">
      <alignment vertical="center"/>
    </xf>
    <xf numFmtId="0" fontId="33" fillId="0" borderId="0" xfId="0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>
      <alignment horizontal="center" vertical="center"/>
    </xf>
    <xf numFmtId="166" fontId="33" fillId="0" borderId="0" xfId="0" applyNumberFormat="1" applyFont="1" applyAlignment="1">
      <alignment vertical="center"/>
    </xf>
    <xf numFmtId="182" fontId="33" fillId="0" borderId="0" xfId="0" applyNumberFormat="1" applyFont="1" applyBorder="1" applyAlignment="1">
      <alignment horizontal="center" vertical="center"/>
    </xf>
    <xf numFmtId="9" fontId="22" fillId="0" borderId="0" xfId="0" applyNumberFormat="1" applyFont="1" applyAlignment="1">
      <alignment vertical="center"/>
    </xf>
    <xf numFmtId="0" fontId="33" fillId="17" borderId="0" xfId="2" applyFont="1" applyFill="1" applyBorder="1" applyProtection="1">
      <protection locked="0"/>
    </xf>
    <xf numFmtId="0" fontId="37" fillId="0" borderId="3" xfId="0" applyFont="1" applyBorder="1" applyAlignment="1">
      <alignment horizontal="center" vertical="center"/>
    </xf>
    <xf numFmtId="0" fontId="37" fillId="0" borderId="38" xfId="0" applyFont="1" applyBorder="1" applyAlignment="1">
      <alignment horizontal="left" vertical="center"/>
    </xf>
    <xf numFmtId="0" fontId="37" fillId="0" borderId="30" xfId="0" applyFont="1" applyBorder="1" applyAlignment="1">
      <alignment horizontal="left" vertical="center"/>
    </xf>
    <xf numFmtId="0" fontId="37" fillId="0" borderId="47" xfId="0" applyFont="1" applyBorder="1" applyAlignment="1">
      <alignment horizontal="left" vertical="center"/>
    </xf>
    <xf numFmtId="166" fontId="33" fillId="0" borderId="3" xfId="0" applyNumberFormat="1" applyFont="1" applyBorder="1" applyAlignment="1" applyProtection="1">
      <alignment horizontal="center" vertical="center"/>
    </xf>
    <xf numFmtId="0" fontId="29" fillId="12" borderId="0" xfId="0" applyFont="1" applyFill="1" applyAlignment="1">
      <alignment horizontal="center" vertical="center"/>
    </xf>
    <xf numFmtId="9" fontId="29" fillId="0" borderId="0" xfId="0" applyNumberFormat="1" applyFont="1" applyAlignment="1">
      <alignment horizontal="center"/>
    </xf>
    <xf numFmtId="0" fontId="29" fillId="0" borderId="0" xfId="0" applyFont="1" applyAlignment="1">
      <alignment horizontal="center" vertical="center"/>
    </xf>
    <xf numFmtId="166" fontId="33" fillId="0" borderId="0" xfId="0" applyNumberFormat="1" applyFont="1">
      <alignment vertical="center"/>
    </xf>
    <xf numFmtId="0" fontId="33" fillId="3" borderId="0" xfId="0" applyFont="1" applyFill="1" applyProtection="1">
      <alignment vertical="center"/>
      <protection locked="0"/>
    </xf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62" fillId="0" borderId="0" xfId="0" applyNumberFormat="1" applyFont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2" fontId="10" fillId="3" borderId="3" xfId="0" applyNumberFormat="1" applyFont="1" applyFill="1" applyBorder="1" applyAlignment="1">
      <alignment horizontal="center"/>
    </xf>
    <xf numFmtId="2" fontId="10" fillId="3" borderId="46" xfId="0" applyNumberFormat="1" applyFont="1" applyFill="1" applyBorder="1" applyAlignment="1">
      <alignment horizontal="center" vertical="center"/>
    </xf>
    <xf numFmtId="2" fontId="10" fillId="3" borderId="34" xfId="0" applyNumberFormat="1" applyFont="1" applyFill="1" applyBorder="1" applyAlignment="1">
      <alignment horizontal="center" vertical="center"/>
    </xf>
    <xf numFmtId="2" fontId="0" fillId="0" borderId="0" xfId="0" applyNumberFormat="1" applyAlignment="1"/>
    <xf numFmtId="1" fontId="37" fillId="0" borderId="0" xfId="0" applyNumberFormat="1" applyFont="1" applyFill="1" applyAlignment="1">
      <alignment horizontal="center" vertical="center"/>
    </xf>
    <xf numFmtId="186" fontId="25" fillId="0" borderId="38" xfId="0" applyNumberFormat="1" applyFont="1" applyBorder="1" applyAlignment="1" applyProtection="1">
      <alignment horizontal="right" vertical="center"/>
    </xf>
    <xf numFmtId="166" fontId="25" fillId="0" borderId="38" xfId="0" applyNumberFormat="1" applyFont="1" applyBorder="1" applyAlignment="1" applyProtection="1">
      <alignment horizontal="right" vertical="center"/>
    </xf>
    <xf numFmtId="183" fontId="25" fillId="0" borderId="47" xfId="0" applyNumberFormat="1" applyFont="1" applyBorder="1" applyAlignment="1" applyProtection="1">
      <alignment vertical="center"/>
    </xf>
    <xf numFmtId="183" fontId="25" fillId="0" borderId="38" xfId="0" applyNumberFormat="1" applyFont="1" applyBorder="1" applyAlignment="1" applyProtection="1">
      <alignment horizontal="right" vertical="center"/>
    </xf>
    <xf numFmtId="175" fontId="33" fillId="0" borderId="0" xfId="0" applyNumberFormat="1" applyFont="1" applyAlignment="1" applyProtection="1">
      <alignment horizontal="left" vertical="center"/>
    </xf>
    <xf numFmtId="175" fontId="25" fillId="0" borderId="0" xfId="0" applyNumberFormat="1" applyFont="1" applyAlignment="1" applyProtection="1">
      <alignment horizontal="left" vertical="center"/>
    </xf>
    <xf numFmtId="0" fontId="75" fillId="0" borderId="0" xfId="3" applyFont="1" applyFill="1" applyBorder="1" applyAlignment="1">
      <alignment horizontal="center" vertical="center"/>
    </xf>
    <xf numFmtId="2" fontId="75" fillId="0" borderId="0" xfId="3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 wrapText="1"/>
    </xf>
    <xf numFmtId="9" fontId="33" fillId="0" borderId="0" xfId="0" applyNumberFormat="1" applyFont="1" applyAlignment="1" applyProtection="1">
      <alignment vertical="center"/>
    </xf>
    <xf numFmtId="176" fontId="33" fillId="0" borderId="45" xfId="0" applyNumberFormat="1" applyFont="1" applyBorder="1" applyAlignment="1" applyProtection="1">
      <alignment vertical="center"/>
    </xf>
    <xf numFmtId="0" fontId="33" fillId="0" borderId="59" xfId="0" applyFont="1" applyBorder="1" applyAlignment="1" applyProtection="1">
      <alignment vertical="center"/>
    </xf>
    <xf numFmtId="0" fontId="25" fillId="0" borderId="0" xfId="0" applyFont="1" applyAlignment="1" applyProtection="1">
      <alignment horizontal="right" vertical="center"/>
      <protection locked="0"/>
    </xf>
    <xf numFmtId="0" fontId="2" fillId="3" borderId="0" xfId="0" applyFont="1" applyFill="1" applyProtection="1">
      <alignment vertical="center"/>
      <protection locked="0"/>
    </xf>
    <xf numFmtId="175" fontId="25" fillId="0" borderId="0" xfId="0" applyNumberFormat="1" applyFont="1" applyBorder="1" applyAlignment="1" applyProtection="1">
      <alignment horizontal="center" vertical="center"/>
    </xf>
    <xf numFmtId="0" fontId="82" fillId="0" borderId="3" xfId="0" applyFont="1" applyBorder="1" applyAlignment="1">
      <alignment horizontal="center" vertical="center"/>
    </xf>
    <xf numFmtId="188" fontId="62" fillId="0" borderId="3" xfId="0" applyNumberFormat="1" applyFont="1" applyBorder="1" applyAlignment="1">
      <alignment horizontal="center" vertical="center"/>
    </xf>
    <xf numFmtId="0" fontId="82" fillId="0" borderId="3" xfId="0" applyFont="1" applyBorder="1" applyAlignment="1">
      <alignment horizontal="left" vertical="center"/>
    </xf>
    <xf numFmtId="0" fontId="82" fillId="0" borderId="38" xfId="0" applyFont="1" applyBorder="1" applyAlignment="1">
      <alignment horizontal="left" vertical="center"/>
    </xf>
    <xf numFmtId="188" fontId="82" fillId="0" borderId="3" xfId="0" applyNumberFormat="1" applyFont="1" applyBorder="1" applyAlignment="1">
      <alignment horizontal="center" vertical="center"/>
    </xf>
    <xf numFmtId="0" fontId="62" fillId="3" borderId="38" xfId="0" applyFont="1" applyFill="1" applyBorder="1" applyAlignment="1">
      <alignment horizontal="left" vertical="center"/>
    </xf>
    <xf numFmtId="0" fontId="82" fillId="0" borderId="3" xfId="0" applyFont="1" applyBorder="1" applyAlignment="1">
      <alignment horizontal="left" vertical="center" wrapText="1"/>
    </xf>
    <xf numFmtId="0" fontId="82" fillId="0" borderId="38" xfId="0" applyFont="1" applyBorder="1" applyAlignment="1">
      <alignment horizontal="left" vertical="center" wrapText="1"/>
    </xf>
    <xf numFmtId="0" fontId="62" fillId="26" borderId="3" xfId="0" applyFont="1" applyFill="1" applyBorder="1" applyAlignment="1" applyProtection="1">
      <alignment vertical="top" wrapText="1"/>
      <protection hidden="1"/>
    </xf>
    <xf numFmtId="0" fontId="62" fillId="26" borderId="38" xfId="0" applyFont="1" applyFill="1" applyBorder="1" applyAlignment="1" applyProtection="1">
      <alignment vertical="top" wrapText="1"/>
      <protection hidden="1"/>
    </xf>
    <xf numFmtId="0" fontId="82" fillId="0" borderId="3" xfId="0" applyFont="1" applyBorder="1" applyAlignment="1">
      <alignment wrapText="1"/>
    </xf>
    <xf numFmtId="0" fontId="82" fillId="0" borderId="0" xfId="0" applyFont="1" applyAlignment="1"/>
    <xf numFmtId="0" fontId="82" fillId="0" borderId="3" xfId="0" applyFont="1" applyBorder="1" applyAlignment="1">
      <alignment horizontal="center"/>
    </xf>
    <xf numFmtId="0" fontId="82" fillId="0" borderId="0" xfId="0" quotePrefix="1" applyFont="1" applyAlignment="1">
      <alignment wrapText="1"/>
    </xf>
    <xf numFmtId="0" fontId="82" fillId="0" borderId="3" xfId="0" applyFont="1" applyBorder="1" applyAlignment="1" applyProtection="1">
      <alignment horizontal="left" vertical="center" wrapText="1"/>
      <protection locked="0"/>
    </xf>
    <xf numFmtId="0" fontId="82" fillId="0" borderId="16" xfId="0" applyFont="1" applyBorder="1" applyAlignment="1">
      <alignment vertical="center"/>
    </xf>
    <xf numFmtId="0" fontId="82" fillId="0" borderId="33" xfId="0" applyFont="1" applyBorder="1" applyAlignment="1">
      <alignment vertical="center"/>
    </xf>
    <xf numFmtId="0" fontId="82" fillId="0" borderId="21" xfId="0" applyFont="1" applyBorder="1" applyAlignment="1">
      <alignment vertical="center"/>
    </xf>
    <xf numFmtId="0" fontId="33" fillId="0" borderId="0" xfId="0" applyNumberFormat="1" applyFont="1" applyAlignment="1">
      <alignment horizontal="left" vertical="center"/>
    </xf>
    <xf numFmtId="0" fontId="62" fillId="0" borderId="3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62" fillId="0" borderId="0" xfId="0" applyNumberFormat="1" applyFont="1" applyAlignment="1"/>
    <xf numFmtId="0" fontId="0" fillId="0" borderId="3" xfId="0" applyNumberFormat="1" applyBorder="1">
      <alignment vertical="center"/>
    </xf>
    <xf numFmtId="0" fontId="17" fillId="3" borderId="0" xfId="0" applyNumberFormat="1" applyFont="1" applyFill="1" applyBorder="1" applyAlignment="1">
      <alignment horizontal="left" vertical="center" wrapText="1"/>
    </xf>
    <xf numFmtId="0" fontId="33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23" fillId="0" borderId="0" xfId="0" applyNumberFormat="1" applyFont="1" applyAlignment="1">
      <alignment horizontal="center" vertical="center"/>
    </xf>
    <xf numFmtId="0" fontId="0" fillId="0" borderId="3" xfId="0" applyNumberFormat="1" applyBorder="1" applyAlignment="1"/>
    <xf numFmtId="0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 vertical="center"/>
    </xf>
    <xf numFmtId="0" fontId="17" fillId="0" borderId="3" xfId="0" quotePrefix="1" applyNumberFormat="1" applyFont="1" applyBorder="1">
      <alignment vertical="center"/>
    </xf>
    <xf numFmtId="0" fontId="0" fillId="0" borderId="3" xfId="0" quotePrefix="1" applyNumberFormat="1" applyBorder="1" applyAlignment="1">
      <alignment horizontal="left"/>
    </xf>
    <xf numFmtId="0" fontId="0" fillId="19" borderId="0" xfId="0" applyNumberFormat="1" applyFill="1">
      <alignment vertical="center"/>
    </xf>
    <xf numFmtId="2" fontId="0" fillId="0" borderId="2" xfId="0" applyNumberFormat="1" applyBorder="1" applyAlignment="1"/>
    <xf numFmtId="2" fontId="7" fillId="4" borderId="26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/>
    <xf numFmtId="2" fontId="0" fillId="4" borderId="3" xfId="0" applyNumberFormat="1" applyFill="1" applyBorder="1" applyAlignment="1">
      <alignment horizontal="center" vertical="center"/>
    </xf>
    <xf numFmtId="2" fontId="0" fillId="0" borderId="5" xfId="0" applyNumberFormat="1" applyBorder="1" applyAlignment="1"/>
    <xf numFmtId="2" fontId="0" fillId="0" borderId="4" xfId="0" applyNumberFormat="1" applyBorder="1" applyAlignment="1"/>
    <xf numFmtId="2" fontId="0" fillId="4" borderId="3" xfId="0" applyNumberFormat="1" applyFill="1" applyBorder="1" applyAlignment="1">
      <alignment horizontal="center"/>
    </xf>
    <xf numFmtId="2" fontId="62" fillId="4" borderId="3" xfId="0" quotePrefix="1" applyNumberFormat="1" applyFont="1" applyFill="1" applyBorder="1" applyAlignment="1">
      <alignment horizontal="center"/>
    </xf>
    <xf numFmtId="2" fontId="10" fillId="0" borderId="0" xfId="0" applyNumberFormat="1" applyFont="1" applyAlignment="1"/>
    <xf numFmtId="2" fontId="0" fillId="3" borderId="0" xfId="0" applyNumberFormat="1" applyFill="1" applyAlignment="1"/>
    <xf numFmtId="2" fontId="10" fillId="2" borderId="6" xfId="0" applyNumberFormat="1" applyFont="1" applyFill="1" applyBorder="1" applyAlignment="1"/>
    <xf numFmtId="2" fontId="10" fillId="3" borderId="44" xfId="0" applyNumberFormat="1" applyFont="1" applyFill="1" applyBorder="1" applyAlignment="1">
      <alignment horizontal="center" vertical="center"/>
    </xf>
    <xf numFmtId="2" fontId="10" fillId="3" borderId="33" xfId="0" applyNumberFormat="1" applyFont="1" applyFill="1" applyBorder="1" applyAlignment="1">
      <alignment horizontal="center" vertical="center"/>
    </xf>
    <xf numFmtId="2" fontId="10" fillId="3" borderId="0" xfId="0" applyNumberFormat="1" applyFont="1" applyFill="1" applyAlignment="1"/>
    <xf numFmtId="2" fontId="10" fillId="3" borderId="3" xfId="0" applyNumberFormat="1" applyFont="1" applyFill="1" applyBorder="1" applyAlignment="1">
      <alignment horizontal="center" vertical="center"/>
    </xf>
    <xf numFmtId="2" fontId="10" fillId="3" borderId="45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3" borderId="0" xfId="0" applyNumberFormat="1" applyFont="1" applyFill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0" fillId="3" borderId="18" xfId="0" applyNumberFormat="1" applyFont="1" applyFill="1" applyBorder="1" applyAlignment="1">
      <alignment horizontal="center"/>
    </xf>
    <xf numFmtId="2" fontId="10" fillId="4" borderId="3" xfId="0" applyNumberFormat="1" applyFont="1" applyFill="1" applyBorder="1" applyAlignment="1">
      <alignment horizontal="center"/>
    </xf>
    <xf numFmtId="2" fontId="10" fillId="3" borderId="4" xfId="0" applyNumberFormat="1" applyFont="1" applyFill="1" applyBorder="1" applyAlignment="1"/>
    <xf numFmtId="0" fontId="83" fillId="27" borderId="0" xfId="4" applyAlignment="1">
      <alignment vertical="center"/>
    </xf>
    <xf numFmtId="2" fontId="0" fillId="0" borderId="0" xfId="0" applyNumberFormat="1" applyAlignment="1">
      <alignment horizontal="center"/>
    </xf>
    <xf numFmtId="0" fontId="33" fillId="0" borderId="0" xfId="0" applyFont="1" applyBorder="1" applyAlignment="1">
      <alignment horizontal="center" vertical="center"/>
    </xf>
    <xf numFmtId="0" fontId="25" fillId="0" borderId="0" xfId="0" applyFont="1" applyBorder="1" applyAlignment="1" applyProtection="1">
      <alignment horizontal="center" vertical="center"/>
    </xf>
    <xf numFmtId="0" fontId="25" fillId="0" borderId="3" xfId="0" applyFont="1" applyBorder="1" applyAlignment="1" applyProtection="1">
      <alignment horizontal="center" vertical="center"/>
    </xf>
    <xf numFmtId="0" fontId="34" fillId="0" borderId="3" xfId="0" applyFont="1" applyBorder="1" applyAlignment="1" applyProtection="1">
      <alignment horizontal="center" vertical="center" wrapText="1"/>
    </xf>
    <xf numFmtId="0" fontId="25" fillId="12" borderId="0" xfId="0" applyFont="1" applyFill="1" applyAlignment="1" applyProtection="1">
      <alignment horizontal="left" vertical="center"/>
    </xf>
    <xf numFmtId="2" fontId="7" fillId="28" borderId="18" xfId="0" applyNumberFormat="1" applyFont="1" applyFill="1" applyBorder="1" applyAlignment="1">
      <alignment horizontal="center" vertical="center"/>
    </xf>
    <xf numFmtId="2" fontId="7" fillId="4" borderId="23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2" fontId="62" fillId="4" borderId="3" xfId="0" applyNumberFormat="1" applyFont="1" applyFill="1" applyBorder="1" applyAlignment="1">
      <alignment horizontal="center" vertical="center"/>
    </xf>
    <xf numFmtId="2" fontId="62" fillId="28" borderId="3" xfId="0" applyNumberFormat="1" applyFont="1" applyFill="1" applyBorder="1" applyAlignment="1">
      <alignment horizontal="center"/>
    </xf>
    <xf numFmtId="2" fontId="62" fillId="4" borderId="3" xfId="0" applyNumberFormat="1" applyFont="1" applyFill="1" applyBorder="1">
      <alignment vertical="center"/>
    </xf>
    <xf numFmtId="2" fontId="62" fillId="4" borderId="3" xfId="0" quotePrefix="1" applyNumberFormat="1" applyFont="1" applyFill="1" applyBorder="1" applyAlignment="1">
      <alignment horizontal="center" vertical="center"/>
    </xf>
    <xf numFmtId="2" fontId="7" fillId="28" borderId="24" xfId="0" applyNumberFormat="1" applyFont="1" applyFill="1" applyBorder="1" applyAlignment="1">
      <alignment horizontal="center" vertical="center"/>
    </xf>
    <xf numFmtId="1" fontId="0" fillId="0" borderId="4" xfId="0" applyNumberFormat="1" applyBorder="1" applyAlignment="1"/>
    <xf numFmtId="2" fontId="0" fillId="0" borderId="9" xfId="0" applyNumberFormat="1" applyBorder="1" applyAlignment="1"/>
    <xf numFmtId="2" fontId="0" fillId="4" borderId="3" xfId="0" applyNumberFormat="1" applyFill="1" applyBorder="1" applyAlignment="1"/>
    <xf numFmtId="2" fontId="62" fillId="4" borderId="3" xfId="0" applyNumberFormat="1" applyFont="1" applyFill="1" applyBorder="1" applyAlignment="1"/>
    <xf numFmtId="1" fontId="0" fillId="3" borderId="4" xfId="0" applyNumberFormat="1" applyFill="1" applyBorder="1" applyAlignment="1">
      <alignment horizontal="center" vertical="center"/>
    </xf>
    <xf numFmtId="2" fontId="62" fillId="3" borderId="0" xfId="0" quotePrefix="1" applyNumberFormat="1" applyFont="1" applyFill="1" applyAlignment="1">
      <alignment horizontal="center"/>
    </xf>
    <xf numFmtId="2" fontId="62" fillId="3" borderId="0" xfId="0" applyNumberFormat="1" applyFont="1" applyFill="1" applyAlignment="1">
      <alignment horizontal="center"/>
    </xf>
    <xf numFmtId="1" fontId="5" fillId="4" borderId="3" xfId="0" quotePrefix="1" applyNumberFormat="1" applyFont="1" applyFill="1" applyBorder="1" applyAlignment="1">
      <alignment horizontal="center" vertical="center"/>
    </xf>
    <xf numFmtId="1" fontId="5" fillId="28" borderId="3" xfId="0" applyNumberFormat="1" applyFont="1" applyFill="1" applyBorder="1" applyAlignment="1">
      <alignment horizontal="center" vertical="center"/>
    </xf>
    <xf numFmtId="2" fontId="62" fillId="4" borderId="3" xfId="0" applyNumberFormat="1" applyFont="1" applyFill="1" applyBorder="1" applyAlignment="1">
      <alignment horizontal="center"/>
    </xf>
    <xf numFmtId="2" fontId="62" fillId="0" borderId="0" xfId="0" applyNumberFormat="1" applyFont="1" applyAlignment="1">
      <alignment horizontal="center"/>
    </xf>
    <xf numFmtId="2" fontId="62" fillId="0" borderId="0" xfId="0" quotePrefix="1" applyNumberFormat="1" applyFont="1" applyAlignment="1">
      <alignment horizontal="center"/>
    </xf>
    <xf numFmtId="1" fontId="0" fillId="0" borderId="0" xfId="0" applyNumberFormat="1" applyAlignment="1"/>
    <xf numFmtId="2" fontId="10" fillId="28" borderId="23" xfId="0" applyNumberFormat="1" applyFont="1" applyFill="1" applyBorder="1" applyAlignment="1">
      <alignment horizontal="center" vertical="center"/>
    </xf>
    <xf numFmtId="2" fontId="15" fillId="5" borderId="18" xfId="0" applyNumberFormat="1" applyFont="1" applyFill="1" applyBorder="1" applyAlignment="1">
      <alignment horizontal="center"/>
    </xf>
    <xf numFmtId="2" fontId="15" fillId="5" borderId="23" xfId="0" applyNumberFormat="1" applyFont="1" applyFill="1" applyBorder="1" applyAlignment="1">
      <alignment horizontal="center"/>
    </xf>
    <xf numFmtId="2" fontId="10" fillId="28" borderId="3" xfId="0" applyNumberFormat="1" applyFont="1" applyFill="1" applyBorder="1" applyAlignment="1">
      <alignment horizontal="center"/>
    </xf>
    <xf numFmtId="2" fontId="10" fillId="28" borderId="23" xfId="0" applyNumberFormat="1" applyFont="1" applyFill="1" applyBorder="1" applyAlignment="1">
      <alignment horizontal="center"/>
    </xf>
    <xf numFmtId="2" fontId="7" fillId="5" borderId="23" xfId="0" applyNumberFormat="1" applyFont="1" applyFill="1" applyBorder="1" applyAlignment="1">
      <alignment horizontal="center"/>
    </xf>
    <xf numFmtId="2" fontId="15" fillId="5" borderId="24" xfId="0" applyNumberFormat="1" applyFont="1" applyFill="1" applyBorder="1" applyAlignment="1">
      <alignment horizontal="center" vertical="center"/>
    </xf>
    <xf numFmtId="2" fontId="7" fillId="5" borderId="26" xfId="0" applyNumberFormat="1" applyFont="1" applyFill="1" applyBorder="1" applyAlignment="1">
      <alignment horizontal="center"/>
    </xf>
    <xf numFmtId="2" fontId="10" fillId="28" borderId="25" xfId="0" applyNumberFormat="1" applyFont="1" applyFill="1" applyBorder="1" applyAlignment="1">
      <alignment horizontal="center"/>
    </xf>
    <xf numFmtId="2" fontId="10" fillId="28" borderId="26" xfId="0" applyNumberFormat="1" applyFont="1" applyFill="1" applyBorder="1" applyAlignment="1">
      <alignment horizontal="center"/>
    </xf>
    <xf numFmtId="2" fontId="10" fillId="0" borderId="7" xfId="0" applyNumberFormat="1" applyFont="1" applyBorder="1" applyAlignment="1"/>
    <xf numFmtId="2" fontId="10" fillId="3" borderId="33" xfId="0" applyNumberFormat="1" applyFont="1" applyFill="1" applyBorder="1" applyAlignment="1">
      <alignment horizontal="center"/>
    </xf>
    <xf numFmtId="2" fontId="10" fillId="3" borderId="34" xfId="0" applyNumberFormat="1" applyFont="1" applyFill="1" applyBorder="1" applyAlignment="1">
      <alignment horizontal="center"/>
    </xf>
    <xf numFmtId="2" fontId="10" fillId="28" borderId="13" xfId="0" applyNumberFormat="1" applyFont="1" applyFill="1" applyBorder="1" applyAlignment="1">
      <alignment horizontal="center"/>
    </xf>
    <xf numFmtId="2" fontId="10" fillId="28" borderId="14" xfId="0" applyNumberFormat="1" applyFont="1" applyFill="1" applyBorder="1" applyAlignment="1">
      <alignment horizontal="center"/>
    </xf>
    <xf numFmtId="2" fontId="10" fillId="0" borderId="2" xfId="0" applyNumberFormat="1" applyFont="1" applyBorder="1" applyAlignment="1"/>
    <xf numFmtId="2" fontId="21" fillId="5" borderId="23" xfId="0" applyNumberFormat="1" applyFont="1" applyFill="1" applyBorder="1" applyAlignment="1">
      <alignment horizontal="center" vertical="center"/>
    </xf>
    <xf numFmtId="2" fontId="10" fillId="28" borderId="26" xfId="0" applyNumberFormat="1" applyFont="1" applyFill="1" applyBorder="1" applyAlignment="1">
      <alignment horizontal="center" vertical="center"/>
    </xf>
    <xf numFmtId="2" fontId="10" fillId="28" borderId="14" xfId="0" applyNumberFormat="1" applyFont="1" applyFill="1" applyBorder="1" applyAlignment="1">
      <alignment horizontal="center" vertical="center"/>
    </xf>
    <xf numFmtId="1" fontId="20" fillId="3" borderId="3" xfId="0" applyNumberFormat="1" applyFont="1" applyFill="1" applyBorder="1" applyAlignment="1">
      <alignment horizontal="center" vertical="center"/>
    </xf>
    <xf numFmtId="2" fontId="62" fillId="0" borderId="24" xfId="0" applyNumberFormat="1" applyFont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4" borderId="13" xfId="0" applyNumberFormat="1" applyFill="1" applyBorder="1" applyAlignment="1"/>
    <xf numFmtId="2" fontId="0" fillId="4" borderId="14" xfId="0" applyNumberFormat="1" applyFill="1" applyBorder="1" applyAlignment="1"/>
    <xf numFmtId="2" fontId="0" fillId="4" borderId="23" xfId="0" applyNumberFormat="1" applyFill="1" applyBorder="1" applyAlignment="1"/>
    <xf numFmtId="2" fontId="0" fillId="4" borderId="25" xfId="0" applyNumberFormat="1" applyFill="1" applyBorder="1" applyAlignment="1"/>
    <xf numFmtId="2" fontId="0" fillId="4" borderId="26" xfId="0" applyNumberFormat="1" applyFill="1" applyBorder="1" applyAlignment="1"/>
    <xf numFmtId="2" fontId="62" fillId="0" borderId="3" xfId="0" applyNumberFormat="1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10" fillId="28" borderId="3" xfId="0" applyNumberFormat="1" applyFont="1" applyFill="1" applyBorder="1">
      <alignment vertical="center"/>
    </xf>
    <xf numFmtId="1" fontId="10" fillId="28" borderId="3" xfId="0" applyNumberFormat="1" applyFont="1" applyFill="1" applyBorder="1" applyAlignment="1">
      <alignment horizontal="center" vertical="center"/>
    </xf>
    <xf numFmtId="2" fontId="22" fillId="0" borderId="23" xfId="0" applyNumberFormat="1" applyFont="1" applyBorder="1">
      <alignment vertical="center"/>
    </xf>
    <xf numFmtId="2" fontId="33" fillId="0" borderId="23" xfId="0" applyNumberFormat="1" applyFont="1" applyBorder="1" applyAlignment="1">
      <alignment horizontal="left" vertical="center"/>
    </xf>
    <xf numFmtId="2" fontId="10" fillId="3" borderId="24" xfId="0" applyNumberFormat="1" applyFont="1" applyFill="1" applyBorder="1" applyAlignment="1"/>
    <xf numFmtId="2" fontId="22" fillId="0" borderId="25" xfId="0" applyNumberFormat="1" applyFont="1" applyBorder="1" applyAlignment="1">
      <alignment horizontal="center" vertical="center"/>
    </xf>
    <xf numFmtId="2" fontId="22" fillId="0" borderId="26" xfId="0" applyNumberFormat="1" applyFont="1" applyBorder="1" applyAlignment="1">
      <alignment horizontal="center" vertical="center"/>
    </xf>
    <xf numFmtId="2" fontId="10" fillId="28" borderId="3" xfId="0" applyNumberFormat="1" applyFont="1" applyFill="1" applyBorder="1" applyAlignment="1">
      <alignment horizontal="left" vertical="center"/>
    </xf>
    <xf numFmtId="2" fontId="5" fillId="0" borderId="3" xfId="0" quotePrefix="1" applyNumberFormat="1" applyFont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62" fillId="0" borderId="3" xfId="0" applyNumberFormat="1" applyFont="1" applyBorder="1" applyAlignment="1">
      <alignment horizontal="center"/>
    </xf>
    <xf numFmtId="2" fontId="6" fillId="0" borderId="3" xfId="0" quotePrefix="1" applyNumberFormat="1" applyFont="1" applyBorder="1" applyAlignment="1">
      <alignment horizontal="center" vertical="center"/>
    </xf>
    <xf numFmtId="2" fontId="0" fillId="0" borderId="3" xfId="0" quotePrefix="1" applyNumberFormat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0" xfId="0" quotePrefix="1" applyNumberFormat="1" applyFill="1" applyAlignment="1">
      <alignment horizontal="center" vertical="center"/>
    </xf>
    <xf numFmtId="2" fontId="7" fillId="0" borderId="0" xfId="0" applyNumberFormat="1" applyFont="1" applyAlignment="1"/>
    <xf numFmtId="2" fontId="62" fillId="0" borderId="3" xfId="0" quotePrefix="1" applyNumberFormat="1" applyFont="1" applyBorder="1" applyAlignment="1">
      <alignment horizontal="center" vertical="center"/>
    </xf>
    <xf numFmtId="164" fontId="0" fillId="0" borderId="3" xfId="0" quotePrefix="1" applyNumberFormat="1" applyBorder="1" applyAlignment="1">
      <alignment horizontal="center" vertical="center"/>
    </xf>
    <xf numFmtId="2" fontId="0" fillId="3" borderId="4" xfId="0" applyNumberFormat="1" applyFill="1" applyBorder="1" applyAlignment="1"/>
    <xf numFmtId="2" fontId="0" fillId="0" borderId="21" xfId="0" applyNumberFormat="1" applyBorder="1" applyAlignment="1">
      <alignment horizontal="center" vertical="center"/>
    </xf>
    <xf numFmtId="2" fontId="0" fillId="0" borderId="21" xfId="0" quotePrefix="1" applyNumberFormat="1" applyBorder="1" applyAlignment="1">
      <alignment horizontal="center" vertical="center"/>
    </xf>
    <xf numFmtId="2" fontId="62" fillId="0" borderId="21" xfId="0" applyNumberFormat="1" applyFont="1" applyBorder="1" applyAlignment="1">
      <alignment horizontal="center"/>
    </xf>
    <xf numFmtId="2" fontId="6" fillId="0" borderId="21" xfId="0" quotePrefix="1" applyNumberFormat="1" applyFont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 wrapText="1"/>
    </xf>
    <xf numFmtId="2" fontId="0" fillId="0" borderId="0" xfId="0" quotePrefix="1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6" fillId="0" borderId="3" xfId="0" applyNumberFormat="1" applyFont="1" applyBorder="1" applyAlignment="1">
      <alignment horizontal="center" vertical="center"/>
    </xf>
    <xf numFmtId="2" fontId="62" fillId="0" borderId="3" xfId="0" applyNumberFormat="1" applyFont="1" applyBorder="1" applyAlignment="1">
      <alignment horizontal="center" vertical="center"/>
    </xf>
    <xf numFmtId="164" fontId="62" fillId="0" borderId="3" xfId="0" applyNumberFormat="1" applyFont="1" applyBorder="1" applyAlignment="1">
      <alignment horizontal="center" vertical="center"/>
    </xf>
    <xf numFmtId="164" fontId="62" fillId="0" borderId="3" xfId="0" applyNumberFormat="1" applyFont="1" applyBorder="1" applyAlignment="1">
      <alignment horizontal="center"/>
    </xf>
    <xf numFmtId="164" fontId="6" fillId="0" borderId="3" xfId="0" quotePrefix="1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 wrapText="1"/>
    </xf>
    <xf numFmtId="2" fontId="62" fillId="0" borderId="0" xfId="0" quotePrefix="1" applyNumberFormat="1" applyFont="1" applyAlignment="1">
      <alignment horizontal="center" vertical="center"/>
    </xf>
    <xf numFmtId="2" fontId="62" fillId="0" borderId="4" xfId="0" applyNumberFormat="1" applyFont="1" applyBorder="1" applyAlignment="1"/>
    <xf numFmtId="2" fontId="62" fillId="0" borderId="0" xfId="0" applyNumberFormat="1" applyFont="1" applyAlignment="1"/>
    <xf numFmtId="2" fontId="0" fillId="25" borderId="3" xfId="0" applyNumberFormat="1" applyFill="1" applyBorder="1" applyAlignment="1">
      <alignment horizontal="center"/>
    </xf>
    <xf numFmtId="2" fontId="10" fillId="25" borderId="3" xfId="0" applyNumberFormat="1" applyFont="1" applyFill="1" applyBorder="1" applyAlignment="1">
      <alignment horizontal="center" vertical="center"/>
    </xf>
    <xf numFmtId="2" fontId="62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ill="1" applyBorder="1" applyAlignment="1"/>
    <xf numFmtId="2" fontId="0" fillId="3" borderId="3" xfId="0" applyNumberFormat="1" applyFill="1" applyBorder="1" applyAlignment="1">
      <alignment horizontal="center"/>
    </xf>
    <xf numFmtId="2" fontId="0" fillId="25" borderId="3" xfId="0" applyNumberFormat="1" applyFill="1" applyBorder="1" applyAlignment="1">
      <alignment horizontal="center" vertical="center"/>
    </xf>
    <xf numFmtId="2" fontId="0" fillId="25" borderId="3" xfId="0" quotePrefix="1" applyNumberFormat="1" applyFill="1" applyBorder="1" applyAlignment="1">
      <alignment horizontal="center" vertical="center"/>
    </xf>
    <xf numFmtId="2" fontId="62" fillId="25" borderId="3" xfId="0" quotePrefix="1" applyNumberFormat="1" applyFon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62" fillId="0" borderId="3" xfId="0" applyNumberFormat="1" applyFont="1" applyBorder="1" applyAlignment="1"/>
    <xf numFmtId="2" fontId="5" fillId="25" borderId="3" xfId="0" applyNumberFormat="1" applyFont="1" applyFill="1" applyBorder="1" applyAlignment="1">
      <alignment horizontal="center" vertical="center"/>
    </xf>
    <xf numFmtId="2" fontId="62" fillId="3" borderId="3" xfId="0" applyNumberFormat="1" applyFont="1" applyFill="1" applyBorder="1" applyAlignment="1">
      <alignment horizontal="center" vertical="center" wrapText="1"/>
    </xf>
    <xf numFmtId="2" fontId="62" fillId="3" borderId="0" xfId="0" applyNumberFormat="1" applyFont="1" applyFill="1" applyAlignment="1">
      <alignment horizontal="center" vertical="center" wrapText="1"/>
    </xf>
    <xf numFmtId="2" fontId="62" fillId="3" borderId="0" xfId="0" applyNumberFormat="1" applyFont="1" applyFill="1" applyAlignment="1">
      <alignment horizontal="center" vertical="center"/>
    </xf>
    <xf numFmtId="2" fontId="62" fillId="3" borderId="0" xfId="0" applyNumberFormat="1" applyFont="1" applyFill="1" applyAlignment="1"/>
    <xf numFmtId="2" fontId="11" fillId="3" borderId="3" xfId="0" applyNumberFormat="1" applyFont="1" applyFill="1" applyBorder="1" applyAlignment="1">
      <alignment horizontal="center" vertical="center"/>
    </xf>
    <xf numFmtId="2" fontId="62" fillId="3" borderId="2" xfId="0" applyNumberFormat="1" applyFont="1" applyFill="1" applyBorder="1" applyAlignment="1"/>
    <xf numFmtId="2" fontId="12" fillId="3" borderId="0" xfId="0" applyNumberFormat="1" applyFont="1" applyFill="1" applyAlignment="1">
      <alignment horizontal="center" vertical="center"/>
    </xf>
    <xf numFmtId="164" fontId="12" fillId="3" borderId="3" xfId="0" applyNumberFormat="1" applyFont="1" applyFill="1" applyBorder="1" applyAlignment="1">
      <alignment horizontal="center" vertical="center"/>
    </xf>
    <xf numFmtId="1" fontId="5" fillId="3" borderId="3" xfId="0" applyNumberFormat="1" applyFont="1" applyFill="1" applyBorder="1" applyAlignment="1">
      <alignment horizontal="center" vertical="center"/>
    </xf>
    <xf numFmtId="2" fontId="62" fillId="4" borderId="12" xfId="0" applyNumberFormat="1" applyFont="1" applyFill="1" applyBorder="1" applyAlignment="1">
      <alignment horizontal="center" vertical="center" wrapText="1"/>
    </xf>
    <xf numFmtId="2" fontId="10" fillId="3" borderId="37" xfId="0" applyNumberFormat="1" applyFont="1" applyFill="1" applyBorder="1" applyAlignment="1">
      <alignment horizontal="center" vertical="center"/>
    </xf>
    <xf numFmtId="164" fontId="10" fillId="3" borderId="14" xfId="0" applyNumberFormat="1" applyFont="1" applyFill="1" applyBorder="1" applyAlignment="1">
      <alignment horizontal="center" vertical="center"/>
    </xf>
    <xf numFmtId="164" fontId="12" fillId="3" borderId="3" xfId="0" applyNumberFormat="1" applyFont="1" applyFill="1" applyBorder="1" applyAlignment="1">
      <alignment horizontal="center" vertical="center" wrapText="1"/>
    </xf>
    <xf numFmtId="2" fontId="62" fillId="4" borderId="18" xfId="0" applyNumberFormat="1" applyFont="1" applyFill="1" applyBorder="1" applyAlignment="1">
      <alignment horizontal="center" vertical="center" wrapText="1"/>
    </xf>
    <xf numFmtId="164" fontId="10" fillId="3" borderId="22" xfId="0" applyNumberFormat="1" applyFont="1" applyFill="1" applyBorder="1" applyAlignment="1">
      <alignment horizontal="center" vertical="center"/>
    </xf>
    <xf numFmtId="2" fontId="17" fillId="3" borderId="0" xfId="0" applyNumberFormat="1" applyFont="1" applyFill="1">
      <alignment vertical="center"/>
    </xf>
    <xf numFmtId="2" fontId="62" fillId="3" borderId="0" xfId="0" applyNumberFormat="1" applyFont="1" applyFill="1" applyAlignment="1">
      <alignment horizontal="right" vertical="center"/>
    </xf>
    <xf numFmtId="2" fontId="62" fillId="4" borderId="15" xfId="0" applyNumberFormat="1" applyFont="1" applyFill="1" applyBorder="1" applyAlignment="1">
      <alignment horizontal="center" vertical="center" wrapText="1"/>
    </xf>
    <xf numFmtId="2" fontId="10" fillId="3" borderId="81" xfId="0" applyNumberFormat="1" applyFont="1" applyFill="1" applyBorder="1" applyAlignment="1">
      <alignment horizontal="center" vertical="center"/>
    </xf>
    <xf numFmtId="164" fontId="10" fillId="3" borderId="34" xfId="0" applyNumberFormat="1" applyFont="1" applyFill="1" applyBorder="1" applyAlignment="1">
      <alignment horizontal="center" vertical="center"/>
    </xf>
    <xf numFmtId="164" fontId="62" fillId="3" borderId="3" xfId="0" applyNumberFormat="1" applyFont="1" applyFill="1" applyBorder="1" applyAlignment="1">
      <alignment horizontal="center" vertical="center"/>
    </xf>
    <xf numFmtId="2" fontId="85" fillId="4" borderId="24" xfId="0" applyNumberFormat="1" applyFont="1" applyFill="1" applyBorder="1" applyAlignment="1">
      <alignment horizontal="center" vertical="center" wrapText="1"/>
    </xf>
    <xf numFmtId="2" fontId="86" fillId="3" borderId="25" xfId="0" applyNumberFormat="1" applyFont="1" applyFill="1" applyBorder="1" applyAlignment="1">
      <alignment horizontal="center" vertical="center"/>
    </xf>
    <xf numFmtId="164" fontId="87" fillId="3" borderId="26" xfId="0" applyNumberFormat="1" applyFont="1" applyFill="1" applyBorder="1" applyAlignment="1">
      <alignment horizontal="center" vertical="center"/>
    </xf>
    <xf numFmtId="2" fontId="88" fillId="3" borderId="0" xfId="0" applyNumberFormat="1" applyFont="1" applyFill="1" applyAlignment="1">
      <alignment horizontal="center" vertical="center" wrapText="1"/>
    </xf>
    <xf numFmtId="2" fontId="89" fillId="3" borderId="0" xfId="0" applyNumberFormat="1" applyFont="1" applyFill="1" applyAlignment="1">
      <alignment horizontal="center" vertical="center"/>
    </xf>
    <xf numFmtId="2" fontId="90" fillId="3" borderId="5" xfId="0" applyNumberFormat="1" applyFon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2" fontId="88" fillId="3" borderId="0" xfId="0" applyNumberFormat="1" applyFont="1" applyFill="1" applyAlignment="1"/>
    <xf numFmtId="2" fontId="88" fillId="3" borderId="5" xfId="0" applyNumberFormat="1" applyFont="1" applyFill="1" applyBorder="1" applyAlignment="1"/>
    <xf numFmtId="2" fontId="88" fillId="3" borderId="0" xfId="0" applyNumberFormat="1" applyFont="1" applyFill="1" applyAlignment="1">
      <alignment horizontal="center" vertical="center"/>
    </xf>
    <xf numFmtId="2" fontId="0" fillId="3" borderId="5" xfId="0" applyNumberFormat="1" applyFill="1" applyBorder="1" applyAlignment="1"/>
    <xf numFmtId="2" fontId="15" fillId="3" borderId="0" xfId="0" applyNumberFormat="1" applyFont="1" applyFill="1" applyAlignment="1"/>
    <xf numFmtId="2" fontId="15" fillId="3" borderId="5" xfId="0" applyNumberFormat="1" applyFont="1" applyFill="1" applyBorder="1" applyAlignment="1"/>
    <xf numFmtId="2" fontId="15" fillId="0" borderId="0" xfId="0" applyNumberFormat="1" applyFont="1" applyAlignment="1"/>
    <xf numFmtId="2" fontId="12" fillId="3" borderId="5" xfId="0" applyNumberFormat="1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3" fillId="3" borderId="0" xfId="0" applyNumberFormat="1" applyFont="1" applyFill="1" applyAlignment="1">
      <alignment horizontal="center" vertical="center"/>
    </xf>
    <xf numFmtId="2" fontId="8" fillId="25" borderId="29" xfId="0" applyNumberFormat="1" applyFont="1" applyFill="1" applyBorder="1" applyAlignment="1"/>
    <xf numFmtId="2" fontId="8" fillId="25" borderId="30" xfId="0" applyNumberFormat="1" applyFont="1" applyFill="1" applyBorder="1" applyAlignment="1">
      <alignment horizontal="center" vertical="center"/>
    </xf>
    <xf numFmtId="2" fontId="10" fillId="25" borderId="30" xfId="0" applyNumberFormat="1" applyFont="1" applyFill="1" applyBorder="1" applyAlignment="1">
      <alignment horizontal="center" vertical="center"/>
    </xf>
    <xf numFmtId="2" fontId="10" fillId="25" borderId="30" xfId="0" applyNumberFormat="1" applyFont="1" applyFill="1" applyBorder="1">
      <alignment vertical="center"/>
    </xf>
    <xf numFmtId="1" fontId="10" fillId="25" borderId="3" xfId="0" applyNumberFormat="1" applyFont="1" applyFill="1" applyBorder="1">
      <alignment vertical="center"/>
    </xf>
    <xf numFmtId="1" fontId="10" fillId="25" borderId="3" xfId="0" applyNumberFormat="1" applyFont="1" applyFill="1" applyBorder="1" applyAlignment="1">
      <alignment horizontal="center" vertical="center"/>
    </xf>
    <xf numFmtId="1" fontId="10" fillId="25" borderId="23" xfId="0" applyNumberFormat="1" applyFont="1" applyFill="1" applyBorder="1" applyAlignment="1">
      <alignment horizontal="center" vertical="center"/>
    </xf>
    <xf numFmtId="1" fontId="16" fillId="0" borderId="18" xfId="0" applyNumberFormat="1" applyFont="1" applyBorder="1" applyAlignment="1">
      <alignment horizontal="center" vertical="center"/>
    </xf>
    <xf numFmtId="2" fontId="16" fillId="0" borderId="38" xfId="0" applyNumberFormat="1" applyFont="1" applyBorder="1" applyAlignment="1"/>
    <xf numFmtId="2" fontId="16" fillId="0" borderId="30" xfId="0" applyNumberFormat="1" applyFont="1" applyBorder="1" applyAlignment="1"/>
    <xf numFmtId="2" fontId="16" fillId="0" borderId="41" xfId="0" applyNumberFormat="1" applyFont="1" applyBorder="1" applyAlignment="1"/>
    <xf numFmtId="1" fontId="10" fillId="25" borderId="3" xfId="0" applyNumberFormat="1" applyFont="1" applyFill="1" applyBorder="1" applyAlignment="1">
      <alignment horizontal="right" vertical="center"/>
    </xf>
    <xf numFmtId="2" fontId="10" fillId="25" borderId="48" xfId="0" applyNumberFormat="1" applyFont="1" applyFill="1" applyBorder="1" applyAlignment="1">
      <alignment horizontal="center" vertical="center"/>
    </xf>
    <xf numFmtId="2" fontId="10" fillId="25" borderId="48" xfId="0" applyNumberFormat="1" applyFont="1" applyFill="1" applyBorder="1">
      <alignment vertical="center"/>
    </xf>
    <xf numFmtId="2" fontId="16" fillId="0" borderId="0" xfId="0" applyNumberFormat="1" applyFont="1" applyAlignment="1"/>
    <xf numFmtId="2" fontId="16" fillId="0" borderId="5" xfId="0" applyNumberFormat="1" applyFont="1" applyBorder="1" applyAlignment="1"/>
    <xf numFmtId="2" fontId="16" fillId="4" borderId="6" xfId="0" applyNumberFormat="1" applyFont="1" applyFill="1" applyBorder="1" applyAlignment="1"/>
    <xf numFmtId="2" fontId="16" fillId="4" borderId="7" xfId="0" applyNumberFormat="1" applyFont="1" applyFill="1" applyBorder="1" applyAlignment="1"/>
    <xf numFmtId="2" fontId="16" fillId="0" borderId="7" xfId="0" applyNumberFormat="1" applyFont="1" applyBorder="1" applyAlignment="1"/>
    <xf numFmtId="2" fontId="16" fillId="0" borderId="10" xfId="0" applyNumberFormat="1" applyFont="1" applyBorder="1" applyAlignment="1"/>
    <xf numFmtId="182" fontId="33" fillId="0" borderId="0" xfId="0" applyNumberFormat="1" applyFont="1" applyBorder="1" applyAlignment="1">
      <alignment vertical="center"/>
    </xf>
    <xf numFmtId="0" fontId="33" fillId="0" borderId="0" xfId="0" applyNumberFormat="1" applyFont="1" applyBorder="1">
      <alignment vertical="center"/>
    </xf>
    <xf numFmtId="0" fontId="62" fillId="0" borderId="0" xfId="0" applyNumberFormat="1" applyFont="1" applyBorder="1">
      <alignment vertical="center"/>
    </xf>
    <xf numFmtId="0" fontId="62" fillId="0" borderId="0" xfId="0" applyNumberFormat="1" applyFont="1" applyBorder="1" applyAlignment="1">
      <alignment horizontal="left" vertical="center"/>
    </xf>
    <xf numFmtId="0" fontId="33" fillId="3" borderId="0" xfId="0" applyNumberFormat="1" applyFont="1" applyFill="1" applyBorder="1" applyAlignment="1">
      <alignment horizontal="left" vertical="center" wrapText="1"/>
    </xf>
    <xf numFmtId="0" fontId="62" fillId="19" borderId="0" xfId="0" applyNumberFormat="1" applyFont="1" applyFill="1" applyBorder="1">
      <alignment vertical="center"/>
    </xf>
    <xf numFmtId="0" fontId="45" fillId="0" borderId="0" xfId="0" applyFont="1" applyFill="1" applyAlignment="1" applyProtection="1">
      <alignment horizontal="right" vertical="center"/>
      <protection locked="0"/>
    </xf>
    <xf numFmtId="0" fontId="45" fillId="0" borderId="0" xfId="0" applyFont="1" applyFill="1" applyAlignment="1" applyProtection="1">
      <alignment vertical="center"/>
      <protection locked="0"/>
    </xf>
    <xf numFmtId="0" fontId="33" fillId="0" borderId="3" xfId="0" applyFont="1" applyFill="1" applyBorder="1" applyAlignment="1">
      <alignment horizontal="center" vertical="center"/>
    </xf>
    <xf numFmtId="0" fontId="33" fillId="0" borderId="3" xfId="0" applyFont="1" applyFill="1" applyBorder="1" applyAlignment="1" applyProtection="1">
      <alignment horizontal="center" vertical="center" wrapText="1"/>
    </xf>
    <xf numFmtId="0" fontId="33" fillId="0" borderId="3" xfId="0" applyFont="1" applyFill="1" applyBorder="1" applyAlignment="1" applyProtection="1">
      <alignment horizontal="center" vertical="center"/>
    </xf>
    <xf numFmtId="166" fontId="33" fillId="0" borderId="3" xfId="0" applyNumberFormat="1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horizontal="center" vertical="center"/>
    </xf>
    <xf numFmtId="0" fontId="33" fillId="0" borderId="0" xfId="0" applyFont="1" applyFill="1" applyAlignment="1">
      <alignment horizontal="left" vertical="center"/>
    </xf>
    <xf numFmtId="0" fontId="42" fillId="0" borderId="0" xfId="0" applyFont="1" applyFill="1" applyAlignment="1">
      <alignment horizontal="center" vertical="center" wrapText="1"/>
    </xf>
    <xf numFmtId="0" fontId="62" fillId="0" borderId="0" xfId="5"/>
    <xf numFmtId="0" fontId="9" fillId="0" borderId="38" xfId="5" applyFont="1" applyBorder="1" applyAlignment="1">
      <alignment horizontal="left" vertical="top" wrapText="1"/>
    </xf>
    <xf numFmtId="0" fontId="9" fillId="0" borderId="47" xfId="5" applyFont="1" applyBorder="1" applyAlignment="1">
      <alignment horizontal="left" vertical="top" wrapText="1"/>
    </xf>
    <xf numFmtId="0" fontId="62" fillId="0" borderId="0" xfId="5" applyAlignment="1">
      <alignment horizontal="left" vertical="top"/>
    </xf>
    <xf numFmtId="0" fontId="9" fillId="0" borderId="47" xfId="5" applyFont="1" applyBorder="1" applyAlignment="1">
      <alignment horizontal="left" vertical="top"/>
    </xf>
    <xf numFmtId="0" fontId="9" fillId="0" borderId="0" xfId="5" applyFont="1" applyAlignment="1">
      <alignment vertical="center" wrapText="1"/>
    </xf>
    <xf numFmtId="0" fontId="9" fillId="0" borderId="0" xfId="5" applyFont="1" applyAlignment="1">
      <alignment horizontal="center" vertical="center" wrapText="1"/>
    </xf>
    <xf numFmtId="0" fontId="62" fillId="0" borderId="0" xfId="5" applyAlignment="1">
      <alignment vertical="top" wrapText="1"/>
    </xf>
    <xf numFmtId="0" fontId="9" fillId="0" borderId="38" xfId="5" applyFont="1" applyBorder="1" applyAlignment="1">
      <alignment vertical="top"/>
    </xf>
    <xf numFmtId="0" fontId="9" fillId="0" borderId="47" xfId="5" applyFont="1" applyBorder="1" applyAlignment="1" applyProtection="1">
      <alignment vertical="top" wrapText="1"/>
      <protection locked="0"/>
    </xf>
    <xf numFmtId="0" fontId="9" fillId="0" borderId="47" xfId="5" applyFont="1" applyBorder="1" applyAlignment="1" applyProtection="1">
      <alignment vertical="top"/>
      <protection locked="0"/>
    </xf>
    <xf numFmtId="0" fontId="9" fillId="0" borderId="0" xfId="5" applyFont="1" applyAlignment="1" applyProtection="1">
      <alignment horizontal="center" vertical="top" wrapText="1"/>
      <protection locked="0"/>
    </xf>
    <xf numFmtId="0" fontId="9" fillId="0" borderId="0" xfId="5" applyFont="1" applyAlignment="1">
      <alignment horizontal="center" vertical="top" wrapText="1"/>
    </xf>
    <xf numFmtId="0" fontId="9" fillId="0" borderId="0" xfId="5" applyFont="1" applyAlignment="1">
      <alignment vertical="top" wrapText="1"/>
    </xf>
    <xf numFmtId="0" fontId="9" fillId="0" borderId="0" xfId="5" applyFont="1" applyAlignment="1">
      <alignment horizontal="justify" vertical="center" wrapText="1"/>
    </xf>
    <xf numFmtId="0" fontId="62" fillId="0" borderId="1" xfId="5" applyBorder="1"/>
    <xf numFmtId="0" fontId="62" fillId="0" borderId="4" xfId="5" applyBorder="1"/>
    <xf numFmtId="0" fontId="62" fillId="0" borderId="5" xfId="5" applyBorder="1"/>
    <xf numFmtId="0" fontId="62" fillId="0" borderId="4" xfId="5" applyBorder="1" applyAlignment="1">
      <alignment wrapText="1"/>
    </xf>
    <xf numFmtId="0" fontId="62" fillId="0" borderId="5" xfId="5" applyBorder="1" applyAlignment="1">
      <alignment wrapText="1"/>
    </xf>
    <xf numFmtId="0" fontId="62" fillId="0" borderId="0" xfId="5" applyAlignment="1">
      <alignment wrapText="1"/>
    </xf>
    <xf numFmtId="188" fontId="62" fillId="0" borderId="5" xfId="5" applyNumberFormat="1" applyBorder="1"/>
    <xf numFmtId="0" fontId="62" fillId="0" borderId="0" xfId="0" applyFont="1" applyAlignment="1"/>
    <xf numFmtId="0" fontId="19" fillId="0" borderId="0" xfId="5" applyFont="1" applyAlignment="1">
      <alignment vertical="top"/>
    </xf>
    <xf numFmtId="0" fontId="93" fillId="0" borderId="0" xfId="5" applyFont="1" applyAlignment="1">
      <alignment vertical="center"/>
    </xf>
    <xf numFmtId="0" fontId="94" fillId="0" borderId="88" xfId="5" applyFont="1" applyBorder="1"/>
    <xf numFmtId="0" fontId="94" fillId="0" borderId="5" xfId="5" applyFont="1" applyBorder="1"/>
    <xf numFmtId="0" fontId="95" fillId="0" borderId="5" xfId="5" applyFont="1" applyBorder="1" applyAlignment="1">
      <alignment horizontal="left" wrapText="1"/>
    </xf>
    <xf numFmtId="0" fontId="95" fillId="0" borderId="4" xfId="5" applyFont="1" applyBorder="1" applyAlignment="1">
      <alignment wrapText="1"/>
    </xf>
    <xf numFmtId="188" fontId="95" fillId="0" borderId="5" xfId="5" applyNumberFormat="1" applyFont="1" applyBorder="1" applyAlignment="1">
      <alignment horizontal="left"/>
    </xf>
    <xf numFmtId="0" fontId="96" fillId="0" borderId="5" xfId="5" applyFont="1" applyBorder="1" applyAlignment="1">
      <alignment horizontal="left" wrapText="1"/>
    </xf>
    <xf numFmtId="0" fontId="95" fillId="0" borderId="5" xfId="5" applyFont="1" applyBorder="1" applyAlignment="1">
      <alignment wrapText="1"/>
    </xf>
    <xf numFmtId="0" fontId="95" fillId="0" borderId="4" xfId="5" applyFont="1" applyBorder="1"/>
    <xf numFmtId="0" fontId="95" fillId="0" borderId="6" xfId="5" applyFont="1" applyBorder="1"/>
    <xf numFmtId="0" fontId="95" fillId="0" borderId="10" xfId="5" applyFont="1" applyBorder="1" applyAlignment="1">
      <alignment wrapText="1"/>
    </xf>
    <xf numFmtId="1" fontId="0" fillId="0" borderId="4" xfId="0" applyNumberFormat="1" applyBorder="1" applyAlignment="1">
      <alignment horizontal="center" vertical="center"/>
    </xf>
    <xf numFmtId="2" fontId="20" fillId="28" borderId="3" xfId="0" applyNumberFormat="1" applyFont="1" applyFill="1" applyBorder="1" applyAlignment="1">
      <alignment horizontal="center" vertical="center"/>
    </xf>
    <xf numFmtId="2" fontId="15" fillId="5" borderId="18" xfId="0" applyNumberFormat="1" applyFont="1" applyFill="1" applyBorder="1" applyAlignment="1">
      <alignment horizontal="center" vertical="center"/>
    </xf>
    <xf numFmtId="2" fontId="15" fillId="5" borderId="23" xfId="0" applyNumberFormat="1" applyFont="1" applyFill="1" applyBorder="1" applyAlignment="1">
      <alignment horizontal="center" vertical="center"/>
    </xf>
    <xf numFmtId="2" fontId="10" fillId="28" borderId="3" xfId="0" applyNumberFormat="1" applyFont="1" applyFill="1" applyBorder="1" applyAlignment="1">
      <alignment horizontal="center" vertical="center"/>
    </xf>
    <xf numFmtId="2" fontId="10" fillId="28" borderId="13" xfId="0" applyNumberFormat="1" applyFont="1" applyFill="1" applyBorder="1" applyAlignment="1">
      <alignment horizontal="center" vertical="center"/>
    </xf>
    <xf numFmtId="2" fontId="10" fillId="28" borderId="25" xfId="0" applyNumberFormat="1" applyFont="1" applyFill="1" applyBorder="1" applyAlignment="1">
      <alignment horizontal="center" vertical="center"/>
    </xf>
    <xf numFmtId="2" fontId="20" fillId="3" borderId="3" xfId="0" applyNumberFormat="1" applyFont="1" applyFill="1" applyBorder="1" applyAlignment="1">
      <alignment horizontal="center" vertical="center"/>
    </xf>
    <xf numFmtId="2" fontId="12" fillId="3" borderId="3" xfId="0" applyNumberFormat="1" applyFont="1" applyFill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62" fillId="25" borderId="3" xfId="0" applyNumberFormat="1" applyFont="1" applyFill="1" applyBorder="1" applyAlignment="1">
      <alignment horizontal="center" vertical="center"/>
    </xf>
    <xf numFmtId="2" fontId="7" fillId="25" borderId="3" xfId="0" applyNumberFormat="1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2" fontId="12" fillId="3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Fill="1" applyAlignment="1" applyProtection="1">
      <alignment horizontal="left" vertical="center"/>
      <protection locked="0"/>
    </xf>
    <xf numFmtId="0" fontId="33" fillId="0" borderId="0" xfId="0" applyFont="1" applyFill="1" applyAlignment="1" applyProtection="1">
      <alignment vertical="center"/>
      <protection locked="0"/>
    </xf>
    <xf numFmtId="0" fontId="57" fillId="0" borderId="0" xfId="0" applyFont="1" applyFill="1" applyAlignment="1">
      <alignment vertical="center"/>
    </xf>
    <xf numFmtId="0" fontId="57" fillId="0" borderId="0" xfId="0" applyFont="1" applyFill="1" applyAlignment="1">
      <alignment horizontal="center" vertical="center"/>
    </xf>
    <xf numFmtId="0" fontId="41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>
      <alignment vertical="center"/>
    </xf>
    <xf numFmtId="0" fontId="33" fillId="0" borderId="3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77" fillId="0" borderId="0" xfId="0" applyFont="1" applyFill="1" applyBorder="1" applyAlignment="1">
      <alignment horizontal="center" vertical="center"/>
    </xf>
    <xf numFmtId="0" fontId="77" fillId="0" borderId="0" xfId="0" applyFont="1" applyFill="1" applyAlignment="1">
      <alignment vertical="center"/>
    </xf>
    <xf numFmtId="2" fontId="33" fillId="0" borderId="3" xfId="0" applyNumberFormat="1" applyFont="1" applyFill="1" applyBorder="1" applyAlignment="1">
      <alignment horizontal="center" vertical="center"/>
    </xf>
    <xf numFmtId="2" fontId="77" fillId="0" borderId="0" xfId="0" applyNumberFormat="1" applyFont="1" applyFill="1" applyBorder="1" applyAlignment="1">
      <alignment horizontal="center" vertical="center"/>
    </xf>
    <xf numFmtId="166" fontId="33" fillId="0" borderId="16" xfId="0" applyNumberFormat="1" applyFont="1" applyFill="1" applyBorder="1" applyAlignment="1">
      <alignment horizontal="center" vertical="center"/>
    </xf>
    <xf numFmtId="166" fontId="33" fillId="0" borderId="48" xfId="0" applyNumberFormat="1" applyFont="1" applyFill="1" applyBorder="1" applyAlignment="1">
      <alignment vertical="center"/>
    </xf>
    <xf numFmtId="166" fontId="33" fillId="0" borderId="0" xfId="0" applyNumberFormat="1" applyFont="1" applyFill="1" applyBorder="1" applyAlignment="1">
      <alignment horizontal="center" vertical="center"/>
    </xf>
    <xf numFmtId="0" fontId="25" fillId="0" borderId="38" xfId="0" applyFont="1" applyFill="1" applyBorder="1" applyAlignment="1">
      <alignment vertical="center"/>
    </xf>
    <xf numFmtId="0" fontId="41" fillId="0" borderId="0" xfId="0" applyFont="1" applyFill="1" applyAlignment="1">
      <alignment horizontal="left" vertical="center"/>
    </xf>
    <xf numFmtId="0" fontId="2" fillId="0" borderId="3" xfId="0" applyFont="1" applyFill="1" applyBorder="1" applyAlignment="1">
      <alignment horizontal="center" vertical="center" wrapText="1"/>
    </xf>
    <xf numFmtId="0" fontId="72" fillId="0" borderId="82" xfId="0" applyFont="1" applyFill="1" applyBorder="1" applyAlignment="1">
      <alignment horizontal="center" vertical="center"/>
    </xf>
    <xf numFmtId="0" fontId="33" fillId="0" borderId="30" xfId="0" applyFont="1" applyFill="1" applyBorder="1" applyAlignment="1">
      <alignment horizontal="center" vertical="center"/>
    </xf>
    <xf numFmtId="0" fontId="33" fillId="0" borderId="47" xfId="0" applyFont="1" applyFill="1" applyBorder="1" applyAlignment="1">
      <alignment vertical="center"/>
    </xf>
    <xf numFmtId="0" fontId="25" fillId="0" borderId="47" xfId="0" applyFont="1" applyFill="1" applyBorder="1" applyAlignment="1">
      <alignment horizontal="center" vertical="center"/>
    </xf>
    <xf numFmtId="0" fontId="33" fillId="0" borderId="33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vertical="center"/>
    </xf>
    <xf numFmtId="0" fontId="25" fillId="0" borderId="45" xfId="0" applyFont="1" applyFill="1" applyBorder="1" applyAlignment="1">
      <alignment horizontal="center" vertical="center"/>
    </xf>
    <xf numFmtId="1" fontId="33" fillId="0" borderId="50" xfId="0" applyNumberFormat="1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60" xfId="0" applyFont="1" applyFill="1" applyBorder="1" applyAlignment="1">
      <alignment vertical="center"/>
    </xf>
    <xf numFmtId="0" fontId="33" fillId="0" borderId="51" xfId="0" applyFont="1" applyFill="1" applyBorder="1" applyAlignment="1" applyProtection="1">
      <alignment horizontal="right" vertical="center"/>
      <protection locked="0"/>
    </xf>
    <xf numFmtId="0" fontId="33" fillId="0" borderId="60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0" fontId="33" fillId="0" borderId="62" xfId="0" applyFont="1" applyFill="1" applyBorder="1" applyAlignment="1">
      <alignment vertical="center"/>
    </xf>
    <xf numFmtId="0" fontId="33" fillId="0" borderId="57" xfId="0" applyFont="1" applyFill="1" applyBorder="1" applyAlignment="1" applyProtection="1">
      <alignment horizontal="right" vertical="center"/>
      <protection locked="0"/>
    </xf>
    <xf numFmtId="0" fontId="33" fillId="0" borderId="62" xfId="0" applyFont="1" applyFill="1" applyBorder="1" applyAlignment="1">
      <alignment horizontal="left" vertical="center"/>
    </xf>
    <xf numFmtId="1" fontId="33" fillId="0" borderId="0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left" vertical="center"/>
    </xf>
    <xf numFmtId="0" fontId="44" fillId="0" borderId="0" xfId="0" applyFont="1" applyFill="1" applyBorder="1" applyAlignment="1">
      <alignment vertical="center"/>
    </xf>
    <xf numFmtId="164" fontId="33" fillId="0" borderId="0" xfId="0" applyNumberFormat="1" applyFont="1" applyFill="1" applyBorder="1" applyAlignment="1">
      <alignment horizontal="right" vertical="center"/>
    </xf>
    <xf numFmtId="0" fontId="33" fillId="0" borderId="3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2" fontId="33" fillId="0" borderId="0" xfId="0" applyNumberFormat="1" applyFont="1" applyFill="1" applyBorder="1" applyAlignment="1">
      <alignment horizontal="right" vertical="center"/>
    </xf>
    <xf numFmtId="167" fontId="33" fillId="0" borderId="0" xfId="0" applyNumberFormat="1" applyFont="1" applyFill="1" applyBorder="1" applyAlignment="1">
      <alignment horizontal="center" vertical="center"/>
    </xf>
    <xf numFmtId="2" fontId="33" fillId="0" borderId="0" xfId="0" applyNumberFormat="1" applyFont="1" applyFill="1" applyAlignment="1">
      <alignment vertical="center"/>
    </xf>
    <xf numFmtId="166" fontId="33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3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167" fontId="33" fillId="0" borderId="0" xfId="0" applyNumberFormat="1" applyFont="1" applyFill="1" applyBorder="1" applyAlignment="1" applyProtection="1">
      <alignment horizontal="center" vertical="center"/>
      <protection locked="0"/>
    </xf>
    <xf numFmtId="2" fontId="33" fillId="0" borderId="0" xfId="0" applyNumberFormat="1" applyFont="1" applyFill="1" applyBorder="1" applyAlignment="1" applyProtection="1">
      <alignment vertical="center"/>
      <protection locked="0"/>
    </xf>
    <xf numFmtId="0" fontId="41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2" fontId="32" fillId="0" borderId="3" xfId="0" applyNumberFormat="1" applyFont="1" applyFill="1" applyBorder="1" applyAlignment="1" applyProtection="1">
      <alignment horizontal="center" vertical="center"/>
      <protection locked="0"/>
    </xf>
    <xf numFmtId="2" fontId="33" fillId="0" borderId="0" xfId="0" applyNumberFormat="1" applyFont="1" applyFill="1" applyAlignment="1" applyProtection="1">
      <alignment vertical="center"/>
    </xf>
    <xf numFmtId="0" fontId="2" fillId="0" borderId="0" xfId="0" applyFont="1" applyFill="1" applyBorder="1" applyAlignment="1">
      <alignment horizontal="left" vertical="center"/>
    </xf>
    <xf numFmtId="2" fontId="33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166" fontId="2" fillId="0" borderId="0" xfId="0" applyNumberFormat="1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left" vertical="center"/>
    </xf>
    <xf numFmtId="166" fontId="33" fillId="0" borderId="0" xfId="0" applyNumberFormat="1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left" vertical="center"/>
    </xf>
    <xf numFmtId="0" fontId="41" fillId="0" borderId="0" xfId="0" applyFont="1" applyFill="1" applyBorder="1" applyAlignment="1">
      <alignment vertical="center"/>
    </xf>
    <xf numFmtId="0" fontId="33" fillId="0" borderId="0" xfId="0" applyNumberFormat="1" applyFont="1" applyFill="1" applyBorder="1" applyAlignment="1">
      <alignment horizontal="left" vertical="center"/>
    </xf>
    <xf numFmtId="0" fontId="33" fillId="0" borderId="0" xfId="0" applyFont="1" applyFill="1" applyBorder="1" applyAlignment="1" applyProtection="1">
      <alignment horizontal="center" vertical="center"/>
      <protection locked="0"/>
    </xf>
    <xf numFmtId="0" fontId="44" fillId="0" borderId="0" xfId="0" applyFont="1" applyFill="1" applyBorder="1" applyAlignment="1" applyProtection="1">
      <alignment horizontal="center" vertical="center"/>
      <protection locked="0"/>
    </xf>
    <xf numFmtId="166" fontId="33" fillId="0" borderId="0" xfId="0" applyNumberFormat="1" applyFont="1" applyFill="1" applyBorder="1" applyAlignment="1" applyProtection="1">
      <alignment horizontal="left" vertical="center"/>
      <protection locked="0"/>
    </xf>
    <xf numFmtId="0" fontId="97" fillId="0" borderId="0" xfId="0" applyFont="1" applyFill="1" applyAlignment="1" applyProtection="1">
      <alignment vertical="center"/>
      <protection locked="0"/>
    </xf>
    <xf numFmtId="0" fontId="32" fillId="0" borderId="0" xfId="0" applyFont="1" applyFill="1" applyAlignment="1" applyProtection="1">
      <alignment horizontal="left" vertical="center"/>
      <protection locked="0"/>
    </xf>
    <xf numFmtId="0" fontId="32" fillId="0" borderId="0" xfId="0" quotePrefix="1" applyFont="1" applyFill="1" applyAlignment="1" applyProtection="1">
      <alignment horizontal="left" vertical="center"/>
      <protection locked="0"/>
    </xf>
    <xf numFmtId="0" fontId="32" fillId="0" borderId="0" xfId="0" quotePrefix="1" applyFont="1" applyFill="1" applyAlignment="1" applyProtection="1">
      <alignment vertical="center"/>
      <protection locked="0"/>
    </xf>
    <xf numFmtId="0" fontId="32" fillId="0" borderId="0" xfId="0" applyFont="1" applyFill="1" applyAlignment="1" applyProtection="1">
      <alignment vertical="center"/>
      <protection locked="0"/>
    </xf>
    <xf numFmtId="0" fontId="98" fillId="0" borderId="0" xfId="0" applyFont="1" applyFill="1" applyBorder="1" applyAlignment="1">
      <alignment vertical="center"/>
    </xf>
    <xf numFmtId="0" fontId="98" fillId="0" borderId="0" xfId="0" applyFont="1" applyFill="1" applyBorder="1" applyAlignment="1">
      <alignment horizontal="center" vertical="center"/>
    </xf>
    <xf numFmtId="0" fontId="98" fillId="0" borderId="0" xfId="0" applyFont="1" applyFill="1" applyBorder="1" applyAlignment="1">
      <alignment vertical="center" wrapText="1"/>
    </xf>
    <xf numFmtId="166" fontId="98" fillId="0" borderId="0" xfId="0" applyNumberFormat="1" applyFont="1" applyFill="1" applyBorder="1" applyAlignment="1">
      <alignment horizontal="center" vertical="center"/>
    </xf>
    <xf numFmtId="2" fontId="98" fillId="0" borderId="0" xfId="0" applyNumberFormat="1" applyFont="1" applyFill="1" applyBorder="1" applyAlignment="1">
      <alignment horizontal="center" vertical="center"/>
    </xf>
    <xf numFmtId="166" fontId="57" fillId="0" borderId="0" xfId="0" applyNumberFormat="1" applyFont="1" applyFill="1" applyBorder="1" applyAlignment="1">
      <alignment horizontal="center" vertical="center"/>
    </xf>
    <xf numFmtId="166" fontId="32" fillId="0" borderId="3" xfId="0" applyNumberFormat="1" applyFont="1" applyFill="1" applyBorder="1" applyAlignment="1" applyProtection="1">
      <alignment horizontal="center" vertical="center"/>
      <protection locked="0"/>
    </xf>
    <xf numFmtId="166" fontId="32" fillId="0" borderId="16" xfId="0" applyNumberFormat="1" applyFont="1" applyFill="1" applyBorder="1" applyAlignment="1" applyProtection="1">
      <alignment horizontal="center" vertical="center"/>
      <protection locked="0"/>
    </xf>
    <xf numFmtId="166" fontId="32" fillId="0" borderId="48" xfId="0" applyNumberFormat="1" applyFont="1" applyFill="1" applyBorder="1" applyAlignment="1" applyProtection="1">
      <alignment horizontal="center" vertical="center"/>
      <protection locked="0"/>
    </xf>
    <xf numFmtId="166" fontId="32" fillId="0" borderId="38" xfId="0" quotePrefix="1" applyNumberFormat="1" applyFont="1" applyFill="1" applyBorder="1" applyAlignment="1" applyProtection="1">
      <alignment horizontal="right" vertical="center"/>
      <protection locked="0"/>
    </xf>
    <xf numFmtId="164" fontId="32" fillId="0" borderId="38" xfId="0" quotePrefix="1" applyNumberFormat="1" applyFont="1" applyFill="1" applyBorder="1" applyAlignment="1" applyProtection="1">
      <alignment horizontal="right" vertical="center"/>
      <protection locked="0"/>
    </xf>
    <xf numFmtId="0" fontId="32" fillId="0" borderId="46" xfId="0" applyFont="1" applyFill="1" applyBorder="1" applyAlignment="1" applyProtection="1">
      <alignment horizontal="right" vertical="center"/>
      <protection locked="0"/>
    </xf>
    <xf numFmtId="178" fontId="32" fillId="0" borderId="38" xfId="0" quotePrefix="1" applyNumberFormat="1" applyFont="1" applyFill="1" applyBorder="1" applyAlignment="1" applyProtection="1">
      <alignment horizontal="right" vertical="center"/>
      <protection locked="0"/>
    </xf>
    <xf numFmtId="0" fontId="72" fillId="0" borderId="0" xfId="0" applyFont="1" applyFill="1" applyAlignment="1">
      <alignment vertical="center"/>
    </xf>
    <xf numFmtId="0" fontId="72" fillId="0" borderId="0" xfId="0" applyFont="1" applyFill="1" applyAlignment="1">
      <alignment horizontal="left" vertical="center"/>
    </xf>
    <xf numFmtId="0" fontId="72" fillId="0" borderId="0" xfId="0" applyFont="1" applyFill="1" applyAlignment="1">
      <alignment horizontal="center" vertical="center"/>
    </xf>
    <xf numFmtId="0" fontId="99" fillId="0" borderId="3" xfId="0" quotePrefix="1" applyFont="1" applyFill="1" applyBorder="1" applyAlignment="1">
      <alignment vertical="center"/>
    </xf>
    <xf numFmtId="0" fontId="99" fillId="0" borderId="3" xfId="0" quotePrefix="1" applyFont="1" applyFill="1" applyBorder="1">
      <alignment vertical="center"/>
    </xf>
    <xf numFmtId="0" fontId="99" fillId="0" borderId="0" xfId="0" quotePrefix="1" applyFont="1" applyFill="1" applyBorder="1">
      <alignment vertical="center"/>
    </xf>
    <xf numFmtId="0" fontId="68" fillId="0" borderId="38" xfId="0" applyFont="1" applyFill="1" applyBorder="1" applyAlignment="1">
      <alignment vertical="center"/>
    </xf>
    <xf numFmtId="187" fontId="72" fillId="0" borderId="0" xfId="0" applyNumberFormat="1" applyFont="1" applyFill="1" applyAlignment="1">
      <alignment vertical="center"/>
    </xf>
    <xf numFmtId="0" fontId="68" fillId="0" borderId="30" xfId="0" applyFont="1" applyFill="1" applyBorder="1" applyAlignment="1">
      <alignment vertical="center"/>
    </xf>
    <xf numFmtId="0" fontId="68" fillId="0" borderId="47" xfId="0" applyFont="1" applyFill="1" applyBorder="1" applyAlignment="1">
      <alignment vertical="center"/>
    </xf>
    <xf numFmtId="0" fontId="72" fillId="0" borderId="0" xfId="0" applyFont="1" applyFill="1" applyBorder="1" applyAlignment="1">
      <alignment vertical="center"/>
    </xf>
    <xf numFmtId="0" fontId="72" fillId="0" borderId="0" xfId="0" applyFont="1" applyFill="1" applyBorder="1" applyAlignment="1">
      <alignment horizontal="center" vertical="center"/>
    </xf>
    <xf numFmtId="2" fontId="72" fillId="0" borderId="0" xfId="0" applyNumberFormat="1" applyFont="1" applyFill="1" applyBorder="1" applyAlignment="1">
      <alignment horizontal="right" vertical="center"/>
    </xf>
    <xf numFmtId="167" fontId="72" fillId="0" borderId="0" xfId="0" applyNumberFormat="1" applyFont="1" applyFill="1" applyBorder="1" applyAlignment="1">
      <alignment horizontal="right" vertical="center"/>
    </xf>
    <xf numFmtId="164" fontId="72" fillId="0" borderId="42" xfId="0" applyNumberFormat="1" applyFont="1" applyFill="1" applyBorder="1" applyAlignment="1">
      <alignment horizontal="center" vertical="center"/>
    </xf>
    <xf numFmtId="167" fontId="72" fillId="0" borderId="71" xfId="0" applyNumberFormat="1" applyFont="1" applyFill="1" applyBorder="1" applyAlignment="1">
      <alignment horizontal="center" vertical="center" wrapText="1"/>
    </xf>
    <xf numFmtId="167" fontId="72" fillId="0" borderId="35" xfId="0" applyNumberFormat="1" applyFont="1" applyFill="1" applyBorder="1" applyAlignment="1">
      <alignment horizontal="center" vertical="center"/>
    </xf>
    <xf numFmtId="0" fontId="72" fillId="0" borderId="35" xfId="0" applyFont="1" applyFill="1" applyBorder="1" applyAlignment="1">
      <alignment horizontal="center" vertical="center"/>
    </xf>
    <xf numFmtId="0" fontId="72" fillId="0" borderId="36" xfId="0" applyFont="1" applyFill="1" applyBorder="1" applyAlignment="1">
      <alignment horizontal="center" vertical="center"/>
    </xf>
    <xf numFmtId="0" fontId="100" fillId="0" borderId="0" xfId="0" applyFont="1" applyFill="1" applyBorder="1" applyAlignment="1">
      <alignment vertical="center"/>
    </xf>
    <xf numFmtId="1" fontId="72" fillId="0" borderId="72" xfId="0" applyNumberFormat="1" applyFont="1" applyFill="1" applyBorder="1" applyAlignment="1">
      <alignment horizontal="center" vertical="center"/>
    </xf>
    <xf numFmtId="166" fontId="72" fillId="0" borderId="63" xfId="0" applyNumberFormat="1" applyFont="1" applyFill="1" applyBorder="1" applyAlignment="1">
      <alignment horizontal="center" vertical="center"/>
    </xf>
    <xf numFmtId="166" fontId="72" fillId="0" borderId="21" xfId="0" applyNumberFormat="1" applyFont="1" applyFill="1" applyBorder="1" applyAlignment="1">
      <alignment horizontal="center" vertical="center"/>
    </xf>
    <xf numFmtId="0" fontId="72" fillId="0" borderId="21" xfId="0" applyFont="1" applyFill="1" applyBorder="1" applyAlignment="1">
      <alignment horizontal="center" vertical="center"/>
    </xf>
    <xf numFmtId="1" fontId="72" fillId="0" borderId="21" xfId="0" applyNumberFormat="1" applyFont="1" applyFill="1" applyBorder="1" applyAlignment="1">
      <alignment horizontal="center" vertical="center"/>
    </xf>
    <xf numFmtId="1" fontId="72" fillId="0" borderId="22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horizontal="center" vertical="center"/>
    </xf>
    <xf numFmtId="166" fontId="72" fillId="0" borderId="47" xfId="0" applyNumberFormat="1" applyFont="1" applyFill="1" applyBorder="1" applyAlignment="1">
      <alignment horizontal="center" vertical="center"/>
    </xf>
    <xf numFmtId="166" fontId="72" fillId="0" borderId="3" xfId="0" applyNumberFormat="1" applyFont="1" applyFill="1" applyBorder="1" applyAlignment="1">
      <alignment horizontal="center" vertical="center"/>
    </xf>
    <xf numFmtId="0" fontId="72" fillId="0" borderId="3" xfId="0" applyFont="1" applyFill="1" applyBorder="1" applyAlignment="1">
      <alignment horizontal="center" vertical="center"/>
    </xf>
    <xf numFmtId="1" fontId="72" fillId="0" borderId="3" xfId="0" applyNumberFormat="1" applyFont="1" applyFill="1" applyBorder="1" applyAlignment="1">
      <alignment horizontal="center" vertical="center"/>
    </xf>
    <xf numFmtId="1" fontId="72" fillId="0" borderId="23" xfId="0" applyNumberFormat="1" applyFont="1" applyFill="1" applyBorder="1" applyAlignment="1">
      <alignment horizontal="center" vertical="center"/>
    </xf>
    <xf numFmtId="0" fontId="72" fillId="0" borderId="47" xfId="0" applyFont="1" applyFill="1" applyBorder="1" applyAlignment="1">
      <alignment horizontal="center" vertical="center"/>
    </xf>
    <xf numFmtId="166" fontId="72" fillId="0" borderId="23" xfId="0" applyNumberFormat="1" applyFont="1" applyFill="1" applyBorder="1" applyAlignment="1">
      <alignment horizontal="center" vertical="center"/>
    </xf>
    <xf numFmtId="2" fontId="72" fillId="0" borderId="3" xfId="0" applyNumberFormat="1" applyFont="1" applyFill="1" applyBorder="1" applyAlignment="1">
      <alignment horizontal="center"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72" fillId="0" borderId="70" xfId="0" applyFont="1" applyFill="1" applyBorder="1" applyAlignment="1">
      <alignment horizontal="center" vertical="center"/>
    </xf>
    <xf numFmtId="0" fontId="72" fillId="0" borderId="25" xfId="0" applyFont="1" applyFill="1" applyBorder="1" applyAlignment="1">
      <alignment horizontal="center" vertical="center"/>
    </xf>
    <xf numFmtId="2" fontId="72" fillId="0" borderId="25" xfId="0" applyNumberFormat="1" applyFont="1" applyFill="1" applyBorder="1" applyAlignment="1">
      <alignment horizontal="center" vertical="center"/>
    </xf>
    <xf numFmtId="166" fontId="72" fillId="0" borderId="26" xfId="0" applyNumberFormat="1" applyFont="1" applyFill="1" applyBorder="1" applyAlignment="1">
      <alignment horizontal="center" vertical="center"/>
    </xf>
    <xf numFmtId="2" fontId="72" fillId="0" borderId="0" xfId="0" applyNumberFormat="1" applyFont="1" applyFill="1" applyBorder="1" applyAlignment="1" applyProtection="1">
      <alignment vertical="center"/>
      <protection locked="0"/>
    </xf>
    <xf numFmtId="0" fontId="72" fillId="0" borderId="0" xfId="0" applyFont="1" applyFill="1" applyBorder="1" applyAlignment="1" applyProtection="1">
      <alignment vertical="center"/>
      <protection locked="0"/>
    </xf>
    <xf numFmtId="0" fontId="72" fillId="0" borderId="0" xfId="0" applyFont="1" applyFill="1" applyAlignment="1" applyProtection="1">
      <alignment vertical="center"/>
      <protection locked="0"/>
    </xf>
    <xf numFmtId="0" fontId="82" fillId="0" borderId="0" xfId="0" applyFont="1" applyFill="1" applyAlignment="1" applyProtection="1">
      <alignment vertical="center"/>
      <protection locked="0"/>
    </xf>
    <xf numFmtId="0" fontId="72" fillId="0" borderId="3" xfId="0" applyFont="1" applyFill="1" applyBorder="1" applyAlignment="1" applyProtection="1">
      <alignment horizontal="center" vertical="center"/>
      <protection locked="0"/>
    </xf>
    <xf numFmtId="171" fontId="72" fillId="0" borderId="3" xfId="0" applyNumberFormat="1" applyFont="1" applyFill="1" applyBorder="1" applyAlignment="1" applyProtection="1">
      <alignment horizontal="center" vertical="center"/>
      <protection locked="0"/>
    </xf>
    <xf numFmtId="171" fontId="72" fillId="0" borderId="0" xfId="0" applyNumberFormat="1" applyFont="1" applyFill="1" applyBorder="1" applyAlignment="1" applyProtection="1">
      <alignment vertical="center"/>
      <protection locked="0"/>
    </xf>
    <xf numFmtId="2" fontId="72" fillId="0" borderId="3" xfId="0" applyNumberFormat="1" applyFont="1" applyFill="1" applyBorder="1" applyAlignment="1" applyProtection="1">
      <alignment horizontal="center" vertical="center"/>
      <protection locked="0"/>
    </xf>
    <xf numFmtId="171" fontId="72" fillId="0" borderId="0" xfId="0" applyNumberFormat="1" applyFont="1" applyFill="1" applyAlignment="1">
      <alignment vertical="center"/>
    </xf>
    <xf numFmtId="0" fontId="101" fillId="0" borderId="0" xfId="0" applyFont="1" applyFill="1" applyBorder="1" applyAlignment="1">
      <alignment horizontal="left" vertical="center"/>
    </xf>
    <xf numFmtId="0" fontId="102" fillId="0" borderId="0" xfId="0" applyFont="1" applyFill="1" applyBorder="1" applyAlignment="1">
      <alignment vertical="center"/>
    </xf>
    <xf numFmtId="166" fontId="72" fillId="0" borderId="0" xfId="0" applyNumberFormat="1" applyFont="1" applyFill="1" applyBorder="1" applyAlignment="1">
      <alignment horizontal="right" vertical="center"/>
    </xf>
    <xf numFmtId="2" fontId="72" fillId="0" borderId="0" xfId="0" applyNumberFormat="1" applyFont="1" applyFill="1" applyBorder="1" applyAlignment="1">
      <alignment vertical="center"/>
    </xf>
    <xf numFmtId="166" fontId="72" fillId="0" borderId="0" xfId="0" applyNumberFormat="1" applyFont="1" applyFill="1" applyBorder="1" applyAlignment="1">
      <alignment vertical="center"/>
    </xf>
    <xf numFmtId="164" fontId="72" fillId="0" borderId="0" xfId="0" applyNumberFormat="1" applyFont="1" applyFill="1" applyBorder="1" applyAlignment="1">
      <alignment horizontal="right" vertical="center"/>
    </xf>
    <xf numFmtId="166" fontId="72" fillId="0" borderId="0" xfId="0" applyNumberFormat="1" applyFont="1" applyFill="1" applyBorder="1" applyAlignment="1">
      <alignment horizontal="left" vertical="center"/>
    </xf>
    <xf numFmtId="0" fontId="72" fillId="0" borderId="0" xfId="0" applyFont="1" applyFill="1" applyBorder="1" applyAlignment="1">
      <alignment horizontal="left" vertical="center"/>
    </xf>
    <xf numFmtId="190" fontId="0" fillId="8" borderId="23" xfId="0" applyNumberFormat="1" applyFill="1" applyBorder="1" applyAlignment="1">
      <alignment horizontal="center" vertical="center"/>
    </xf>
    <xf numFmtId="2" fontId="12" fillId="3" borderId="3" xfId="5" applyNumberFormat="1" applyFont="1" applyFill="1" applyBorder="1" applyAlignment="1">
      <alignment vertical="center"/>
    </xf>
    <xf numFmtId="2" fontId="12" fillId="3" borderId="2" xfId="5" applyNumberFormat="1" applyFont="1" applyFill="1" applyBorder="1" applyAlignment="1">
      <alignment horizontal="center" vertical="center"/>
    </xf>
    <xf numFmtId="2" fontId="4" fillId="28" borderId="3" xfId="5" applyNumberFormat="1" applyFont="1" applyFill="1" applyBorder="1" applyAlignment="1">
      <alignment horizontal="center" vertical="center"/>
    </xf>
    <xf numFmtId="1" fontId="12" fillId="3" borderId="3" xfId="5" applyNumberFormat="1" applyFont="1" applyFill="1" applyBorder="1" applyAlignment="1">
      <alignment horizontal="center" vertical="center"/>
    </xf>
    <xf numFmtId="1" fontId="12" fillId="3" borderId="12" xfId="5" applyNumberFormat="1" applyFont="1" applyFill="1" applyBorder="1" applyAlignment="1">
      <alignment horizontal="center" vertical="center"/>
    </xf>
    <xf numFmtId="2" fontId="12" fillId="3" borderId="2" xfId="5" applyNumberFormat="1" applyFont="1" applyFill="1" applyBorder="1" applyAlignment="1">
      <alignment horizontal="left" vertical="center" wrapText="1"/>
    </xf>
    <xf numFmtId="2" fontId="4" fillId="3" borderId="3" xfId="5" applyNumberFormat="1" applyFont="1" applyFill="1" applyBorder="1" applyAlignment="1">
      <alignment horizontal="center" vertical="center"/>
    </xf>
    <xf numFmtId="2" fontId="9" fillId="3" borderId="3" xfId="5" applyNumberFormat="1" applyFont="1" applyFill="1" applyBorder="1" applyAlignment="1">
      <alignment horizontal="center" vertical="center"/>
    </xf>
    <xf numFmtId="2" fontId="10" fillId="3" borderId="23" xfId="5" applyNumberFormat="1" applyFont="1" applyFill="1" applyBorder="1" applyAlignment="1">
      <alignment horizontal="center"/>
    </xf>
    <xf numFmtId="2" fontId="10" fillId="3" borderId="26" xfId="5" applyNumberFormat="1" applyFont="1" applyFill="1" applyBorder="1" applyAlignment="1">
      <alignment horizontal="center"/>
    </xf>
    <xf numFmtId="2" fontId="10" fillId="3" borderId="4" xfId="5" applyNumberFormat="1" applyFont="1" applyFill="1" applyBorder="1" applyAlignment="1">
      <alignment horizontal="center"/>
    </xf>
    <xf numFmtId="2" fontId="15" fillId="3" borderId="0" xfId="5" applyNumberFormat="1" applyFont="1" applyFill="1"/>
    <xf numFmtId="2" fontId="9" fillId="3" borderId="0" xfId="5" applyNumberFormat="1" applyFont="1" applyFill="1"/>
    <xf numFmtId="189" fontId="8" fillId="3" borderId="18" xfId="5" applyNumberFormat="1" applyFont="1" applyFill="1" applyBorder="1" applyAlignment="1">
      <alignment horizontal="center" vertical="center"/>
    </xf>
    <xf numFmtId="2" fontId="8" fillId="3" borderId="3" xfId="5" applyNumberFormat="1" applyFont="1" applyFill="1" applyBorder="1" applyAlignment="1">
      <alignment horizontal="center" vertical="center"/>
    </xf>
    <xf numFmtId="2" fontId="8" fillId="3" borderId="18" xfId="5" applyNumberFormat="1" applyFont="1" applyFill="1" applyBorder="1" applyAlignment="1">
      <alignment horizontal="center" vertical="center"/>
    </xf>
    <xf numFmtId="2" fontId="4" fillId="0" borderId="3" xfId="5" applyNumberFormat="1" applyFont="1" applyBorder="1" applyAlignment="1">
      <alignment horizontal="center" vertical="center"/>
    </xf>
    <xf numFmtId="2" fontId="62" fillId="0" borderId="3" xfId="5" applyNumberFormat="1" applyBorder="1" applyAlignment="1">
      <alignment horizontal="center" vertical="center"/>
    </xf>
    <xf numFmtId="2" fontId="9" fillId="25" borderId="3" xfId="5" applyNumberFormat="1" applyFont="1" applyFill="1" applyBorder="1"/>
    <xf numFmtId="2" fontId="9" fillId="25" borderId="3" xfId="5" applyNumberFormat="1" applyFont="1" applyFill="1" applyBorder="1" applyAlignment="1">
      <alignment horizontal="center" vertical="center"/>
    </xf>
    <xf numFmtId="2" fontId="8" fillId="25" borderId="3" xfId="5" applyNumberFormat="1" applyFont="1" applyFill="1" applyBorder="1" applyAlignment="1">
      <alignment horizontal="center" vertical="center"/>
    </xf>
    <xf numFmtId="2" fontId="10" fillId="25" borderId="3" xfId="5" applyNumberFormat="1" applyFont="1" applyFill="1" applyBorder="1" applyAlignment="1">
      <alignment horizontal="center" vertical="center"/>
    </xf>
    <xf numFmtId="2" fontId="62" fillId="25" borderId="3" xfId="5" applyNumberFormat="1" applyFill="1" applyBorder="1" applyAlignment="1">
      <alignment horizontal="center" vertical="center"/>
    </xf>
    <xf numFmtId="2" fontId="62" fillId="25" borderId="3" xfId="5" quotePrefix="1" applyNumberFormat="1" applyFill="1" applyBorder="1" applyAlignment="1">
      <alignment horizontal="center" vertical="center"/>
    </xf>
    <xf numFmtId="2" fontId="4" fillId="25" borderId="3" xfId="5" applyNumberFormat="1" applyFont="1" applyFill="1" applyBorder="1" applyAlignment="1">
      <alignment horizontal="center" vertical="center"/>
    </xf>
    <xf numFmtId="164" fontId="8" fillId="3" borderId="3" xfId="5" applyNumberFormat="1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2" fontId="62" fillId="3" borderId="3" xfId="5" applyNumberFormat="1" applyFill="1" applyBorder="1" applyAlignment="1">
      <alignment horizontal="center" vertical="center"/>
    </xf>
    <xf numFmtId="164" fontId="62" fillId="3" borderId="3" xfId="5" applyNumberFormat="1" applyFill="1" applyBorder="1" applyAlignment="1">
      <alignment horizontal="center" vertical="center"/>
    </xf>
    <xf numFmtId="190" fontId="0" fillId="0" borderId="3" xfId="0" applyNumberFormat="1" applyBorder="1" applyAlignment="1">
      <alignment horizontal="center" vertical="center"/>
    </xf>
    <xf numFmtId="190" fontId="0" fillId="8" borderId="0" xfId="0" applyNumberFormat="1" applyFill="1" applyAlignment="1">
      <alignment horizontal="center"/>
    </xf>
    <xf numFmtId="190" fontId="0" fillId="21" borderId="0" xfId="0" applyNumberFormat="1" applyFill="1" applyAlignment="1">
      <alignment horizontal="center"/>
    </xf>
    <xf numFmtId="190" fontId="0" fillId="5" borderId="0" xfId="0" applyNumberFormat="1" applyFill="1" applyAlignment="1">
      <alignment horizontal="center"/>
    </xf>
    <xf numFmtId="190" fontId="0" fillId="16" borderId="21" xfId="0" applyNumberFormat="1" applyFill="1" applyBorder="1" applyAlignment="1">
      <alignment horizontal="center"/>
    </xf>
    <xf numFmtId="190" fontId="0" fillId="21" borderId="3" xfId="0" applyNumberFormat="1" applyFill="1" applyBorder="1" applyAlignment="1">
      <alignment horizontal="center" vertical="center"/>
    </xf>
    <xf numFmtId="190" fontId="10" fillId="3" borderId="3" xfId="0" applyNumberFormat="1" applyFont="1" applyFill="1" applyBorder="1" applyAlignment="1">
      <alignment horizontal="center" vertical="center"/>
    </xf>
    <xf numFmtId="192" fontId="10" fillId="3" borderId="3" xfId="0" applyNumberFormat="1" applyFont="1" applyFill="1" applyBorder="1" applyAlignment="1">
      <alignment horizontal="center" vertical="center"/>
    </xf>
    <xf numFmtId="190" fontId="0" fillId="19" borderId="0" xfId="0" applyNumberFormat="1" applyFill="1">
      <alignment vertical="center"/>
    </xf>
    <xf numFmtId="190" fontId="0" fillId="19" borderId="0" xfId="0" applyNumberFormat="1" applyFill="1" applyAlignment="1">
      <alignment horizontal="center" vertical="center"/>
    </xf>
    <xf numFmtId="190" fontId="23" fillId="19" borderId="0" xfId="0" applyNumberFormat="1" applyFont="1" applyFill="1" applyAlignment="1">
      <alignment horizontal="center" vertical="center"/>
    </xf>
    <xf numFmtId="190" fontId="23" fillId="14" borderId="3" xfId="0" applyNumberFormat="1" applyFont="1" applyFill="1" applyBorder="1" applyAlignment="1">
      <alignment horizontal="center" vertical="center" wrapText="1"/>
    </xf>
    <xf numFmtId="190" fontId="23" fillId="19" borderId="0" xfId="0" applyNumberFormat="1" applyFont="1" applyFill="1" applyAlignment="1">
      <alignment horizontal="center" vertical="center" wrapText="1"/>
    </xf>
    <xf numFmtId="190" fontId="0" fillId="0" borderId="0" xfId="0" applyNumberFormat="1">
      <alignment vertical="center"/>
    </xf>
    <xf numFmtId="190" fontId="0" fillId="7" borderId="3" xfId="0" applyNumberFormat="1" applyFill="1" applyBorder="1" applyAlignment="1">
      <alignment horizontal="center"/>
    </xf>
    <xf numFmtId="190" fontId="5" fillId="15" borderId="3" xfId="0" applyNumberFormat="1" applyFont="1" applyFill="1" applyBorder="1" applyAlignment="1"/>
    <xf numFmtId="190" fontId="24" fillId="19" borderId="0" xfId="0" applyNumberFormat="1" applyFont="1" applyFill="1" applyAlignment="1"/>
    <xf numFmtId="190" fontId="0" fillId="7" borderId="3" xfId="0" applyNumberFormat="1" applyFill="1" applyBorder="1" applyAlignment="1">
      <alignment horizontal="center" vertical="top" wrapText="1"/>
    </xf>
    <xf numFmtId="190" fontId="7" fillId="0" borderId="18" xfId="0" applyNumberFormat="1" applyFont="1" applyBorder="1" applyAlignment="1">
      <alignment horizontal="center" vertical="center"/>
    </xf>
    <xf numFmtId="190" fontId="0" fillId="8" borderId="3" xfId="0" applyNumberFormat="1" applyFill="1" applyBorder="1" applyAlignment="1">
      <alignment horizontal="center" vertical="center"/>
    </xf>
    <xf numFmtId="190" fontId="23" fillId="14" borderId="3" xfId="0" applyNumberFormat="1" applyFont="1" applyFill="1" applyBorder="1" applyAlignment="1">
      <alignment horizontal="center"/>
    </xf>
    <xf numFmtId="190" fontId="23" fillId="19" borderId="0" xfId="0" applyNumberFormat="1" applyFont="1" applyFill="1" applyAlignment="1">
      <alignment horizontal="center"/>
    </xf>
    <xf numFmtId="190" fontId="7" fillId="19" borderId="0" xfId="0" applyNumberFormat="1" applyFont="1" applyFill="1" applyAlignment="1">
      <alignment horizontal="center"/>
    </xf>
    <xf numFmtId="190" fontId="0" fillId="19" borderId="0" xfId="0" applyNumberFormat="1" applyFill="1" applyAlignment="1">
      <alignment horizontal="center"/>
    </xf>
    <xf numFmtId="190" fontId="7" fillId="19" borderId="25" xfId="0" applyNumberFormat="1" applyFont="1" applyFill="1" applyBorder="1" applyAlignment="1">
      <alignment horizontal="center" vertical="center"/>
    </xf>
    <xf numFmtId="190" fontId="0" fillId="19" borderId="0" xfId="0" applyNumberFormat="1" applyFill="1" applyAlignment="1"/>
    <xf numFmtId="190" fontId="7" fillId="19" borderId="0" xfId="0" applyNumberFormat="1" applyFont="1" applyFill="1" applyAlignment="1">
      <alignment horizontal="center" vertical="center"/>
    </xf>
    <xf numFmtId="190" fontId="0" fillId="8" borderId="3" xfId="0" applyNumberFormat="1" applyFill="1" applyBorder="1" applyAlignment="1">
      <alignment horizontal="center" vertical="top"/>
    </xf>
    <xf numFmtId="190" fontId="7" fillId="0" borderId="63" xfId="0" applyNumberFormat="1" applyFont="1" applyBorder="1" applyAlignment="1">
      <alignment horizontal="center" vertical="center"/>
    </xf>
    <xf numFmtId="190" fontId="5" fillId="15" borderId="21" xfId="0" applyNumberFormat="1" applyFont="1" applyFill="1" applyBorder="1" applyAlignment="1"/>
    <xf numFmtId="190" fontId="62" fillId="15" borderId="21" xfId="0" applyNumberFormat="1" applyFont="1" applyFill="1" applyBorder="1" applyAlignment="1">
      <alignment horizontal="center"/>
    </xf>
    <xf numFmtId="190" fontId="6" fillId="15" borderId="21" xfId="0" applyNumberFormat="1" applyFont="1" applyFill="1" applyBorder="1" applyAlignment="1">
      <alignment horizontal="center"/>
    </xf>
    <xf numFmtId="190" fontId="0" fillId="8" borderId="3" xfId="0" applyNumberFormat="1" applyFill="1" applyBorder="1" applyAlignment="1">
      <alignment horizontal="center"/>
    </xf>
    <xf numFmtId="190" fontId="26" fillId="19" borderId="0" xfId="0" applyNumberFormat="1" applyFont="1" applyFill="1" applyAlignment="1"/>
    <xf numFmtId="190" fontId="28" fillId="19" borderId="0" xfId="1" applyNumberFormat="1" applyFont="1" applyFill="1" applyProtection="1"/>
    <xf numFmtId="190" fontId="28" fillId="19" borderId="0" xfId="0" applyNumberFormat="1" applyFont="1" applyFill="1">
      <alignment vertical="center"/>
    </xf>
    <xf numFmtId="190" fontId="27" fillId="19" borderId="0" xfId="0" applyNumberFormat="1" applyFont="1" applyFill="1" applyAlignment="1">
      <alignment horizontal="center" vertical="center"/>
    </xf>
    <xf numFmtId="190" fontId="26" fillId="19" borderId="0" xfId="0" applyNumberFormat="1" applyFont="1" applyFill="1" applyAlignment="1">
      <alignment horizontal="center"/>
    </xf>
    <xf numFmtId="190" fontId="26" fillId="19" borderId="0" xfId="0" applyNumberFormat="1" applyFont="1" applyFill="1" applyAlignment="1">
      <alignment horizontal="center" vertical="center"/>
    </xf>
    <xf numFmtId="190" fontId="62" fillId="19" borderId="0" xfId="0" applyNumberFormat="1" applyFont="1" applyFill="1" applyAlignment="1"/>
    <xf numFmtId="190" fontId="7" fillId="0" borderId="15" xfId="0" applyNumberFormat="1" applyFont="1" applyBorder="1" applyAlignment="1">
      <alignment horizontal="center" vertical="center"/>
    </xf>
    <xf numFmtId="190" fontId="0" fillId="8" borderId="16" xfId="0" applyNumberFormat="1" applyFill="1" applyBorder="1" applyAlignment="1">
      <alignment horizontal="center" vertical="center"/>
    </xf>
    <xf numFmtId="190" fontId="0" fillId="8" borderId="17" xfId="0" applyNumberFormat="1" applyFill="1" applyBorder="1" applyAlignment="1">
      <alignment horizontal="center" vertical="center"/>
    </xf>
    <xf numFmtId="190" fontId="0" fillId="16" borderId="33" xfId="0" applyNumberFormat="1" applyFill="1" applyBorder="1" applyAlignment="1">
      <alignment horizontal="center"/>
    </xf>
    <xf numFmtId="190" fontId="0" fillId="19" borderId="23" xfId="0" applyNumberFormat="1" applyFill="1" applyBorder="1" applyAlignment="1">
      <alignment horizontal="center" vertical="center"/>
    </xf>
    <xf numFmtId="190" fontId="79" fillId="20" borderId="0" xfId="0" applyNumberFormat="1" applyFont="1" applyFill="1" applyAlignment="1">
      <alignment vertical="center"/>
    </xf>
    <xf numFmtId="190" fontId="0" fillId="5" borderId="21" xfId="0" applyNumberFormat="1" applyFill="1" applyBorder="1" applyAlignment="1">
      <alignment horizontal="center" vertical="center"/>
    </xf>
    <xf numFmtId="190" fontId="62" fillId="5" borderId="21" xfId="0" applyNumberFormat="1" applyFont="1" applyFill="1" applyBorder="1" applyAlignment="1">
      <alignment horizontal="left" vertical="center" wrapText="1"/>
    </xf>
    <xf numFmtId="190" fontId="17" fillId="5" borderId="3" xfId="0" applyNumberFormat="1" applyFont="1" applyFill="1" applyBorder="1" applyAlignment="1">
      <alignment horizontal="left" vertical="center" wrapText="1"/>
    </xf>
    <xf numFmtId="190" fontId="0" fillId="5" borderId="21" xfId="0" applyNumberFormat="1" applyFill="1" applyBorder="1" applyAlignment="1">
      <alignment horizontal="left" vertical="center" wrapText="1"/>
    </xf>
    <xf numFmtId="190" fontId="0" fillId="5" borderId="3" xfId="0" applyNumberFormat="1" applyFill="1" applyBorder="1" applyAlignment="1">
      <alignment horizontal="left" vertical="top" wrapText="1"/>
    </xf>
    <xf numFmtId="190" fontId="0" fillId="0" borderId="0" xfId="0" applyNumberFormat="1" applyAlignment="1">
      <alignment horizontal="center" vertical="center"/>
    </xf>
    <xf numFmtId="190" fontId="23" fillId="0" borderId="0" xfId="0" applyNumberFormat="1" applyFont="1" applyAlignment="1">
      <alignment horizontal="center" vertical="center"/>
    </xf>
    <xf numFmtId="190" fontId="0" fillId="0" borderId="0" xfId="0" applyNumberFormat="1" applyAlignment="1">
      <alignment vertical="top" wrapText="1"/>
    </xf>
    <xf numFmtId="190" fontId="0" fillId="0" borderId="0" xfId="0" applyNumberFormat="1" applyAlignment="1">
      <alignment horizontal="left" vertical="top" wrapText="1"/>
    </xf>
    <xf numFmtId="190" fontId="0" fillId="0" borderId="0" xfId="0" applyNumberFormat="1" applyAlignment="1">
      <alignment horizontal="center" vertical="center" wrapText="1"/>
    </xf>
    <xf numFmtId="190" fontId="0" fillId="30" borderId="0" xfId="0" applyNumberFormat="1" applyFill="1">
      <alignment vertical="center"/>
    </xf>
    <xf numFmtId="190" fontId="0" fillId="30" borderId="21" xfId="0" applyNumberFormat="1" applyFill="1" applyBorder="1" applyAlignment="1">
      <alignment horizontal="center" vertical="center"/>
    </xf>
    <xf numFmtId="190" fontId="62" fillId="30" borderId="21" xfId="0" applyNumberFormat="1" applyFont="1" applyFill="1" applyBorder="1" applyAlignment="1">
      <alignment horizontal="left" vertical="center" wrapText="1"/>
    </xf>
    <xf numFmtId="190" fontId="62" fillId="30" borderId="59" xfId="0" applyNumberFormat="1" applyFont="1" applyFill="1" applyBorder="1" applyAlignment="1">
      <alignment horizontal="left" vertical="center" wrapText="1"/>
    </xf>
    <xf numFmtId="190" fontId="17" fillId="30" borderId="3" xfId="0" applyNumberFormat="1" applyFont="1" applyFill="1" applyBorder="1" applyAlignment="1">
      <alignment horizontal="left" vertical="center" wrapText="1"/>
    </xf>
    <xf numFmtId="190" fontId="0" fillId="30" borderId="21" xfId="0" applyNumberFormat="1" applyFill="1" applyBorder="1" applyAlignment="1">
      <alignment horizontal="left" vertical="center" wrapText="1"/>
    </xf>
    <xf numFmtId="190" fontId="0" fillId="30" borderId="3" xfId="0" applyNumberFormat="1" applyFill="1" applyBorder="1" applyAlignment="1">
      <alignment horizontal="left" vertical="top" wrapText="1"/>
    </xf>
    <xf numFmtId="190" fontId="0" fillId="30" borderId="0" xfId="0" applyNumberFormat="1" applyFill="1" applyAlignment="1">
      <alignment horizontal="center" vertical="center"/>
    </xf>
    <xf numFmtId="190" fontId="23" fillId="30" borderId="0" xfId="0" applyNumberFormat="1" applyFont="1" applyFill="1" applyAlignment="1">
      <alignment horizontal="center" vertical="center"/>
    </xf>
    <xf numFmtId="190" fontId="0" fillId="30" borderId="0" xfId="0" applyNumberFormat="1" applyFill="1" applyAlignment="1">
      <alignment vertical="top" wrapText="1"/>
    </xf>
    <xf numFmtId="190" fontId="0" fillId="30" borderId="0" xfId="0" applyNumberFormat="1" applyFill="1" applyAlignment="1">
      <alignment horizontal="left" vertical="top" wrapText="1"/>
    </xf>
    <xf numFmtId="190" fontId="0" fillId="30" borderId="0" xfId="0" applyNumberFormat="1" applyFill="1" applyAlignment="1">
      <alignment horizontal="center" vertical="center" wrapText="1"/>
    </xf>
    <xf numFmtId="190" fontId="7" fillId="0" borderId="3" xfId="0" applyNumberFormat="1" applyFont="1" applyBorder="1" applyAlignment="1">
      <alignment horizontal="center" vertical="center"/>
    </xf>
    <xf numFmtId="190" fontId="0" fillId="21" borderId="23" xfId="0" applyNumberFormat="1" applyFill="1" applyBorder="1" applyAlignment="1">
      <alignment horizontal="center" vertical="center"/>
    </xf>
    <xf numFmtId="190" fontId="7" fillId="21" borderId="3" xfId="0" applyNumberFormat="1" applyFont="1" applyFill="1" applyBorder="1" applyAlignment="1">
      <alignment horizontal="center" vertical="center"/>
    </xf>
    <xf numFmtId="190" fontId="0" fillId="0" borderId="0" xfId="0" applyNumberFormat="1" applyAlignment="1"/>
    <xf numFmtId="190" fontId="62" fillId="21" borderId="3" xfId="0" applyNumberFormat="1" applyFont="1" applyFill="1" applyBorder="1" applyAlignment="1">
      <alignment horizontal="center" vertical="center"/>
    </xf>
    <xf numFmtId="190" fontId="23" fillId="0" borderId="0" xfId="0" applyNumberFormat="1" applyFont="1" applyAlignment="1">
      <alignment horizontal="center"/>
    </xf>
    <xf numFmtId="190" fontId="0" fillId="0" borderId="3" xfId="0" applyNumberFormat="1" applyFill="1" applyBorder="1" applyAlignment="1">
      <alignment horizontal="center" vertical="center"/>
    </xf>
    <xf numFmtId="190" fontId="7" fillId="0" borderId="0" xfId="0" applyNumberFormat="1" applyFont="1" applyAlignment="1">
      <alignment horizontal="center" vertical="center"/>
    </xf>
    <xf numFmtId="190" fontId="0" fillId="19" borderId="33" xfId="0" applyNumberFormat="1" applyFill="1" applyBorder="1">
      <alignment vertical="center"/>
    </xf>
    <xf numFmtId="190" fontId="7" fillId="19" borderId="0" xfId="0" applyNumberFormat="1" applyFont="1" applyFill="1">
      <alignment vertical="center"/>
    </xf>
    <xf numFmtId="190" fontId="0" fillId="5" borderId="3" xfId="0" applyNumberFormat="1" applyFill="1" applyBorder="1" applyAlignment="1">
      <alignment horizontal="center" vertical="center"/>
    </xf>
    <xf numFmtId="190" fontId="0" fillId="5" borderId="3" xfId="0" applyNumberFormat="1" applyFill="1" applyBorder="1" applyAlignment="1">
      <alignment vertical="top" wrapText="1"/>
    </xf>
    <xf numFmtId="190" fontId="0" fillId="5" borderId="3" xfId="0" applyNumberFormat="1" applyFill="1" applyBorder="1" applyAlignment="1">
      <alignment vertical="center" wrapText="1"/>
    </xf>
    <xf numFmtId="190" fontId="62" fillId="5" borderId="3" xfId="0" applyNumberFormat="1" applyFont="1" applyFill="1" applyBorder="1" applyAlignment="1">
      <alignment horizontal="left" vertical="center" wrapText="1"/>
    </xf>
    <xf numFmtId="190" fontId="62" fillId="5" borderId="3" xfId="0" applyNumberFormat="1" applyFont="1" applyFill="1" applyBorder="1" applyAlignment="1">
      <alignment horizontal="left" vertical="top" wrapText="1"/>
    </xf>
    <xf numFmtId="190" fontId="0" fillId="5" borderId="3" xfId="0" applyNumberFormat="1" applyFill="1" applyBorder="1" applyAlignment="1">
      <alignment horizontal="center" vertical="center" wrapText="1"/>
    </xf>
    <xf numFmtId="190" fontId="0" fillId="30" borderId="3" xfId="0" applyNumberFormat="1" applyFill="1" applyBorder="1" applyAlignment="1">
      <alignment horizontal="center" vertical="center"/>
    </xf>
    <xf numFmtId="190" fontId="0" fillId="30" borderId="3" xfId="0" applyNumberFormat="1" applyFill="1" applyBorder="1" applyAlignment="1">
      <alignment vertical="top" wrapText="1"/>
    </xf>
    <xf numFmtId="190" fontId="0" fillId="30" borderId="3" xfId="0" applyNumberFormat="1" applyFill="1" applyBorder="1" applyAlignment="1">
      <alignment vertical="center" wrapText="1"/>
    </xf>
    <xf numFmtId="190" fontId="62" fillId="30" borderId="3" xfId="0" applyNumberFormat="1" applyFont="1" applyFill="1" applyBorder="1" applyAlignment="1">
      <alignment horizontal="left" vertical="center" wrapText="1"/>
    </xf>
    <xf numFmtId="190" fontId="62" fillId="30" borderId="3" xfId="0" applyNumberFormat="1" applyFont="1" applyFill="1" applyBorder="1" applyAlignment="1">
      <alignment horizontal="left" vertical="top" wrapText="1"/>
    </xf>
    <xf numFmtId="190" fontId="0" fillId="30" borderId="3" xfId="0" applyNumberFormat="1" applyFill="1" applyBorder="1" applyAlignment="1">
      <alignment horizontal="center" vertical="center" wrapText="1"/>
    </xf>
    <xf numFmtId="190" fontId="0" fillId="21" borderId="3" xfId="0" applyNumberFormat="1" applyFill="1" applyBorder="1" applyAlignment="1">
      <alignment horizontal="center" vertical="top"/>
    </xf>
    <xf numFmtId="190" fontId="0" fillId="0" borderId="0" xfId="0" applyNumberFormat="1" applyAlignment="1">
      <alignment horizontal="center" vertical="top"/>
    </xf>
    <xf numFmtId="190" fontId="62" fillId="0" borderId="0" xfId="0" applyNumberFormat="1" applyFont="1" applyAlignment="1">
      <alignment horizontal="center" vertical="center"/>
    </xf>
    <xf numFmtId="190" fontId="0" fillId="5" borderId="3" xfId="0" applyNumberFormat="1" applyFill="1" applyBorder="1" applyAlignment="1">
      <alignment horizontal="left" vertical="center" wrapText="1"/>
    </xf>
    <xf numFmtId="190" fontId="0" fillId="30" borderId="3" xfId="0" applyNumberFormat="1" applyFill="1" applyBorder="1" applyAlignment="1">
      <alignment horizontal="left" vertical="center" wrapText="1"/>
    </xf>
    <xf numFmtId="190" fontId="0" fillId="21" borderId="3" xfId="0" applyNumberFormat="1" applyFill="1" applyBorder="1" applyAlignment="1">
      <alignment horizontal="center"/>
    </xf>
    <xf numFmtId="190" fontId="7" fillId="0" borderId="3" xfId="0" applyNumberFormat="1" applyFont="1" applyBorder="1" applyAlignment="1">
      <alignment horizontal="center"/>
    </xf>
    <xf numFmtId="190" fontId="0" fillId="5" borderId="38" xfId="0" applyNumberFormat="1" applyFill="1" applyBorder="1" applyAlignment="1">
      <alignment horizontal="left" vertical="center" wrapText="1"/>
    </xf>
    <xf numFmtId="190" fontId="0" fillId="30" borderId="38" xfId="0" applyNumberFormat="1" applyFill="1" applyBorder="1" applyAlignment="1">
      <alignment horizontal="left" vertical="center" wrapText="1"/>
    </xf>
    <xf numFmtId="190" fontId="0" fillId="21" borderId="38" xfId="0" applyNumberFormat="1" applyFill="1" applyBorder="1" applyAlignment="1">
      <alignment horizontal="center" vertical="center"/>
    </xf>
    <xf numFmtId="190" fontId="0" fillId="0" borderId="38" xfId="0" applyNumberFormat="1" applyBorder="1" applyAlignment="1">
      <alignment horizontal="center" vertical="center"/>
    </xf>
    <xf numFmtId="190" fontId="62" fillId="5" borderId="3" xfId="0" applyNumberFormat="1" applyFont="1" applyFill="1" applyBorder="1" applyAlignment="1">
      <alignment horizontal="center" vertical="center"/>
    </xf>
    <xf numFmtId="190" fontId="62" fillId="30" borderId="3" xfId="0" applyNumberFormat="1" applyFont="1" applyFill="1" applyBorder="1" applyAlignment="1">
      <alignment horizontal="center" vertical="center"/>
    </xf>
    <xf numFmtId="190" fontId="14" fillId="0" borderId="0" xfId="0" applyNumberFormat="1" applyFont="1" applyAlignment="1">
      <alignment horizontal="left" vertical="top" wrapText="1"/>
    </xf>
    <xf numFmtId="190" fontId="7" fillId="23" borderId="0" xfId="0" applyNumberFormat="1" applyFont="1" applyFill="1" applyAlignment="1">
      <alignment horizontal="center" vertical="center"/>
    </xf>
    <xf numFmtId="190" fontId="30" fillId="0" borderId="0" xfId="0" applyNumberFormat="1" applyFont="1" applyAlignment="1">
      <alignment horizontal="center" vertical="center"/>
    </xf>
    <xf numFmtId="190" fontId="33" fillId="0" borderId="0" xfId="0" applyNumberFormat="1" applyFont="1" applyAlignment="1">
      <alignment horizontal="left" vertical="center"/>
    </xf>
    <xf numFmtId="190" fontId="62" fillId="19" borderId="0" xfId="0" applyNumberFormat="1" applyFont="1" applyFill="1" applyAlignment="1">
      <alignment horizontal="center"/>
    </xf>
    <xf numFmtId="190" fontId="33" fillId="0" borderId="0" xfId="0" applyNumberFormat="1" applyFont="1">
      <alignment vertical="center"/>
    </xf>
    <xf numFmtId="190" fontId="7" fillId="0" borderId="0" xfId="0" applyNumberFormat="1" applyFont="1" applyAlignment="1">
      <alignment horizontal="center"/>
    </xf>
    <xf numFmtId="190" fontId="33" fillId="19" borderId="0" xfId="0" applyNumberFormat="1" applyFont="1" applyFill="1">
      <alignment vertical="center"/>
    </xf>
    <xf numFmtId="190" fontId="81" fillId="0" borderId="0" xfId="0" applyNumberFormat="1" applyFont="1" applyAlignment="1">
      <alignment horizontal="center" vertical="center" wrapText="1"/>
    </xf>
    <xf numFmtId="190" fontId="82" fillId="24" borderId="0" xfId="0" applyNumberFormat="1" applyFont="1" applyFill="1" applyAlignment="1">
      <alignment vertical="center" wrapText="1"/>
    </xf>
    <xf numFmtId="190" fontId="17" fillId="24" borderId="0" xfId="0" applyNumberFormat="1" applyFont="1" applyFill="1" applyBorder="1" applyAlignment="1">
      <alignment horizontal="left" vertical="center" wrapText="1"/>
    </xf>
    <xf numFmtId="190" fontId="7" fillId="0" borderId="0" xfId="0" applyNumberFormat="1" applyFont="1" applyAlignment="1">
      <alignment horizontal="center" vertical="center" wrapText="1"/>
    </xf>
    <xf numFmtId="190" fontId="82" fillId="0" borderId="0" xfId="0" applyNumberFormat="1" applyFont="1" applyAlignment="1">
      <alignment horizontal="center"/>
    </xf>
    <xf numFmtId="190" fontId="0" fillId="0" borderId="0" xfId="0" applyNumberFormat="1" applyAlignment="1">
      <alignment horizontal="center"/>
    </xf>
    <xf numFmtId="190" fontId="7" fillId="0" borderId="0" xfId="0" applyNumberFormat="1" applyFont="1" applyAlignment="1">
      <alignment horizontal="center" vertical="top" wrapText="1"/>
    </xf>
    <xf numFmtId="190" fontId="0" fillId="9" borderId="0" xfId="0" applyNumberFormat="1" applyFill="1" applyAlignment="1">
      <alignment horizontal="center" vertical="center"/>
    </xf>
    <xf numFmtId="190" fontId="0" fillId="5" borderId="0" xfId="0" applyNumberFormat="1" applyFill="1">
      <alignment vertical="center"/>
    </xf>
    <xf numFmtId="190" fontId="7" fillId="0" borderId="3" xfId="0" applyNumberFormat="1" applyFont="1" applyBorder="1" applyAlignment="1">
      <alignment horizontal="center" vertical="center" wrapText="1"/>
    </xf>
    <xf numFmtId="190" fontId="23" fillId="0" borderId="3" xfId="0" applyNumberFormat="1" applyFont="1" applyBorder="1" applyAlignment="1">
      <alignment horizontal="center" vertical="center"/>
    </xf>
    <xf numFmtId="190" fontId="0" fillId="0" borderId="3" xfId="0" applyNumberFormat="1" applyBorder="1" applyAlignment="1">
      <alignment horizontal="center"/>
    </xf>
    <xf numFmtId="190" fontId="7" fillId="19" borderId="0" xfId="0" applyNumberFormat="1" applyFont="1" applyFill="1" applyAlignment="1">
      <alignment horizontal="center" vertical="top" wrapText="1"/>
    </xf>
    <xf numFmtId="190" fontId="7" fillId="19" borderId="0" xfId="0" applyNumberFormat="1" applyFont="1" applyFill="1" applyAlignment="1">
      <alignment horizontal="center" vertical="center" wrapText="1"/>
    </xf>
    <xf numFmtId="190" fontId="23" fillId="10" borderId="0" xfId="0" applyNumberFormat="1" applyFont="1" applyFill="1" applyAlignment="1">
      <alignment horizontal="center" vertical="center"/>
    </xf>
    <xf numFmtId="190" fontId="62" fillId="0" borderId="0" xfId="2" applyNumberFormat="1">
      <protection locked="0"/>
    </xf>
    <xf numFmtId="190" fontId="31" fillId="0" borderId="0" xfId="0" applyNumberFormat="1" applyFont="1">
      <alignment vertical="center"/>
    </xf>
    <xf numFmtId="190" fontId="31" fillId="0" borderId="0" xfId="0" applyNumberFormat="1" applyFont="1" applyAlignment="1">
      <alignment horizontal="center" vertical="center"/>
    </xf>
    <xf numFmtId="190" fontId="32" fillId="0" borderId="0" xfId="0" applyNumberFormat="1" applyFont="1" applyAlignment="1" applyProtection="1">
      <alignment horizontal="center" vertical="center"/>
      <protection locked="0"/>
    </xf>
    <xf numFmtId="190" fontId="23" fillId="0" borderId="0" xfId="0" applyNumberFormat="1" applyFont="1">
      <alignment vertical="center"/>
    </xf>
    <xf numFmtId="190" fontId="32" fillId="0" borderId="0" xfId="0" applyNumberFormat="1" applyFont="1" applyAlignment="1">
      <alignment horizontal="center" vertical="center"/>
    </xf>
    <xf numFmtId="191" fontId="7" fillId="0" borderId="63" xfId="0" applyNumberFormat="1" applyFont="1" applyBorder="1" applyAlignment="1">
      <alignment horizontal="center" vertical="center"/>
    </xf>
    <xf numFmtId="0" fontId="25" fillId="12" borderId="0" xfId="0" applyFont="1" applyFill="1" applyAlignment="1" applyProtection="1">
      <alignment horizontal="left" vertical="center"/>
      <protection locked="0"/>
    </xf>
    <xf numFmtId="190" fontId="82" fillId="19" borderId="0" xfId="0" applyNumberFormat="1" applyFont="1" applyFill="1" applyAlignment="1">
      <alignment horizontal="center" vertical="center"/>
    </xf>
    <xf numFmtId="2" fontId="23" fillId="14" borderId="3" xfId="0" applyNumberFormat="1" applyFont="1" applyFill="1" applyBorder="1" applyAlignment="1">
      <alignment horizontal="center"/>
    </xf>
    <xf numFmtId="2" fontId="0" fillId="16" borderId="21" xfId="0" applyNumberFormat="1" applyFill="1" applyBorder="1" applyAlignment="1">
      <alignment horizontal="center"/>
    </xf>
    <xf numFmtId="190" fontId="0" fillId="8" borderId="23" xfId="0" applyNumberFormat="1" applyFill="1" applyBorder="1" applyAlignment="1">
      <alignment horizontal="center" vertical="center"/>
    </xf>
    <xf numFmtId="190" fontId="0" fillId="0" borderId="0" xfId="0" applyNumberFormat="1" applyFill="1" applyBorder="1">
      <alignment vertical="center"/>
    </xf>
    <xf numFmtId="2" fontId="0" fillId="0" borderId="0" xfId="0" applyNumberFormat="1" applyFill="1" applyBorder="1">
      <alignment vertical="center"/>
    </xf>
    <xf numFmtId="2" fontId="23" fillId="5" borderId="3" xfId="0" applyNumberFormat="1" applyFont="1" applyFill="1" applyBorder="1" applyAlignment="1">
      <alignment horizontal="center"/>
    </xf>
    <xf numFmtId="2" fontId="23" fillId="21" borderId="3" xfId="0" applyNumberFormat="1" applyFont="1" applyFill="1" applyBorder="1" applyAlignment="1">
      <alignment horizontal="center"/>
    </xf>
    <xf numFmtId="2" fontId="24" fillId="31" borderId="3" xfId="0" applyNumberFormat="1" applyFont="1" applyFill="1" applyBorder="1" applyAlignment="1">
      <alignment horizontal="center" vertical="center"/>
    </xf>
    <xf numFmtId="2" fontId="23" fillId="31" borderId="3" xfId="0" applyNumberFormat="1" applyFont="1" applyFill="1" applyBorder="1" applyAlignment="1">
      <alignment horizontal="center"/>
    </xf>
    <xf numFmtId="193" fontId="0" fillId="16" borderId="21" xfId="0" applyNumberFormat="1" applyFill="1" applyBorder="1" applyAlignment="1">
      <alignment horizontal="center"/>
    </xf>
    <xf numFmtId="193" fontId="23" fillId="31" borderId="3" xfId="0" applyNumberFormat="1" applyFont="1" applyFill="1" applyBorder="1" applyAlignment="1">
      <alignment horizontal="center"/>
    </xf>
    <xf numFmtId="193" fontId="82" fillId="8" borderId="0" xfId="0" applyNumberFormat="1" applyFont="1" applyFill="1" applyAlignment="1">
      <alignment horizontal="center" vertical="center"/>
    </xf>
    <xf numFmtId="0" fontId="25" fillId="12" borderId="0" xfId="0" applyFont="1" applyFill="1" applyAlignment="1" applyProtection="1">
      <alignment horizontal="left" vertical="center"/>
      <protection locked="0"/>
    </xf>
    <xf numFmtId="1" fontId="33" fillId="0" borderId="0" xfId="0" applyNumberFormat="1" applyFont="1" applyAlignment="1" applyProtection="1">
      <alignment horizontal="left" vertical="center"/>
    </xf>
    <xf numFmtId="166" fontId="33" fillId="0" borderId="47" xfId="0" applyNumberFormat="1" applyFont="1" applyBorder="1" applyAlignment="1">
      <alignment horizontal="left" vertical="center"/>
    </xf>
    <xf numFmtId="0" fontId="17" fillId="0" borderId="38" xfId="0" applyFont="1" applyBorder="1" applyAlignment="1">
      <alignment horizontal="right" vertical="center"/>
    </xf>
    <xf numFmtId="1" fontId="25" fillId="12" borderId="0" xfId="0" applyNumberFormat="1" applyFont="1" applyFill="1" applyBorder="1" applyAlignment="1" applyProtection="1">
      <alignment horizontal="left" vertical="center"/>
    </xf>
    <xf numFmtId="1" fontId="25" fillId="12" borderId="0" xfId="0" applyNumberFormat="1" applyFont="1" applyFill="1" applyAlignment="1" applyProtection="1">
      <alignment horizontal="left" vertical="center"/>
    </xf>
    <xf numFmtId="1" fontId="25" fillId="12" borderId="0" xfId="0" applyNumberFormat="1" applyFont="1" applyFill="1" applyAlignment="1" applyProtection="1">
      <alignment horizontal="center" vertical="center"/>
    </xf>
    <xf numFmtId="0" fontId="25" fillId="0" borderId="0" xfId="0" applyNumberFormat="1" applyFont="1" applyProtection="1">
      <alignment vertical="center"/>
    </xf>
    <xf numFmtId="0" fontId="25" fillId="12" borderId="0" xfId="0" applyNumberFormat="1" applyFont="1" applyFill="1" applyAlignment="1" applyProtection="1">
      <alignment vertical="center"/>
    </xf>
    <xf numFmtId="1" fontId="25" fillId="0" borderId="38" xfId="0" applyNumberFormat="1" applyFont="1" applyBorder="1" applyAlignment="1" applyProtection="1">
      <alignment horizontal="right" vertical="center"/>
    </xf>
    <xf numFmtId="164" fontId="25" fillId="0" borderId="38" xfId="0" applyNumberFormat="1" applyFont="1" applyBorder="1" applyAlignment="1" applyProtection="1">
      <alignment horizontal="right" vertical="center"/>
    </xf>
    <xf numFmtId="1" fontId="25" fillId="0" borderId="38" xfId="0" applyNumberFormat="1" applyFont="1" applyBorder="1" applyProtection="1">
      <alignment vertical="center"/>
    </xf>
    <xf numFmtId="1" fontId="25" fillId="0" borderId="3" xfId="0" applyNumberFormat="1" applyFont="1" applyBorder="1" applyAlignment="1" applyProtection="1">
      <alignment horizontal="center" vertical="center"/>
    </xf>
    <xf numFmtId="1" fontId="8" fillId="3" borderId="18" xfId="5" applyNumberFormat="1" applyFont="1" applyFill="1" applyBorder="1" applyAlignment="1">
      <alignment horizontal="center" vertical="center"/>
    </xf>
    <xf numFmtId="1" fontId="8" fillId="3" borderId="3" xfId="5" applyNumberFormat="1" applyFont="1" applyFill="1" applyBorder="1" applyAlignment="1">
      <alignment horizontal="center" vertical="center"/>
    </xf>
    <xf numFmtId="0" fontId="45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33" fillId="0" borderId="53" xfId="0" applyFont="1" applyBorder="1" applyAlignment="1">
      <alignment horizontal="center" vertical="center"/>
    </xf>
    <xf numFmtId="0" fontId="44" fillId="0" borderId="53" xfId="0" applyFont="1" applyBorder="1" applyAlignment="1">
      <alignment horizontal="center" vertical="center"/>
    </xf>
    <xf numFmtId="0" fontId="33" fillId="0" borderId="56" xfId="0" applyFont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3" fillId="12" borderId="8" xfId="0" applyFont="1" applyFill="1" applyBorder="1" applyAlignment="1">
      <alignment horizontal="center"/>
    </xf>
    <xf numFmtId="0" fontId="33" fillId="12" borderId="11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33" fillId="0" borderId="3" xfId="0" applyFont="1" applyBorder="1" applyAlignment="1"/>
    <xf numFmtId="166" fontId="33" fillId="0" borderId="3" xfId="0" applyNumberFormat="1" applyFont="1" applyBorder="1" applyAlignment="1">
      <alignment horizontal="center" vertical="center"/>
    </xf>
    <xf numFmtId="166" fontId="3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66" fontId="33" fillId="0" borderId="21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3" fillId="0" borderId="77" xfId="0" applyFont="1" applyBorder="1" applyAlignment="1">
      <alignment horizontal="center"/>
    </xf>
    <xf numFmtId="0" fontId="33" fillId="0" borderId="77" xfId="0" applyFont="1" applyBorder="1" applyAlignment="1">
      <alignment horizontal="center" vertical="center"/>
    </xf>
    <xf numFmtId="0" fontId="33" fillId="0" borderId="76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44" fillId="0" borderId="56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33" fillId="0" borderId="77" xfId="0" applyFont="1" applyBorder="1" applyAlignment="1">
      <alignment horizontal="center" wrapText="1"/>
    </xf>
    <xf numFmtId="0" fontId="33" fillId="0" borderId="3" xfId="0" applyFont="1" applyBorder="1" applyAlignment="1">
      <alignment horizontal="center" vertical="center"/>
    </xf>
    <xf numFmtId="0" fontId="82" fillId="0" borderId="3" xfId="0" applyFont="1" applyBorder="1" applyAlignment="1">
      <alignment horizontal="center" vertical="center"/>
    </xf>
    <xf numFmtId="0" fontId="72" fillId="0" borderId="0" xfId="0" applyFont="1" applyFill="1" applyBorder="1" applyAlignment="1">
      <alignment horizontal="center" vertical="center"/>
    </xf>
    <xf numFmtId="0" fontId="33" fillId="0" borderId="3" xfId="0" applyFont="1" applyFill="1" applyBorder="1" applyAlignment="1">
      <alignment horizontal="center" vertical="center"/>
    </xf>
    <xf numFmtId="0" fontId="72" fillId="0" borderId="85" xfId="0" quotePrefix="1" applyFont="1" applyFill="1" applyBorder="1" applyAlignment="1">
      <alignment horizontal="center" vertical="center"/>
    </xf>
    <xf numFmtId="0" fontId="72" fillId="0" borderId="83" xfId="0" applyFont="1" applyFill="1" applyBorder="1" applyAlignment="1">
      <alignment horizontal="center" vertical="center"/>
    </xf>
    <xf numFmtId="0" fontId="72" fillId="0" borderId="84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187" fontId="25" fillId="0" borderId="3" xfId="0" applyNumberFormat="1" applyFont="1" applyFill="1" applyBorder="1" applyAlignment="1">
      <alignment horizontal="center" vertical="center"/>
    </xf>
    <xf numFmtId="0" fontId="44" fillId="0" borderId="51" xfId="0" applyFont="1" applyFill="1" applyBorder="1" applyAlignment="1">
      <alignment horizontal="center" vertical="center"/>
    </xf>
    <xf numFmtId="0" fontId="44" fillId="0" borderId="6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right" vertical="center"/>
    </xf>
    <xf numFmtId="0" fontId="71" fillId="0" borderId="0" xfId="3" applyFont="1" applyFill="1" applyBorder="1" applyAlignment="1">
      <alignment horizontal="center" vertical="center"/>
    </xf>
    <xf numFmtId="0" fontId="33" fillId="0" borderId="38" xfId="0" applyFont="1" applyFill="1" applyBorder="1" applyAlignment="1" applyProtection="1">
      <alignment horizontal="center" vertical="center"/>
    </xf>
    <xf numFmtId="0" fontId="33" fillId="0" borderId="47" xfId="0" applyFont="1" applyFill="1" applyBorder="1" applyAlignment="1" applyProtection="1">
      <alignment horizontal="center" vertical="center"/>
    </xf>
    <xf numFmtId="0" fontId="25" fillId="0" borderId="38" xfId="0" applyFont="1" applyFill="1" applyBorder="1" applyAlignment="1">
      <alignment horizontal="left" vertical="center"/>
    </xf>
    <xf numFmtId="0" fontId="25" fillId="0" borderId="30" xfId="0" applyFont="1" applyFill="1" applyBorder="1" applyAlignment="1">
      <alignment horizontal="left" vertical="center"/>
    </xf>
    <xf numFmtId="0" fontId="25" fillId="0" borderId="47" xfId="0" applyFont="1" applyFill="1" applyBorder="1" applyAlignment="1">
      <alignment horizontal="left" vertical="center"/>
    </xf>
    <xf numFmtId="1" fontId="33" fillId="0" borderId="16" xfId="0" applyNumberFormat="1" applyFont="1" applyFill="1" applyBorder="1" applyAlignment="1" applyProtection="1">
      <alignment horizontal="center" vertical="center"/>
    </xf>
    <xf numFmtId="1" fontId="33" fillId="0" borderId="33" xfId="0" applyNumberFormat="1" applyFont="1" applyFill="1" applyBorder="1" applyAlignment="1" applyProtection="1">
      <alignment horizontal="center" vertical="center"/>
    </xf>
    <xf numFmtId="1" fontId="33" fillId="0" borderId="21" xfId="0" applyNumberFormat="1" applyFont="1" applyFill="1" applyBorder="1" applyAlignment="1" applyProtection="1">
      <alignment horizontal="center" vertical="center"/>
    </xf>
    <xf numFmtId="2" fontId="33" fillId="0" borderId="16" xfId="0" applyNumberFormat="1" applyFont="1" applyFill="1" applyBorder="1" applyAlignment="1" applyProtection="1">
      <alignment horizontal="center" vertical="center"/>
    </xf>
    <xf numFmtId="0" fontId="33" fillId="0" borderId="21" xfId="0" applyFont="1" applyFill="1" applyBorder="1" applyAlignment="1" applyProtection="1">
      <alignment horizontal="center" vertical="center"/>
    </xf>
    <xf numFmtId="166" fontId="33" fillId="0" borderId="3" xfId="0" applyNumberFormat="1" applyFont="1" applyFill="1" applyBorder="1" applyAlignment="1" applyProtection="1">
      <alignment horizontal="center" vertical="center"/>
    </xf>
    <xf numFmtId="2" fontId="33" fillId="0" borderId="3" xfId="0" applyNumberFormat="1" applyFont="1" applyFill="1" applyBorder="1" applyAlignment="1" applyProtection="1">
      <alignment horizontal="center" vertical="center" wrapText="1"/>
    </xf>
    <xf numFmtId="1" fontId="33" fillId="0" borderId="16" xfId="0" quotePrefix="1" applyNumberFormat="1" applyFont="1" applyFill="1" applyBorder="1" applyAlignment="1" applyProtection="1">
      <alignment horizontal="center" vertical="center"/>
      <protection locked="0"/>
    </xf>
    <xf numFmtId="1" fontId="33" fillId="0" borderId="33" xfId="0" applyNumberFormat="1" applyFont="1" applyFill="1" applyBorder="1" applyAlignment="1" applyProtection="1">
      <alignment horizontal="center" vertical="center"/>
      <protection locked="0"/>
    </xf>
    <xf numFmtId="1" fontId="33" fillId="0" borderId="21" xfId="0" applyNumberFormat="1" applyFont="1" applyFill="1" applyBorder="1" applyAlignment="1" applyProtection="1">
      <alignment horizontal="center" vertical="center"/>
      <protection locked="0"/>
    </xf>
    <xf numFmtId="0" fontId="44" fillId="0" borderId="57" xfId="0" applyFont="1" applyFill="1" applyBorder="1" applyAlignment="1">
      <alignment horizontal="center" vertical="center"/>
    </xf>
    <xf numFmtId="0" fontId="44" fillId="0" borderId="62" xfId="0" applyFont="1" applyFill="1" applyBorder="1" applyAlignment="1">
      <alignment horizontal="center" vertical="center"/>
    </xf>
    <xf numFmtId="0" fontId="57" fillId="0" borderId="0" xfId="0" applyFont="1" applyFill="1" applyAlignment="1">
      <alignment horizontal="center" vertical="center"/>
    </xf>
    <xf numFmtId="180" fontId="57" fillId="0" borderId="0" xfId="0" applyNumberFormat="1" applyFont="1" applyFill="1" applyAlignment="1">
      <alignment horizontal="center" vertical="center"/>
    </xf>
    <xf numFmtId="172" fontId="57" fillId="0" borderId="0" xfId="0" applyNumberFormat="1" applyFont="1" applyFill="1" applyAlignment="1">
      <alignment horizontal="center" vertical="center"/>
    </xf>
    <xf numFmtId="0" fontId="33" fillId="0" borderId="0" xfId="0" applyFont="1" applyFill="1" applyBorder="1" applyAlignment="1" applyProtection="1">
      <alignment horizontal="center" vertical="center"/>
      <protection locked="0"/>
    </xf>
    <xf numFmtId="166" fontId="33" fillId="0" borderId="0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left" vertical="center"/>
    </xf>
    <xf numFmtId="0" fontId="33" fillId="0" borderId="0" xfId="0" applyFont="1" applyFill="1" applyAlignment="1" applyProtection="1">
      <alignment horizontal="left" vertical="center"/>
      <protection locked="0"/>
    </xf>
    <xf numFmtId="0" fontId="2" fillId="0" borderId="3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72" fillId="0" borderId="8" xfId="0" applyFont="1" applyFill="1" applyBorder="1" applyAlignment="1">
      <alignment horizontal="center" vertical="center"/>
    </xf>
    <xf numFmtId="0" fontId="72" fillId="0" borderId="9" xfId="0" applyFont="1" applyFill="1" applyBorder="1" applyAlignment="1">
      <alignment horizontal="center" vertical="center"/>
    </xf>
    <xf numFmtId="0" fontId="72" fillId="0" borderId="11" xfId="0" applyFont="1" applyFill="1" applyBorder="1" applyAlignment="1">
      <alignment horizontal="center" vertical="center"/>
    </xf>
    <xf numFmtId="0" fontId="33" fillId="0" borderId="3" xfId="0" applyFont="1" applyFill="1" applyBorder="1" applyAlignment="1">
      <alignment horizontal="center" vertical="center" wrapText="1"/>
    </xf>
    <xf numFmtId="0" fontId="58" fillId="0" borderId="46" xfId="0" applyFont="1" applyFill="1" applyBorder="1" applyAlignment="1">
      <alignment horizontal="center" vertical="center"/>
    </xf>
    <xf numFmtId="0" fontId="58" fillId="0" borderId="0" xfId="0" applyFont="1" applyFill="1" applyBorder="1" applyAlignment="1">
      <alignment horizontal="center" vertical="center"/>
    </xf>
    <xf numFmtId="166" fontId="33" fillId="0" borderId="3" xfId="0" applyNumberFormat="1" applyFont="1" applyFill="1" applyBorder="1" applyAlignment="1">
      <alignment horizontal="center" vertical="center"/>
    </xf>
    <xf numFmtId="164" fontId="33" fillId="0" borderId="3" xfId="0" applyNumberFormat="1" applyFont="1" applyFill="1" applyBorder="1" applyAlignment="1">
      <alignment horizontal="center" vertical="center"/>
    </xf>
    <xf numFmtId="1" fontId="33" fillId="0" borderId="3" xfId="0" applyNumberFormat="1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horizontal="center" vertical="center"/>
    </xf>
    <xf numFmtId="164" fontId="57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/>
    </xf>
    <xf numFmtId="166" fontId="72" fillId="0" borderId="0" xfId="0" applyNumberFormat="1" applyFont="1" applyFill="1" applyBorder="1" applyAlignment="1">
      <alignment horizontal="center" vertical="center"/>
    </xf>
    <xf numFmtId="0" fontId="33" fillId="0" borderId="3" xfId="0" applyFont="1" applyFill="1" applyBorder="1" applyAlignment="1" applyProtection="1">
      <alignment horizontal="center" vertical="center" wrapText="1"/>
    </xf>
    <xf numFmtId="0" fontId="33" fillId="0" borderId="3" xfId="0" applyFont="1" applyFill="1" applyBorder="1" applyAlignment="1" applyProtection="1">
      <alignment horizontal="center" vertical="center"/>
    </xf>
    <xf numFmtId="166" fontId="32" fillId="0" borderId="3" xfId="0" applyNumberFormat="1" applyFont="1" applyFill="1" applyBorder="1" applyAlignment="1" applyProtection="1">
      <alignment horizontal="center" vertical="center"/>
      <protection locked="0"/>
    </xf>
    <xf numFmtId="166" fontId="32" fillId="0" borderId="3" xfId="0" applyNumberFormat="1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3" fillId="0" borderId="3" xfId="0" applyFont="1" applyFill="1" applyBorder="1" applyAlignment="1" applyProtection="1">
      <alignment horizontal="left" vertical="center"/>
    </xf>
    <xf numFmtId="166" fontId="33" fillId="0" borderId="3" xfId="0" applyNumberFormat="1" applyFont="1" applyFill="1" applyBorder="1" applyAlignment="1" applyProtection="1">
      <alignment horizontal="left" vertical="center"/>
    </xf>
    <xf numFmtId="2" fontId="33" fillId="0" borderId="3" xfId="0" applyNumberFormat="1" applyFont="1" applyFill="1" applyBorder="1" applyAlignment="1" applyProtection="1">
      <alignment horizontal="center" vertical="center"/>
    </xf>
    <xf numFmtId="178" fontId="33" fillId="0" borderId="3" xfId="0" applyNumberFormat="1" applyFont="1" applyFill="1" applyBorder="1" applyAlignment="1" applyProtection="1">
      <alignment horizontal="center" vertical="center"/>
    </xf>
    <xf numFmtId="0" fontId="101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72" fillId="0" borderId="3" xfId="0" applyFont="1" applyFill="1" applyBorder="1" applyAlignment="1">
      <alignment horizontal="center" vertical="center" wrapText="1"/>
    </xf>
    <xf numFmtId="0" fontId="72" fillId="0" borderId="0" xfId="0" applyFont="1" applyFill="1" applyAlignment="1">
      <alignment horizontal="center" vertical="center"/>
    </xf>
    <xf numFmtId="0" fontId="32" fillId="0" borderId="0" xfId="0" applyFont="1" applyFill="1" applyAlignment="1" applyProtection="1">
      <alignment horizontal="left" vertical="center"/>
      <protection locked="0"/>
    </xf>
    <xf numFmtId="0" fontId="33" fillId="0" borderId="0" xfId="0" quotePrefix="1" applyFont="1" applyFill="1" applyAlignment="1">
      <alignment horizontal="left" vertical="center" wrapText="1"/>
    </xf>
    <xf numFmtId="0" fontId="33" fillId="0" borderId="0" xfId="0" applyFont="1" applyFill="1" applyAlignment="1">
      <alignment horizontal="left" vertical="center" wrapText="1"/>
    </xf>
    <xf numFmtId="171" fontId="33" fillId="0" borderId="3" xfId="0" applyNumberFormat="1" applyFont="1" applyFill="1" applyBorder="1" applyAlignment="1" applyProtection="1">
      <alignment horizontal="center" vertical="center"/>
    </xf>
    <xf numFmtId="0" fontId="49" fillId="0" borderId="0" xfId="0" applyFont="1" applyAlignment="1">
      <alignment horizontal="center" vertical="center"/>
    </xf>
    <xf numFmtId="0" fontId="37" fillId="0" borderId="38" xfId="0" applyFont="1" applyBorder="1" applyAlignment="1">
      <alignment horizontal="left" vertical="center"/>
    </xf>
    <xf numFmtId="0" fontId="37" fillId="0" borderId="30" xfId="0" applyFont="1" applyBorder="1" applyAlignment="1">
      <alignment horizontal="left" vertical="center"/>
    </xf>
    <xf numFmtId="0" fontId="37" fillId="0" borderId="47" xfId="0" applyFont="1" applyBorder="1" applyAlignment="1">
      <alignment horizontal="left" vertical="center"/>
    </xf>
    <xf numFmtId="0" fontId="37" fillId="0" borderId="3" xfId="0" applyFont="1" applyBorder="1" applyAlignment="1">
      <alignment horizontal="left" vertical="center"/>
    </xf>
    <xf numFmtId="0" fontId="37" fillId="0" borderId="3" xfId="0" applyFont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48" fillId="13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51" fillId="5" borderId="29" xfId="0" applyFont="1" applyFill="1" applyBorder="1" applyAlignment="1">
      <alignment horizontal="left" vertical="center"/>
    </xf>
    <xf numFmtId="0" fontId="51" fillId="5" borderId="30" xfId="0" applyFont="1" applyFill="1" applyBorder="1" applyAlignment="1">
      <alignment horizontal="left" vertical="center"/>
    </xf>
    <xf numFmtId="0" fontId="51" fillId="5" borderId="41" xfId="0" applyFont="1" applyFill="1" applyBorder="1" applyAlignment="1">
      <alignment horizontal="left" vertical="center"/>
    </xf>
    <xf numFmtId="0" fontId="51" fillId="5" borderId="13" xfId="0" applyFont="1" applyFill="1" applyBorder="1" applyAlignment="1">
      <alignment horizontal="center" vertical="center"/>
    </xf>
    <xf numFmtId="0" fontId="51" fillId="5" borderId="3" xfId="0" applyFont="1" applyFill="1" applyBorder="1" applyAlignment="1">
      <alignment horizontal="center" vertical="center"/>
    </xf>
    <xf numFmtId="0" fontId="51" fillId="5" borderId="20" xfId="0" applyFont="1" applyFill="1" applyBorder="1" applyAlignment="1">
      <alignment horizontal="center" vertical="center"/>
    </xf>
    <xf numFmtId="0" fontId="51" fillId="5" borderId="22" xfId="0" applyFont="1" applyFill="1" applyBorder="1" applyAlignment="1">
      <alignment horizontal="center" vertical="center"/>
    </xf>
    <xf numFmtId="0" fontId="51" fillId="5" borderId="12" xfId="0" applyFont="1" applyFill="1" applyBorder="1" applyAlignment="1">
      <alignment horizontal="center" vertical="center"/>
    </xf>
    <xf numFmtId="0" fontId="51" fillId="5" borderId="14" xfId="0" applyFont="1" applyFill="1" applyBorder="1" applyAlignment="1">
      <alignment horizontal="center" vertical="center"/>
    </xf>
    <xf numFmtId="0" fontId="51" fillId="5" borderId="15" xfId="0" applyFont="1" applyFill="1" applyBorder="1" applyAlignment="1">
      <alignment horizontal="center" vertical="center"/>
    </xf>
    <xf numFmtId="0" fontId="51" fillId="5" borderId="16" xfId="0" applyFont="1" applyFill="1" applyBorder="1" applyAlignment="1">
      <alignment horizontal="center" vertical="center"/>
    </xf>
    <xf numFmtId="0" fontId="51" fillId="5" borderId="17" xfId="0" applyFont="1" applyFill="1" applyBorder="1" applyAlignment="1">
      <alignment horizontal="center" vertical="center"/>
    </xf>
    <xf numFmtId="0" fontId="51" fillId="5" borderId="31" xfId="0" applyFont="1" applyFill="1" applyBorder="1" applyAlignment="1">
      <alignment horizontal="left" vertical="center"/>
    </xf>
    <xf numFmtId="0" fontId="51" fillId="5" borderId="32" xfId="0" applyFont="1" applyFill="1" applyBorder="1" applyAlignment="1">
      <alignment horizontal="left" vertical="center"/>
    </xf>
    <xf numFmtId="0" fontId="51" fillId="5" borderId="40" xfId="0" applyFont="1" applyFill="1" applyBorder="1" applyAlignment="1">
      <alignment horizontal="left" vertical="center"/>
    </xf>
    <xf numFmtId="0" fontId="51" fillId="5" borderId="27" xfId="0" applyFont="1" applyFill="1" applyBorder="1" applyAlignment="1">
      <alignment horizontal="left" vertical="center"/>
    </xf>
    <xf numFmtId="0" fontId="51" fillId="5" borderId="28" xfId="0" applyFont="1" applyFill="1" applyBorder="1" applyAlignment="1">
      <alignment horizontal="left" vertical="center"/>
    </xf>
    <xf numFmtId="0" fontId="53" fillId="5" borderId="31" xfId="0" applyFont="1" applyFill="1" applyBorder="1" applyAlignment="1">
      <alignment horizontal="left" vertical="center"/>
    </xf>
    <xf numFmtId="0" fontId="53" fillId="5" borderId="32" xfId="0" applyFont="1" applyFill="1" applyBorder="1" applyAlignment="1">
      <alignment horizontal="left" vertical="center"/>
    </xf>
    <xf numFmtId="2" fontId="30" fillId="0" borderId="0" xfId="0" applyNumberFormat="1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2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51" fillId="5" borderId="69" xfId="0" applyFont="1" applyFill="1" applyBorder="1" applyAlignment="1">
      <alignment horizontal="center" vertical="center"/>
    </xf>
    <xf numFmtId="0" fontId="51" fillId="5" borderId="47" xfId="0" applyFont="1" applyFill="1" applyBorder="1" applyAlignment="1">
      <alignment horizontal="center" vertical="center"/>
    </xf>
    <xf numFmtId="0" fontId="25" fillId="3" borderId="38" xfId="0" applyFont="1" applyFill="1" applyBorder="1" applyAlignment="1" applyProtection="1">
      <alignment horizontal="left" vertical="center"/>
    </xf>
    <xf numFmtId="0" fontId="25" fillId="3" borderId="30" xfId="0" applyFont="1" applyFill="1" applyBorder="1" applyAlignment="1" applyProtection="1">
      <alignment horizontal="left" vertical="center"/>
    </xf>
    <xf numFmtId="0" fontId="25" fillId="3" borderId="47" xfId="0" applyFont="1" applyFill="1" applyBorder="1" applyAlignment="1" applyProtection="1">
      <alignment horizontal="left" vertical="center"/>
    </xf>
    <xf numFmtId="187" fontId="25" fillId="0" borderId="3" xfId="0" applyNumberFormat="1" applyFont="1" applyBorder="1" applyAlignment="1" applyProtection="1">
      <alignment horizontal="center" vertical="center"/>
    </xf>
    <xf numFmtId="0" fontId="33" fillId="0" borderId="0" xfId="0" applyFont="1" applyBorder="1" applyAlignment="1" applyProtection="1">
      <alignment horizontal="center" vertical="center"/>
    </xf>
    <xf numFmtId="0" fontId="25" fillId="0" borderId="3" xfId="0" applyFont="1" applyBorder="1" applyAlignment="1" applyProtection="1">
      <alignment horizontal="center" vertical="center"/>
    </xf>
    <xf numFmtId="0" fontId="44" fillId="0" borderId="0" xfId="0" applyFont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horizontal="center" vertical="center"/>
    </xf>
    <xf numFmtId="183" fontId="33" fillId="0" borderId="38" xfId="0" applyNumberFormat="1" applyFont="1" applyBorder="1" applyAlignment="1" applyProtection="1">
      <alignment horizontal="center" vertical="center"/>
    </xf>
    <xf numFmtId="183" fontId="33" fillId="0" borderId="47" xfId="0" applyNumberFormat="1" applyFont="1" applyBorder="1" applyAlignment="1" applyProtection="1">
      <alignment horizontal="center" vertical="center"/>
    </xf>
    <xf numFmtId="185" fontId="33" fillId="0" borderId="38" xfId="0" applyNumberFormat="1" applyFont="1" applyFill="1" applyBorder="1" applyAlignment="1" applyProtection="1">
      <alignment horizontal="center" vertical="center"/>
    </xf>
    <xf numFmtId="185" fontId="33" fillId="0" borderId="47" xfId="0" applyNumberFormat="1" applyFont="1" applyFill="1" applyBorder="1" applyAlignment="1" applyProtection="1">
      <alignment horizontal="center" vertical="center"/>
    </xf>
    <xf numFmtId="184" fontId="33" fillId="0" borderId="38" xfId="0" applyNumberFormat="1" applyFont="1" applyBorder="1" applyAlignment="1" applyProtection="1">
      <alignment horizontal="center" vertical="center"/>
    </xf>
    <xf numFmtId="184" fontId="33" fillId="0" borderId="47" xfId="0" applyNumberFormat="1" applyFont="1" applyBorder="1" applyAlignment="1" applyProtection="1">
      <alignment horizontal="center" vertical="center"/>
    </xf>
    <xf numFmtId="0" fontId="33" fillId="12" borderId="0" xfId="0" applyFont="1" applyFill="1" applyAlignment="1" applyProtection="1">
      <alignment horizontal="center" vertical="center"/>
    </xf>
    <xf numFmtId="0" fontId="1" fillId="12" borderId="0" xfId="0" applyFont="1" applyFill="1" applyAlignment="1" applyProtection="1">
      <alignment horizontal="center" vertical="center"/>
    </xf>
    <xf numFmtId="0" fontId="33" fillId="12" borderId="0" xfId="0" applyFont="1" applyFill="1" applyAlignment="1" applyProtection="1">
      <alignment horizontal="left" vertical="center"/>
    </xf>
    <xf numFmtId="177" fontId="33" fillId="0" borderId="0" xfId="0" applyNumberFormat="1" applyFont="1" applyAlignment="1" applyProtection="1">
      <alignment horizontal="left" vertical="center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33" fillId="0" borderId="16" xfId="0" applyFont="1" applyBorder="1" applyAlignment="1" applyProtection="1">
      <alignment vertical="center"/>
    </xf>
    <xf numFmtId="0" fontId="39" fillId="0" borderId="47" xfId="0" quotePrefix="1" applyFont="1" applyBorder="1" applyAlignment="1" applyProtection="1">
      <alignment horizontal="center" vertical="center"/>
      <protection locked="0"/>
    </xf>
    <xf numFmtId="0" fontId="39" fillId="0" borderId="3" xfId="0" applyFont="1" applyBorder="1" applyAlignment="1" applyProtection="1">
      <alignment horizontal="center" vertical="center"/>
      <protection locked="0"/>
    </xf>
    <xf numFmtId="0" fontId="39" fillId="0" borderId="21" xfId="0" applyFont="1" applyBorder="1" applyAlignment="1" applyProtection="1">
      <alignment horizontal="left" vertical="center"/>
      <protection locked="0"/>
    </xf>
    <xf numFmtId="0" fontId="33" fillId="0" borderId="3" xfId="0" applyFont="1" applyBorder="1" applyAlignment="1" applyProtection="1">
      <alignment horizontal="center" vertical="center" wrapText="1"/>
    </xf>
    <xf numFmtId="166" fontId="33" fillId="0" borderId="3" xfId="0" applyNumberFormat="1" applyFont="1" applyBorder="1" applyAlignment="1" applyProtection="1">
      <alignment horizontal="center" vertical="center" wrapText="1"/>
    </xf>
    <xf numFmtId="166" fontId="33" fillId="0" borderId="0" xfId="0" quotePrefix="1" applyNumberFormat="1" applyFont="1" applyBorder="1" applyAlignment="1" applyProtection="1">
      <alignment horizontal="left" vertical="center" wrapText="1"/>
      <protection locked="0"/>
    </xf>
    <xf numFmtId="166" fontId="33" fillId="0" borderId="0" xfId="0" applyNumberFormat="1" applyFont="1" applyBorder="1" applyAlignment="1" applyProtection="1">
      <alignment horizontal="left" vertical="center" wrapText="1"/>
      <protection locked="0"/>
    </xf>
    <xf numFmtId="9" fontId="22" fillId="0" borderId="3" xfId="0" applyNumberFormat="1" applyFont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center" vertical="center"/>
      <protection locked="0"/>
    </xf>
    <xf numFmtId="0" fontId="39" fillId="0" borderId="16" xfId="0" applyFont="1" applyBorder="1" applyAlignment="1" applyProtection="1">
      <alignment horizontal="center" vertical="center"/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166" fontId="33" fillId="0" borderId="38" xfId="0" applyNumberFormat="1" applyFont="1" applyBorder="1" applyAlignment="1" applyProtection="1">
      <alignment horizontal="center" vertical="center"/>
    </xf>
    <xf numFmtId="166" fontId="33" fillId="0" borderId="30" xfId="0" applyNumberFormat="1" applyFont="1" applyBorder="1" applyAlignment="1" applyProtection="1">
      <alignment horizontal="center" vertical="center"/>
    </xf>
    <xf numFmtId="166" fontId="33" fillId="0" borderId="47" xfId="0" applyNumberFormat="1" applyFont="1" applyBorder="1" applyAlignment="1" applyProtection="1">
      <alignment horizontal="center" vertical="center"/>
    </xf>
    <xf numFmtId="182" fontId="33" fillId="0" borderId="0" xfId="0" applyNumberFormat="1" applyFont="1" applyBorder="1" applyAlignment="1" applyProtection="1">
      <alignment horizontal="center" vertical="center"/>
    </xf>
    <xf numFmtId="0" fontId="33" fillId="0" borderId="16" xfId="0" applyFont="1" applyBorder="1" applyAlignment="1" applyProtection="1">
      <alignment horizontal="center" vertical="center"/>
    </xf>
    <xf numFmtId="0" fontId="33" fillId="0" borderId="21" xfId="0" applyFont="1" applyBorder="1" applyAlignment="1" applyProtection="1">
      <alignment horizontal="center" vertical="center"/>
    </xf>
    <xf numFmtId="0" fontId="33" fillId="0" borderId="3" xfId="0" applyFont="1" applyBorder="1" applyAlignment="1" applyProtection="1">
      <alignment horizontal="center" vertical="center"/>
    </xf>
    <xf numFmtId="9" fontId="33" fillId="0" borderId="16" xfId="0" applyNumberFormat="1" applyFont="1" applyBorder="1" applyAlignment="1" applyProtection="1">
      <alignment horizontal="center" vertical="center"/>
    </xf>
    <xf numFmtId="9" fontId="33" fillId="0" borderId="21" xfId="0" applyNumberFormat="1" applyFont="1" applyBorder="1" applyAlignment="1" applyProtection="1">
      <alignment horizontal="center" vertical="center"/>
    </xf>
    <xf numFmtId="0" fontId="33" fillId="12" borderId="0" xfId="0" applyFont="1" applyFill="1" applyAlignment="1" applyProtection="1">
      <alignment horizontal="left" vertical="center"/>
      <protection locked="0"/>
    </xf>
    <xf numFmtId="0" fontId="33" fillId="0" borderId="38" xfId="0" applyFont="1" applyBorder="1" applyAlignment="1" applyProtection="1">
      <alignment horizontal="center" vertical="center" wrapText="1"/>
    </xf>
    <xf numFmtId="0" fontId="33" fillId="0" borderId="47" xfId="0" applyFont="1" applyBorder="1" applyAlignment="1" applyProtection="1">
      <alignment horizontal="center" vertical="center" wrapText="1"/>
    </xf>
    <xf numFmtId="0" fontId="33" fillId="0" borderId="81" xfId="0" applyFont="1" applyBorder="1" applyAlignment="1" applyProtection="1">
      <alignment horizontal="center" vertical="center" wrapText="1"/>
    </xf>
    <xf numFmtId="0" fontId="33" fillId="0" borderId="65" xfId="0" applyFont="1" applyBorder="1" applyAlignment="1" applyProtection="1">
      <alignment horizontal="center" vertical="center" wrapText="1"/>
    </xf>
    <xf numFmtId="0" fontId="33" fillId="0" borderId="46" xfId="0" applyFont="1" applyBorder="1" applyAlignment="1" applyProtection="1">
      <alignment horizontal="center" vertical="center" wrapText="1"/>
    </xf>
    <xf numFmtId="0" fontId="33" fillId="0" borderId="45" xfId="0" applyFont="1" applyBorder="1" applyAlignment="1" applyProtection="1">
      <alignment horizontal="center" vertical="center" wrapText="1"/>
    </xf>
    <xf numFmtId="0" fontId="33" fillId="0" borderId="59" xfId="0" applyFont="1" applyBorder="1" applyAlignment="1" applyProtection="1">
      <alignment horizontal="center" vertical="center" wrapText="1"/>
    </xf>
    <xf numFmtId="0" fontId="33" fillId="0" borderId="63" xfId="0" applyFont="1" applyBorder="1" applyAlignment="1" applyProtection="1">
      <alignment horizontal="center" vertical="center" wrapText="1"/>
    </xf>
    <xf numFmtId="170" fontId="33" fillId="0" borderId="38" xfId="0" applyNumberFormat="1" applyFont="1" applyBorder="1" applyAlignment="1">
      <alignment horizontal="center" vertical="center"/>
    </xf>
    <xf numFmtId="170" fontId="33" fillId="0" borderId="47" xfId="0" applyNumberFormat="1" applyFont="1" applyBorder="1" applyAlignment="1">
      <alignment horizontal="center" vertical="center"/>
    </xf>
    <xf numFmtId="166" fontId="25" fillId="0" borderId="0" xfId="0" quotePrefix="1" applyNumberFormat="1" applyFont="1" applyAlignment="1" applyProtection="1">
      <alignment horizontal="left" vertical="top" wrapText="1"/>
      <protection locked="0"/>
    </xf>
    <xf numFmtId="0" fontId="25" fillId="12" borderId="0" xfId="0" applyFont="1" applyFill="1" applyAlignment="1" applyProtection="1">
      <alignment horizontal="left" vertical="center"/>
    </xf>
    <xf numFmtId="177" fontId="25" fillId="12" borderId="0" xfId="0" applyNumberFormat="1" applyFont="1" applyFill="1" applyAlignment="1" applyProtection="1">
      <alignment horizontal="left" vertical="center"/>
    </xf>
    <xf numFmtId="0" fontId="34" fillId="0" borderId="3" xfId="0" applyFont="1" applyBorder="1" applyAlignment="1" applyProtection="1">
      <alignment horizontal="center" vertical="center" wrapText="1"/>
    </xf>
    <xf numFmtId="0" fontId="34" fillId="0" borderId="3" xfId="0" applyFont="1" applyBorder="1" applyAlignment="1" applyProtection="1">
      <alignment horizontal="center" vertical="center"/>
    </xf>
    <xf numFmtId="182" fontId="33" fillId="0" borderId="3" xfId="0" applyNumberFormat="1" applyFont="1" applyBorder="1" applyAlignment="1">
      <alignment horizontal="center" vertical="center"/>
    </xf>
    <xf numFmtId="0" fontId="38" fillId="0" borderId="50" xfId="0" applyFont="1" applyBorder="1" applyAlignment="1" applyProtection="1">
      <alignment horizontal="center" vertical="center"/>
    </xf>
    <xf numFmtId="0" fontId="38" fillId="0" borderId="53" xfId="0" applyFont="1" applyBorder="1" applyAlignment="1" applyProtection="1">
      <alignment horizontal="center" vertical="center"/>
    </xf>
    <xf numFmtId="0" fontId="38" fillId="0" borderId="56" xfId="0" applyFont="1" applyBorder="1" applyAlignment="1" applyProtection="1">
      <alignment horizontal="center" vertical="center"/>
    </xf>
    <xf numFmtId="0" fontId="25" fillId="12" borderId="0" xfId="0" applyFont="1" applyFill="1" applyAlignment="1" applyProtection="1">
      <alignment horizontal="left" vertical="center"/>
      <protection locked="0"/>
    </xf>
    <xf numFmtId="0" fontId="33" fillId="0" borderId="0" xfId="0" applyFont="1" applyBorder="1" applyAlignment="1">
      <alignment horizontal="center" vertical="center" wrapText="1"/>
    </xf>
    <xf numFmtId="0" fontId="34" fillId="0" borderId="81" xfId="0" applyFont="1" applyBorder="1" applyAlignment="1" applyProtection="1">
      <alignment horizontal="center" vertical="center" wrapText="1"/>
    </xf>
    <xf numFmtId="0" fontId="34" fillId="0" borderId="65" xfId="0" applyFont="1" applyBorder="1" applyAlignment="1" applyProtection="1">
      <alignment horizontal="center" vertical="center" wrapText="1"/>
    </xf>
    <xf numFmtId="0" fontId="34" fillId="0" borderId="46" xfId="0" applyFont="1" applyBorder="1" applyAlignment="1" applyProtection="1">
      <alignment horizontal="center" vertical="center" wrapText="1"/>
    </xf>
    <xf numFmtId="0" fontId="34" fillId="0" borderId="45" xfId="0" applyFont="1" applyBorder="1" applyAlignment="1" applyProtection="1">
      <alignment horizontal="center" vertical="center" wrapText="1"/>
    </xf>
    <xf numFmtId="0" fontId="34" fillId="0" borderId="59" xfId="0" applyFont="1" applyBorder="1" applyAlignment="1" applyProtection="1">
      <alignment horizontal="center" vertical="center" wrapText="1"/>
    </xf>
    <xf numFmtId="0" fontId="34" fillId="0" borderId="63" xfId="0" applyFont="1" applyBorder="1" applyAlignment="1" applyProtection="1">
      <alignment horizontal="center" vertical="center" wrapText="1"/>
    </xf>
    <xf numFmtId="166" fontId="25" fillId="0" borderId="3" xfId="0" applyNumberFormat="1" applyFont="1" applyBorder="1" applyAlignment="1" applyProtection="1">
      <alignment horizontal="center" vertical="center"/>
    </xf>
    <xf numFmtId="166" fontId="34" fillId="0" borderId="3" xfId="0" applyNumberFormat="1" applyFont="1" applyBorder="1" applyAlignment="1" applyProtection="1">
      <alignment horizontal="center" vertical="center" wrapText="1"/>
    </xf>
    <xf numFmtId="166" fontId="34" fillId="0" borderId="16" xfId="0" applyNumberFormat="1" applyFont="1" applyBorder="1" applyAlignment="1" applyProtection="1">
      <alignment horizontal="center" vertical="center" wrapText="1"/>
    </xf>
    <xf numFmtId="166" fontId="34" fillId="0" borderId="21" xfId="0" applyNumberFormat="1" applyFont="1" applyBorder="1" applyAlignment="1" applyProtection="1">
      <alignment horizontal="center" vertical="center" wrapText="1"/>
    </xf>
    <xf numFmtId="2" fontId="33" fillId="0" borderId="3" xfId="0" applyNumberFormat="1" applyFont="1" applyBorder="1" applyAlignment="1">
      <alignment horizontal="center" vertical="center"/>
    </xf>
    <xf numFmtId="166" fontId="34" fillId="0" borderId="38" xfId="0" applyNumberFormat="1" applyFont="1" applyBorder="1" applyAlignment="1" applyProtection="1">
      <alignment horizontal="center" vertical="center"/>
    </xf>
    <xf numFmtId="166" fontId="34" fillId="0" borderId="30" xfId="0" applyNumberFormat="1" applyFont="1" applyBorder="1" applyAlignment="1" applyProtection="1">
      <alignment horizontal="center" vertical="center"/>
    </xf>
    <xf numFmtId="0" fontId="34" fillId="0" borderId="16" xfId="0" applyFont="1" applyBorder="1" applyAlignment="1" applyProtection="1">
      <alignment horizontal="center" vertical="center" wrapText="1"/>
    </xf>
    <xf numFmtId="0" fontId="34" fillId="0" borderId="33" xfId="0" applyFont="1" applyBorder="1" applyAlignment="1" applyProtection="1">
      <alignment horizontal="center" vertical="center" wrapText="1"/>
    </xf>
    <xf numFmtId="0" fontId="34" fillId="0" borderId="21" xfId="0" applyFont="1" applyBorder="1" applyAlignment="1" applyProtection="1">
      <alignment horizontal="center" vertical="center" wrapText="1"/>
    </xf>
    <xf numFmtId="1" fontId="25" fillId="0" borderId="3" xfId="0" applyNumberFormat="1" applyFont="1" applyBorder="1" applyAlignment="1" applyProtection="1">
      <alignment horizontal="center" vertical="center"/>
    </xf>
    <xf numFmtId="0" fontId="8" fillId="0" borderId="0" xfId="5" applyFont="1" applyAlignment="1">
      <alignment horizontal="left" vertical="center" wrapText="1"/>
    </xf>
    <xf numFmtId="0" fontId="9" fillId="0" borderId="0" xfId="5" applyFont="1" applyAlignment="1">
      <alignment horizontal="left" vertical="center" wrapText="1"/>
    </xf>
    <xf numFmtId="188" fontId="9" fillId="0" borderId="0" xfId="5" applyNumberFormat="1" applyFont="1" applyAlignment="1">
      <alignment horizontal="left" vertical="top" wrapText="1"/>
    </xf>
    <xf numFmtId="0" fontId="9" fillId="0" borderId="0" xfId="5" applyFont="1" applyAlignment="1">
      <alignment horizontal="left" vertical="top" wrapText="1"/>
    </xf>
    <xf numFmtId="0" fontId="9" fillId="29" borderId="0" xfId="5" applyFont="1" applyFill="1" applyAlignment="1">
      <alignment horizontal="justify" vertical="center" wrapText="1"/>
    </xf>
    <xf numFmtId="188" fontId="9" fillId="0" borderId="0" xfId="5" applyNumberFormat="1" applyFont="1" applyAlignment="1">
      <alignment horizontal="left" vertical="center" wrapText="1"/>
    </xf>
    <xf numFmtId="0" fontId="9" fillId="0" borderId="0" xfId="5" applyFont="1" applyAlignment="1" applyProtection="1">
      <alignment horizontal="left" vertical="top" wrapText="1"/>
      <protection locked="0"/>
    </xf>
    <xf numFmtId="0" fontId="9" fillId="0" borderId="0" xfId="5" applyFont="1" applyAlignment="1" applyProtection="1">
      <alignment horizontal="justify" vertical="top" wrapText="1"/>
      <protection locked="0"/>
    </xf>
    <xf numFmtId="0" fontId="91" fillId="0" borderId="0" xfId="5" applyFont="1" applyAlignment="1" applyProtection="1">
      <alignment horizontal="center" vertical="center"/>
      <protection locked="0"/>
    </xf>
    <xf numFmtId="0" fontId="9" fillId="0" borderId="0" xfId="5" applyFont="1" applyAlignment="1">
      <alignment horizontal="center"/>
    </xf>
    <xf numFmtId="0" fontId="92" fillId="0" borderId="0" xfId="5" applyFont="1" applyAlignment="1">
      <alignment horizontal="right" vertical="center"/>
    </xf>
    <xf numFmtId="0" fontId="9" fillId="0" borderId="38" xfId="5" applyFont="1" applyBorder="1" applyAlignment="1">
      <alignment horizontal="left" vertical="top" wrapText="1"/>
    </xf>
    <xf numFmtId="0" fontId="9" fillId="0" borderId="30" xfId="5" applyFont="1" applyBorder="1" applyAlignment="1">
      <alignment horizontal="left" vertical="top" wrapText="1"/>
    </xf>
    <xf numFmtId="190" fontId="79" fillId="20" borderId="0" xfId="0" applyNumberFormat="1" applyFont="1" applyFill="1" applyAlignment="1">
      <alignment horizontal="center" vertical="center"/>
    </xf>
    <xf numFmtId="190" fontId="7" fillId="0" borderId="16" xfId="0" applyNumberFormat="1" applyFont="1" applyBorder="1" applyAlignment="1">
      <alignment horizontal="center" vertical="center"/>
    </xf>
    <xf numFmtId="190" fontId="7" fillId="0" borderId="21" xfId="0" applyNumberFormat="1" applyFont="1" applyBorder="1" applyAlignment="1">
      <alignment horizontal="center" vertical="center"/>
    </xf>
    <xf numFmtId="190" fontId="0" fillId="0" borderId="3" xfId="0" applyNumberFormat="1" applyBorder="1" applyAlignment="1">
      <alignment horizontal="left" vertical="top" wrapText="1"/>
    </xf>
    <xf numFmtId="190" fontId="0" fillId="0" borderId="3" xfId="0" applyNumberFormat="1" applyBorder="1" applyAlignment="1">
      <alignment horizontal="center" vertical="top" wrapText="1"/>
    </xf>
    <xf numFmtId="190" fontId="78" fillId="20" borderId="0" xfId="0" applyNumberFormat="1" applyFont="1" applyFill="1" applyAlignment="1">
      <alignment horizontal="center" vertical="center"/>
    </xf>
    <xf numFmtId="190" fontId="80" fillId="22" borderId="0" xfId="0" applyNumberFormat="1" applyFont="1" applyFill="1" applyAlignment="1">
      <alignment horizontal="center" vertical="center"/>
    </xf>
    <xf numFmtId="190" fontId="0" fillId="21" borderId="0" xfId="0" applyNumberFormat="1" applyFill="1" applyAlignment="1">
      <alignment horizontal="center" vertical="center"/>
    </xf>
    <xf numFmtId="2" fontId="15" fillId="3" borderId="12" xfId="5" applyNumberFormat="1" applyFont="1" applyFill="1" applyBorder="1" applyAlignment="1">
      <alignment horizontal="center" vertical="center"/>
    </xf>
    <xf numFmtId="2" fontId="15" fillId="3" borderId="13" xfId="5" applyNumberFormat="1" applyFont="1" applyFill="1" applyBorder="1" applyAlignment="1">
      <alignment horizontal="center" vertical="center"/>
    </xf>
    <xf numFmtId="2" fontId="15" fillId="3" borderId="14" xfId="5" applyNumberFormat="1" applyFont="1" applyFill="1" applyBorder="1" applyAlignment="1">
      <alignment horizontal="center" vertical="center"/>
    </xf>
    <xf numFmtId="1" fontId="15" fillId="28" borderId="3" xfId="0" applyNumberFormat="1" applyFont="1" applyFill="1" applyBorder="1" applyAlignment="1">
      <alignment horizontal="center" vertical="center"/>
    </xf>
    <xf numFmtId="2" fontId="12" fillId="3" borderId="18" xfId="0" applyNumberFormat="1" applyFont="1" applyFill="1" applyBorder="1" applyAlignment="1">
      <alignment horizontal="center" vertical="center" wrapText="1"/>
    </xf>
    <xf numFmtId="2" fontId="12" fillId="3" borderId="3" xfId="0" applyNumberFormat="1" applyFont="1" applyFill="1" applyBorder="1" applyAlignment="1">
      <alignment horizontal="center" vertical="center" wrapText="1"/>
    </xf>
    <xf numFmtId="2" fontId="15" fillId="3" borderId="23" xfId="5" applyNumberFormat="1" applyFont="1" applyFill="1" applyBorder="1" applyAlignment="1">
      <alignment horizontal="center" vertical="center" wrapText="1"/>
    </xf>
    <xf numFmtId="2" fontId="10" fillId="3" borderId="12" xfId="0" applyNumberFormat="1" applyFont="1" applyFill="1" applyBorder="1" applyAlignment="1">
      <alignment horizontal="center" vertical="center"/>
    </xf>
    <xf numFmtId="2" fontId="10" fillId="3" borderId="18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2" fillId="3" borderId="3" xfId="5" applyNumberFormat="1" applyFont="1" applyFill="1" applyBorder="1" applyAlignment="1">
      <alignment horizontal="center" vertical="center" wrapText="1"/>
    </xf>
    <xf numFmtId="2" fontId="12" fillId="3" borderId="13" xfId="5" applyNumberFormat="1" applyFont="1" applyFill="1" applyBorder="1" applyAlignment="1">
      <alignment horizontal="left" vertical="center" wrapText="1"/>
    </xf>
    <xf numFmtId="2" fontId="12" fillId="3" borderId="14" xfId="5" applyNumberFormat="1" applyFont="1" applyFill="1" applyBorder="1" applyAlignment="1">
      <alignment horizontal="left" vertical="center" wrapText="1"/>
    </xf>
    <xf numFmtId="2" fontId="20" fillId="3" borderId="3" xfId="0" applyNumberFormat="1" applyFont="1" applyFill="1" applyBorder="1" applyAlignment="1">
      <alignment horizontal="center" vertical="center"/>
    </xf>
    <xf numFmtId="2" fontId="10" fillId="28" borderId="3" xfId="0" applyNumberFormat="1" applyFont="1" applyFill="1" applyBorder="1" applyAlignment="1">
      <alignment horizontal="center" vertical="center"/>
    </xf>
    <xf numFmtId="2" fontId="10" fillId="28" borderId="13" xfId="0" applyNumberFormat="1" applyFont="1" applyFill="1" applyBorder="1" applyAlignment="1">
      <alignment horizontal="center" vertical="center"/>
    </xf>
    <xf numFmtId="2" fontId="10" fillId="28" borderId="25" xfId="0" applyNumberFormat="1" applyFont="1" applyFill="1" applyBorder="1" applyAlignment="1">
      <alignment horizontal="center" vertical="center"/>
    </xf>
    <xf numFmtId="2" fontId="10" fillId="28" borderId="19" xfId="0" applyNumberFormat="1" applyFont="1" applyFill="1" applyBorder="1" applyAlignment="1">
      <alignment horizontal="center" vertical="center"/>
    </xf>
    <xf numFmtId="2" fontId="10" fillId="28" borderId="33" xfId="0" applyNumberFormat="1" applyFont="1" applyFill="1" applyBorder="1" applyAlignment="1">
      <alignment horizontal="center" vertical="center"/>
    </xf>
    <xf numFmtId="2" fontId="10" fillId="28" borderId="35" xfId="0" applyNumberFormat="1" applyFont="1" applyFill="1" applyBorder="1" applyAlignment="1">
      <alignment horizontal="center" vertical="center"/>
    </xf>
    <xf numFmtId="2" fontId="12" fillId="5" borderId="12" xfId="0" applyNumberFormat="1" applyFont="1" applyFill="1" applyBorder="1" applyAlignment="1">
      <alignment horizontal="center" vertical="center"/>
    </xf>
    <xf numFmtId="2" fontId="12" fillId="5" borderId="14" xfId="0" applyNumberFormat="1" applyFont="1" applyFill="1" applyBorder="1" applyAlignment="1">
      <alignment horizontal="center" vertical="center"/>
    </xf>
    <xf numFmtId="2" fontId="15" fillId="5" borderId="18" xfId="0" applyNumberFormat="1" applyFont="1" applyFill="1" applyBorder="1" applyAlignment="1">
      <alignment horizontal="center" vertical="center"/>
    </xf>
    <xf numFmtId="2" fontId="15" fillId="5" borderId="23" xfId="0" applyNumberFormat="1" applyFont="1" applyFill="1" applyBorder="1" applyAlignment="1">
      <alignment horizontal="center" vertical="center"/>
    </xf>
    <xf numFmtId="2" fontId="10" fillId="28" borderId="16" xfId="0" applyNumberFormat="1" applyFont="1" applyFill="1" applyBorder="1" applyAlignment="1">
      <alignment horizontal="center" vertical="center"/>
    </xf>
    <xf numFmtId="2" fontId="20" fillId="28" borderId="3" xfId="0" applyNumberFormat="1" applyFont="1" applyFill="1" applyBorder="1" applyAlignment="1">
      <alignment horizontal="center" vertical="center"/>
    </xf>
    <xf numFmtId="2" fontId="20" fillId="28" borderId="81" xfId="0" applyNumberFormat="1" applyFont="1" applyFill="1" applyBorder="1" applyAlignment="1">
      <alignment horizontal="center" vertical="center"/>
    </xf>
    <xf numFmtId="2" fontId="20" fillId="28" borderId="48" xfId="0" applyNumberFormat="1" applyFont="1" applyFill="1" applyBorder="1" applyAlignment="1">
      <alignment horizontal="center" vertical="center"/>
    </xf>
    <xf numFmtId="2" fontId="20" fillId="28" borderId="65" xfId="0" applyNumberFormat="1" applyFont="1" applyFill="1" applyBorder="1" applyAlignment="1">
      <alignment horizontal="center" vertical="center"/>
    </xf>
    <xf numFmtId="2" fontId="20" fillId="28" borderId="23" xfId="0" applyNumberFormat="1" applyFont="1" applyFill="1" applyBorder="1" applyAlignment="1">
      <alignment horizontal="center" vertical="center"/>
    </xf>
    <xf numFmtId="2" fontId="10" fillId="2" borderId="0" xfId="0" applyNumberFormat="1" applyFont="1" applyFill="1" applyAlignment="1">
      <alignment horizontal="center"/>
    </xf>
    <xf numFmtId="2" fontId="19" fillId="28" borderId="3" xfId="5" applyNumberFormat="1" applyFont="1" applyFill="1" applyBorder="1" applyAlignment="1">
      <alignment horizontal="center" vertical="center"/>
    </xf>
    <xf numFmtId="2" fontId="4" fillId="28" borderId="3" xfId="5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12" fillId="28" borderId="3" xfId="5" applyNumberFormat="1" applyFont="1" applyFill="1" applyBorder="1" applyAlignment="1">
      <alignment horizontal="center" vertical="center"/>
    </xf>
    <xf numFmtId="2" fontId="15" fillId="28" borderId="3" xfId="0" applyNumberFormat="1" applyFont="1" applyFill="1" applyBorder="1" applyAlignment="1">
      <alignment horizontal="center" vertical="center"/>
    </xf>
    <xf numFmtId="2" fontId="15" fillId="28" borderId="3" xfId="0" applyNumberFormat="1" applyFont="1" applyFill="1" applyBorder="1" applyAlignment="1">
      <alignment horizontal="center" vertical="center" wrapText="1"/>
    </xf>
    <xf numFmtId="2" fontId="12" fillId="28" borderId="3" xfId="5" applyNumberFormat="1" applyFont="1" applyFill="1" applyBorder="1" applyAlignment="1">
      <alignment horizontal="center" vertical="center"/>
    </xf>
    <xf numFmtId="2" fontId="15" fillId="28" borderId="13" xfId="0" applyNumberFormat="1" applyFont="1" applyFill="1" applyBorder="1" applyAlignment="1">
      <alignment horizontal="center" vertical="center"/>
    </xf>
    <xf numFmtId="2" fontId="15" fillId="28" borderId="13" xfId="0" applyNumberFormat="1" applyFont="1" applyFill="1" applyBorder="1" applyAlignment="1">
      <alignment horizontal="center" vertical="center" wrapText="1"/>
    </xf>
    <xf numFmtId="2" fontId="12" fillId="28" borderId="13" xfId="5" applyNumberFormat="1" applyFont="1" applyFill="1" applyBorder="1" applyAlignment="1">
      <alignment horizontal="center" vertical="center"/>
    </xf>
    <xf numFmtId="2" fontId="12" fillId="28" borderId="14" xfId="5" applyNumberFormat="1" applyFont="1" applyFill="1" applyBorder="1" applyAlignment="1">
      <alignment horizontal="center" vertical="center"/>
    </xf>
    <xf numFmtId="2" fontId="14" fillId="28" borderId="12" xfId="0" applyNumberFormat="1" applyFont="1" applyFill="1" applyBorder="1" applyAlignment="1">
      <alignment horizontal="center" vertical="center"/>
    </xf>
    <xf numFmtId="2" fontId="14" fillId="28" borderId="14" xfId="0" applyNumberFormat="1" applyFont="1" applyFill="1" applyBorder="1" applyAlignment="1">
      <alignment horizontal="center" vertical="center"/>
    </xf>
    <xf numFmtId="2" fontId="5" fillId="28" borderId="3" xfId="0" applyNumberFormat="1" applyFont="1" applyFill="1" applyBorder="1" applyAlignment="1">
      <alignment horizontal="center" vertical="center"/>
    </xf>
    <xf numFmtId="2" fontId="5" fillId="28" borderId="38" xfId="0" applyNumberFormat="1" applyFont="1" applyFill="1" applyBorder="1" applyAlignment="1">
      <alignment horizontal="center" vertical="center"/>
    </xf>
    <xf numFmtId="2" fontId="5" fillId="28" borderId="30" xfId="0" applyNumberFormat="1" applyFont="1" applyFill="1" applyBorder="1" applyAlignment="1">
      <alignment horizontal="center" vertical="center"/>
    </xf>
    <xf numFmtId="2" fontId="5" fillId="28" borderId="47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2" fontId="18" fillId="2" borderId="4" xfId="0" applyNumberFormat="1" applyFont="1" applyFill="1" applyBorder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1" fontId="7" fillId="25" borderId="87" xfId="0" applyNumberFormat="1" applyFont="1" applyFill="1" applyBorder="1" applyAlignment="1">
      <alignment horizontal="center"/>
    </xf>
    <xf numFmtId="1" fontId="7" fillId="25" borderId="48" xfId="0" applyNumberFormat="1" applyFont="1" applyFill="1" applyBorder="1" applyAlignment="1">
      <alignment horizontal="center"/>
    </xf>
    <xf numFmtId="2" fontId="13" fillId="3" borderId="0" xfId="0" applyNumberFormat="1" applyFont="1" applyFill="1" applyAlignment="1">
      <alignment horizontal="center" vertical="center" wrapText="1"/>
    </xf>
    <xf numFmtId="2" fontId="5" fillId="3" borderId="3" xfId="0" applyNumberFormat="1" applyFont="1" applyFill="1" applyBorder="1" applyAlignment="1">
      <alignment horizontal="center" vertical="center" wrapText="1"/>
    </xf>
    <xf numFmtId="2" fontId="16" fillId="0" borderId="27" xfId="0" applyNumberFormat="1" applyFont="1" applyBorder="1" applyAlignment="1">
      <alignment horizontal="center"/>
    </xf>
    <xf numFmtId="2" fontId="16" fillId="0" borderId="28" xfId="0" applyNumberFormat="1" applyFont="1" applyBorder="1" applyAlignment="1">
      <alignment horizontal="center"/>
    </xf>
    <xf numFmtId="2" fontId="16" fillId="0" borderId="39" xfId="0" applyNumberFormat="1" applyFont="1" applyBorder="1" applyAlignment="1">
      <alignment horizontal="center"/>
    </xf>
    <xf numFmtId="2" fontId="18" fillId="3" borderId="27" xfId="5" applyNumberFormat="1" applyFont="1" applyFill="1" applyBorder="1" applyAlignment="1">
      <alignment horizontal="center" vertical="center"/>
    </xf>
    <xf numFmtId="2" fontId="18" fillId="3" borderId="28" xfId="5" applyNumberFormat="1" applyFont="1" applyFill="1" applyBorder="1" applyAlignment="1">
      <alignment horizontal="center" vertical="center"/>
    </xf>
    <xf numFmtId="2" fontId="18" fillId="3" borderId="39" xfId="5" applyNumberFormat="1" applyFont="1" applyFill="1" applyBorder="1" applyAlignment="1">
      <alignment horizontal="center" vertical="center"/>
    </xf>
    <xf numFmtId="2" fontId="12" fillId="3" borderId="0" xfId="0" applyNumberFormat="1" applyFont="1" applyFill="1" applyAlignment="1">
      <alignment horizontal="center" vertical="center" wrapText="1"/>
    </xf>
    <xf numFmtId="2" fontId="62" fillId="25" borderId="3" xfId="0" applyNumberFormat="1" applyFont="1" applyFill="1" applyBorder="1" applyAlignment="1">
      <alignment horizontal="center" vertical="center" wrapText="1"/>
    </xf>
    <xf numFmtId="2" fontId="11" fillId="3" borderId="3" xfId="0" applyNumberFormat="1" applyFont="1" applyFill="1" applyBorder="1" applyAlignment="1">
      <alignment horizontal="center" vertical="center" wrapText="1"/>
    </xf>
    <xf numFmtId="2" fontId="14" fillId="3" borderId="12" xfId="0" applyNumberFormat="1" applyFont="1" applyFill="1" applyBorder="1" applyAlignment="1">
      <alignment horizontal="center" vertical="center" wrapText="1"/>
    </xf>
    <xf numFmtId="2" fontId="14" fillId="3" borderId="18" xfId="0" applyNumberFormat="1" applyFont="1" applyFill="1" applyBorder="1" applyAlignment="1">
      <alignment horizontal="center" vertical="center" wrapText="1"/>
    </xf>
    <xf numFmtId="2" fontId="14" fillId="3" borderId="15" xfId="0" applyNumberFormat="1" applyFont="1" applyFill="1" applyBorder="1" applyAlignment="1">
      <alignment horizontal="center" vertical="center" wrapText="1"/>
    </xf>
    <xf numFmtId="2" fontId="14" fillId="3" borderId="19" xfId="0" applyNumberFormat="1" applyFont="1" applyFill="1" applyBorder="1" applyAlignment="1">
      <alignment horizontal="center" vertical="center" wrapText="1"/>
    </xf>
    <xf numFmtId="2" fontId="14" fillId="3" borderId="33" xfId="0" applyNumberFormat="1" applyFont="1" applyFill="1" applyBorder="1" applyAlignment="1">
      <alignment horizontal="center" vertical="center" wrapText="1"/>
    </xf>
    <xf numFmtId="2" fontId="14" fillId="3" borderId="35" xfId="0" applyNumberFormat="1" applyFont="1" applyFill="1" applyBorder="1" applyAlignment="1">
      <alignment horizontal="center" vertical="center" wrapText="1"/>
    </xf>
    <xf numFmtId="2" fontId="7" fillId="3" borderId="20" xfId="0" applyNumberFormat="1" applyFont="1" applyFill="1" applyBorder="1" applyAlignment="1">
      <alignment horizontal="center" vertical="center" wrapText="1"/>
    </xf>
    <xf numFmtId="2" fontId="7" fillId="3" borderId="34" xfId="0" applyNumberFormat="1" applyFont="1" applyFill="1" applyBorder="1" applyAlignment="1">
      <alignment horizontal="center" vertical="center" wrapText="1"/>
    </xf>
    <xf numFmtId="2" fontId="7" fillId="3" borderId="36" xfId="0" applyNumberFormat="1" applyFont="1" applyFill="1" applyBorder="1" applyAlignment="1">
      <alignment horizontal="center" vertical="center" wrapText="1"/>
    </xf>
    <xf numFmtId="2" fontId="4" fillId="3" borderId="3" xfId="5" applyNumberFormat="1" applyFont="1" applyFill="1" applyBorder="1" applyAlignment="1">
      <alignment horizontal="center" vertical="center" wrapText="1"/>
    </xf>
    <xf numFmtId="2" fontId="5" fillId="3" borderId="3" xfId="0" applyNumberFormat="1" applyFont="1" applyFill="1" applyBorder="1" applyAlignment="1">
      <alignment horizontal="center" vertical="center"/>
    </xf>
    <xf numFmtId="2" fontId="7" fillId="25" borderId="3" xfId="0" applyNumberFormat="1" applyFont="1" applyFill="1" applyBorder="1" applyAlignment="1">
      <alignment horizontal="center" vertical="center"/>
    </xf>
    <xf numFmtId="2" fontId="3" fillId="25" borderId="3" xfId="0" applyNumberFormat="1" applyFont="1" applyFill="1" applyBorder="1" applyAlignment="1">
      <alignment horizontal="center" vertical="center" wrapText="1"/>
    </xf>
    <xf numFmtId="2" fontId="9" fillId="25" borderId="3" xfId="5" applyNumberFormat="1" applyFont="1" applyFill="1" applyBorder="1" applyAlignment="1">
      <alignment horizontal="center"/>
    </xf>
    <xf numFmtId="2" fontId="9" fillId="25" borderId="3" xfId="5" applyNumberFormat="1" applyFont="1" applyFill="1" applyBorder="1" applyAlignment="1">
      <alignment horizontal="center" vertical="center"/>
    </xf>
    <xf numFmtId="2" fontId="62" fillId="25" borderId="3" xfId="0" applyNumberFormat="1" applyFont="1" applyFill="1" applyBorder="1" applyAlignment="1">
      <alignment horizontal="center" vertical="center"/>
    </xf>
    <xf numFmtId="2" fontId="7" fillId="3" borderId="3" xfId="0" applyNumberFormat="1" applyFont="1" applyFill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9" fillId="25" borderId="38" xfId="5" applyNumberFormat="1" applyFont="1" applyFill="1" applyBorder="1" applyAlignment="1">
      <alignment horizontal="center"/>
    </xf>
    <xf numFmtId="2" fontId="9" fillId="25" borderId="30" xfId="5" applyNumberFormat="1" applyFont="1" applyFill="1" applyBorder="1" applyAlignment="1">
      <alignment horizontal="center"/>
    </xf>
    <xf numFmtId="2" fontId="9" fillId="25" borderId="47" xfId="5" applyNumberFormat="1" applyFont="1" applyFill="1" applyBorder="1" applyAlignment="1">
      <alignment horizontal="center"/>
    </xf>
    <xf numFmtId="2" fontId="7" fillId="3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 wrapText="1"/>
    </xf>
    <xf numFmtId="2" fontId="84" fillId="0" borderId="3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2" fontId="4" fillId="0" borderId="3" xfId="5" applyNumberFormat="1" applyFont="1" applyBorder="1" applyAlignment="1">
      <alignment horizontal="center" vertical="center"/>
    </xf>
    <xf numFmtId="2" fontId="84" fillId="3" borderId="3" xfId="0" applyNumberFormat="1" applyFont="1" applyFill="1" applyBorder="1" applyAlignment="1">
      <alignment horizontal="center" vertical="center" wrapText="1"/>
    </xf>
    <xf numFmtId="2" fontId="7" fillId="0" borderId="3" xfId="0" applyNumberFormat="1" applyFont="1" applyBorder="1" applyAlignment="1">
      <alignment horizontal="center" vertical="center"/>
    </xf>
    <xf numFmtId="2" fontId="4" fillId="0" borderId="3" xfId="5" applyNumberFormat="1" applyFont="1" applyBorder="1" applyAlignment="1">
      <alignment horizontal="center"/>
    </xf>
    <xf numFmtId="2" fontId="1" fillId="2" borderId="86" xfId="0" applyNumberFormat="1" applyFont="1" applyFill="1" applyBorder="1" applyAlignment="1">
      <alignment horizontal="center" vertical="center"/>
    </xf>
    <xf numFmtId="2" fontId="1" fillId="2" borderId="49" xfId="0" applyNumberFormat="1" applyFont="1" applyFill="1" applyBorder="1" applyAlignment="1">
      <alignment horizontal="center" vertical="center"/>
    </xf>
  </cellXfs>
  <cellStyles count="6">
    <cellStyle name="Bad" xfId="4" builtinId="27"/>
    <cellStyle name="Good" xfId="3" builtinId="26"/>
    <cellStyle name="Normal" xfId="0" builtinId="0"/>
    <cellStyle name="Normal 2" xfId="1" xr:uid="{00000000-0005-0000-0000-000002000000}"/>
    <cellStyle name="Normal 2 2" xfId="2" xr:uid="{00000000-0005-0000-0000-000003000000}"/>
    <cellStyle name="Normal 2 3" xfId="5" xr:uid="{D5DF174C-EB35-4427-B575-45FF1416B94C}"/>
  </cellStyles>
  <dxfs count="0"/>
  <tableStyles count="0" defaultTableStyle="TableStyleMedium2" defaultPivotStyle="PivotStyleLight16"/>
  <colors>
    <mruColors>
      <color rgb="FFFF99FF"/>
      <color rgb="FF66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33</xdr:row>
      <xdr:rowOff>266179</xdr:rowOff>
    </xdr:from>
    <xdr:to>
      <xdr:col>5</xdr:col>
      <xdr:colOff>409423</xdr:colOff>
      <xdr:row>33</xdr:row>
      <xdr:rowOff>266179</xdr:rowOff>
    </xdr:to>
    <xdr:sp macro="" textlink="">
      <xdr:nvSpPr>
        <xdr:cNvPr id="2" name="lin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57600" y="7385050"/>
          <a:ext cx="408940" cy="0"/>
        </a:xfrm>
        <a:prstGeom prst="line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16847</xdr:colOff>
      <xdr:row>36</xdr:row>
      <xdr:rowOff>75783</xdr:rowOff>
    </xdr:from>
    <xdr:to>
      <xdr:col>4</xdr:col>
      <xdr:colOff>182842</xdr:colOff>
      <xdr:row>43</xdr:row>
      <xdr:rowOff>0</xdr:rowOff>
    </xdr:to>
    <xdr:grpSp>
      <xdr:nvGrpSpPr>
        <xdr:cNvPr id="3" name="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6847" y="8139731"/>
          <a:ext cx="3247125" cy="1686756"/>
          <a:chOff x="17066" y="9347414"/>
          <a:chExt cx="3192985" cy="1678983"/>
        </a:xfrm>
      </xdr:grpSpPr>
      <xdr:pic>
        <xdr:nvPicPr>
          <xdr:cNvPr id="4" name="Picture 2" descr=" 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rcRect t="11912" b="12545"/>
          <a:stretch>
            <a:fillRect/>
          </a:stretch>
        </xdr:blipFill>
        <xdr:spPr>
          <a:xfrm>
            <a:off x="17066" y="9347414"/>
            <a:ext cx="3192985" cy="1678983"/>
          </a:xfrm>
          <a:prstGeom prst="rect">
            <a:avLst/>
          </a:prstGeom>
          <a:noFill/>
          <a:ln w="9525" cap="flat" cmpd="sng">
            <a:solidFill>
              <a:srgbClr val="FFFFFF"/>
            </a:solidFill>
            <a:prstDash val="solid"/>
            <a:miter/>
          </a:ln>
          <a:effectLst/>
        </xdr:spPr>
      </xdr:pic>
      <xdr:sp macro="" textlink="">
        <xdr:nvSpPr>
          <xdr:cNvPr id="5" name="ellipse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2142341" y="9768015"/>
            <a:ext cx="138792" cy="212133"/>
          </a:xfrm>
          <a:prstGeom prst="ellipse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6" name="_x0000_s9235" descr=" 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7" name="_x0000_s9236" descr=" 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8" name="_x0000_s9237" descr=" 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9" name="_x0000_s9238" descr=" 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0" name="_x0000_s9239" descr=" 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1" name="_x0000_s9240" descr=" 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2" name="_x0000_s9241" descr="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3" name="_x0000_s9242" descr=" 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4" name="_x0000_s9243" descr=" 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5" name="_x0000_s9244" descr="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6" name="_x0000_s9245" descr=" 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7" name="_x0000_s9246" descr=" 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8" name="_x0000_s9247" descr=" 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9" name="_x0000_s9248" descr=" 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20" name="_x0000_s9249" descr=" 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21" name="_x0000_s9250" descr=" 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516255</xdr:colOff>
      <xdr:row>38</xdr:row>
      <xdr:rowOff>241935</xdr:rowOff>
    </xdr:from>
    <xdr:to>
      <xdr:col>5</xdr:col>
      <xdr:colOff>414020</xdr:colOff>
      <xdr:row>38</xdr:row>
      <xdr:rowOff>241935</xdr:rowOff>
    </xdr:to>
    <xdr:sp macro="" textlink="">
      <xdr:nvSpPr>
        <xdr:cNvPr id="2" name="lin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697605" y="8530590"/>
          <a:ext cx="583565" cy="0"/>
        </a:xfrm>
        <a:prstGeom prst="line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237311</xdr:colOff>
      <xdr:row>52</xdr:row>
      <xdr:rowOff>139600</xdr:rowOff>
    </xdr:from>
    <xdr:to>
      <xdr:col>3</xdr:col>
      <xdr:colOff>416593</xdr:colOff>
      <xdr:row>54</xdr:row>
      <xdr:rowOff>215384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36855" y="12252960"/>
          <a:ext cx="2713355" cy="58674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81227</xdr:colOff>
      <xdr:row>42</xdr:row>
      <xdr:rowOff>113674</xdr:rowOff>
    </xdr:from>
    <xdr:to>
      <xdr:col>6</xdr:col>
      <xdr:colOff>166350</xdr:colOff>
      <xdr:row>54</xdr:row>
      <xdr:rowOff>190455</xdr:rowOff>
    </xdr:to>
    <xdr:grpSp>
      <xdr:nvGrpSpPr>
        <xdr:cNvPr id="4" name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81227" y="9562474"/>
          <a:ext cx="4874837" cy="3081238"/>
          <a:chOff x="81643" y="10315569"/>
          <a:chExt cx="5169014" cy="2828931"/>
        </a:xfrm>
      </xdr:grpSpPr>
      <xdr:grpSp>
        <xdr:nvGrpSpPr>
          <xdr:cNvPr id="5" name=" 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pSpPr/>
        </xdr:nvGrpSpPr>
        <xdr:grpSpPr>
          <a:xfrm>
            <a:off x="81643" y="10315569"/>
            <a:ext cx="5169014" cy="2817024"/>
            <a:chOff x="81643" y="10315569"/>
            <a:chExt cx="5169014" cy="2817024"/>
          </a:xfrm>
        </xdr:grpSpPr>
        <xdr:grpSp>
          <xdr:nvGrpSpPr>
            <xdr:cNvPr id="6" name=" 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pSpPr/>
          </xdr:nvGrpSpPr>
          <xdr:grpSpPr>
            <a:xfrm>
              <a:off x="81643" y="10315569"/>
              <a:ext cx="5169014" cy="2817024"/>
              <a:chOff x="81643" y="10315569"/>
              <a:chExt cx="5169014" cy="2817024"/>
            </a:xfrm>
          </xdr:grpSpPr>
          <xdr:pic>
            <xdr:nvPicPr>
              <xdr:cNvPr id="7" name="Picture 2" descr=" ">
                <a:extLst>
                  <a:ext uri="{FF2B5EF4-FFF2-40B4-BE49-F238E27FC236}">
                    <a16:creationId xmlns:a16="http://schemas.microsoft.com/office/drawing/2014/main" id="{00000000-0008-0000-0100-000007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503"/>
                <a:ext cx="4247945" cy="2765090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8" name="ellipse">
                <a:extLst>
                  <a:ext uri="{FF2B5EF4-FFF2-40B4-BE49-F238E27FC236}">
                    <a16:creationId xmlns:a16="http://schemas.microsoft.com/office/drawing/2014/main" id="{00000000-0008-0000-0100-000008000000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9" name="rect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10" name="rect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  <xdr:twoCellAnchor>
    <xdr:from>
      <xdr:col>1</xdr:col>
      <xdr:colOff>730251</xdr:colOff>
      <xdr:row>7</xdr:row>
      <xdr:rowOff>179918</xdr:rowOff>
    </xdr:from>
    <xdr:to>
      <xdr:col>2</xdr:col>
      <xdr:colOff>1</xdr:colOff>
      <xdr:row>9</xdr:row>
      <xdr:rowOff>63502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758950" y="1703705"/>
          <a:ext cx="127000" cy="28384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>
              <a:solidFill>
                <a:schemeClr val="tx1"/>
              </a:solidFill>
              <a:latin typeface="Calibri" panose="020F0502020204030204" pitchFamily="34" charset="0"/>
            </a:rPr>
            <a:t>: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639487</xdr:colOff>
      <xdr:row>29</xdr:row>
      <xdr:rowOff>63289</xdr:rowOff>
    </xdr:from>
    <xdr:to>
      <xdr:col>4</xdr:col>
      <xdr:colOff>465351</xdr:colOff>
      <xdr:row>30</xdr:row>
      <xdr:rowOff>0</xdr:rowOff>
    </xdr:to>
    <xdr:sp macro="" textlink="">
      <xdr:nvSpPr>
        <xdr:cNvPr id="2" name="rec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620645" y="5918835"/>
          <a:ext cx="806450" cy="13716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264235</xdr:colOff>
      <xdr:row>36</xdr:row>
      <xdr:rowOff>101575</xdr:rowOff>
    </xdr:from>
    <xdr:to>
      <xdr:col>4</xdr:col>
      <xdr:colOff>523430</xdr:colOff>
      <xdr:row>37</xdr:row>
      <xdr:rowOff>25300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245360" y="7357110"/>
          <a:ext cx="1240155" cy="12382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805180</xdr:colOff>
      <xdr:row>31</xdr:row>
      <xdr:rowOff>199243</xdr:rowOff>
    </xdr:from>
    <xdr:to>
      <xdr:col>3</xdr:col>
      <xdr:colOff>805180</xdr:colOff>
      <xdr:row>32</xdr:row>
      <xdr:rowOff>126578</xdr:rowOff>
    </xdr:to>
    <xdr:sp macro="" textlink="">
      <xdr:nvSpPr>
        <xdr:cNvPr id="4" name="rec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786380" y="6454775"/>
          <a:ext cx="0" cy="12763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551644</xdr:colOff>
      <xdr:row>29</xdr:row>
      <xdr:rowOff>63289</xdr:rowOff>
    </xdr:from>
    <xdr:to>
      <xdr:col>5</xdr:col>
      <xdr:colOff>249979</xdr:colOff>
      <xdr:row>37</xdr:row>
      <xdr:rowOff>151804</xdr:rowOff>
    </xdr:to>
    <xdr:grpSp>
      <xdr:nvGrpSpPr>
        <xdr:cNvPr id="5" name=" 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1717504" y="5862109"/>
          <a:ext cx="2403435" cy="1673475"/>
          <a:chOff x="81643" y="10315569"/>
          <a:chExt cx="5169014" cy="2828931"/>
        </a:xfrm>
      </xdr:grpSpPr>
      <xdr:grpSp>
        <xdr:nvGrpSpPr>
          <xdr:cNvPr id="6" name=" 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GrpSpPr/>
        </xdr:nvGrpSpPr>
        <xdr:grpSpPr>
          <a:xfrm>
            <a:off x="81643" y="10315569"/>
            <a:ext cx="5169014" cy="2817024"/>
            <a:chOff x="81643" y="10315569"/>
            <a:chExt cx="5169014" cy="2817024"/>
          </a:xfrm>
        </xdr:grpSpPr>
        <xdr:grpSp>
          <xdr:nvGrpSpPr>
            <xdr:cNvPr id="7" name=" 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81643" y="10315569"/>
              <a:ext cx="5169014" cy="2817024"/>
              <a:chOff x="81643" y="10315569"/>
              <a:chExt cx="5169014" cy="2817024"/>
            </a:xfrm>
          </xdr:grpSpPr>
          <xdr:pic>
            <xdr:nvPicPr>
              <xdr:cNvPr id="8" name="Picture 2" descr=" ">
                <a:extLst>
                  <a:ext uri="{FF2B5EF4-FFF2-40B4-BE49-F238E27FC236}">
                    <a16:creationId xmlns:a16="http://schemas.microsoft.com/office/drawing/2014/main" id="{00000000-0008-0000-0300-000008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503"/>
                <a:ext cx="4247945" cy="2765090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9" name="ellipse">
                <a:extLst>
                  <a:ext uri="{FF2B5EF4-FFF2-40B4-BE49-F238E27FC236}">
                    <a16:creationId xmlns:a16="http://schemas.microsoft.com/office/drawing/2014/main" id="{00000000-0008-0000-0300-000009000000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10" name="rect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11" name="rect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31</xdr:row>
      <xdr:rowOff>123825</xdr:rowOff>
    </xdr:from>
    <xdr:to>
      <xdr:col>6</xdr:col>
      <xdr:colOff>152400</xdr:colOff>
      <xdr:row>40</xdr:row>
      <xdr:rowOff>133350</xdr:rowOff>
    </xdr:to>
    <xdr:grpSp>
      <xdr:nvGrpSpPr>
        <xdr:cNvPr id="5" name=" 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981075" y="5610225"/>
          <a:ext cx="2638425" cy="1746885"/>
          <a:chOff x="81643" y="10315569"/>
          <a:chExt cx="5169014" cy="2828931"/>
        </a:xfrm>
      </xdr:grpSpPr>
      <xdr:grpSp>
        <xdr:nvGrpSpPr>
          <xdr:cNvPr id="6" name=" 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GrpSpPr/>
        </xdr:nvGrpSpPr>
        <xdr:grpSpPr>
          <a:xfrm>
            <a:off x="81643" y="10315569"/>
            <a:ext cx="5169014" cy="2817024"/>
            <a:chOff x="81643" y="10315569"/>
            <a:chExt cx="5169014" cy="2817024"/>
          </a:xfrm>
        </xdr:grpSpPr>
        <xdr:grpSp>
          <xdr:nvGrpSpPr>
            <xdr:cNvPr id="7" name=" 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81643" y="10315569"/>
              <a:ext cx="5169014" cy="2817024"/>
              <a:chOff x="81643" y="10315569"/>
              <a:chExt cx="5169014" cy="2817024"/>
            </a:xfrm>
          </xdr:grpSpPr>
          <xdr:pic>
            <xdr:nvPicPr>
              <xdr:cNvPr id="8" name="Picture 2" descr=" ">
                <a:extLst>
                  <a:ext uri="{FF2B5EF4-FFF2-40B4-BE49-F238E27FC236}">
                    <a16:creationId xmlns:a16="http://schemas.microsoft.com/office/drawing/2014/main" id="{00000000-0008-0000-0400-000008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503"/>
                <a:ext cx="4247945" cy="2765090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9" name="ellipse">
                <a:extLst>
                  <a:ext uri="{FF2B5EF4-FFF2-40B4-BE49-F238E27FC236}">
                    <a16:creationId xmlns:a16="http://schemas.microsoft.com/office/drawing/2014/main" id="{00000000-0008-0000-0400-000009000000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10" name="rect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11" name="rect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31</xdr:row>
      <xdr:rowOff>123825</xdr:rowOff>
    </xdr:from>
    <xdr:to>
      <xdr:col>6</xdr:col>
      <xdr:colOff>152400</xdr:colOff>
      <xdr:row>40</xdr:row>
      <xdr:rowOff>133350</xdr:rowOff>
    </xdr:to>
    <xdr:grpSp>
      <xdr:nvGrpSpPr>
        <xdr:cNvPr id="2" name=" ">
          <a:extLst>
            <a:ext uri="{FF2B5EF4-FFF2-40B4-BE49-F238E27FC236}">
              <a16:creationId xmlns:a16="http://schemas.microsoft.com/office/drawing/2014/main" id="{B11A1889-2DEC-43E6-9AAF-46EF8BF34C8C}"/>
            </a:ext>
          </a:extLst>
        </xdr:cNvPr>
        <xdr:cNvGrpSpPr/>
      </xdr:nvGrpSpPr>
      <xdr:grpSpPr>
        <a:xfrm>
          <a:off x="981075" y="5648325"/>
          <a:ext cx="2638425" cy="1762125"/>
          <a:chOff x="81643" y="10315569"/>
          <a:chExt cx="5169014" cy="2828931"/>
        </a:xfrm>
      </xdr:grpSpPr>
      <xdr:grpSp>
        <xdr:nvGrpSpPr>
          <xdr:cNvPr id="3" name=" ">
            <a:extLst>
              <a:ext uri="{FF2B5EF4-FFF2-40B4-BE49-F238E27FC236}">
                <a16:creationId xmlns:a16="http://schemas.microsoft.com/office/drawing/2014/main" id="{06717740-C2B5-40D9-A347-17D223BB63F7}"/>
              </a:ext>
            </a:extLst>
          </xdr:cNvPr>
          <xdr:cNvGrpSpPr/>
        </xdr:nvGrpSpPr>
        <xdr:grpSpPr>
          <a:xfrm>
            <a:off x="81643" y="10315569"/>
            <a:ext cx="5169014" cy="2817024"/>
            <a:chOff x="81643" y="10315569"/>
            <a:chExt cx="5169014" cy="2817024"/>
          </a:xfrm>
        </xdr:grpSpPr>
        <xdr:grpSp>
          <xdr:nvGrpSpPr>
            <xdr:cNvPr id="5" name=" ">
              <a:extLst>
                <a:ext uri="{FF2B5EF4-FFF2-40B4-BE49-F238E27FC236}">
                  <a16:creationId xmlns:a16="http://schemas.microsoft.com/office/drawing/2014/main" id="{3A080777-F9AE-4FA1-B687-A821DFA42ED3}"/>
                </a:ext>
              </a:extLst>
            </xdr:cNvPr>
            <xdr:cNvGrpSpPr/>
          </xdr:nvGrpSpPr>
          <xdr:grpSpPr>
            <a:xfrm>
              <a:off x="81643" y="10315569"/>
              <a:ext cx="5169014" cy="2817024"/>
              <a:chOff x="81643" y="10315569"/>
              <a:chExt cx="5169014" cy="2817024"/>
            </a:xfrm>
          </xdr:grpSpPr>
          <xdr:pic>
            <xdr:nvPicPr>
              <xdr:cNvPr id="7" name="Picture 2" descr=" ">
                <a:extLst>
                  <a:ext uri="{FF2B5EF4-FFF2-40B4-BE49-F238E27FC236}">
                    <a16:creationId xmlns:a16="http://schemas.microsoft.com/office/drawing/2014/main" id="{89136E66-7758-4BCA-AF74-87111CB6EB4A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503"/>
                <a:ext cx="4247945" cy="2765090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8" name="ellipse">
                <a:extLst>
                  <a:ext uri="{FF2B5EF4-FFF2-40B4-BE49-F238E27FC236}">
                    <a16:creationId xmlns:a16="http://schemas.microsoft.com/office/drawing/2014/main" id="{DD752B13-6126-4F32-8453-FCD5A3013F8F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6" name="rect">
              <a:extLst>
                <a:ext uri="{FF2B5EF4-FFF2-40B4-BE49-F238E27FC236}">
                  <a16:creationId xmlns:a16="http://schemas.microsoft.com/office/drawing/2014/main" id="{7275E5CA-310C-4D72-B5A9-DFEF0A6ACD60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4" name="rect">
            <a:extLst>
              <a:ext uri="{FF2B5EF4-FFF2-40B4-BE49-F238E27FC236}">
                <a16:creationId xmlns:a16="http://schemas.microsoft.com/office/drawing/2014/main" id="{FEB038A1-915F-4C3D-9766-90AAE58082E5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FTWARE%202019\SOFTWARE%20TEKANAN\TENSIMETER%208-1-2019%20K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wayat Revisi"/>
      <sheetName val="LK"/>
      <sheetName val="DB Thermohygro "/>
      <sheetName val="Kata-kata"/>
      <sheetName val="BUDGET"/>
      <sheetName val="DB Kelistrikan"/>
      <sheetName val="Penyelia Kalibrasi"/>
      <sheetName val="Penyelia Pengujian"/>
      <sheetName val="ID"/>
      <sheetName val="LH"/>
      <sheetName val="LHP"/>
      <sheetName val="Input Data Sertifikat ESU"/>
      <sheetName val="Input Data Lux"/>
      <sheetName val="UNCE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W123"/>
  <sheetViews>
    <sheetView showGridLines="0" view="pageBreakPreview" topLeftCell="A77" zoomScale="115" zoomScaleNormal="117" zoomScaleSheetLayoutView="115" workbookViewId="0">
      <selection activeCell="A82" sqref="A82:XFD98"/>
    </sheetView>
  </sheetViews>
  <sheetFormatPr defaultColWidth="9" defaultRowHeight="15"/>
  <cols>
    <col min="1" max="1" width="10.5546875" style="168" customWidth="1"/>
    <col min="2" max="2" width="15.109375" style="168" customWidth="1"/>
    <col min="3" max="12" width="9.6640625" style="168" customWidth="1"/>
    <col min="13" max="256" width="9.109375" style="168" customWidth="1"/>
    <col min="257" max="16384" width="9" style="2"/>
  </cols>
  <sheetData>
    <row r="1" spans="1:13" ht="19.5" customHeight="1">
      <c r="A1" s="1084" t="s">
        <v>394</v>
      </c>
      <c r="B1" s="1084"/>
      <c r="C1" s="1084"/>
      <c r="D1" s="1084"/>
      <c r="E1" s="1084"/>
      <c r="F1" s="1084"/>
      <c r="G1" s="1084"/>
      <c r="H1" s="1084"/>
      <c r="I1" s="1084"/>
      <c r="J1" s="1084"/>
      <c r="K1" s="1084"/>
      <c r="L1" s="1084"/>
      <c r="M1" s="1084"/>
    </row>
    <row r="2" spans="1:13" ht="18.75" customHeight="1">
      <c r="A2" s="1083" t="s">
        <v>357</v>
      </c>
      <c r="B2" s="1083"/>
      <c r="C2" s="1083"/>
      <c r="D2" s="1083"/>
      <c r="E2" s="1083"/>
      <c r="F2" s="1083"/>
      <c r="G2" s="1083"/>
      <c r="H2" s="1083"/>
      <c r="I2" s="1083"/>
      <c r="J2" s="1083"/>
      <c r="K2" s="1083"/>
      <c r="L2" s="1083"/>
      <c r="M2" s="1083"/>
    </row>
    <row r="3" spans="1:13" ht="18.75" customHeight="1">
      <c r="A3" s="154"/>
      <c r="B3" s="154"/>
      <c r="C3" s="154"/>
      <c r="D3" s="154"/>
      <c r="E3" s="154"/>
      <c r="F3" s="154"/>
      <c r="G3" s="154"/>
      <c r="H3" s="154"/>
      <c r="I3" s="154"/>
    </row>
    <row r="4" spans="1:13" ht="15.75" customHeight="1">
      <c r="A4" s="169" t="s">
        <v>0</v>
      </c>
      <c r="C4" s="170" t="s">
        <v>1</v>
      </c>
      <c r="D4" s="171"/>
      <c r="E4" s="171"/>
      <c r="F4" s="172"/>
      <c r="G4" s="173"/>
      <c r="H4" s="171"/>
    </row>
    <row r="5" spans="1:13" ht="15.75" customHeight="1">
      <c r="A5" s="174" t="s">
        <v>2</v>
      </c>
      <c r="C5" s="41" t="s">
        <v>1</v>
      </c>
      <c r="D5" s="175"/>
      <c r="E5" s="175"/>
      <c r="F5" s="176"/>
      <c r="G5" s="177"/>
      <c r="H5" s="175"/>
    </row>
    <row r="6" spans="1:13" ht="15.75" customHeight="1">
      <c r="A6" s="174" t="s">
        <v>3</v>
      </c>
      <c r="C6" s="41" t="s">
        <v>1</v>
      </c>
      <c r="D6" s="175"/>
      <c r="E6" s="175"/>
      <c r="F6" s="178"/>
      <c r="G6" s="179"/>
      <c r="H6" s="175"/>
    </row>
    <row r="7" spans="1:13" ht="15.75" customHeight="1">
      <c r="A7" s="174" t="s">
        <v>4</v>
      </c>
      <c r="C7" s="41" t="s">
        <v>1</v>
      </c>
      <c r="D7" s="175"/>
      <c r="E7" s="176"/>
      <c r="F7" s="176"/>
      <c r="G7" s="177"/>
      <c r="H7" s="175"/>
    </row>
    <row r="8" spans="1:13" ht="15.75" customHeight="1">
      <c r="A8" s="174" t="s">
        <v>395</v>
      </c>
      <c r="C8" s="41" t="s">
        <v>1</v>
      </c>
      <c r="D8" s="175"/>
      <c r="E8" s="176"/>
      <c r="F8" s="176"/>
      <c r="G8" s="177"/>
      <c r="H8" s="175"/>
    </row>
    <row r="9" spans="1:13" ht="15.75" customHeight="1">
      <c r="A9" s="169" t="s">
        <v>5</v>
      </c>
      <c r="C9" s="41" t="s">
        <v>1</v>
      </c>
      <c r="D9" s="175"/>
      <c r="E9" s="176"/>
      <c r="F9" s="176"/>
      <c r="G9" s="177"/>
      <c r="H9" s="175"/>
    </row>
    <row r="10" spans="1:13" ht="15.75" customHeight="1">
      <c r="A10" s="169" t="s">
        <v>6</v>
      </c>
      <c r="C10" s="41" t="s">
        <v>1</v>
      </c>
      <c r="D10" s="175"/>
      <c r="E10" s="176"/>
      <c r="F10" s="176"/>
      <c r="G10" s="177"/>
      <c r="H10" s="175"/>
    </row>
    <row r="11" spans="1:13" ht="15.75" customHeight="1">
      <c r="A11" s="174" t="s">
        <v>7</v>
      </c>
      <c r="C11" s="41" t="s">
        <v>1</v>
      </c>
      <c r="D11" s="175"/>
      <c r="E11" s="176"/>
      <c r="F11" s="176"/>
      <c r="G11" s="177"/>
      <c r="H11" s="175"/>
    </row>
    <row r="12" spans="1:13" ht="14.25" customHeight="1">
      <c r="A12" s="169"/>
      <c r="B12" s="169"/>
      <c r="C12" s="170"/>
      <c r="D12" s="169"/>
      <c r="E12" s="169"/>
      <c r="F12" s="169"/>
      <c r="G12" s="169"/>
      <c r="H12" s="169"/>
      <c r="I12" s="192"/>
    </row>
    <row r="13" spans="1:13" ht="15.75" customHeight="1">
      <c r="A13" s="180" t="s">
        <v>8</v>
      </c>
      <c r="B13" s="180"/>
      <c r="C13" s="181"/>
      <c r="D13" s="182" t="s">
        <v>9</v>
      </c>
      <c r="E13" s="183" t="s">
        <v>10</v>
      </c>
      <c r="F13" s="184"/>
      <c r="G13" s="169"/>
      <c r="H13" s="169"/>
      <c r="I13" s="429" t="s">
        <v>11</v>
      </c>
    </row>
    <row r="14" spans="1:13" ht="18" customHeight="1">
      <c r="A14" s="169"/>
      <c r="B14" s="42" t="s">
        <v>12</v>
      </c>
      <c r="C14" s="181" t="s">
        <v>1</v>
      </c>
      <c r="D14" s="185"/>
      <c r="E14" s="186"/>
      <c r="F14" s="169" t="s">
        <v>396</v>
      </c>
      <c r="I14" s="430">
        <v>0.05</v>
      </c>
    </row>
    <row r="15" spans="1:13" ht="16.5" customHeight="1">
      <c r="A15" s="187"/>
      <c r="B15" s="187" t="s">
        <v>13</v>
      </c>
      <c r="C15" s="181" t="s">
        <v>1</v>
      </c>
      <c r="D15" s="188"/>
      <c r="E15" s="189"/>
      <c r="F15" s="169" t="s">
        <v>14</v>
      </c>
      <c r="I15" s="430">
        <v>0.05</v>
      </c>
    </row>
    <row r="16" spans="1:13" ht="16.5" customHeight="1">
      <c r="A16" s="187"/>
      <c r="B16" s="187" t="s">
        <v>15</v>
      </c>
      <c r="C16" s="181"/>
      <c r="D16" s="1089"/>
      <c r="E16" s="1090"/>
      <c r="F16" s="169"/>
    </row>
    <row r="17" spans="1:14" ht="7.5" customHeight="1">
      <c r="A17" s="190"/>
      <c r="B17" s="190"/>
      <c r="C17" s="190"/>
      <c r="D17" s="169"/>
      <c r="I17" s="191"/>
    </row>
    <row r="18" spans="1:14" ht="19.5" customHeight="1">
      <c r="A18" s="190" t="s">
        <v>16</v>
      </c>
      <c r="F18" s="191"/>
      <c r="H18" s="192"/>
    </row>
    <row r="19" spans="1:14" ht="21" customHeight="1">
      <c r="B19" s="193" t="s">
        <v>17</v>
      </c>
      <c r="C19" s="193" t="s">
        <v>18</v>
      </c>
      <c r="E19" s="1098" t="s">
        <v>19</v>
      </c>
      <c r="F19" s="1098"/>
      <c r="G19" s="1098"/>
      <c r="H19" s="1098"/>
      <c r="I19" s="1098"/>
    </row>
    <row r="20" spans="1:14" ht="15.75" customHeight="1">
      <c r="B20" s="193" t="s">
        <v>20</v>
      </c>
      <c r="C20" s="193" t="s">
        <v>18</v>
      </c>
      <c r="E20" s="1098"/>
      <c r="F20" s="1098"/>
      <c r="G20" s="1098"/>
      <c r="H20" s="1098"/>
      <c r="I20" s="1098"/>
    </row>
    <row r="21" spans="1:14" ht="18.75" customHeight="1">
      <c r="A21" s="190" t="s">
        <v>21</v>
      </c>
      <c r="D21" s="169"/>
      <c r="I21" s="191"/>
    </row>
    <row r="22" spans="1:14" ht="38.25" customHeight="1">
      <c r="A22" s="45" t="s">
        <v>22</v>
      </c>
      <c r="B22" s="1091" t="s">
        <v>23</v>
      </c>
      <c r="C22" s="1091"/>
      <c r="D22" s="1091"/>
      <c r="E22" s="1091"/>
      <c r="F22" s="1091"/>
      <c r="G22" s="1091"/>
      <c r="H22" s="1091" t="s">
        <v>24</v>
      </c>
      <c r="I22" s="1091"/>
      <c r="J22" s="1091" t="s">
        <v>25</v>
      </c>
      <c r="K22" s="1092"/>
      <c r="L22" s="431" t="s">
        <v>11</v>
      </c>
    </row>
    <row r="23" spans="1:14" ht="15.75" customHeight="1">
      <c r="A23" s="194">
        <v>1</v>
      </c>
      <c r="B23" s="195" t="s">
        <v>26</v>
      </c>
      <c r="C23" s="196"/>
      <c r="D23" s="196"/>
      <c r="E23" s="196"/>
      <c r="F23" s="197"/>
      <c r="G23" s="198"/>
      <c r="H23" s="199"/>
      <c r="I23" s="222" t="s">
        <v>27</v>
      </c>
      <c r="J23" s="1111" t="s">
        <v>28</v>
      </c>
      <c r="K23" s="1111"/>
      <c r="L23" s="430">
        <v>0.1</v>
      </c>
    </row>
    <row r="24" spans="1:14" ht="15.75" customHeight="1">
      <c r="A24" s="194">
        <v>2</v>
      </c>
      <c r="B24" s="195" t="s">
        <v>29</v>
      </c>
      <c r="C24" s="196"/>
      <c r="D24" s="196"/>
      <c r="E24" s="196"/>
      <c r="F24" s="197"/>
      <c r="G24" s="198"/>
      <c r="H24" s="199"/>
      <c r="I24" s="222" t="s">
        <v>30</v>
      </c>
      <c r="J24" s="1085" t="s">
        <v>31</v>
      </c>
      <c r="K24" s="1085"/>
      <c r="L24" s="430">
        <v>0.1</v>
      </c>
    </row>
    <row r="25" spans="1:14" ht="15.75" hidden="1" customHeight="1">
      <c r="A25" s="194">
        <v>4</v>
      </c>
      <c r="B25" s="195" t="s">
        <v>32</v>
      </c>
      <c r="C25" s="196"/>
      <c r="D25" s="196"/>
      <c r="E25" s="196"/>
      <c r="F25" s="197"/>
      <c r="G25" s="198"/>
      <c r="H25" s="199"/>
      <c r="I25" s="222" t="s">
        <v>33</v>
      </c>
      <c r="J25" s="1086"/>
      <c r="K25" s="1086"/>
      <c r="L25" s="430">
        <v>0.13300000000000001</v>
      </c>
      <c r="N25" s="168" t="s">
        <v>34</v>
      </c>
    </row>
    <row r="26" spans="1:14" ht="15.75" customHeight="1">
      <c r="A26" s="200">
        <v>3</v>
      </c>
      <c r="B26" s="201" t="s">
        <v>35</v>
      </c>
      <c r="C26" s="202"/>
      <c r="D26" s="202"/>
      <c r="E26" s="202"/>
      <c r="F26" s="203"/>
      <c r="G26" s="204"/>
      <c r="H26" s="205"/>
      <c r="I26" s="223" t="s">
        <v>36</v>
      </c>
      <c r="J26" s="1087" t="s">
        <v>37</v>
      </c>
      <c r="K26" s="1087"/>
      <c r="L26" s="430">
        <v>0.2</v>
      </c>
    </row>
    <row r="27" spans="1:14" ht="15.75" hidden="1" customHeight="1">
      <c r="A27" s="206">
        <v>7</v>
      </c>
      <c r="B27" s="207"/>
      <c r="C27" s="208"/>
      <c r="D27" s="208"/>
      <c r="E27" s="208"/>
      <c r="F27" s="209"/>
      <c r="G27" s="210"/>
      <c r="H27" s="211"/>
      <c r="I27" s="224"/>
      <c r="J27" s="1088"/>
      <c r="K27" s="1088"/>
    </row>
    <row r="28" spans="1:14" ht="20.100000000000001" hidden="1" customHeight="1">
      <c r="A28" s="212">
        <v>8</v>
      </c>
      <c r="B28" s="201"/>
      <c r="C28" s="202"/>
      <c r="D28" s="202"/>
      <c r="E28" s="202"/>
      <c r="F28" s="203"/>
      <c r="G28" s="204"/>
      <c r="H28" s="205"/>
      <c r="I28" s="225"/>
      <c r="J28" s="1105"/>
      <c r="K28" s="1105"/>
    </row>
    <row r="29" spans="1:14" ht="20.100000000000001" customHeight="1">
      <c r="A29" s="190" t="s">
        <v>38</v>
      </c>
      <c r="I29" s="226"/>
      <c r="J29" s="227"/>
      <c r="K29" s="227"/>
    </row>
    <row r="30" spans="1:14" ht="20.100000000000001" customHeight="1" thickBot="1">
      <c r="A30" s="168" t="s">
        <v>39</v>
      </c>
      <c r="H30" s="213"/>
      <c r="I30" s="213"/>
      <c r="J30" s="227"/>
      <c r="K30" s="227"/>
    </row>
    <row r="31" spans="1:14" ht="38.25" customHeight="1">
      <c r="A31" s="1106" t="s">
        <v>40</v>
      </c>
      <c r="B31" s="1107"/>
      <c r="C31" s="214" t="s">
        <v>41</v>
      </c>
      <c r="D31" s="214" t="s">
        <v>42</v>
      </c>
      <c r="E31" s="214" t="s">
        <v>43</v>
      </c>
      <c r="F31" s="215" t="s">
        <v>44</v>
      </c>
      <c r="G31" s="30"/>
      <c r="H31" s="213"/>
      <c r="I31" s="28"/>
      <c r="J31" s="227"/>
      <c r="K31" s="227"/>
    </row>
    <row r="32" spans="1:14" ht="30" customHeight="1">
      <c r="A32" s="1108"/>
      <c r="B32" s="1109"/>
      <c r="C32" s="164"/>
      <c r="D32" s="164"/>
      <c r="E32" s="164"/>
      <c r="F32" s="216"/>
      <c r="G32" s="217"/>
      <c r="H32" s="213"/>
      <c r="I32" s="213"/>
      <c r="J32" s="227"/>
      <c r="K32" s="227"/>
    </row>
    <row r="33" spans="1:11" ht="20.100000000000001" customHeight="1">
      <c r="A33" s="168" t="s">
        <v>45</v>
      </c>
      <c r="J33" s="227"/>
      <c r="K33" s="227"/>
    </row>
    <row r="34" spans="1:11" ht="36.75" customHeight="1" thickBot="1">
      <c r="A34" s="218" t="s">
        <v>46</v>
      </c>
      <c r="B34" s="219" t="s">
        <v>47</v>
      </c>
      <c r="C34" s="1101" t="s">
        <v>48</v>
      </c>
      <c r="D34" s="1101"/>
      <c r="E34" s="1110" t="s">
        <v>49</v>
      </c>
      <c r="F34" s="1100"/>
      <c r="G34" s="1101" t="s">
        <v>50</v>
      </c>
      <c r="H34" s="1101"/>
      <c r="I34" s="1102"/>
    </row>
    <row r="35" spans="1:11" ht="23.25" customHeight="1" thickBot="1">
      <c r="A35" s="413">
        <v>2</v>
      </c>
      <c r="B35" s="412">
        <v>4</v>
      </c>
      <c r="C35" s="1100"/>
      <c r="D35" s="1100"/>
      <c r="E35" s="1100"/>
      <c r="F35" s="1100"/>
      <c r="G35" s="1101"/>
      <c r="H35" s="1101"/>
      <c r="I35" s="1102"/>
      <c r="J35" s="228"/>
      <c r="K35" s="228"/>
    </row>
    <row r="36" spans="1:11" ht="20.100000000000001" customHeight="1">
      <c r="A36" s="168" t="s">
        <v>51</v>
      </c>
      <c r="J36" s="229"/>
      <c r="K36" s="229"/>
    </row>
    <row r="37" spans="1:11" ht="20.100000000000001" customHeight="1">
      <c r="J37" s="229"/>
      <c r="K37" s="229"/>
    </row>
    <row r="38" spans="1:11" ht="20.100000000000001" customHeight="1">
      <c r="J38" s="229"/>
      <c r="K38" s="229"/>
    </row>
    <row r="39" spans="1:11" ht="20.100000000000001" customHeight="1">
      <c r="J39" s="229"/>
      <c r="K39" s="229"/>
    </row>
    <row r="40" spans="1:11" ht="20.100000000000001" customHeight="1"/>
    <row r="41" spans="1:11" ht="20.100000000000001" customHeight="1"/>
    <row r="42" spans="1:11" ht="20.100000000000001" customHeight="1"/>
    <row r="43" spans="1:11" ht="20.100000000000001" customHeight="1"/>
    <row r="44" spans="1:11" ht="20.100000000000001" customHeight="1">
      <c r="G44" s="28"/>
      <c r="H44" s="28"/>
      <c r="I44" s="28"/>
    </row>
    <row r="45" spans="1:11" ht="20.100000000000001" customHeight="1">
      <c r="G45" s="1099"/>
      <c r="H45" s="1099"/>
      <c r="I45" s="28"/>
    </row>
    <row r="46" spans="1:11" ht="20.100000000000001" customHeight="1">
      <c r="G46" s="1099"/>
      <c r="H46" s="1099"/>
      <c r="I46" s="65"/>
    </row>
    <row r="47" spans="1:11" ht="20.100000000000001" customHeight="1">
      <c r="G47" s="1099"/>
      <c r="H47" s="1099"/>
      <c r="I47" s="213"/>
    </row>
    <row r="48" spans="1:11" ht="20.100000000000001" customHeight="1"/>
    <row r="49" spans="1:17" ht="20.100000000000001" customHeight="1"/>
    <row r="50" spans="1:17" ht="20.100000000000001" customHeight="1"/>
    <row r="51" spans="1:17" ht="20.100000000000001" customHeight="1"/>
    <row r="52" spans="1:17" ht="20.100000000000001" customHeight="1"/>
    <row r="53" spans="1:17" ht="20.100000000000001" customHeight="1"/>
    <row r="54" spans="1:17" ht="20.100000000000001" customHeight="1"/>
    <row r="55" spans="1:17" ht="20.100000000000001" customHeight="1"/>
    <row r="56" spans="1:17" ht="20.100000000000001" customHeight="1"/>
    <row r="57" spans="1:17" ht="20.100000000000001" customHeight="1"/>
    <row r="58" spans="1:17" ht="20.100000000000001" customHeight="1"/>
    <row r="59" spans="1:17" ht="20.100000000000001" customHeight="1"/>
    <row r="60" spans="1:17" ht="20.100000000000001" hidden="1" customHeight="1"/>
    <row r="61" spans="1:17" ht="20.100000000000001" customHeight="1">
      <c r="A61" s="168" t="s">
        <v>52</v>
      </c>
      <c r="D61" s="220"/>
      <c r="E61" s="220"/>
      <c r="F61" s="220"/>
      <c r="G61" s="220"/>
      <c r="H61" s="220"/>
      <c r="I61" s="220"/>
      <c r="J61" s="220"/>
    </row>
    <row r="62" spans="1:17" ht="20.100000000000001" customHeight="1">
      <c r="A62" s="1097" t="s">
        <v>53</v>
      </c>
      <c r="B62" s="1097" t="s">
        <v>54</v>
      </c>
      <c r="C62" s="1103" t="s">
        <v>55</v>
      </c>
      <c r="D62" s="1104"/>
      <c r="E62" s="1104"/>
      <c r="F62" s="1104"/>
      <c r="G62" s="1104"/>
      <c r="H62" s="1104"/>
      <c r="I62" s="1104"/>
      <c r="J62" s="1104"/>
      <c r="K62" s="1104"/>
      <c r="L62" s="1104"/>
    </row>
    <row r="63" spans="1:17" ht="39" customHeight="1">
      <c r="A63" s="1097"/>
      <c r="B63" s="1097"/>
      <c r="C63" s="244" t="s">
        <v>328</v>
      </c>
      <c r="D63" s="244" t="s">
        <v>329</v>
      </c>
      <c r="E63" s="244" t="s">
        <v>330</v>
      </c>
      <c r="F63" s="244" t="s">
        <v>331</v>
      </c>
      <c r="G63" s="244" t="s">
        <v>332</v>
      </c>
      <c r="H63" s="244" t="s">
        <v>333</v>
      </c>
      <c r="I63" s="244" t="s">
        <v>334</v>
      </c>
      <c r="J63" s="244" t="s">
        <v>335</v>
      </c>
      <c r="K63" s="244" t="s">
        <v>336</v>
      </c>
      <c r="L63" s="244" t="s">
        <v>337</v>
      </c>
      <c r="O63" s="2"/>
      <c r="P63" s="2"/>
      <c r="Q63" s="2"/>
    </row>
    <row r="64" spans="1:17" ht="20.25" customHeight="1">
      <c r="A64" s="1093"/>
      <c r="B64" s="221" t="s">
        <v>56</v>
      </c>
      <c r="C64" s="246"/>
      <c r="D64" s="246"/>
      <c r="E64" s="246"/>
      <c r="F64" s="246"/>
      <c r="G64" s="247"/>
      <c r="H64" s="243"/>
      <c r="I64" s="243"/>
      <c r="J64" s="243"/>
      <c r="K64" s="243"/>
      <c r="L64" s="243"/>
      <c r="O64" s="2"/>
      <c r="P64" s="2"/>
      <c r="Q64" s="2"/>
    </row>
    <row r="65" spans="1:19" ht="20.25" customHeight="1">
      <c r="A65" s="1093"/>
      <c r="B65" s="221" t="s">
        <v>57</v>
      </c>
      <c r="C65" s="246"/>
      <c r="D65" s="246"/>
      <c r="E65" s="246"/>
      <c r="F65" s="246"/>
      <c r="G65" s="247"/>
      <c r="H65" s="243"/>
      <c r="I65" s="243"/>
      <c r="J65" s="243"/>
      <c r="K65" s="243"/>
      <c r="L65" s="243"/>
      <c r="O65" s="2"/>
      <c r="P65" s="2"/>
      <c r="Q65" s="2"/>
    </row>
    <row r="66" spans="1:19" ht="20.25" customHeight="1">
      <c r="A66" s="1093"/>
      <c r="B66" s="221" t="s">
        <v>58</v>
      </c>
      <c r="C66" s="246"/>
      <c r="D66" s="246"/>
      <c r="E66" s="246"/>
      <c r="F66" s="246"/>
      <c r="G66" s="247"/>
      <c r="H66" s="243"/>
      <c r="I66" s="243"/>
      <c r="J66" s="243"/>
      <c r="K66" s="243"/>
      <c r="L66" s="243"/>
      <c r="O66" s="2"/>
      <c r="P66" s="2"/>
      <c r="Q66" s="2"/>
      <c r="R66" s="230"/>
      <c r="S66" s="230"/>
    </row>
    <row r="67" spans="1:19" ht="20.25" customHeight="1">
      <c r="A67" s="1093"/>
      <c r="B67" s="221" t="s">
        <v>59</v>
      </c>
      <c r="C67" s="246"/>
      <c r="D67" s="246"/>
      <c r="E67" s="246"/>
      <c r="F67" s="246"/>
      <c r="G67" s="247"/>
      <c r="H67" s="243"/>
      <c r="I67" s="243"/>
      <c r="J67" s="243"/>
      <c r="K67" s="243"/>
      <c r="L67" s="243"/>
      <c r="P67" s="213"/>
      <c r="Q67" s="230"/>
      <c r="R67" s="230"/>
      <c r="S67" s="230"/>
    </row>
    <row r="68" spans="1:19" ht="20.25" customHeight="1">
      <c r="A68" s="1093"/>
      <c r="B68" s="221" t="s">
        <v>60</v>
      </c>
      <c r="C68" s="246"/>
      <c r="D68" s="246"/>
      <c r="E68" s="246"/>
      <c r="F68" s="246"/>
      <c r="G68" s="247"/>
      <c r="H68" s="243"/>
      <c r="I68" s="243"/>
      <c r="J68" s="243"/>
      <c r="K68" s="243"/>
      <c r="L68" s="243"/>
    </row>
    <row r="69" spans="1:19" ht="20.25" customHeight="1">
      <c r="A69" s="1093"/>
      <c r="B69" s="221" t="s">
        <v>61</v>
      </c>
      <c r="C69" s="246"/>
      <c r="D69" s="246"/>
      <c r="E69" s="246"/>
      <c r="F69" s="246"/>
      <c r="G69" s="247"/>
      <c r="H69" s="243"/>
      <c r="I69" s="243"/>
      <c r="J69" s="243"/>
      <c r="K69" s="243"/>
      <c r="L69" s="243"/>
    </row>
    <row r="70" spans="1:19" ht="20.25" customHeight="1">
      <c r="A70" s="1093"/>
      <c r="B70" s="221" t="s">
        <v>62</v>
      </c>
      <c r="C70" s="246"/>
      <c r="D70" s="246"/>
      <c r="E70" s="246"/>
      <c r="F70" s="246"/>
      <c r="G70" s="247"/>
      <c r="H70" s="243"/>
      <c r="I70" s="243"/>
      <c r="J70" s="243"/>
      <c r="K70" s="243"/>
      <c r="L70" s="243"/>
    </row>
    <row r="71" spans="1:19" ht="20.25" customHeight="1">
      <c r="A71" s="1093"/>
      <c r="B71" s="221" t="s">
        <v>63</v>
      </c>
      <c r="C71" s="246"/>
      <c r="D71" s="246"/>
      <c r="E71" s="246"/>
      <c r="F71" s="246"/>
      <c r="G71" s="247"/>
      <c r="H71" s="243"/>
      <c r="I71" s="243"/>
      <c r="J71" s="243"/>
      <c r="K71" s="243"/>
      <c r="L71" s="243"/>
    </row>
    <row r="72" spans="1:19">
      <c r="A72" s="231" t="s">
        <v>64</v>
      </c>
      <c r="B72" s="231"/>
      <c r="C72" s="1096"/>
      <c r="D72" s="1096"/>
      <c r="E72" s="1096"/>
      <c r="F72" s="1096"/>
      <c r="G72" s="229"/>
      <c r="H72" s="1094"/>
      <c r="I72" s="1094"/>
      <c r="J72" s="1094"/>
      <c r="K72" s="1094"/>
      <c r="L72" s="1094"/>
    </row>
    <row r="73" spans="1:19">
      <c r="A73" s="231" t="s">
        <v>65</v>
      </c>
      <c r="B73" s="231"/>
      <c r="C73" s="1093"/>
      <c r="D73" s="1093"/>
      <c r="E73" s="1093"/>
      <c r="F73" s="1093"/>
      <c r="G73" s="229"/>
      <c r="H73" s="1094"/>
      <c r="I73" s="1094"/>
      <c r="J73" s="1094"/>
      <c r="K73" s="1094"/>
      <c r="L73" s="1094"/>
    </row>
    <row r="75" spans="1:19" ht="15.6">
      <c r="A75" s="1095" t="s">
        <v>66</v>
      </c>
      <c r="B75" s="1095"/>
    </row>
    <row r="76" spans="1:19">
      <c r="A76" s="187" t="s">
        <v>108</v>
      </c>
    </row>
    <row r="77" spans="1:19">
      <c r="A77" s="171"/>
      <c r="B77" s="171"/>
      <c r="C77" s="171"/>
      <c r="D77" s="171"/>
      <c r="E77" s="171"/>
      <c r="F77" s="171"/>
      <c r="G77" s="171"/>
      <c r="H77" s="171"/>
      <c r="I77" s="171"/>
      <c r="J77" s="171"/>
    </row>
    <row r="78" spans="1:19">
      <c r="A78" s="171"/>
      <c r="B78" s="171"/>
      <c r="C78" s="171"/>
      <c r="D78" s="171"/>
      <c r="E78" s="171"/>
      <c r="F78" s="171"/>
      <c r="G78" s="171"/>
      <c r="H78" s="171"/>
      <c r="I78" s="171"/>
      <c r="J78" s="171"/>
    </row>
    <row r="79" spans="1:19">
      <c r="A79" s="171"/>
      <c r="B79" s="171"/>
      <c r="C79" s="171"/>
      <c r="D79" s="171"/>
      <c r="E79" s="171"/>
      <c r="F79" s="171"/>
      <c r="G79" s="171"/>
      <c r="H79" s="171"/>
      <c r="I79" s="171"/>
      <c r="J79" s="171"/>
    </row>
    <row r="80" spans="1:19">
      <c r="A80" s="213"/>
      <c r="B80" s="213"/>
      <c r="C80" s="213"/>
      <c r="D80" s="213"/>
      <c r="E80" s="213"/>
      <c r="F80" s="213"/>
      <c r="G80" s="213"/>
      <c r="H80" s="213"/>
      <c r="I80" s="213"/>
      <c r="J80" s="213"/>
    </row>
    <row r="81" spans="1:257" ht="16.2" thickBot="1">
      <c r="A81" s="180" t="s">
        <v>67</v>
      </c>
    </row>
    <row r="82" spans="1:257" ht="15.6" thickBot="1">
      <c r="A82" s="232"/>
      <c r="B82" s="169" t="s">
        <v>68</v>
      </c>
    </row>
    <row r="83" spans="1:257" ht="15.6" thickBot="1">
      <c r="A83" s="232"/>
      <c r="B83" s="432" t="s">
        <v>457</v>
      </c>
    </row>
    <row r="84" spans="1:257" ht="15.6" thickBot="1">
      <c r="A84" s="232"/>
      <c r="B84" s="432" t="s">
        <v>458</v>
      </c>
    </row>
    <row r="85" spans="1:257" ht="15.6" thickBot="1">
      <c r="A85" s="232"/>
      <c r="B85" s="432" t="s">
        <v>456</v>
      </c>
    </row>
    <row r="86" spans="1:257" ht="15.6" thickBot="1">
      <c r="A86" s="232"/>
      <c r="B86" s="432" t="s">
        <v>69</v>
      </c>
    </row>
    <row r="87" spans="1:257" ht="15.6" thickBot="1">
      <c r="A87" s="232"/>
      <c r="B87" s="432" t="s">
        <v>397</v>
      </c>
    </row>
    <row r="88" spans="1:257" ht="15.6" thickBot="1">
      <c r="A88" s="232"/>
      <c r="B88" s="432" t="s">
        <v>398</v>
      </c>
    </row>
    <row r="89" spans="1:257" ht="15.6" thickBot="1">
      <c r="A89" s="232"/>
      <c r="B89" s="432" t="s">
        <v>399</v>
      </c>
    </row>
    <row r="90" spans="1:257" s="37" customFormat="1" ht="15.6" thickBot="1">
      <c r="A90" s="232"/>
      <c r="B90" s="432" t="s">
        <v>400</v>
      </c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423"/>
      <c r="Q90" s="168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8"/>
      <c r="AD90" s="168"/>
      <c r="AE90" s="168"/>
      <c r="AF90" s="168"/>
      <c r="AG90" s="168"/>
      <c r="AH90" s="168"/>
      <c r="AI90" s="168"/>
      <c r="AJ90" s="168"/>
      <c r="AK90" s="168"/>
      <c r="AL90" s="168"/>
      <c r="AM90" s="168"/>
      <c r="AN90" s="168"/>
      <c r="AO90" s="168"/>
      <c r="AP90" s="168"/>
      <c r="AQ90" s="168"/>
      <c r="AR90" s="168"/>
      <c r="AS90" s="168"/>
      <c r="AT90" s="168"/>
      <c r="AU90" s="168"/>
      <c r="AV90" s="168"/>
      <c r="AW90" s="168"/>
      <c r="AX90" s="168"/>
      <c r="AY90" s="168"/>
      <c r="AZ90" s="168"/>
      <c r="BA90" s="168"/>
      <c r="BB90" s="168"/>
      <c r="BC90" s="168"/>
      <c r="BD90" s="168"/>
      <c r="BE90" s="168"/>
      <c r="BF90" s="168"/>
      <c r="BG90" s="168"/>
      <c r="BH90" s="168"/>
      <c r="BI90" s="168"/>
      <c r="BJ90" s="168"/>
      <c r="BK90" s="168"/>
      <c r="BL90" s="168"/>
      <c r="BM90" s="168"/>
      <c r="BN90" s="168"/>
      <c r="BO90" s="168"/>
      <c r="BP90" s="168"/>
      <c r="BQ90" s="168"/>
      <c r="BR90" s="168"/>
      <c r="BS90" s="168"/>
      <c r="BT90" s="168"/>
      <c r="BU90" s="168"/>
      <c r="BV90" s="168"/>
      <c r="BW90" s="168"/>
      <c r="BX90" s="168"/>
      <c r="BY90" s="168"/>
      <c r="BZ90" s="168"/>
      <c r="CA90" s="168"/>
      <c r="CB90" s="168"/>
      <c r="CC90" s="168"/>
      <c r="CD90" s="168"/>
      <c r="CE90" s="168"/>
      <c r="CF90" s="168"/>
      <c r="CG90" s="168"/>
      <c r="CH90" s="168"/>
      <c r="CI90" s="168"/>
      <c r="CJ90" s="168"/>
      <c r="CK90" s="168"/>
      <c r="CL90" s="168"/>
      <c r="CM90" s="168"/>
      <c r="CN90" s="168"/>
      <c r="CO90" s="168"/>
      <c r="CP90" s="168"/>
      <c r="CQ90" s="168"/>
      <c r="CR90" s="168"/>
      <c r="CS90" s="168"/>
      <c r="CT90" s="168"/>
      <c r="CU90" s="168"/>
      <c r="CV90" s="168"/>
      <c r="CW90" s="168"/>
      <c r="CX90" s="168"/>
      <c r="CY90" s="168"/>
      <c r="CZ90" s="168"/>
      <c r="DA90" s="168"/>
      <c r="DB90" s="168"/>
      <c r="DC90" s="168"/>
      <c r="DD90" s="168"/>
      <c r="DE90" s="168"/>
      <c r="DF90" s="168"/>
      <c r="DG90" s="168"/>
      <c r="DH90" s="168"/>
      <c r="DI90" s="168"/>
      <c r="DJ90" s="168"/>
      <c r="DK90" s="168"/>
      <c r="DL90" s="168"/>
      <c r="DM90" s="168"/>
      <c r="DN90" s="168"/>
      <c r="DO90" s="168"/>
      <c r="DP90" s="168"/>
      <c r="DQ90" s="168"/>
      <c r="DR90" s="168"/>
      <c r="DS90" s="168"/>
      <c r="DT90" s="168"/>
      <c r="DU90" s="168"/>
      <c r="DV90" s="168"/>
      <c r="DW90" s="168"/>
      <c r="DX90" s="168"/>
      <c r="DY90" s="168"/>
      <c r="DZ90" s="168"/>
      <c r="EA90" s="168"/>
      <c r="EB90" s="168"/>
      <c r="EC90" s="168"/>
      <c r="ED90" s="168"/>
      <c r="EE90" s="168"/>
      <c r="EF90" s="168"/>
      <c r="EG90" s="168"/>
      <c r="EH90" s="168"/>
      <c r="EI90" s="168"/>
      <c r="EJ90" s="168"/>
      <c r="EK90" s="168"/>
      <c r="EL90" s="168"/>
      <c r="EM90" s="168"/>
      <c r="EN90" s="168"/>
      <c r="EO90" s="168"/>
      <c r="EP90" s="168"/>
      <c r="EQ90" s="168"/>
      <c r="ER90" s="168"/>
      <c r="ES90" s="168"/>
      <c r="ET90" s="168"/>
      <c r="EU90" s="168"/>
      <c r="EV90" s="168"/>
      <c r="EW90" s="168"/>
      <c r="EX90" s="168"/>
      <c r="EY90" s="168"/>
      <c r="EZ90" s="168"/>
      <c r="FA90" s="168"/>
      <c r="FB90" s="168"/>
      <c r="FC90" s="168"/>
      <c r="FD90" s="168"/>
      <c r="FE90" s="168"/>
      <c r="FF90" s="168"/>
      <c r="FG90" s="168"/>
      <c r="FH90" s="168"/>
      <c r="FI90" s="168"/>
      <c r="FJ90" s="168"/>
      <c r="FK90" s="168"/>
      <c r="FL90" s="168"/>
      <c r="FM90" s="168"/>
      <c r="FN90" s="168"/>
      <c r="FO90" s="168"/>
      <c r="FP90" s="168"/>
      <c r="FQ90" s="168"/>
      <c r="FR90" s="168"/>
      <c r="FS90" s="168"/>
      <c r="FT90" s="168"/>
      <c r="FU90" s="168"/>
      <c r="FV90" s="168"/>
      <c r="FW90" s="168"/>
      <c r="FX90" s="168"/>
      <c r="FY90" s="168"/>
      <c r="FZ90" s="168"/>
      <c r="GA90" s="168"/>
      <c r="GB90" s="168"/>
      <c r="GC90" s="168"/>
      <c r="GD90" s="168"/>
      <c r="GE90" s="168"/>
      <c r="GF90" s="168"/>
      <c r="GG90" s="168"/>
      <c r="GH90" s="168"/>
      <c r="GI90" s="168"/>
      <c r="GJ90" s="168"/>
      <c r="GK90" s="168"/>
      <c r="GL90" s="168"/>
      <c r="GM90" s="168"/>
      <c r="GN90" s="168"/>
      <c r="GO90" s="168"/>
      <c r="GP90" s="168"/>
      <c r="GQ90" s="168"/>
      <c r="GR90" s="168"/>
      <c r="GS90" s="168"/>
      <c r="GT90" s="168"/>
      <c r="GU90" s="168"/>
      <c r="GV90" s="168"/>
      <c r="GW90" s="168"/>
      <c r="GX90" s="168"/>
      <c r="GY90" s="168"/>
      <c r="GZ90" s="168"/>
      <c r="HA90" s="168"/>
      <c r="HB90" s="168"/>
      <c r="HC90" s="168"/>
      <c r="HD90" s="168"/>
      <c r="HE90" s="168"/>
      <c r="HF90" s="168"/>
      <c r="HG90" s="168"/>
      <c r="HH90" s="168"/>
      <c r="HI90" s="168"/>
      <c r="HJ90" s="168"/>
      <c r="HK90" s="168"/>
      <c r="HL90" s="168"/>
      <c r="HM90" s="168"/>
      <c r="HN90" s="168"/>
      <c r="HO90" s="168"/>
      <c r="HP90" s="168"/>
      <c r="HQ90" s="168"/>
      <c r="HR90" s="168"/>
      <c r="HS90" s="168"/>
      <c r="HT90" s="168"/>
      <c r="HU90" s="168"/>
      <c r="HV90" s="168"/>
      <c r="HW90" s="168"/>
      <c r="HX90" s="168"/>
      <c r="HY90" s="168"/>
      <c r="HZ90" s="168"/>
      <c r="IA90" s="168"/>
      <c r="IB90" s="168"/>
      <c r="IC90" s="168"/>
      <c r="ID90" s="168"/>
      <c r="IE90" s="168"/>
      <c r="IF90" s="168"/>
      <c r="IG90" s="168"/>
      <c r="IH90" s="168"/>
      <c r="II90" s="168"/>
      <c r="IJ90" s="168"/>
      <c r="IK90" s="168"/>
      <c r="IL90" s="168"/>
      <c r="IM90" s="168"/>
      <c r="IN90" s="168"/>
      <c r="IO90" s="168"/>
      <c r="IP90" s="168"/>
      <c r="IQ90" s="168"/>
      <c r="IR90" s="168"/>
      <c r="IS90" s="168"/>
      <c r="IT90" s="168"/>
      <c r="IU90" s="168"/>
      <c r="IV90" s="168"/>
      <c r="IW90" s="168"/>
    </row>
    <row r="91" spans="1:257" ht="15.6" thickBot="1">
      <c r="A91" s="232"/>
      <c r="B91" s="432" t="s">
        <v>401</v>
      </c>
    </row>
    <row r="92" spans="1:257" ht="15.6" thickBot="1">
      <c r="A92" s="232"/>
      <c r="B92" s="432" t="s">
        <v>388</v>
      </c>
    </row>
    <row r="93" spans="1:257" ht="15.6" thickBot="1">
      <c r="A93" s="232"/>
      <c r="B93" s="432" t="s">
        <v>389</v>
      </c>
      <c r="C93" s="2"/>
    </row>
    <row r="94" spans="1:257" ht="15.6" thickBot="1">
      <c r="A94" s="232"/>
      <c r="B94" s="432" t="s">
        <v>390</v>
      </c>
      <c r="C94" s="2"/>
    </row>
    <row r="95" spans="1:257" ht="15.6" thickBot="1">
      <c r="A95" s="232"/>
      <c r="B95" s="168" t="s">
        <v>391</v>
      </c>
    </row>
    <row r="96" spans="1:257" ht="15.6" thickBot="1">
      <c r="A96" s="232"/>
      <c r="B96" s="433" t="s">
        <v>392</v>
      </c>
    </row>
    <row r="97" spans="1:2" ht="15.75" customHeight="1" thickBot="1">
      <c r="A97" s="232"/>
      <c r="B97" s="168" t="s">
        <v>393</v>
      </c>
    </row>
    <row r="98" spans="1:2" ht="15.6" thickBot="1">
      <c r="A98" s="232"/>
      <c r="B98" s="168" t="s">
        <v>402</v>
      </c>
    </row>
    <row r="99" spans="1:2">
      <c r="A99" s="213"/>
    </row>
    <row r="100" spans="1:2" ht="15.6">
      <c r="A100" s="230" t="s">
        <v>571</v>
      </c>
      <c r="B100" s="190"/>
    </row>
    <row r="101" spans="1:2">
      <c r="A101" s="213" t="s">
        <v>71</v>
      </c>
      <c r="B101" s="213"/>
    </row>
    <row r="103" spans="1:2">
      <c r="A103" s="217"/>
      <c r="B103" s="217"/>
    </row>
    <row r="104" spans="1:2">
      <c r="A104" s="217"/>
      <c r="B104" s="217"/>
    </row>
    <row r="105" spans="1:2">
      <c r="A105" s="22"/>
      <c r="B105" s="217"/>
    </row>
    <row r="106" spans="1:2">
      <c r="A106" s="22"/>
      <c r="B106" s="217"/>
    </row>
    <row r="107" spans="1:2">
      <c r="A107" s="22"/>
      <c r="B107" s="217"/>
    </row>
    <row r="108" spans="1:2">
      <c r="A108" s="22"/>
      <c r="B108" s="217"/>
    </row>
    <row r="109" spans="1:2">
      <c r="A109" s="22"/>
      <c r="B109" s="217"/>
    </row>
    <row r="110" spans="1:2">
      <c r="A110" s="22"/>
      <c r="B110" s="217"/>
    </row>
    <row r="111" spans="1:2">
      <c r="A111" s="22"/>
      <c r="B111" s="217"/>
    </row>
    <row r="112" spans="1:2">
      <c r="A112" s="22"/>
      <c r="B112" s="217"/>
    </row>
    <row r="113" spans="1:4">
      <c r="A113" s="22"/>
      <c r="B113" s="217"/>
    </row>
    <row r="114" spans="1:4">
      <c r="A114" s="233"/>
      <c r="B114" s="233"/>
    </row>
    <row r="115" spans="1:4">
      <c r="A115" s="233"/>
      <c r="B115" s="233"/>
    </row>
    <row r="117" spans="1:4">
      <c r="D117" s="234"/>
    </row>
    <row r="119" spans="1:4">
      <c r="C119" s="234"/>
    </row>
    <row r="120" spans="1:4">
      <c r="C120" s="234"/>
    </row>
    <row r="121" spans="1:4">
      <c r="C121" s="234"/>
    </row>
    <row r="122" spans="1:4" ht="17.399999999999999">
      <c r="A122" s="168" t="s">
        <v>372</v>
      </c>
    </row>
    <row r="123" spans="1:4" ht="17.399999999999999">
      <c r="A123" s="168" t="s">
        <v>358</v>
      </c>
    </row>
  </sheetData>
  <mergeCells count="33">
    <mergeCell ref="A62:A63"/>
    <mergeCell ref="A64:A71"/>
    <mergeCell ref="B62:B63"/>
    <mergeCell ref="E19:I20"/>
    <mergeCell ref="G45:H47"/>
    <mergeCell ref="C35:D35"/>
    <mergeCell ref="E35:F35"/>
    <mergeCell ref="G35:I35"/>
    <mergeCell ref="C62:L62"/>
    <mergeCell ref="J28:K28"/>
    <mergeCell ref="A31:B31"/>
    <mergeCell ref="A32:B32"/>
    <mergeCell ref="C34:D34"/>
    <mergeCell ref="E34:F34"/>
    <mergeCell ref="G34:I34"/>
    <mergeCell ref="J23:K23"/>
    <mergeCell ref="C73:D73"/>
    <mergeCell ref="E73:F73"/>
    <mergeCell ref="H73:L73"/>
    <mergeCell ref="A75:B75"/>
    <mergeCell ref="C72:D72"/>
    <mergeCell ref="E72:F72"/>
    <mergeCell ref="H72:L72"/>
    <mergeCell ref="J27:K27"/>
    <mergeCell ref="D16:E16"/>
    <mergeCell ref="B22:G22"/>
    <mergeCell ref="H22:I22"/>
    <mergeCell ref="J22:K22"/>
    <mergeCell ref="A2:M2"/>
    <mergeCell ref="A1:M1"/>
    <mergeCell ref="J24:K24"/>
    <mergeCell ref="J25:K25"/>
    <mergeCell ref="J26:K26"/>
  </mergeCells>
  <printOptions horizontalCentered="1"/>
  <pageMargins left="0.51181102362204722" right="0.23622047244094491" top="0.62992125984251968" bottom="0.23622047244094491" header="0.23622047244094491" footer="0.23622047244094491"/>
  <pageSetup paperSize="9" scale="74" orientation="portrait" r:id="rId1"/>
  <headerFooter>
    <oddHeader>&amp;R&amp;"-,Regular"&amp;8SH.LK - 032-18 / Rev : 0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85CE-6F3F-408C-AFE8-CC2B50E61F74}">
  <dimension ref="A4:BE67"/>
  <sheetViews>
    <sheetView zoomScale="80" zoomScaleNormal="80" workbookViewId="0">
      <selection activeCell="A31" sqref="A1:XFD1048576"/>
    </sheetView>
  </sheetViews>
  <sheetFormatPr defaultColWidth="9.109375" defaultRowHeight="13.2"/>
  <cols>
    <col min="1" max="1" width="95.5546875" style="478" customWidth="1"/>
    <col min="2" max="16384" width="9.109375" style="478"/>
  </cols>
  <sheetData>
    <row r="4" spans="1:15" ht="15">
      <c r="A4" s="476" t="s">
        <v>381</v>
      </c>
      <c r="B4" s="477" t="s">
        <v>403</v>
      </c>
    </row>
    <row r="5" spans="1:15" ht="15">
      <c r="A5" s="476" t="s">
        <v>380</v>
      </c>
      <c r="B5" s="477" t="s">
        <v>403</v>
      </c>
      <c r="O5" s="479"/>
    </row>
    <row r="6" spans="1:15" ht="15">
      <c r="A6" s="476" t="s">
        <v>69</v>
      </c>
      <c r="B6" s="480" t="s">
        <v>404</v>
      </c>
      <c r="O6" s="479" t="s">
        <v>222</v>
      </c>
    </row>
    <row r="7" spans="1:15" ht="15.6">
      <c r="A7" s="481" t="s">
        <v>457</v>
      </c>
      <c r="B7" s="477" t="s">
        <v>403</v>
      </c>
      <c r="O7" s="479" t="s">
        <v>232</v>
      </c>
    </row>
    <row r="8" spans="1:15" ht="15.6">
      <c r="A8" s="481" t="s">
        <v>458</v>
      </c>
      <c r="B8" s="477" t="s">
        <v>403</v>
      </c>
      <c r="O8" s="479" t="s">
        <v>225</v>
      </c>
    </row>
    <row r="9" spans="1:15" ht="15.6">
      <c r="A9" s="481" t="s">
        <v>456</v>
      </c>
      <c r="B9" s="477" t="s">
        <v>403</v>
      </c>
      <c r="O9" s="479" t="s">
        <v>227</v>
      </c>
    </row>
    <row r="10" spans="1:15" ht="15">
      <c r="A10" s="482" t="s">
        <v>410</v>
      </c>
      <c r="B10" s="477" t="s">
        <v>403</v>
      </c>
      <c r="O10" s="479" t="s">
        <v>231</v>
      </c>
    </row>
    <row r="11" spans="1:15" ht="15">
      <c r="A11" s="482" t="s">
        <v>411</v>
      </c>
      <c r="B11" s="477" t="s">
        <v>403</v>
      </c>
      <c r="O11" s="479" t="s">
        <v>228</v>
      </c>
    </row>
    <row r="12" spans="1:15" ht="15">
      <c r="A12" s="482" t="s">
        <v>412</v>
      </c>
      <c r="B12" s="477" t="s">
        <v>403</v>
      </c>
      <c r="O12" s="479" t="s">
        <v>226</v>
      </c>
    </row>
    <row r="13" spans="1:15" ht="15">
      <c r="A13" s="482" t="s">
        <v>413</v>
      </c>
      <c r="B13" s="477" t="s">
        <v>403</v>
      </c>
      <c r="O13" s="479" t="s">
        <v>224</v>
      </c>
    </row>
    <row r="14" spans="1:15" ht="15">
      <c r="A14" s="482" t="s">
        <v>414</v>
      </c>
      <c r="B14" s="477" t="s">
        <v>403</v>
      </c>
      <c r="O14" s="479" t="s">
        <v>109</v>
      </c>
    </row>
    <row r="15" spans="1:15" ht="15">
      <c r="A15" s="482" t="s">
        <v>415</v>
      </c>
      <c r="B15" s="477" t="s">
        <v>403</v>
      </c>
      <c r="O15" s="479" t="s">
        <v>223</v>
      </c>
    </row>
    <row r="16" spans="1:15" ht="15">
      <c r="A16" s="482" t="s">
        <v>416</v>
      </c>
      <c r="B16" s="477" t="s">
        <v>403</v>
      </c>
      <c r="O16" s="479" t="s">
        <v>234</v>
      </c>
    </row>
    <row r="17" spans="1:15" ht="15">
      <c r="A17" s="482" t="s">
        <v>417</v>
      </c>
      <c r="B17" s="477" t="s">
        <v>403</v>
      </c>
      <c r="O17" s="479" t="s">
        <v>233</v>
      </c>
    </row>
    <row r="18" spans="1:15" ht="15">
      <c r="A18" s="482" t="s">
        <v>418</v>
      </c>
      <c r="B18" s="477" t="s">
        <v>403</v>
      </c>
      <c r="O18" s="479" t="s">
        <v>229</v>
      </c>
    </row>
    <row r="19" spans="1:15" ht="15">
      <c r="A19" s="482" t="s">
        <v>465</v>
      </c>
      <c r="B19" s="477" t="s">
        <v>403</v>
      </c>
      <c r="O19" s="479" t="s">
        <v>236</v>
      </c>
    </row>
    <row r="20" spans="1:15" ht="15">
      <c r="A20" s="482" t="s">
        <v>405</v>
      </c>
      <c r="B20" s="477" t="s">
        <v>403</v>
      </c>
      <c r="O20" s="479" t="s">
        <v>235</v>
      </c>
    </row>
    <row r="21" spans="1:15" ht="15">
      <c r="A21" s="482" t="s">
        <v>406</v>
      </c>
      <c r="B21" s="477" t="s">
        <v>403</v>
      </c>
      <c r="O21" s="479" t="s">
        <v>419</v>
      </c>
    </row>
    <row r="22" spans="1:15" ht="15">
      <c r="A22" s="482" t="s">
        <v>407</v>
      </c>
      <c r="B22" s="477" t="s">
        <v>403</v>
      </c>
      <c r="O22" s="479" t="s">
        <v>420</v>
      </c>
    </row>
    <row r="23" spans="1:15" ht="15">
      <c r="A23" s="482" t="s">
        <v>408</v>
      </c>
      <c r="B23" s="477" t="s">
        <v>403</v>
      </c>
      <c r="O23" s="479" t="s">
        <v>421</v>
      </c>
    </row>
    <row r="24" spans="1:15" ht="15">
      <c r="A24" s="482" t="s">
        <v>409</v>
      </c>
      <c r="B24" s="477" t="s">
        <v>403</v>
      </c>
      <c r="O24" s="479" t="s">
        <v>422</v>
      </c>
    </row>
    <row r="25" spans="1:15">
      <c r="B25" s="483"/>
      <c r="O25" s="479" t="s">
        <v>423</v>
      </c>
    </row>
    <row r="28" spans="1:15">
      <c r="O28" s="483"/>
    </row>
    <row r="32" spans="1:15">
      <c r="A32" s="484" t="str">
        <f>VLOOKUP(ID!A112,'Data Alat'!A4:B24,2,0)</f>
        <v>Hasil pengujian kinerja suhu ke Sistem Internasional ( SI ) melalui PT. Kaliman ( LK-032-IDN )</v>
      </c>
      <c r="B32" s="485"/>
    </row>
    <row r="33" spans="1:57">
      <c r="B33" s="485"/>
      <c r="E33" s="486" t="str">
        <f>ID!H2</f>
        <v>Nomor Sertifikat : 31</v>
      </c>
      <c r="F33" s="486"/>
      <c r="G33" s="486"/>
    </row>
    <row r="34" spans="1:57">
      <c r="B34" s="485"/>
      <c r="E34" s="486"/>
      <c r="F34" s="486"/>
      <c r="G34" s="486"/>
    </row>
    <row r="35" spans="1:57">
      <c r="B35" s="485"/>
      <c r="E35" s="486" t="s">
        <v>373</v>
      </c>
      <c r="F35" s="486"/>
      <c r="G35" s="486">
        <v>1</v>
      </c>
    </row>
    <row r="36" spans="1:57">
      <c r="B36" s="485"/>
      <c r="E36" s="486" t="s">
        <v>374</v>
      </c>
      <c r="F36" s="486"/>
      <c r="G36" s="486">
        <v>2</v>
      </c>
    </row>
    <row r="37" spans="1:57">
      <c r="B37" s="485"/>
      <c r="E37" s="487">
        <f>VLOOKUP(E33,E35:G36,3,TRUE)</f>
        <v>1</v>
      </c>
      <c r="F37" s="486"/>
      <c r="G37" s="486"/>
    </row>
    <row r="38" spans="1:57">
      <c r="B38" s="485"/>
    </row>
    <row r="39" spans="1:57">
      <c r="B39" s="485"/>
      <c r="E39" s="487">
        <f>E37</f>
        <v>1</v>
      </c>
      <c r="F39" s="486"/>
      <c r="G39" s="486"/>
      <c r="H39" s="486"/>
      <c r="I39" s="486"/>
      <c r="J39" s="486"/>
      <c r="K39" s="486"/>
    </row>
    <row r="40" spans="1:57" ht="15.6">
      <c r="B40" s="485"/>
      <c r="E40" s="488">
        <v>1</v>
      </c>
      <c r="F40" s="489" t="s">
        <v>478</v>
      </c>
      <c r="G40" s="486"/>
      <c r="H40" s="486"/>
      <c r="I40" s="486"/>
      <c r="J40" s="486"/>
      <c r="K40" s="486"/>
    </row>
    <row r="41" spans="1:57" ht="15.6">
      <c r="B41" s="485"/>
      <c r="E41" s="488">
        <v>2</v>
      </c>
      <c r="F41" s="489" t="s">
        <v>479</v>
      </c>
      <c r="G41" s="486"/>
      <c r="H41" s="486"/>
      <c r="I41" s="486"/>
      <c r="J41" s="486"/>
      <c r="K41" s="486"/>
    </row>
    <row r="42" spans="1:57">
      <c r="B42" s="485"/>
      <c r="E42" s="490" t="str">
        <f>VLOOKUP(E39,E40:F41,2,FALSE)</f>
        <v>Alat yang diuji dalam batas toleransi dan dinyatakan LAIK PAKAI, dimana hasil atau skor akhir sama dengan atau melampaui 70% berdasarkan Keputusan Direktur Jenderal Pelayanan Kesehatan No : HK.02.02 / V / 0412 / 2020</v>
      </c>
      <c r="F42" s="486"/>
      <c r="G42" s="486"/>
      <c r="H42" s="486"/>
      <c r="I42" s="486"/>
      <c r="J42" s="486"/>
      <c r="K42" s="486"/>
    </row>
    <row r="43" spans="1:57">
      <c r="B43" s="485"/>
    </row>
    <row r="46" spans="1:57">
      <c r="A46" s="478" t="str">
        <f>ID!A112</f>
        <v>Thermocouple Data Logger, Merek : MADGETECH, Model : OctTemp 2000, SN : P41878</v>
      </c>
    </row>
    <row r="47" spans="1:57">
      <c r="A47" s="491"/>
      <c r="B47" s="491"/>
      <c r="C47" s="491"/>
      <c r="D47" s="491"/>
      <c r="E47" s="491"/>
      <c r="F47" s="491"/>
      <c r="G47" s="491"/>
      <c r="H47" s="491"/>
      <c r="I47" s="491"/>
      <c r="J47" s="491"/>
      <c r="K47" s="491"/>
      <c r="L47" s="491"/>
      <c r="M47" s="491"/>
      <c r="N47" s="491"/>
      <c r="O47" s="491"/>
      <c r="P47" s="491"/>
      <c r="Q47" s="491"/>
      <c r="R47" s="491"/>
      <c r="S47" s="491"/>
      <c r="T47" s="491"/>
      <c r="U47" s="491"/>
      <c r="V47" s="491"/>
      <c r="W47" s="491"/>
      <c r="X47" s="491"/>
      <c r="Y47" s="491"/>
      <c r="Z47" s="491"/>
      <c r="AA47" s="491"/>
      <c r="AB47" s="491"/>
      <c r="AC47" s="491"/>
      <c r="AD47" s="491"/>
      <c r="AE47" s="491"/>
      <c r="AF47" s="491"/>
      <c r="AG47" s="491"/>
      <c r="AH47" s="491"/>
      <c r="AI47" s="491"/>
      <c r="AJ47" s="491"/>
      <c r="AK47" s="491"/>
      <c r="AL47" s="491"/>
      <c r="AM47" s="491"/>
      <c r="AN47" s="491"/>
      <c r="AO47" s="491"/>
      <c r="AP47" s="491"/>
      <c r="AQ47" s="491"/>
      <c r="AR47" s="491"/>
      <c r="AS47" s="491"/>
      <c r="AT47" s="491"/>
      <c r="AU47" s="491"/>
      <c r="AV47" s="491"/>
      <c r="AW47" s="491"/>
      <c r="AX47" s="491"/>
      <c r="AY47" s="491"/>
      <c r="AZ47" s="491"/>
      <c r="BA47" s="491"/>
      <c r="BB47" s="491"/>
      <c r="BC47" s="491"/>
      <c r="BD47" s="491"/>
      <c r="BE47" s="491"/>
    </row>
    <row r="48" spans="1:57">
      <c r="A48" s="491"/>
      <c r="B48" s="491"/>
      <c r="C48" s="491"/>
      <c r="D48" s="491"/>
      <c r="E48" s="491"/>
      <c r="F48" s="491"/>
      <c r="G48" s="491"/>
      <c r="H48" s="491"/>
      <c r="I48" s="491"/>
      <c r="J48" s="491"/>
      <c r="K48" s="491"/>
      <c r="L48" s="491"/>
      <c r="M48" s="491"/>
      <c r="N48" s="491"/>
      <c r="O48" s="491"/>
      <c r="P48" s="491"/>
      <c r="Q48" s="491"/>
      <c r="R48" s="491"/>
      <c r="S48" s="491"/>
      <c r="T48" s="491"/>
      <c r="U48" s="491"/>
      <c r="V48" s="491"/>
      <c r="W48" s="491"/>
      <c r="X48" s="491"/>
      <c r="Y48" s="491"/>
      <c r="Z48" s="491"/>
      <c r="AA48" s="491"/>
      <c r="AB48" s="491"/>
      <c r="AC48" s="491"/>
      <c r="AD48" s="491"/>
      <c r="AE48" s="491"/>
      <c r="AF48" s="491"/>
      <c r="AG48" s="491"/>
      <c r="AH48" s="491"/>
      <c r="AI48" s="491"/>
      <c r="AJ48" s="491"/>
      <c r="AK48" s="491"/>
      <c r="AL48" s="491"/>
      <c r="AM48" s="491"/>
      <c r="AN48" s="491"/>
      <c r="AO48" s="491"/>
      <c r="AP48" s="491"/>
      <c r="AQ48" s="491"/>
      <c r="AR48" s="491"/>
      <c r="AS48" s="491"/>
      <c r="AT48" s="491"/>
      <c r="AU48" s="491"/>
      <c r="AV48" s="491"/>
      <c r="AW48" s="491"/>
      <c r="AX48" s="491"/>
      <c r="AY48" s="491"/>
      <c r="AZ48" s="491"/>
      <c r="BA48" s="491"/>
      <c r="BB48" s="491"/>
      <c r="BC48" s="491"/>
      <c r="BD48" s="491"/>
      <c r="BE48" s="491"/>
    </row>
    <row r="49" spans="1:57" s="681" customFormat="1" ht="15">
      <c r="A49" s="680" t="s">
        <v>410</v>
      </c>
      <c r="B49" s="681" t="s">
        <v>534</v>
      </c>
    </row>
    <row r="50" spans="1:57" s="681" customFormat="1" ht="15">
      <c r="A50" s="680" t="s">
        <v>411</v>
      </c>
      <c r="B50" s="681" t="s">
        <v>534</v>
      </c>
    </row>
    <row r="51" spans="1:57" s="681" customFormat="1" ht="15">
      <c r="A51" s="680" t="s">
        <v>412</v>
      </c>
      <c r="B51" s="681" t="s">
        <v>534</v>
      </c>
    </row>
    <row r="52" spans="1:57" s="681" customFormat="1" ht="15">
      <c r="A52" s="680" t="s">
        <v>413</v>
      </c>
      <c r="B52" s="681" t="s">
        <v>534</v>
      </c>
    </row>
    <row r="53" spans="1:57" s="681" customFormat="1" ht="15">
      <c r="A53" s="680" t="s">
        <v>414</v>
      </c>
      <c r="B53" s="681" t="s">
        <v>534</v>
      </c>
    </row>
    <row r="54" spans="1:57" s="681" customFormat="1" ht="15">
      <c r="A54" s="680" t="s">
        <v>415</v>
      </c>
      <c r="B54" s="681" t="s">
        <v>534</v>
      </c>
    </row>
    <row r="55" spans="1:57" s="681" customFormat="1" ht="15">
      <c r="A55" s="680" t="s">
        <v>416</v>
      </c>
      <c r="B55" s="681" t="s">
        <v>534</v>
      </c>
    </row>
    <row r="56" spans="1:57" s="681" customFormat="1" ht="15">
      <c r="A56" s="680" t="s">
        <v>417</v>
      </c>
      <c r="B56" s="681" t="s">
        <v>534</v>
      </c>
    </row>
    <row r="57" spans="1:57" s="681" customFormat="1" ht="15">
      <c r="A57" s="680" t="s">
        <v>418</v>
      </c>
      <c r="B57" s="681" t="s">
        <v>534</v>
      </c>
    </row>
    <row r="58" spans="1:57" s="681" customFormat="1" ht="15">
      <c r="A58" s="680" t="s">
        <v>465</v>
      </c>
      <c r="B58" s="681" t="s">
        <v>534</v>
      </c>
    </row>
    <row r="59" spans="1:57" s="681" customFormat="1" ht="15">
      <c r="A59" s="166" t="s">
        <v>381</v>
      </c>
      <c r="B59" s="682" t="s">
        <v>535</v>
      </c>
    </row>
    <row r="60" spans="1:57" s="681" customFormat="1" ht="15">
      <c r="A60" s="166" t="s">
        <v>380</v>
      </c>
      <c r="B60" s="682" t="s">
        <v>535</v>
      </c>
    </row>
    <row r="61" spans="1:57" s="681" customFormat="1" ht="15">
      <c r="A61" s="166" t="s">
        <v>69</v>
      </c>
      <c r="B61" s="682" t="s">
        <v>535</v>
      </c>
    </row>
    <row r="62" spans="1:57" s="681" customFormat="1" ht="15">
      <c r="A62" s="683" t="s">
        <v>457</v>
      </c>
      <c r="B62" s="682" t="s">
        <v>535</v>
      </c>
    </row>
    <row r="63" spans="1:57" s="681" customFormat="1" ht="15">
      <c r="A63" s="683" t="s">
        <v>458</v>
      </c>
      <c r="B63" s="682" t="s">
        <v>535</v>
      </c>
    </row>
    <row r="64" spans="1:57" s="681" customFormat="1" ht="15">
      <c r="A64" s="683" t="s">
        <v>456</v>
      </c>
      <c r="B64" s="682" t="s">
        <v>535</v>
      </c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84"/>
      <c r="AB64" s="684"/>
      <c r="AC64" s="684"/>
      <c r="AD64" s="684"/>
      <c r="AE64" s="684"/>
      <c r="AF64" s="684"/>
      <c r="AG64" s="684"/>
      <c r="AH64" s="684"/>
      <c r="AI64" s="684"/>
      <c r="AJ64" s="684"/>
      <c r="AK64" s="684"/>
      <c r="AL64" s="684"/>
      <c r="AM64" s="684"/>
      <c r="AN64" s="684"/>
      <c r="AO64" s="684"/>
      <c r="AP64" s="684"/>
      <c r="AQ64" s="684"/>
      <c r="AR64" s="684"/>
      <c r="AS64" s="684"/>
      <c r="AT64" s="684"/>
      <c r="AU64" s="684"/>
      <c r="AV64" s="684"/>
      <c r="AW64" s="684"/>
      <c r="AX64" s="684"/>
      <c r="AY64" s="684"/>
      <c r="AZ64" s="684"/>
      <c r="BA64" s="684"/>
      <c r="BB64" s="684"/>
      <c r="BC64" s="684"/>
      <c r="BD64" s="684"/>
      <c r="BE64" s="684"/>
    </row>
    <row r="65" spans="1:57" s="681" customFormat="1">
      <c r="A65" s="684"/>
      <c r="B65" s="684"/>
      <c r="C65" s="684"/>
      <c r="D65" s="684"/>
      <c r="E65" s="684"/>
      <c r="F65" s="684"/>
      <c r="G65" s="684"/>
      <c r="H65" s="684"/>
      <c r="I65" s="684"/>
      <c r="J65" s="684"/>
      <c r="K65" s="684"/>
      <c r="L65" s="684"/>
      <c r="M65" s="684"/>
      <c r="N65" s="684"/>
      <c r="O65" s="684"/>
      <c r="P65" s="684"/>
      <c r="Q65" s="684"/>
      <c r="R65" s="684"/>
      <c r="S65" s="684"/>
      <c r="T65" s="684"/>
      <c r="U65" s="684"/>
      <c r="V65" s="684"/>
      <c r="W65" s="684"/>
      <c r="X65" s="684"/>
      <c r="Y65" s="684"/>
      <c r="Z65" s="684"/>
      <c r="AA65" s="684"/>
      <c r="AB65" s="684"/>
      <c r="AC65" s="684"/>
      <c r="AD65" s="684"/>
      <c r="AE65" s="684"/>
      <c r="AF65" s="684"/>
      <c r="AG65" s="684"/>
      <c r="AH65" s="684"/>
      <c r="AI65" s="684"/>
      <c r="AJ65" s="684"/>
      <c r="AK65" s="684"/>
      <c r="AL65" s="684"/>
      <c r="AM65" s="684"/>
      <c r="AN65" s="684"/>
      <c r="AO65" s="684"/>
      <c r="AP65" s="684"/>
      <c r="AQ65" s="684"/>
      <c r="AR65" s="684"/>
      <c r="AS65" s="684"/>
      <c r="AT65" s="684"/>
      <c r="AU65" s="684"/>
      <c r="AV65" s="684"/>
      <c r="AW65" s="684"/>
      <c r="AX65" s="684"/>
      <c r="AY65" s="684"/>
      <c r="AZ65" s="684"/>
      <c r="BA65" s="684"/>
      <c r="BB65" s="684"/>
      <c r="BC65" s="684"/>
      <c r="BD65" s="684"/>
      <c r="BE65" s="684"/>
    </row>
    <row r="67" spans="1:57">
      <c r="A67" s="490" t="str">
        <f>VLOOKUP(A46,A49:B64,2,FALSE)</f>
        <v>JOSS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44AE-A2B9-42CC-BF1E-6F9D0E6C03F9}">
  <dimension ref="A1:AL410"/>
  <sheetViews>
    <sheetView topLeftCell="K372" workbookViewId="0">
      <selection activeCell="O393" sqref="O393"/>
    </sheetView>
  </sheetViews>
  <sheetFormatPr defaultColWidth="8.6640625" defaultRowHeight="13.2"/>
  <cols>
    <col min="1" max="1" width="9.44140625" style="441" bestFit="1" customWidth="1"/>
    <col min="2" max="2" width="8.6640625" style="441"/>
    <col min="3" max="3" width="9.33203125" style="441" bestFit="1" customWidth="1"/>
    <col min="4" max="4" width="8.6640625" style="441"/>
    <col min="5" max="5" width="9.44140625" style="441" bestFit="1" customWidth="1"/>
    <col min="6" max="7" width="8.6640625" style="441"/>
    <col min="8" max="8" width="9.44140625" style="441" bestFit="1" customWidth="1"/>
    <col min="9" max="9" width="8.6640625" style="441"/>
    <col min="10" max="10" width="16.5546875" style="441" bestFit="1" customWidth="1"/>
    <col min="11" max="17" width="8.6640625" style="441"/>
    <col min="18" max="18" width="10" style="441" bestFit="1" customWidth="1"/>
    <col min="19" max="19" width="8.6640625" style="441"/>
    <col min="20" max="20" width="10" style="441" bestFit="1" customWidth="1"/>
    <col min="21" max="21" width="8.88671875" style="441" customWidth="1"/>
    <col min="22" max="16384" width="8.6640625" style="441"/>
  </cols>
  <sheetData>
    <row r="1" spans="1:24" ht="18" thickBot="1">
      <c r="A1" s="1372" t="s">
        <v>256</v>
      </c>
      <c r="B1" s="1373"/>
      <c r="C1" s="1373"/>
      <c r="D1" s="1373"/>
      <c r="E1" s="1373"/>
      <c r="F1" s="1373"/>
      <c r="G1" s="1373"/>
      <c r="H1" s="1373"/>
      <c r="I1" s="1373"/>
      <c r="J1" s="1373"/>
      <c r="K1" s="1373"/>
      <c r="L1" s="1373"/>
      <c r="M1" s="1373"/>
      <c r="N1" s="1373"/>
      <c r="O1" s="1373"/>
      <c r="P1" s="1373"/>
      <c r="Q1" s="1373"/>
      <c r="R1" s="1373"/>
      <c r="S1" s="1373"/>
      <c r="T1" s="1373"/>
      <c r="U1" s="1373"/>
    </row>
    <row r="2" spans="1:24">
      <c r="A2" s="1354">
        <v>1</v>
      </c>
      <c r="B2" s="1358" t="s">
        <v>257</v>
      </c>
      <c r="C2" s="1358"/>
      <c r="D2" s="1358"/>
      <c r="E2" s="1358"/>
      <c r="F2" s="1358"/>
      <c r="G2" s="1358"/>
      <c r="I2" s="1358" t="str">
        <f>B2</f>
        <v>KOREKSI KIMO THERMOHYGROMETER 15062873</v>
      </c>
      <c r="J2" s="1358"/>
      <c r="K2" s="1358"/>
      <c r="L2" s="1358"/>
      <c r="M2" s="1358"/>
      <c r="N2" s="1358"/>
      <c r="P2" s="1358" t="str">
        <f>I2</f>
        <v>KOREKSI KIMO THERMOHYGROMETER 15062873</v>
      </c>
      <c r="Q2" s="1358"/>
      <c r="R2" s="1358"/>
      <c r="S2" s="1358"/>
      <c r="T2" s="1358"/>
      <c r="U2" s="1358"/>
      <c r="W2" s="1363" t="s">
        <v>237</v>
      </c>
      <c r="X2" s="1364"/>
    </row>
    <row r="3" spans="1:24">
      <c r="A3" s="1354"/>
      <c r="B3" s="1365" t="s">
        <v>258</v>
      </c>
      <c r="C3" s="1365"/>
      <c r="D3" s="1365" t="s">
        <v>259</v>
      </c>
      <c r="E3" s="1365"/>
      <c r="F3" s="1365"/>
      <c r="G3" s="1365" t="s">
        <v>215</v>
      </c>
      <c r="I3" s="1365" t="s">
        <v>260</v>
      </c>
      <c r="J3" s="1365"/>
      <c r="K3" s="1365" t="s">
        <v>259</v>
      </c>
      <c r="L3" s="1365"/>
      <c r="M3" s="1365"/>
      <c r="N3" s="1365" t="s">
        <v>215</v>
      </c>
      <c r="P3" s="1365" t="s">
        <v>488</v>
      </c>
      <c r="Q3" s="1365"/>
      <c r="R3" s="1365" t="s">
        <v>259</v>
      </c>
      <c r="S3" s="1365"/>
      <c r="T3" s="1365"/>
      <c r="U3" s="1365" t="s">
        <v>215</v>
      </c>
      <c r="W3" s="522" t="s">
        <v>258</v>
      </c>
      <c r="X3" s="523">
        <v>0.6</v>
      </c>
    </row>
    <row r="4" spans="1:24" ht="14.4">
      <c r="A4" s="1354"/>
      <c r="B4" s="1353" t="s">
        <v>261</v>
      </c>
      <c r="C4" s="1353"/>
      <c r="D4" s="524">
        <v>2020</v>
      </c>
      <c r="E4" s="524">
        <v>2017</v>
      </c>
      <c r="F4" s="524">
        <v>2016</v>
      </c>
      <c r="G4" s="1365"/>
      <c r="I4" s="1352" t="s">
        <v>14</v>
      </c>
      <c r="J4" s="1353"/>
      <c r="K4" s="524">
        <f>D4</f>
        <v>2020</v>
      </c>
      <c r="L4" s="524">
        <f>E4</f>
        <v>2017</v>
      </c>
      <c r="M4" s="524">
        <v>2016</v>
      </c>
      <c r="N4" s="1365"/>
      <c r="P4" s="1352" t="s">
        <v>489</v>
      </c>
      <c r="Q4" s="1353"/>
      <c r="R4" s="524">
        <f>K4</f>
        <v>2020</v>
      </c>
      <c r="S4" s="524">
        <f>L4</f>
        <v>2017</v>
      </c>
      <c r="T4" s="524">
        <v>2016</v>
      </c>
      <c r="U4" s="1365"/>
      <c r="W4" s="522" t="s">
        <v>14</v>
      </c>
      <c r="X4" s="523">
        <v>3.1</v>
      </c>
    </row>
    <row r="5" spans="1:24" ht="13.8" thickBot="1">
      <c r="A5" s="1354"/>
      <c r="B5" s="739">
        <v>1</v>
      </c>
      <c r="C5" s="495">
        <v>15</v>
      </c>
      <c r="D5" s="525">
        <v>-0.5</v>
      </c>
      <c r="E5" s="525">
        <v>0.3</v>
      </c>
      <c r="F5" s="495">
        <v>9.9999999999999995E-7</v>
      </c>
      <c r="G5" s="526">
        <f>0.5*(MAX(D5:F5)-MIN(D5:F5))</f>
        <v>0.4</v>
      </c>
      <c r="I5" s="739">
        <v>1</v>
      </c>
      <c r="J5" s="495">
        <v>35</v>
      </c>
      <c r="K5" s="525">
        <v>-6</v>
      </c>
      <c r="L5" s="525">
        <v>-9.4</v>
      </c>
      <c r="M5" s="527"/>
      <c r="N5" s="526">
        <f>0.5*(MAX(K5:M5)-MIN(K5:M5))</f>
        <v>1.7000000000000002</v>
      </c>
      <c r="P5" s="739">
        <v>1</v>
      </c>
      <c r="Q5" s="495">
        <v>750</v>
      </c>
      <c r="R5" s="528" t="s">
        <v>213</v>
      </c>
      <c r="S5" s="528" t="s">
        <v>213</v>
      </c>
      <c r="T5" s="495">
        <v>9.9999999999999995E-7</v>
      </c>
      <c r="U5" s="526">
        <f>0.5*(MAX(R5:T5)-MIN(R5:T5))</f>
        <v>0</v>
      </c>
      <c r="W5" s="529" t="s">
        <v>489</v>
      </c>
      <c r="X5" s="493">
        <v>0</v>
      </c>
    </row>
    <row r="6" spans="1:24">
      <c r="A6" s="1354"/>
      <c r="B6" s="739">
        <v>2</v>
      </c>
      <c r="C6" s="495">
        <v>20</v>
      </c>
      <c r="D6" s="525">
        <v>-0.2</v>
      </c>
      <c r="E6" s="525">
        <v>0.2</v>
      </c>
      <c r="F6" s="495">
        <v>9.9999999999999995E-7</v>
      </c>
      <c r="G6" s="526">
        <f t="shared" ref="G6:G11" si="0">0.5*(MAX(D6:F6)-MIN(D6:F6))</f>
        <v>0.2</v>
      </c>
      <c r="I6" s="739">
        <v>2</v>
      </c>
      <c r="J6" s="495">
        <v>40</v>
      </c>
      <c r="K6" s="525">
        <v>-6</v>
      </c>
      <c r="L6" s="525">
        <v>-8.6</v>
      </c>
      <c r="M6" s="527"/>
      <c r="N6" s="526">
        <f t="shared" ref="N6:N11" si="1">0.5*(MAX(K6:M6)-MIN(K6:M6))</f>
        <v>1.2999999999999998</v>
      </c>
      <c r="P6" s="739">
        <v>2</v>
      </c>
      <c r="Q6" s="495">
        <v>800</v>
      </c>
      <c r="R6" s="528" t="s">
        <v>213</v>
      </c>
      <c r="S6" s="528" t="s">
        <v>213</v>
      </c>
      <c r="T6" s="495">
        <v>9.9999999999999995E-7</v>
      </c>
      <c r="U6" s="526">
        <f t="shared" ref="U6:U11" si="2">0.5*(MAX(R6:T6)-MIN(R6:T6))</f>
        <v>0</v>
      </c>
    </row>
    <row r="7" spans="1:24">
      <c r="A7" s="1354"/>
      <c r="B7" s="739">
        <v>3</v>
      </c>
      <c r="C7" s="495">
        <v>25</v>
      </c>
      <c r="D7" s="525">
        <v>9.9999999999999995E-7</v>
      </c>
      <c r="E7" s="525">
        <v>0.1</v>
      </c>
      <c r="F7" s="495">
        <v>9.9999999999999995E-7</v>
      </c>
      <c r="G7" s="526">
        <f t="shared" si="0"/>
        <v>4.9999500000000002E-2</v>
      </c>
      <c r="I7" s="739">
        <v>3</v>
      </c>
      <c r="J7" s="495">
        <v>50</v>
      </c>
      <c r="K7" s="525">
        <v>-5.8</v>
      </c>
      <c r="L7" s="525">
        <v>-7.2</v>
      </c>
      <c r="M7" s="527"/>
      <c r="N7" s="526">
        <f t="shared" si="1"/>
        <v>0.70000000000000018</v>
      </c>
      <c r="P7" s="739">
        <v>3</v>
      </c>
      <c r="Q7" s="495">
        <v>850</v>
      </c>
      <c r="R7" s="528" t="s">
        <v>213</v>
      </c>
      <c r="S7" s="528" t="s">
        <v>213</v>
      </c>
      <c r="T7" s="495">
        <v>9.9999999999999995E-7</v>
      </c>
      <c r="U7" s="526">
        <f t="shared" si="2"/>
        <v>0</v>
      </c>
    </row>
    <row r="8" spans="1:24">
      <c r="A8" s="1354"/>
      <c r="B8" s="739">
        <v>4</v>
      </c>
      <c r="C8" s="498">
        <v>30</v>
      </c>
      <c r="D8" s="499">
        <v>9.9999999999999995E-7</v>
      </c>
      <c r="E8" s="499">
        <v>-0.2</v>
      </c>
      <c r="F8" s="495">
        <v>9.9999999999999995E-7</v>
      </c>
      <c r="G8" s="526">
        <f t="shared" si="0"/>
        <v>0.10000050000000001</v>
      </c>
      <c r="I8" s="739">
        <v>4</v>
      </c>
      <c r="J8" s="498">
        <v>60</v>
      </c>
      <c r="K8" s="499">
        <v>-5.3</v>
      </c>
      <c r="L8" s="499">
        <v>-5.2</v>
      </c>
      <c r="M8" s="527"/>
      <c r="N8" s="526">
        <f t="shared" si="1"/>
        <v>4.9999999999999822E-2</v>
      </c>
      <c r="P8" s="739">
        <v>4</v>
      </c>
      <c r="Q8" s="498">
        <v>900</v>
      </c>
      <c r="R8" s="499" t="s">
        <v>213</v>
      </c>
      <c r="S8" s="528" t="s">
        <v>213</v>
      </c>
      <c r="T8" s="495">
        <v>9.9999999999999995E-7</v>
      </c>
      <c r="U8" s="526">
        <f t="shared" si="2"/>
        <v>0</v>
      </c>
    </row>
    <row r="9" spans="1:24">
      <c r="A9" s="1354"/>
      <c r="B9" s="739">
        <v>5</v>
      </c>
      <c r="C9" s="498">
        <v>35</v>
      </c>
      <c r="D9" s="499">
        <v>-0.1</v>
      </c>
      <c r="E9" s="499">
        <v>-0.5</v>
      </c>
      <c r="F9" s="495">
        <v>9.9999999999999995E-7</v>
      </c>
      <c r="G9" s="526">
        <f t="shared" si="0"/>
        <v>0.25000050000000001</v>
      </c>
      <c r="I9" s="739">
        <v>5</v>
      </c>
      <c r="J9" s="498">
        <v>70</v>
      </c>
      <c r="K9" s="499">
        <v>-4.4000000000000004</v>
      </c>
      <c r="L9" s="499">
        <v>-2.6</v>
      </c>
      <c r="M9" s="527"/>
      <c r="N9" s="526">
        <f t="shared" si="1"/>
        <v>0.90000000000000013</v>
      </c>
      <c r="P9" s="739">
        <v>5</v>
      </c>
      <c r="Q9" s="498">
        <v>1000</v>
      </c>
      <c r="R9" s="499" t="s">
        <v>213</v>
      </c>
      <c r="S9" s="528" t="s">
        <v>213</v>
      </c>
      <c r="T9" s="495">
        <v>9.9999999999999995E-7</v>
      </c>
      <c r="U9" s="526">
        <f t="shared" si="2"/>
        <v>0</v>
      </c>
    </row>
    <row r="10" spans="1:24">
      <c r="A10" s="1354"/>
      <c r="B10" s="739">
        <v>6</v>
      </c>
      <c r="C10" s="498">
        <v>37</v>
      </c>
      <c r="D10" s="499">
        <v>-0.2</v>
      </c>
      <c r="E10" s="499">
        <v>-0.6</v>
      </c>
      <c r="F10" s="495">
        <v>9.9999999999999995E-7</v>
      </c>
      <c r="G10" s="526">
        <f t="shared" si="0"/>
        <v>0.3000005</v>
      </c>
      <c r="I10" s="739">
        <v>6</v>
      </c>
      <c r="J10" s="498">
        <v>80</v>
      </c>
      <c r="K10" s="499">
        <v>-3.2</v>
      </c>
      <c r="L10" s="499">
        <v>0.7</v>
      </c>
      <c r="M10" s="527"/>
      <c r="N10" s="526">
        <f t="shared" si="1"/>
        <v>1.9500000000000002</v>
      </c>
      <c r="P10" s="739">
        <v>6</v>
      </c>
      <c r="Q10" s="498">
        <v>1005</v>
      </c>
      <c r="R10" s="499" t="s">
        <v>213</v>
      </c>
      <c r="S10" s="528" t="s">
        <v>213</v>
      </c>
      <c r="T10" s="495">
        <v>9.9999999999999995E-7</v>
      </c>
      <c r="U10" s="526">
        <f t="shared" si="2"/>
        <v>0</v>
      </c>
    </row>
    <row r="11" spans="1:24" ht="13.8" thickBot="1">
      <c r="A11" s="1354"/>
      <c r="B11" s="739">
        <v>7</v>
      </c>
      <c r="C11" s="498">
        <v>40</v>
      </c>
      <c r="D11" s="499">
        <v>-0.3</v>
      </c>
      <c r="E11" s="499">
        <v>-0.8</v>
      </c>
      <c r="F11" s="495">
        <v>9.9999999999999995E-7</v>
      </c>
      <c r="G11" s="526">
        <f t="shared" si="0"/>
        <v>0.40000050000000004</v>
      </c>
      <c r="I11" s="739">
        <v>7</v>
      </c>
      <c r="J11" s="498">
        <v>90</v>
      </c>
      <c r="K11" s="499">
        <v>-1.6</v>
      </c>
      <c r="L11" s="499">
        <v>4.5</v>
      </c>
      <c r="M11" s="527"/>
      <c r="N11" s="526">
        <f t="shared" si="1"/>
        <v>3.05</v>
      </c>
      <c r="P11" s="739">
        <v>7</v>
      </c>
      <c r="Q11" s="498">
        <v>1020</v>
      </c>
      <c r="R11" s="499" t="s">
        <v>213</v>
      </c>
      <c r="S11" s="528" t="s">
        <v>213</v>
      </c>
      <c r="T11" s="495">
        <v>9.9999999999999995E-7</v>
      </c>
      <c r="U11" s="526">
        <f t="shared" si="2"/>
        <v>0</v>
      </c>
    </row>
    <row r="12" spans="1:24" ht="13.8" thickBot="1">
      <c r="A12" s="530"/>
      <c r="B12" s="497"/>
      <c r="O12" s="531"/>
      <c r="P12" s="500"/>
    </row>
    <row r="13" spans="1:24">
      <c r="A13" s="1354">
        <v>2</v>
      </c>
      <c r="B13" s="1358" t="s">
        <v>262</v>
      </c>
      <c r="C13" s="1358"/>
      <c r="D13" s="1358"/>
      <c r="E13" s="1358"/>
      <c r="F13" s="1358"/>
      <c r="G13" s="1358"/>
      <c r="I13" s="1358" t="str">
        <f>B13</f>
        <v>KOREKSI KIMO THERMOHYGROMETER 15062874</v>
      </c>
      <c r="J13" s="1358"/>
      <c r="K13" s="1358"/>
      <c r="L13" s="1358"/>
      <c r="M13" s="1358"/>
      <c r="N13" s="1358"/>
      <c r="P13" s="1358" t="str">
        <f>I13</f>
        <v>KOREKSI KIMO THERMOHYGROMETER 15062874</v>
      </c>
      <c r="Q13" s="1358"/>
      <c r="R13" s="1358"/>
      <c r="S13" s="1358"/>
      <c r="T13" s="1358"/>
      <c r="U13" s="1358"/>
      <c r="W13" s="1363" t="s">
        <v>237</v>
      </c>
      <c r="X13" s="1364"/>
    </row>
    <row r="14" spans="1:24">
      <c r="A14" s="1354"/>
      <c r="B14" s="1365" t="s">
        <v>258</v>
      </c>
      <c r="C14" s="1365"/>
      <c r="D14" s="1365" t="s">
        <v>259</v>
      </c>
      <c r="E14" s="1365"/>
      <c r="F14" s="1365"/>
      <c r="G14" s="1365" t="s">
        <v>215</v>
      </c>
      <c r="I14" s="1365" t="s">
        <v>260</v>
      </c>
      <c r="J14" s="1365"/>
      <c r="K14" s="1365" t="s">
        <v>259</v>
      </c>
      <c r="L14" s="1365"/>
      <c r="M14" s="1365"/>
      <c r="N14" s="1365" t="s">
        <v>215</v>
      </c>
      <c r="P14" s="1365" t="s">
        <v>488</v>
      </c>
      <c r="Q14" s="1365"/>
      <c r="R14" s="1365" t="s">
        <v>259</v>
      </c>
      <c r="S14" s="1365"/>
      <c r="T14" s="1365"/>
      <c r="U14" s="1365" t="s">
        <v>215</v>
      </c>
      <c r="W14" s="522" t="s">
        <v>258</v>
      </c>
      <c r="X14" s="523">
        <v>0.8</v>
      </c>
    </row>
    <row r="15" spans="1:24" ht="14.4">
      <c r="A15" s="1354"/>
      <c r="B15" s="1353" t="s">
        <v>261</v>
      </c>
      <c r="C15" s="1353"/>
      <c r="D15" s="524">
        <v>2021</v>
      </c>
      <c r="E15" s="524">
        <v>2018</v>
      </c>
      <c r="F15" s="524">
        <v>2016</v>
      </c>
      <c r="G15" s="1365"/>
      <c r="I15" s="1352" t="s">
        <v>14</v>
      </c>
      <c r="J15" s="1353"/>
      <c r="K15" s="524">
        <f>D15</f>
        <v>2021</v>
      </c>
      <c r="L15" s="524">
        <f>E15</f>
        <v>2018</v>
      </c>
      <c r="M15" s="524">
        <v>2016</v>
      </c>
      <c r="N15" s="1365"/>
      <c r="P15" s="1352" t="s">
        <v>489</v>
      </c>
      <c r="Q15" s="1353"/>
      <c r="R15" s="524">
        <f>K15</f>
        <v>2021</v>
      </c>
      <c r="S15" s="524">
        <f>L15</f>
        <v>2018</v>
      </c>
      <c r="T15" s="524">
        <v>2016</v>
      </c>
      <c r="U15" s="1365"/>
      <c r="W15" s="522" t="s">
        <v>14</v>
      </c>
      <c r="X15" s="523">
        <v>2.2000000000000002</v>
      </c>
    </row>
    <row r="16" spans="1:24" ht="13.8" thickBot="1">
      <c r="A16" s="1354"/>
      <c r="B16" s="739">
        <v>1</v>
      </c>
      <c r="C16" s="495">
        <v>15</v>
      </c>
      <c r="D16" s="525">
        <v>0.4</v>
      </c>
      <c r="E16" s="525">
        <v>9.9999999999999995E-7</v>
      </c>
      <c r="F16" s="532"/>
      <c r="G16" s="526">
        <f>0.5*(MAX(D16:F16)-MIN(D16:F16))</f>
        <v>0.19999950000000002</v>
      </c>
      <c r="I16" s="739">
        <v>1</v>
      </c>
      <c r="J16" s="495">
        <v>35</v>
      </c>
      <c r="K16" s="525">
        <v>-6.9</v>
      </c>
      <c r="L16" s="525">
        <v>-1.6</v>
      </c>
      <c r="M16" s="532"/>
      <c r="N16" s="526">
        <f>0.5*(MAX(K16:M16)-MIN(K16:M16))</f>
        <v>2.6500000000000004</v>
      </c>
      <c r="P16" s="739">
        <v>1</v>
      </c>
      <c r="Q16" s="495">
        <v>750</v>
      </c>
      <c r="R16" s="528" t="s">
        <v>213</v>
      </c>
      <c r="S16" s="528" t="s">
        <v>213</v>
      </c>
      <c r="T16" s="495">
        <v>9.9999999999999995E-7</v>
      </c>
      <c r="U16" s="526">
        <f>0.5*(MAX(R16:T16)-MIN(R16:T16))</f>
        <v>0</v>
      </c>
      <c r="W16" s="529" t="s">
        <v>489</v>
      </c>
      <c r="X16" s="493">
        <v>0</v>
      </c>
    </row>
    <row r="17" spans="1:24">
      <c r="A17" s="1354"/>
      <c r="B17" s="739">
        <v>2</v>
      </c>
      <c r="C17" s="495">
        <v>20</v>
      </c>
      <c r="D17" s="525">
        <v>0.7</v>
      </c>
      <c r="E17" s="525">
        <v>-0.1</v>
      </c>
      <c r="F17" s="532"/>
      <c r="G17" s="526">
        <f t="shared" ref="G17:G22" si="3">0.5*(MAX(D17:F17)-MIN(D17:F17))</f>
        <v>0.39999999999999997</v>
      </c>
      <c r="I17" s="739">
        <v>2</v>
      </c>
      <c r="J17" s="495">
        <v>40</v>
      </c>
      <c r="K17" s="525">
        <v>-6.2</v>
      </c>
      <c r="L17" s="525">
        <v>-1.6</v>
      </c>
      <c r="M17" s="532"/>
      <c r="N17" s="526">
        <f t="shared" ref="N17:N22" si="4">0.5*(MAX(K17:M17)-MIN(K17:M17))</f>
        <v>2.2999999999999998</v>
      </c>
      <c r="P17" s="739">
        <v>2</v>
      </c>
      <c r="Q17" s="495">
        <v>800</v>
      </c>
      <c r="R17" s="528" t="s">
        <v>213</v>
      </c>
      <c r="S17" s="528" t="s">
        <v>213</v>
      </c>
      <c r="T17" s="495">
        <v>9.9999999999999995E-7</v>
      </c>
      <c r="U17" s="526">
        <f t="shared" ref="U17:U22" si="5">0.5*(MAX(R17:T17)-MIN(R17:T17))</f>
        <v>0</v>
      </c>
    </row>
    <row r="18" spans="1:24">
      <c r="A18" s="1354"/>
      <c r="B18" s="739">
        <v>3</v>
      </c>
      <c r="C18" s="495">
        <v>25</v>
      </c>
      <c r="D18" s="525">
        <v>0.5</v>
      </c>
      <c r="E18" s="525">
        <v>-0.2</v>
      </c>
      <c r="F18" s="532"/>
      <c r="G18" s="526">
        <f t="shared" si="3"/>
        <v>0.35</v>
      </c>
      <c r="I18" s="739">
        <v>3</v>
      </c>
      <c r="J18" s="495">
        <v>50</v>
      </c>
      <c r="K18" s="525">
        <v>-5.3</v>
      </c>
      <c r="L18" s="525">
        <v>-1.5</v>
      </c>
      <c r="M18" s="532"/>
      <c r="N18" s="526">
        <f t="shared" si="4"/>
        <v>1.9</v>
      </c>
      <c r="P18" s="739">
        <v>3</v>
      </c>
      <c r="Q18" s="495">
        <v>850</v>
      </c>
      <c r="R18" s="528" t="s">
        <v>213</v>
      </c>
      <c r="S18" s="528" t="s">
        <v>213</v>
      </c>
      <c r="T18" s="495">
        <v>9.9999999999999995E-7</v>
      </c>
      <c r="U18" s="526">
        <f t="shared" si="5"/>
        <v>0</v>
      </c>
    </row>
    <row r="19" spans="1:24">
      <c r="A19" s="1354"/>
      <c r="B19" s="739">
        <v>4</v>
      </c>
      <c r="C19" s="498">
        <v>30</v>
      </c>
      <c r="D19" s="499">
        <v>0.2</v>
      </c>
      <c r="E19" s="499">
        <v>-0.3</v>
      </c>
      <c r="F19" s="532"/>
      <c r="G19" s="526">
        <f t="shared" si="3"/>
        <v>0.25</v>
      </c>
      <c r="I19" s="739">
        <v>4</v>
      </c>
      <c r="J19" s="498">
        <v>60</v>
      </c>
      <c r="K19" s="499">
        <v>-4</v>
      </c>
      <c r="L19" s="499">
        <v>-1.3</v>
      </c>
      <c r="M19" s="532"/>
      <c r="N19" s="526">
        <f t="shared" si="4"/>
        <v>1.35</v>
      </c>
      <c r="P19" s="739">
        <v>4</v>
      </c>
      <c r="Q19" s="498">
        <v>900</v>
      </c>
      <c r="R19" s="499" t="s">
        <v>213</v>
      </c>
      <c r="S19" s="499" t="s">
        <v>213</v>
      </c>
      <c r="T19" s="495">
        <v>9.9999999999999995E-7</v>
      </c>
      <c r="U19" s="526">
        <f t="shared" si="5"/>
        <v>0</v>
      </c>
    </row>
    <row r="20" spans="1:24">
      <c r="A20" s="1354"/>
      <c r="B20" s="739">
        <v>5</v>
      </c>
      <c r="C20" s="498">
        <v>35</v>
      </c>
      <c r="D20" s="499">
        <v>-0.1</v>
      </c>
      <c r="E20" s="499">
        <v>-0.3</v>
      </c>
      <c r="F20" s="532"/>
      <c r="G20" s="526">
        <f t="shared" si="3"/>
        <v>9.9999999999999992E-2</v>
      </c>
      <c r="I20" s="739">
        <v>5</v>
      </c>
      <c r="J20" s="498">
        <v>70</v>
      </c>
      <c r="K20" s="499">
        <v>-2.4</v>
      </c>
      <c r="L20" s="499">
        <v>-1.1000000000000001</v>
      </c>
      <c r="M20" s="532"/>
      <c r="N20" s="526">
        <f t="shared" si="4"/>
        <v>0.64999999999999991</v>
      </c>
      <c r="P20" s="739">
        <v>5</v>
      </c>
      <c r="Q20" s="498">
        <v>1000</v>
      </c>
      <c r="R20" s="499" t="s">
        <v>213</v>
      </c>
      <c r="S20" s="499" t="s">
        <v>213</v>
      </c>
      <c r="T20" s="495">
        <v>9.9999999999999995E-7</v>
      </c>
      <c r="U20" s="526">
        <f t="shared" si="5"/>
        <v>0</v>
      </c>
    </row>
    <row r="21" spans="1:24">
      <c r="A21" s="1354"/>
      <c r="B21" s="739">
        <v>6</v>
      </c>
      <c r="C21" s="498">
        <v>37</v>
      </c>
      <c r="D21" s="499">
        <v>-0.2</v>
      </c>
      <c r="E21" s="499">
        <v>-0.3</v>
      </c>
      <c r="F21" s="532"/>
      <c r="G21" s="526">
        <f t="shared" si="3"/>
        <v>4.9999999999999989E-2</v>
      </c>
      <c r="I21" s="739">
        <v>6</v>
      </c>
      <c r="J21" s="498">
        <v>80</v>
      </c>
      <c r="K21" s="499">
        <v>-0.5</v>
      </c>
      <c r="L21" s="499">
        <v>-0.7</v>
      </c>
      <c r="M21" s="532"/>
      <c r="N21" s="526">
        <f t="shared" si="4"/>
        <v>9.9999999999999978E-2</v>
      </c>
      <c r="P21" s="739">
        <v>6</v>
      </c>
      <c r="Q21" s="498">
        <v>1005</v>
      </c>
      <c r="R21" s="499" t="s">
        <v>213</v>
      </c>
      <c r="S21" s="499" t="s">
        <v>213</v>
      </c>
      <c r="T21" s="495">
        <v>9.9999999999999995E-7</v>
      </c>
      <c r="U21" s="526">
        <f t="shared" si="5"/>
        <v>0</v>
      </c>
    </row>
    <row r="22" spans="1:24" ht="13.8" thickBot="1">
      <c r="A22" s="1354"/>
      <c r="B22" s="739">
        <v>7</v>
      </c>
      <c r="C22" s="498">
        <v>40</v>
      </c>
      <c r="D22" s="499">
        <v>-0.1</v>
      </c>
      <c r="E22" s="499">
        <v>-0.3</v>
      </c>
      <c r="F22" s="532"/>
      <c r="G22" s="526">
        <f t="shared" si="3"/>
        <v>9.9999999999999992E-2</v>
      </c>
      <c r="I22" s="739">
        <v>7</v>
      </c>
      <c r="J22" s="498">
        <v>90</v>
      </c>
      <c r="K22" s="499">
        <v>1.7</v>
      </c>
      <c r="L22" s="499">
        <v>-0.3</v>
      </c>
      <c r="M22" s="532"/>
      <c r="N22" s="526">
        <f t="shared" si="4"/>
        <v>1</v>
      </c>
      <c r="P22" s="739">
        <v>7</v>
      </c>
      <c r="Q22" s="498">
        <v>1020</v>
      </c>
      <c r="R22" s="499" t="s">
        <v>213</v>
      </c>
      <c r="S22" s="499" t="s">
        <v>213</v>
      </c>
      <c r="T22" s="495">
        <v>9.9999999999999995E-7</v>
      </c>
      <c r="U22" s="526">
        <f t="shared" si="5"/>
        <v>0</v>
      </c>
    </row>
    <row r="23" spans="1:24" ht="13.8" thickBot="1">
      <c r="A23" s="530"/>
      <c r="B23" s="497"/>
      <c r="O23" s="531"/>
      <c r="P23" s="500"/>
    </row>
    <row r="24" spans="1:24">
      <c r="A24" s="1369">
        <v>3</v>
      </c>
      <c r="B24" s="1358" t="s">
        <v>263</v>
      </c>
      <c r="C24" s="1358"/>
      <c r="D24" s="1358"/>
      <c r="E24" s="1358"/>
      <c r="F24" s="1358"/>
      <c r="G24" s="1358"/>
      <c r="I24" s="1358" t="str">
        <f>B24</f>
        <v>KOREKSI KIMO THERMOHYGROMETER 14082463</v>
      </c>
      <c r="J24" s="1358"/>
      <c r="K24" s="1358"/>
      <c r="L24" s="1358"/>
      <c r="M24" s="1358"/>
      <c r="N24" s="1358"/>
      <c r="P24" s="1358" t="str">
        <f>I24</f>
        <v>KOREKSI KIMO THERMOHYGROMETER 14082463</v>
      </c>
      <c r="Q24" s="1358"/>
      <c r="R24" s="1358"/>
      <c r="S24" s="1358"/>
      <c r="T24" s="1358"/>
      <c r="U24" s="1358"/>
      <c r="W24" s="1363" t="s">
        <v>237</v>
      </c>
      <c r="X24" s="1364"/>
    </row>
    <row r="25" spans="1:24">
      <c r="A25" s="1370"/>
      <c r="B25" s="1365" t="s">
        <v>258</v>
      </c>
      <c r="C25" s="1365"/>
      <c r="D25" s="1365" t="s">
        <v>259</v>
      </c>
      <c r="E25" s="1365"/>
      <c r="F25" s="1365"/>
      <c r="G25" s="1365" t="s">
        <v>215</v>
      </c>
      <c r="I25" s="1365" t="s">
        <v>260</v>
      </c>
      <c r="J25" s="1365"/>
      <c r="K25" s="1365" t="s">
        <v>259</v>
      </c>
      <c r="L25" s="1365"/>
      <c r="M25" s="1365"/>
      <c r="N25" s="1365" t="s">
        <v>215</v>
      </c>
      <c r="P25" s="1365" t="s">
        <v>488</v>
      </c>
      <c r="Q25" s="1365"/>
      <c r="R25" s="1365" t="s">
        <v>259</v>
      </c>
      <c r="S25" s="1365"/>
      <c r="T25" s="1365"/>
      <c r="U25" s="1365" t="s">
        <v>215</v>
      </c>
      <c r="W25" s="522" t="s">
        <v>258</v>
      </c>
      <c r="X25" s="523">
        <v>0.5</v>
      </c>
    </row>
    <row r="26" spans="1:24" ht="14.4">
      <c r="A26" s="1370"/>
      <c r="B26" s="1353" t="s">
        <v>261</v>
      </c>
      <c r="C26" s="1353"/>
      <c r="D26" s="524">
        <v>2021</v>
      </c>
      <c r="E26" s="524">
        <v>2018</v>
      </c>
      <c r="F26" s="524">
        <v>2016</v>
      </c>
      <c r="G26" s="1365"/>
      <c r="I26" s="1352" t="s">
        <v>14</v>
      </c>
      <c r="J26" s="1353"/>
      <c r="K26" s="524">
        <f>D26</f>
        <v>2021</v>
      </c>
      <c r="L26" s="524">
        <f>E26</f>
        <v>2018</v>
      </c>
      <c r="M26" s="524">
        <v>2016</v>
      </c>
      <c r="N26" s="1365"/>
      <c r="P26" s="1352" t="s">
        <v>489</v>
      </c>
      <c r="Q26" s="1353"/>
      <c r="R26" s="524">
        <f>K26</f>
        <v>2021</v>
      </c>
      <c r="S26" s="524">
        <f>L26</f>
        <v>2018</v>
      </c>
      <c r="T26" s="524">
        <v>2016</v>
      </c>
      <c r="U26" s="1365"/>
      <c r="W26" s="522" t="s">
        <v>14</v>
      </c>
      <c r="X26" s="523">
        <v>3.1</v>
      </c>
    </row>
    <row r="27" spans="1:24" ht="13.8" thickBot="1">
      <c r="A27" s="1370"/>
      <c r="B27" s="739">
        <v>1</v>
      </c>
      <c r="C27" s="495">
        <v>15</v>
      </c>
      <c r="D27" s="525">
        <v>0.4</v>
      </c>
      <c r="E27" s="525">
        <v>9.9999999999999995E-7</v>
      </c>
      <c r="F27" s="533"/>
      <c r="G27" s="526">
        <f>0.5*(MAX(D27:F27)-MIN(D27:F27))</f>
        <v>0.19999950000000002</v>
      </c>
      <c r="I27" s="739">
        <v>1</v>
      </c>
      <c r="J27" s="495">
        <v>30</v>
      </c>
      <c r="K27" s="525">
        <v>-7.3</v>
      </c>
      <c r="L27" s="525">
        <v>-5.7</v>
      </c>
      <c r="M27" s="525"/>
      <c r="N27" s="526">
        <f>0.5*(MAX(K27:M27)-MIN(K27:M27))</f>
        <v>0.79999999999999982</v>
      </c>
      <c r="P27" s="739">
        <v>1</v>
      </c>
      <c r="Q27" s="495">
        <v>750</v>
      </c>
      <c r="R27" s="528" t="s">
        <v>213</v>
      </c>
      <c r="S27" s="528" t="s">
        <v>213</v>
      </c>
      <c r="T27" s="495">
        <v>9.9999999999999995E-7</v>
      </c>
      <c r="U27" s="526">
        <f>0.5*(MAX(R27:T27)-MIN(R27:S27))</f>
        <v>4.9999999999999998E-7</v>
      </c>
      <c r="W27" s="529" t="s">
        <v>489</v>
      </c>
      <c r="X27" s="493">
        <v>0</v>
      </c>
    </row>
    <row r="28" spans="1:24">
      <c r="A28" s="1370"/>
      <c r="B28" s="739">
        <v>2</v>
      </c>
      <c r="C28" s="495">
        <v>20</v>
      </c>
      <c r="D28" s="525">
        <v>1</v>
      </c>
      <c r="E28" s="525">
        <v>9.9999999999999995E-7</v>
      </c>
      <c r="F28" s="533"/>
      <c r="G28" s="526">
        <f t="shared" ref="G28:G33" si="6">0.5*(MAX(D28:F28)-MIN(D28:F28))</f>
        <v>0.49999949999999999</v>
      </c>
      <c r="I28" s="739">
        <v>2</v>
      </c>
      <c r="J28" s="495">
        <v>40</v>
      </c>
      <c r="K28" s="525">
        <v>-5.9</v>
      </c>
      <c r="L28" s="525">
        <v>-5.3</v>
      </c>
      <c r="M28" s="525"/>
      <c r="N28" s="526">
        <f t="shared" ref="N28:N33" si="7">0.5*(MAX(K28:M28)-MIN(K28:M28))</f>
        <v>0.30000000000000027</v>
      </c>
      <c r="P28" s="739">
        <v>2</v>
      </c>
      <c r="Q28" s="495">
        <v>800</v>
      </c>
      <c r="R28" s="528" t="s">
        <v>213</v>
      </c>
      <c r="S28" s="528" t="s">
        <v>213</v>
      </c>
      <c r="T28" s="495">
        <v>9.9999999999999995E-7</v>
      </c>
      <c r="U28" s="526">
        <f t="shared" ref="U28:U33" si="8">0.5*(MAX(R28:T28)-MIN(R28:S28))</f>
        <v>4.9999999999999998E-7</v>
      </c>
    </row>
    <row r="29" spans="1:24">
      <c r="A29" s="1370"/>
      <c r="B29" s="739">
        <v>3</v>
      </c>
      <c r="C29" s="495">
        <v>25</v>
      </c>
      <c r="D29" s="525">
        <v>0.7</v>
      </c>
      <c r="E29" s="525">
        <v>-0.1</v>
      </c>
      <c r="F29" s="533"/>
      <c r="G29" s="526">
        <f t="shared" si="6"/>
        <v>0.39999999999999997</v>
      </c>
      <c r="I29" s="739">
        <v>3</v>
      </c>
      <c r="J29" s="495">
        <v>50</v>
      </c>
      <c r="K29" s="525">
        <v>-4.5</v>
      </c>
      <c r="L29" s="525">
        <v>-4.9000000000000004</v>
      </c>
      <c r="M29" s="525"/>
      <c r="N29" s="526">
        <f t="shared" si="7"/>
        <v>0.20000000000000018</v>
      </c>
      <c r="P29" s="739">
        <v>3</v>
      </c>
      <c r="Q29" s="495">
        <v>850</v>
      </c>
      <c r="R29" s="528" t="s">
        <v>213</v>
      </c>
      <c r="S29" s="528" t="s">
        <v>213</v>
      </c>
      <c r="T29" s="495">
        <v>9.9999999999999995E-7</v>
      </c>
      <c r="U29" s="526">
        <f t="shared" si="8"/>
        <v>4.9999999999999998E-7</v>
      </c>
    </row>
    <row r="30" spans="1:24">
      <c r="A30" s="1370"/>
      <c r="B30" s="739">
        <v>4</v>
      </c>
      <c r="C30" s="498">
        <v>30</v>
      </c>
      <c r="D30" s="499">
        <v>9.9999999999999995E-7</v>
      </c>
      <c r="E30" s="499">
        <v>-0.3</v>
      </c>
      <c r="F30" s="533"/>
      <c r="G30" s="526">
        <f t="shared" si="6"/>
        <v>0.15000049999999998</v>
      </c>
      <c r="I30" s="739">
        <v>4</v>
      </c>
      <c r="J30" s="498">
        <v>60</v>
      </c>
      <c r="K30" s="499">
        <v>-3.2</v>
      </c>
      <c r="L30" s="499">
        <v>-4.3</v>
      </c>
      <c r="M30" s="525"/>
      <c r="N30" s="526">
        <f t="shared" si="7"/>
        <v>0.54999999999999982</v>
      </c>
      <c r="P30" s="739">
        <v>4</v>
      </c>
      <c r="Q30" s="498">
        <v>900</v>
      </c>
      <c r="R30" s="499" t="s">
        <v>213</v>
      </c>
      <c r="S30" s="499" t="s">
        <v>213</v>
      </c>
      <c r="T30" s="495">
        <v>9.9999999999999995E-7</v>
      </c>
      <c r="U30" s="526">
        <f t="shared" si="8"/>
        <v>4.9999999999999998E-7</v>
      </c>
    </row>
    <row r="31" spans="1:24">
      <c r="A31" s="1370"/>
      <c r="B31" s="739">
        <v>5</v>
      </c>
      <c r="C31" s="498">
        <v>35</v>
      </c>
      <c r="D31" s="499">
        <v>-0.3</v>
      </c>
      <c r="E31" s="499">
        <v>-0.5</v>
      </c>
      <c r="F31" s="533"/>
      <c r="G31" s="526">
        <f t="shared" si="6"/>
        <v>0.1</v>
      </c>
      <c r="I31" s="739">
        <v>5</v>
      </c>
      <c r="J31" s="498">
        <v>70</v>
      </c>
      <c r="K31" s="499">
        <v>-2</v>
      </c>
      <c r="L31" s="499">
        <v>-3.6</v>
      </c>
      <c r="M31" s="525"/>
      <c r="N31" s="526">
        <f t="shared" si="7"/>
        <v>0.8</v>
      </c>
      <c r="P31" s="739">
        <v>5</v>
      </c>
      <c r="Q31" s="498">
        <v>1000</v>
      </c>
      <c r="R31" s="499" t="s">
        <v>213</v>
      </c>
      <c r="S31" s="499" t="s">
        <v>213</v>
      </c>
      <c r="T31" s="495">
        <v>9.9999999999999995E-7</v>
      </c>
      <c r="U31" s="526">
        <f t="shared" si="8"/>
        <v>4.9999999999999998E-7</v>
      </c>
    </row>
    <row r="32" spans="1:24">
      <c r="A32" s="1370"/>
      <c r="B32" s="739">
        <v>6</v>
      </c>
      <c r="C32" s="498">
        <v>37</v>
      </c>
      <c r="D32" s="499">
        <v>-0.2</v>
      </c>
      <c r="E32" s="499">
        <v>-0.6</v>
      </c>
      <c r="F32" s="533"/>
      <c r="G32" s="526">
        <f t="shared" si="6"/>
        <v>0.19999999999999998</v>
      </c>
      <c r="I32" s="739">
        <v>6</v>
      </c>
      <c r="J32" s="498">
        <v>80</v>
      </c>
      <c r="K32" s="499">
        <v>-0.8</v>
      </c>
      <c r="L32" s="499">
        <v>-2.9</v>
      </c>
      <c r="M32" s="525"/>
      <c r="N32" s="526">
        <f t="shared" si="7"/>
        <v>1.0499999999999998</v>
      </c>
      <c r="P32" s="739">
        <v>6</v>
      </c>
      <c r="Q32" s="498">
        <v>1005</v>
      </c>
      <c r="R32" s="499" t="s">
        <v>213</v>
      </c>
      <c r="S32" s="499" t="s">
        <v>213</v>
      </c>
      <c r="T32" s="495">
        <v>9.9999999999999995E-7</v>
      </c>
      <c r="U32" s="526">
        <f t="shared" si="8"/>
        <v>4.9999999999999998E-7</v>
      </c>
    </row>
    <row r="33" spans="1:24" ht="13.8" thickBot="1">
      <c r="A33" s="1371"/>
      <c r="B33" s="739">
        <v>7</v>
      </c>
      <c r="C33" s="498">
        <v>40</v>
      </c>
      <c r="D33" s="499">
        <v>0.2</v>
      </c>
      <c r="E33" s="499">
        <v>-0.7</v>
      </c>
      <c r="F33" s="533"/>
      <c r="G33" s="526">
        <f t="shared" si="6"/>
        <v>0.44999999999999996</v>
      </c>
      <c r="I33" s="739">
        <v>7</v>
      </c>
      <c r="J33" s="498">
        <v>90</v>
      </c>
      <c r="K33" s="499">
        <v>0.3</v>
      </c>
      <c r="L33" s="499">
        <v>-2</v>
      </c>
      <c r="M33" s="525"/>
      <c r="N33" s="526">
        <f t="shared" si="7"/>
        <v>1.1499999999999999</v>
      </c>
      <c r="P33" s="739">
        <v>7</v>
      </c>
      <c r="Q33" s="498">
        <v>1020</v>
      </c>
      <c r="R33" s="499" t="s">
        <v>213</v>
      </c>
      <c r="S33" s="499" t="s">
        <v>213</v>
      </c>
      <c r="T33" s="495">
        <v>9.9999999999999995E-7</v>
      </c>
      <c r="U33" s="526">
        <f t="shared" si="8"/>
        <v>4.9999999999999998E-7</v>
      </c>
    </row>
    <row r="34" spans="1:24" ht="13.8" thickBot="1">
      <c r="A34" s="530"/>
      <c r="B34" s="497"/>
      <c r="H34" s="516"/>
      <c r="O34" s="531"/>
      <c r="P34" s="500"/>
    </row>
    <row r="35" spans="1:24">
      <c r="A35" s="1369">
        <v>4</v>
      </c>
      <c r="B35" s="1358" t="s">
        <v>264</v>
      </c>
      <c r="C35" s="1358"/>
      <c r="D35" s="1358"/>
      <c r="E35" s="1358"/>
      <c r="F35" s="1358"/>
      <c r="G35" s="1358"/>
      <c r="I35" s="1358" t="str">
        <f>B35</f>
        <v>KOREKSI KIMO THERMOHYGROMETER 15062872</v>
      </c>
      <c r="J35" s="1358"/>
      <c r="K35" s="1358"/>
      <c r="L35" s="1358"/>
      <c r="M35" s="1358"/>
      <c r="N35" s="1358"/>
      <c r="P35" s="1358" t="str">
        <f>I35</f>
        <v>KOREKSI KIMO THERMOHYGROMETER 15062872</v>
      </c>
      <c r="Q35" s="1358"/>
      <c r="R35" s="1358"/>
      <c r="S35" s="1358"/>
      <c r="T35" s="1358"/>
      <c r="U35" s="1358"/>
      <c r="W35" s="1363" t="s">
        <v>237</v>
      </c>
      <c r="X35" s="1364"/>
    </row>
    <row r="36" spans="1:24">
      <c r="A36" s="1370"/>
      <c r="B36" s="1365" t="s">
        <v>258</v>
      </c>
      <c r="C36" s="1365"/>
      <c r="D36" s="1365" t="s">
        <v>259</v>
      </c>
      <c r="E36" s="1365"/>
      <c r="F36" s="1365"/>
      <c r="G36" s="1365" t="s">
        <v>215</v>
      </c>
      <c r="I36" s="1365" t="s">
        <v>260</v>
      </c>
      <c r="J36" s="1365"/>
      <c r="K36" s="1365" t="s">
        <v>259</v>
      </c>
      <c r="L36" s="1365"/>
      <c r="M36" s="1365"/>
      <c r="N36" s="1365" t="s">
        <v>215</v>
      </c>
      <c r="P36" s="1365" t="s">
        <v>488</v>
      </c>
      <c r="Q36" s="1365"/>
      <c r="R36" s="1365" t="s">
        <v>259</v>
      </c>
      <c r="S36" s="1365"/>
      <c r="T36" s="1365"/>
      <c r="U36" s="1365" t="s">
        <v>215</v>
      </c>
      <c r="W36" s="522" t="s">
        <v>258</v>
      </c>
      <c r="X36" s="523">
        <v>0.3</v>
      </c>
    </row>
    <row r="37" spans="1:24" ht="14.4">
      <c r="A37" s="1370"/>
      <c r="B37" s="1353" t="s">
        <v>261</v>
      </c>
      <c r="C37" s="1353"/>
      <c r="D37" s="524">
        <v>2019</v>
      </c>
      <c r="E37" s="524">
        <v>2017</v>
      </c>
      <c r="F37" s="524">
        <v>2016</v>
      </c>
      <c r="G37" s="1365"/>
      <c r="I37" s="1352" t="s">
        <v>14</v>
      </c>
      <c r="J37" s="1353"/>
      <c r="K37" s="524">
        <f>D37</f>
        <v>2019</v>
      </c>
      <c r="L37" s="524">
        <f>E37</f>
        <v>2017</v>
      </c>
      <c r="M37" s="524">
        <v>2016</v>
      </c>
      <c r="N37" s="1365"/>
      <c r="P37" s="1352" t="s">
        <v>489</v>
      </c>
      <c r="Q37" s="1353"/>
      <c r="R37" s="524">
        <f>K37</f>
        <v>2019</v>
      </c>
      <c r="S37" s="524">
        <f>L37</f>
        <v>2017</v>
      </c>
      <c r="T37" s="524">
        <v>2016</v>
      </c>
      <c r="U37" s="1365"/>
      <c r="W37" s="522" t="s">
        <v>14</v>
      </c>
      <c r="X37" s="523">
        <v>1.3</v>
      </c>
    </row>
    <row r="38" spans="1:24" ht="13.8" thickBot="1">
      <c r="A38" s="1370"/>
      <c r="B38" s="739">
        <v>1</v>
      </c>
      <c r="C38" s="495">
        <v>15</v>
      </c>
      <c r="D38" s="525">
        <v>-0.2</v>
      </c>
      <c r="E38" s="525">
        <v>-0.1</v>
      </c>
      <c r="F38" s="532"/>
      <c r="G38" s="526">
        <f>0.5*(MAX(D38:F38)-MIN(D38:F38))</f>
        <v>0.05</v>
      </c>
      <c r="I38" s="739">
        <v>1</v>
      </c>
      <c r="J38" s="495">
        <v>35</v>
      </c>
      <c r="K38" s="525">
        <v>-4.5</v>
      </c>
      <c r="L38" s="525">
        <v>-1.7</v>
      </c>
      <c r="M38" s="532"/>
      <c r="N38" s="526">
        <f>0.5*(MAX(K38:M38)-MIN(K38:M38))</f>
        <v>1.4</v>
      </c>
      <c r="P38" s="739">
        <v>1</v>
      </c>
      <c r="Q38" s="495">
        <v>750</v>
      </c>
      <c r="R38" s="528" t="s">
        <v>213</v>
      </c>
      <c r="S38" s="528" t="s">
        <v>213</v>
      </c>
      <c r="T38" s="495">
        <v>9.9999999999999995E-7</v>
      </c>
      <c r="U38" s="526">
        <f>0.5*(MAX(R38:T38)-MIN(R38:T38))</f>
        <v>0</v>
      </c>
      <c r="W38" s="529" t="s">
        <v>489</v>
      </c>
      <c r="X38" s="493">
        <v>0</v>
      </c>
    </row>
    <row r="39" spans="1:24">
      <c r="A39" s="1370"/>
      <c r="B39" s="739">
        <v>2</v>
      </c>
      <c r="C39" s="495">
        <v>20</v>
      </c>
      <c r="D39" s="525">
        <v>-0.1</v>
      </c>
      <c r="E39" s="525">
        <v>-0.3</v>
      </c>
      <c r="F39" s="532"/>
      <c r="G39" s="526">
        <f t="shared" ref="G39:G44" si="9">0.5*(MAX(D39:F39)-MIN(D39:F39))</f>
        <v>9.9999999999999992E-2</v>
      </c>
      <c r="I39" s="739">
        <v>2</v>
      </c>
      <c r="J39" s="495">
        <v>40</v>
      </c>
      <c r="K39" s="525">
        <v>-4.4000000000000004</v>
      </c>
      <c r="L39" s="525">
        <v>-1.5</v>
      </c>
      <c r="M39" s="532"/>
      <c r="N39" s="526">
        <f t="shared" ref="N39:N44" si="10">0.5*(MAX(K39:L39)-MIN(K39:L39))</f>
        <v>1.4500000000000002</v>
      </c>
      <c r="P39" s="739">
        <v>2</v>
      </c>
      <c r="Q39" s="495">
        <v>800</v>
      </c>
      <c r="R39" s="528" t="s">
        <v>213</v>
      </c>
      <c r="S39" s="528" t="s">
        <v>213</v>
      </c>
      <c r="T39" s="495">
        <v>9.9999999999999995E-7</v>
      </c>
      <c r="U39" s="526">
        <f t="shared" ref="U39:U44" si="11">0.5*(MAX(R39:T39)-MIN(R39:T39))</f>
        <v>0</v>
      </c>
    </row>
    <row r="40" spans="1:24">
      <c r="A40" s="1370"/>
      <c r="B40" s="739">
        <v>3</v>
      </c>
      <c r="C40" s="495">
        <v>25</v>
      </c>
      <c r="D40" s="525">
        <v>-0.1</v>
      </c>
      <c r="E40" s="525">
        <v>-0.5</v>
      </c>
      <c r="F40" s="532"/>
      <c r="G40" s="526">
        <f t="shared" si="9"/>
        <v>0.2</v>
      </c>
      <c r="I40" s="739">
        <v>3</v>
      </c>
      <c r="J40" s="495">
        <v>50</v>
      </c>
      <c r="K40" s="525">
        <v>-4.3</v>
      </c>
      <c r="L40" s="525">
        <v>-1</v>
      </c>
      <c r="M40" s="532"/>
      <c r="N40" s="526">
        <f t="shared" si="10"/>
        <v>1.65</v>
      </c>
      <c r="P40" s="739">
        <v>3</v>
      </c>
      <c r="Q40" s="495">
        <v>850</v>
      </c>
      <c r="R40" s="528" t="s">
        <v>213</v>
      </c>
      <c r="S40" s="528" t="s">
        <v>213</v>
      </c>
      <c r="T40" s="495">
        <v>9.9999999999999995E-7</v>
      </c>
      <c r="U40" s="526">
        <f t="shared" si="11"/>
        <v>0</v>
      </c>
    </row>
    <row r="41" spans="1:24">
      <c r="A41" s="1370"/>
      <c r="B41" s="739">
        <v>4</v>
      </c>
      <c r="C41" s="498">
        <v>30</v>
      </c>
      <c r="D41" s="499">
        <v>-0.1</v>
      </c>
      <c r="E41" s="499">
        <v>-0.6</v>
      </c>
      <c r="F41" s="532"/>
      <c r="G41" s="526">
        <f t="shared" si="9"/>
        <v>0.25</v>
      </c>
      <c r="I41" s="739">
        <v>4</v>
      </c>
      <c r="J41" s="498">
        <v>60</v>
      </c>
      <c r="K41" s="499">
        <v>-4.2</v>
      </c>
      <c r="L41" s="499">
        <v>-0.3</v>
      </c>
      <c r="M41" s="532"/>
      <c r="N41" s="526">
        <f t="shared" si="10"/>
        <v>1.9500000000000002</v>
      </c>
      <c r="P41" s="739">
        <v>4</v>
      </c>
      <c r="Q41" s="498">
        <v>900</v>
      </c>
      <c r="R41" s="499" t="s">
        <v>213</v>
      </c>
      <c r="S41" s="499" t="s">
        <v>213</v>
      </c>
      <c r="T41" s="495">
        <v>9.9999999999999995E-7</v>
      </c>
      <c r="U41" s="526">
        <f t="shared" si="11"/>
        <v>0</v>
      </c>
    </row>
    <row r="42" spans="1:24">
      <c r="A42" s="1370"/>
      <c r="B42" s="739">
        <v>5</v>
      </c>
      <c r="C42" s="498">
        <v>35</v>
      </c>
      <c r="D42" s="499">
        <v>-0.3</v>
      </c>
      <c r="E42" s="499">
        <v>-0.6</v>
      </c>
      <c r="F42" s="532"/>
      <c r="G42" s="526">
        <f t="shared" si="9"/>
        <v>0.15</v>
      </c>
      <c r="I42" s="739">
        <v>5</v>
      </c>
      <c r="J42" s="498">
        <v>70</v>
      </c>
      <c r="K42" s="499">
        <v>-4</v>
      </c>
      <c r="L42" s="499">
        <v>0.7</v>
      </c>
      <c r="M42" s="532"/>
      <c r="N42" s="526">
        <f t="shared" si="10"/>
        <v>2.35</v>
      </c>
      <c r="P42" s="739">
        <v>5</v>
      </c>
      <c r="Q42" s="498">
        <v>1000</v>
      </c>
      <c r="R42" s="499" t="s">
        <v>213</v>
      </c>
      <c r="S42" s="499" t="s">
        <v>213</v>
      </c>
      <c r="T42" s="495">
        <v>9.9999999999999995E-7</v>
      </c>
      <c r="U42" s="526">
        <f t="shared" si="11"/>
        <v>0</v>
      </c>
    </row>
    <row r="43" spans="1:24">
      <c r="A43" s="1370"/>
      <c r="B43" s="739">
        <v>6</v>
      </c>
      <c r="C43" s="498">
        <v>37</v>
      </c>
      <c r="D43" s="499">
        <v>-0.4</v>
      </c>
      <c r="E43" s="499">
        <v>-0.6</v>
      </c>
      <c r="F43" s="532"/>
      <c r="G43" s="526">
        <f t="shared" si="9"/>
        <v>9.9999999999999978E-2</v>
      </c>
      <c r="I43" s="739">
        <v>6</v>
      </c>
      <c r="J43" s="498">
        <v>80</v>
      </c>
      <c r="K43" s="499">
        <v>-3.8</v>
      </c>
      <c r="L43" s="499">
        <v>1.9</v>
      </c>
      <c r="M43" s="532"/>
      <c r="N43" s="526">
        <f t="shared" si="10"/>
        <v>2.8499999999999996</v>
      </c>
      <c r="P43" s="739">
        <v>6</v>
      </c>
      <c r="Q43" s="498">
        <v>1005</v>
      </c>
      <c r="R43" s="499" t="s">
        <v>213</v>
      </c>
      <c r="S43" s="499" t="s">
        <v>213</v>
      </c>
      <c r="T43" s="495">
        <v>9.9999999999999995E-7</v>
      </c>
      <c r="U43" s="526">
        <f t="shared" si="11"/>
        <v>0</v>
      </c>
    </row>
    <row r="44" spans="1:24" ht="13.8" thickBot="1">
      <c r="A44" s="1371"/>
      <c r="B44" s="739">
        <v>7</v>
      </c>
      <c r="C44" s="498">
        <v>40</v>
      </c>
      <c r="D44" s="499">
        <v>-0.5</v>
      </c>
      <c r="E44" s="499">
        <v>-0.6</v>
      </c>
      <c r="F44" s="532"/>
      <c r="G44" s="526">
        <f t="shared" si="9"/>
        <v>4.9999999999999989E-2</v>
      </c>
      <c r="I44" s="739">
        <v>7</v>
      </c>
      <c r="J44" s="498">
        <v>90</v>
      </c>
      <c r="K44" s="499">
        <v>-3.5</v>
      </c>
      <c r="L44" s="499">
        <v>3.3</v>
      </c>
      <c r="M44" s="532"/>
      <c r="N44" s="526">
        <f t="shared" si="10"/>
        <v>3.4</v>
      </c>
      <c r="P44" s="739">
        <v>7</v>
      </c>
      <c r="Q44" s="498">
        <v>1020</v>
      </c>
      <c r="R44" s="499" t="s">
        <v>213</v>
      </c>
      <c r="S44" s="499" t="s">
        <v>213</v>
      </c>
      <c r="T44" s="495">
        <v>9.9999999999999995E-7</v>
      </c>
      <c r="U44" s="526">
        <f t="shared" si="11"/>
        <v>0</v>
      </c>
    </row>
    <row r="45" spans="1:24" ht="13.8" thickBot="1">
      <c r="A45" s="530"/>
      <c r="B45" s="497"/>
      <c r="O45" s="531"/>
      <c r="P45" s="500"/>
    </row>
    <row r="46" spans="1:24">
      <c r="A46" s="1369">
        <v>5</v>
      </c>
      <c r="B46" s="1358" t="s">
        <v>265</v>
      </c>
      <c r="C46" s="1358"/>
      <c r="D46" s="1358"/>
      <c r="E46" s="1358"/>
      <c r="F46" s="1358"/>
      <c r="G46" s="1358"/>
      <c r="I46" s="1358" t="str">
        <f>B46</f>
        <v>KOREKSI KIMO THERMOHYGROMETER 15062875</v>
      </c>
      <c r="J46" s="1358"/>
      <c r="K46" s="1358"/>
      <c r="L46" s="1358"/>
      <c r="M46" s="1358"/>
      <c r="N46" s="1358"/>
      <c r="P46" s="1358" t="str">
        <f>I46</f>
        <v>KOREKSI KIMO THERMOHYGROMETER 15062875</v>
      </c>
      <c r="Q46" s="1358"/>
      <c r="R46" s="1358"/>
      <c r="S46" s="1358"/>
      <c r="T46" s="1358"/>
      <c r="U46" s="1358"/>
      <c r="W46" s="1363" t="s">
        <v>237</v>
      </c>
      <c r="X46" s="1364"/>
    </row>
    <row r="47" spans="1:24">
      <c r="A47" s="1370"/>
      <c r="B47" s="1365" t="s">
        <v>258</v>
      </c>
      <c r="C47" s="1365"/>
      <c r="D47" s="1365" t="s">
        <v>259</v>
      </c>
      <c r="E47" s="1365"/>
      <c r="F47" s="1365"/>
      <c r="G47" s="1365" t="s">
        <v>215</v>
      </c>
      <c r="I47" s="1365" t="s">
        <v>260</v>
      </c>
      <c r="J47" s="1365"/>
      <c r="K47" s="1365" t="s">
        <v>259</v>
      </c>
      <c r="L47" s="1365"/>
      <c r="M47" s="1365"/>
      <c r="N47" s="1365" t="s">
        <v>215</v>
      </c>
      <c r="P47" s="1365" t="s">
        <v>488</v>
      </c>
      <c r="Q47" s="1365"/>
      <c r="R47" s="1365" t="s">
        <v>259</v>
      </c>
      <c r="S47" s="1365"/>
      <c r="T47" s="1365"/>
      <c r="U47" s="1365" t="s">
        <v>215</v>
      </c>
      <c r="W47" s="522" t="s">
        <v>258</v>
      </c>
      <c r="X47" s="523">
        <v>0.4</v>
      </c>
    </row>
    <row r="48" spans="1:24" ht="14.4">
      <c r="A48" s="1370"/>
      <c r="B48" s="1353" t="s">
        <v>261</v>
      </c>
      <c r="C48" s="1353"/>
      <c r="D48" s="524">
        <v>2020</v>
      </c>
      <c r="E48" s="524">
        <v>2017</v>
      </c>
      <c r="F48" s="524">
        <v>2016</v>
      </c>
      <c r="G48" s="1365"/>
      <c r="I48" s="1352" t="s">
        <v>14</v>
      </c>
      <c r="J48" s="1353"/>
      <c r="K48" s="524">
        <f>D48</f>
        <v>2020</v>
      </c>
      <c r="L48" s="524">
        <f>E48</f>
        <v>2017</v>
      </c>
      <c r="M48" s="524">
        <v>2016</v>
      </c>
      <c r="N48" s="1365"/>
      <c r="P48" s="1352" t="s">
        <v>489</v>
      </c>
      <c r="Q48" s="1353"/>
      <c r="R48" s="524">
        <f>K48</f>
        <v>2020</v>
      </c>
      <c r="S48" s="524">
        <f>L48</f>
        <v>2017</v>
      </c>
      <c r="T48" s="524">
        <v>2016</v>
      </c>
      <c r="U48" s="1365"/>
      <c r="W48" s="522" t="s">
        <v>14</v>
      </c>
      <c r="X48" s="523">
        <v>2.8</v>
      </c>
    </row>
    <row r="49" spans="1:24" ht="13.8" thickBot="1">
      <c r="A49" s="1370"/>
      <c r="B49" s="739">
        <v>1</v>
      </c>
      <c r="C49" s="495">
        <v>15</v>
      </c>
      <c r="D49" s="525">
        <v>-0.3</v>
      </c>
      <c r="E49" s="525">
        <v>0.3</v>
      </c>
      <c r="F49" s="532"/>
      <c r="G49" s="526">
        <f>0.5*(MAX(D49:F49)-MIN(D49:F49))</f>
        <v>0.3</v>
      </c>
      <c r="I49" s="739">
        <v>1</v>
      </c>
      <c r="J49" s="495">
        <v>35</v>
      </c>
      <c r="K49" s="525">
        <v>-7.7</v>
      </c>
      <c r="L49" s="525">
        <v>-9.6</v>
      </c>
      <c r="M49" s="532"/>
      <c r="N49" s="526">
        <f>0.5*(MAX(K49:M49)-MIN(K49:M49))</f>
        <v>0.94999999999999973</v>
      </c>
      <c r="P49" s="739">
        <v>1</v>
      </c>
      <c r="Q49" s="495">
        <v>750</v>
      </c>
      <c r="R49" s="528" t="s">
        <v>213</v>
      </c>
      <c r="S49" s="528" t="s">
        <v>213</v>
      </c>
      <c r="T49" s="495">
        <v>9.9999999999999995E-7</v>
      </c>
      <c r="U49" s="526">
        <f>0.5*(MAX(R49:T49)-MIN(R49:T49))</f>
        <v>0</v>
      </c>
      <c r="W49" s="529" t="s">
        <v>489</v>
      </c>
      <c r="X49" s="493">
        <v>0</v>
      </c>
    </row>
    <row r="50" spans="1:24">
      <c r="A50" s="1370"/>
      <c r="B50" s="739">
        <v>2</v>
      </c>
      <c r="C50" s="495">
        <v>20</v>
      </c>
      <c r="D50" s="525">
        <v>0.1</v>
      </c>
      <c r="E50" s="525">
        <v>0.3</v>
      </c>
      <c r="F50" s="532"/>
      <c r="G50" s="526">
        <f t="shared" ref="G50:G55" si="12">0.5*(MAX(D50:F50)-MIN(D50:F50))</f>
        <v>9.9999999999999992E-2</v>
      </c>
      <c r="I50" s="739">
        <v>2</v>
      </c>
      <c r="J50" s="495">
        <v>40</v>
      </c>
      <c r="K50" s="525">
        <v>-7.2</v>
      </c>
      <c r="L50" s="525">
        <v>-8</v>
      </c>
      <c r="M50" s="532"/>
      <c r="N50" s="526">
        <f t="shared" ref="N50:N55" si="13">0.5*(MAX(K50:M50)-MIN(K50:M50))</f>
        <v>0.39999999999999991</v>
      </c>
      <c r="P50" s="739">
        <v>2</v>
      </c>
      <c r="Q50" s="495">
        <v>800</v>
      </c>
      <c r="R50" s="528" t="s">
        <v>213</v>
      </c>
      <c r="S50" s="528" t="s">
        <v>213</v>
      </c>
      <c r="T50" s="495">
        <v>9.9999999999999995E-7</v>
      </c>
      <c r="U50" s="526">
        <f t="shared" ref="U50:U55" si="14">0.5*(MAX(R50:T50)-MIN(R50:T50))</f>
        <v>0</v>
      </c>
    </row>
    <row r="51" spans="1:24">
      <c r="A51" s="1370"/>
      <c r="B51" s="739">
        <v>3</v>
      </c>
      <c r="C51" s="495">
        <v>25</v>
      </c>
      <c r="D51" s="525">
        <v>0.4</v>
      </c>
      <c r="E51" s="525">
        <v>0.2</v>
      </c>
      <c r="F51" s="532"/>
      <c r="G51" s="526">
        <f t="shared" si="12"/>
        <v>0.1</v>
      </c>
      <c r="I51" s="739">
        <v>3</v>
      </c>
      <c r="J51" s="495">
        <v>50</v>
      </c>
      <c r="K51" s="525">
        <v>-6.2</v>
      </c>
      <c r="L51" s="525">
        <v>-6.2</v>
      </c>
      <c r="M51" s="532"/>
      <c r="N51" s="526">
        <f t="shared" si="13"/>
        <v>0</v>
      </c>
      <c r="P51" s="739">
        <v>3</v>
      </c>
      <c r="Q51" s="495">
        <v>850</v>
      </c>
      <c r="R51" s="528" t="s">
        <v>213</v>
      </c>
      <c r="S51" s="528" t="s">
        <v>213</v>
      </c>
      <c r="T51" s="495">
        <v>9.9999999999999995E-7</v>
      </c>
      <c r="U51" s="526">
        <f t="shared" si="14"/>
        <v>0</v>
      </c>
    </row>
    <row r="52" spans="1:24">
      <c r="A52" s="1370"/>
      <c r="B52" s="739">
        <v>4</v>
      </c>
      <c r="C52" s="498">
        <v>30</v>
      </c>
      <c r="D52" s="499">
        <v>0.6</v>
      </c>
      <c r="E52" s="499">
        <v>0.1</v>
      </c>
      <c r="F52" s="532"/>
      <c r="G52" s="526">
        <f t="shared" si="12"/>
        <v>0.25</v>
      </c>
      <c r="I52" s="739">
        <v>4</v>
      </c>
      <c r="J52" s="498">
        <v>60</v>
      </c>
      <c r="K52" s="499">
        <v>-5.2</v>
      </c>
      <c r="L52" s="499">
        <v>-4.2</v>
      </c>
      <c r="M52" s="532"/>
      <c r="N52" s="526">
        <f t="shared" si="13"/>
        <v>0.5</v>
      </c>
      <c r="P52" s="739">
        <v>4</v>
      </c>
      <c r="Q52" s="498">
        <v>900</v>
      </c>
      <c r="R52" s="499" t="s">
        <v>213</v>
      </c>
      <c r="S52" s="499" t="s">
        <v>213</v>
      </c>
      <c r="T52" s="495">
        <v>9.9999999999999995E-7</v>
      </c>
      <c r="U52" s="526">
        <f t="shared" si="14"/>
        <v>0</v>
      </c>
    </row>
    <row r="53" spans="1:24">
      <c r="A53" s="1370"/>
      <c r="B53" s="739">
        <v>5</v>
      </c>
      <c r="C53" s="498">
        <v>35</v>
      </c>
      <c r="D53" s="499">
        <v>0.7</v>
      </c>
      <c r="E53" s="499">
        <v>9.9999999999999995E-7</v>
      </c>
      <c r="F53" s="532"/>
      <c r="G53" s="526">
        <f t="shared" si="12"/>
        <v>0.34999949999999996</v>
      </c>
      <c r="I53" s="739">
        <v>5</v>
      </c>
      <c r="J53" s="498">
        <v>70</v>
      </c>
      <c r="K53" s="499">
        <v>-4.0999999999999996</v>
      </c>
      <c r="L53" s="499">
        <v>-2.1</v>
      </c>
      <c r="M53" s="532"/>
      <c r="N53" s="526">
        <f t="shared" si="13"/>
        <v>0.99999999999999978</v>
      </c>
      <c r="P53" s="739">
        <v>5</v>
      </c>
      <c r="Q53" s="498">
        <v>1000</v>
      </c>
      <c r="R53" s="499" t="s">
        <v>213</v>
      </c>
      <c r="S53" s="499" t="s">
        <v>213</v>
      </c>
      <c r="T53" s="495">
        <v>9.9999999999999995E-7</v>
      </c>
      <c r="U53" s="526">
        <f t="shared" si="14"/>
        <v>0</v>
      </c>
    </row>
    <row r="54" spans="1:24">
      <c r="A54" s="1370"/>
      <c r="B54" s="739">
        <v>6</v>
      </c>
      <c r="C54" s="498">
        <v>37</v>
      </c>
      <c r="D54" s="499">
        <v>0.7</v>
      </c>
      <c r="E54" s="499">
        <v>9.9999999999999995E-7</v>
      </c>
      <c r="F54" s="532"/>
      <c r="G54" s="526">
        <f t="shared" si="12"/>
        <v>0.34999949999999996</v>
      </c>
      <c r="I54" s="739">
        <v>6</v>
      </c>
      <c r="J54" s="498">
        <v>80</v>
      </c>
      <c r="K54" s="499">
        <v>-3</v>
      </c>
      <c r="L54" s="499">
        <v>0.2</v>
      </c>
      <c r="M54" s="532"/>
      <c r="N54" s="526">
        <f t="shared" si="13"/>
        <v>1.6</v>
      </c>
      <c r="P54" s="739">
        <v>6</v>
      </c>
      <c r="Q54" s="498">
        <v>1005</v>
      </c>
      <c r="R54" s="499" t="s">
        <v>213</v>
      </c>
      <c r="S54" s="499" t="s">
        <v>213</v>
      </c>
      <c r="T54" s="495">
        <v>9.9999999999999995E-7</v>
      </c>
      <c r="U54" s="526">
        <f t="shared" si="14"/>
        <v>0</v>
      </c>
    </row>
    <row r="55" spans="1:24" ht="13.8" thickBot="1">
      <c r="A55" s="1371"/>
      <c r="B55" s="739">
        <v>7</v>
      </c>
      <c r="C55" s="498">
        <v>40</v>
      </c>
      <c r="D55" s="499">
        <v>0.7</v>
      </c>
      <c r="E55" s="499">
        <v>-0.1</v>
      </c>
      <c r="F55" s="532"/>
      <c r="G55" s="526">
        <f t="shared" si="12"/>
        <v>0.39999999999999997</v>
      </c>
      <c r="I55" s="739">
        <v>7</v>
      </c>
      <c r="J55" s="498">
        <v>90</v>
      </c>
      <c r="K55" s="499">
        <v>-1.8</v>
      </c>
      <c r="L55" s="499">
        <v>2.7</v>
      </c>
      <c r="M55" s="532"/>
      <c r="N55" s="526">
        <f t="shared" si="13"/>
        <v>2.25</v>
      </c>
      <c r="P55" s="739">
        <v>7</v>
      </c>
      <c r="Q55" s="498">
        <v>1020</v>
      </c>
      <c r="R55" s="499" t="s">
        <v>213</v>
      </c>
      <c r="S55" s="499" t="s">
        <v>213</v>
      </c>
      <c r="T55" s="495">
        <v>9.9999999999999995E-7</v>
      </c>
      <c r="U55" s="526">
        <f t="shared" si="14"/>
        <v>0</v>
      </c>
    </row>
    <row r="56" spans="1:24" ht="13.8" thickBot="1">
      <c r="A56" s="534"/>
      <c r="B56" s="437"/>
      <c r="C56" s="437"/>
      <c r="D56" s="437"/>
      <c r="E56" s="535"/>
      <c r="F56" s="536"/>
      <c r="G56" s="501"/>
      <c r="H56" s="437"/>
      <c r="I56" s="437"/>
      <c r="J56" s="437"/>
      <c r="K56" s="535"/>
      <c r="L56" s="536"/>
      <c r="O56" s="531"/>
      <c r="P56" s="500"/>
    </row>
    <row r="57" spans="1:24">
      <c r="A57" s="1354">
        <v>6</v>
      </c>
      <c r="B57" s="1358" t="s">
        <v>266</v>
      </c>
      <c r="C57" s="1358"/>
      <c r="D57" s="1358"/>
      <c r="E57" s="1358"/>
      <c r="F57" s="1358"/>
      <c r="G57" s="1358"/>
      <c r="I57" s="1358" t="str">
        <f>B57</f>
        <v>KOREKSI GREISINGER 34903046</v>
      </c>
      <c r="J57" s="1358"/>
      <c r="K57" s="1358"/>
      <c r="L57" s="1358"/>
      <c r="M57" s="1358"/>
      <c r="N57" s="1358"/>
      <c r="P57" s="1358" t="str">
        <f>I57</f>
        <v>KOREKSI GREISINGER 34903046</v>
      </c>
      <c r="Q57" s="1358"/>
      <c r="R57" s="1358"/>
      <c r="S57" s="1358"/>
      <c r="T57" s="1358"/>
      <c r="U57" s="1358"/>
      <c r="W57" s="1363" t="s">
        <v>237</v>
      </c>
      <c r="X57" s="1364"/>
    </row>
    <row r="58" spans="1:24">
      <c r="A58" s="1354"/>
      <c r="B58" s="1365" t="s">
        <v>258</v>
      </c>
      <c r="C58" s="1365"/>
      <c r="D58" s="1365" t="s">
        <v>259</v>
      </c>
      <c r="E58" s="1365"/>
      <c r="F58" s="1365"/>
      <c r="G58" s="1365" t="s">
        <v>215</v>
      </c>
      <c r="I58" s="1365" t="s">
        <v>260</v>
      </c>
      <c r="J58" s="1365"/>
      <c r="K58" s="1365" t="s">
        <v>259</v>
      </c>
      <c r="L58" s="1365"/>
      <c r="M58" s="1365"/>
      <c r="N58" s="1365" t="s">
        <v>215</v>
      </c>
      <c r="P58" s="1365" t="s">
        <v>488</v>
      </c>
      <c r="Q58" s="1365"/>
      <c r="R58" s="1366" t="s">
        <v>259</v>
      </c>
      <c r="S58" s="1367"/>
      <c r="T58" s="1368"/>
      <c r="U58" s="1365" t="s">
        <v>215</v>
      </c>
      <c r="W58" s="522" t="s">
        <v>258</v>
      </c>
      <c r="X58" s="523">
        <v>0.8</v>
      </c>
    </row>
    <row r="59" spans="1:24" ht="14.4">
      <c r="A59" s="1354"/>
      <c r="B59" s="1353" t="s">
        <v>261</v>
      </c>
      <c r="C59" s="1353"/>
      <c r="D59" s="524">
        <v>2019</v>
      </c>
      <c r="E59" s="524">
        <v>2018</v>
      </c>
      <c r="F59" s="524">
        <v>2016</v>
      </c>
      <c r="G59" s="1365"/>
      <c r="I59" s="1352" t="s">
        <v>14</v>
      </c>
      <c r="J59" s="1353"/>
      <c r="K59" s="524">
        <f>D59</f>
        <v>2019</v>
      </c>
      <c r="L59" s="524">
        <f>E59</f>
        <v>2018</v>
      </c>
      <c r="M59" s="524">
        <v>2016</v>
      </c>
      <c r="N59" s="1365"/>
      <c r="P59" s="1352" t="s">
        <v>489</v>
      </c>
      <c r="Q59" s="1353"/>
      <c r="R59" s="524">
        <f>K59</f>
        <v>2019</v>
      </c>
      <c r="S59" s="524">
        <f>L59</f>
        <v>2018</v>
      </c>
      <c r="T59" s="524">
        <v>2016</v>
      </c>
      <c r="U59" s="1365"/>
      <c r="W59" s="522" t="s">
        <v>14</v>
      </c>
      <c r="X59" s="523">
        <v>2.6</v>
      </c>
    </row>
    <row r="60" spans="1:24" ht="13.8" thickBot="1">
      <c r="A60" s="1354"/>
      <c r="B60" s="739">
        <v>1</v>
      </c>
      <c r="C60" s="495">
        <v>15</v>
      </c>
      <c r="D60" s="495">
        <v>0.4</v>
      </c>
      <c r="E60" s="495">
        <v>0.4</v>
      </c>
      <c r="F60" s="532"/>
      <c r="G60" s="526">
        <f>0.5*(MAX(D60:F60)-MIN(D60:F60))</f>
        <v>0</v>
      </c>
      <c r="I60" s="739">
        <v>1</v>
      </c>
      <c r="J60" s="495">
        <v>30</v>
      </c>
      <c r="K60" s="495">
        <v>-1.5</v>
      </c>
      <c r="L60" s="495">
        <v>1.7</v>
      </c>
      <c r="M60" s="532"/>
      <c r="N60" s="526">
        <f>0.5*(MAX(K60:M60)-MIN(K60:M60))</f>
        <v>1.6</v>
      </c>
      <c r="P60" s="739">
        <v>1</v>
      </c>
      <c r="Q60" s="495">
        <v>750</v>
      </c>
      <c r="R60" s="495">
        <v>0.9</v>
      </c>
      <c r="S60" s="495">
        <v>2.1</v>
      </c>
      <c r="T60" s="495">
        <v>9.9999999999999995E-7</v>
      </c>
      <c r="U60" s="526">
        <f>0.5*(MAX(R60:T60)-MIN(R60:T60))</f>
        <v>1.0499995</v>
      </c>
      <c r="W60" s="529" t="s">
        <v>489</v>
      </c>
      <c r="X60" s="493">
        <v>1.6</v>
      </c>
    </row>
    <row r="61" spans="1:24">
      <c r="A61" s="1354"/>
      <c r="B61" s="739">
        <v>2</v>
      </c>
      <c r="C61" s="495">
        <v>20</v>
      </c>
      <c r="D61" s="495">
        <v>0.3</v>
      </c>
      <c r="E61" s="495">
        <v>0.2</v>
      </c>
      <c r="F61" s="532"/>
      <c r="G61" s="526">
        <f t="shared" ref="G61:G66" si="15">0.5*(MAX(D61:F61)-MIN(D61:F61))</f>
        <v>4.9999999999999989E-2</v>
      </c>
      <c r="I61" s="739">
        <v>2</v>
      </c>
      <c r="J61" s="495">
        <v>40</v>
      </c>
      <c r="K61" s="495">
        <v>-3.8</v>
      </c>
      <c r="L61" s="495">
        <v>1.5</v>
      </c>
      <c r="M61" s="532"/>
      <c r="N61" s="526">
        <f t="shared" ref="N61:N66" si="16">0.5*(MAX(K61:M61)-MIN(K61:M61))</f>
        <v>2.65</v>
      </c>
      <c r="P61" s="739">
        <v>2</v>
      </c>
      <c r="Q61" s="495">
        <v>800</v>
      </c>
      <c r="R61" s="495">
        <v>0.9</v>
      </c>
      <c r="S61" s="495">
        <v>1.6</v>
      </c>
      <c r="T61" s="495">
        <v>9.9999999999999995E-7</v>
      </c>
      <c r="U61" s="526">
        <f t="shared" ref="U61:U66" si="17">0.5*(MAX(R61:T61)-MIN(R61:T61))</f>
        <v>0.79999950000000009</v>
      </c>
    </row>
    <row r="62" spans="1:24">
      <c r="A62" s="1354"/>
      <c r="B62" s="739">
        <v>3</v>
      </c>
      <c r="C62" s="495">
        <v>25</v>
      </c>
      <c r="D62" s="495">
        <v>0.2</v>
      </c>
      <c r="E62" s="495">
        <v>-0.1</v>
      </c>
      <c r="F62" s="532"/>
      <c r="G62" s="526">
        <f t="shared" si="15"/>
        <v>0.15000000000000002</v>
      </c>
      <c r="I62" s="739">
        <v>3</v>
      </c>
      <c r="J62" s="495">
        <v>50</v>
      </c>
      <c r="K62" s="495">
        <v>-5.4</v>
      </c>
      <c r="L62" s="495">
        <v>1.2</v>
      </c>
      <c r="M62" s="532"/>
      <c r="N62" s="526">
        <f t="shared" si="16"/>
        <v>3.3000000000000003</v>
      </c>
      <c r="P62" s="739">
        <v>3</v>
      </c>
      <c r="Q62" s="495">
        <v>850</v>
      </c>
      <c r="R62" s="495">
        <v>0.9</v>
      </c>
      <c r="S62" s="495">
        <v>1.1000000000000001</v>
      </c>
      <c r="T62" s="495">
        <v>9.9999999999999995E-7</v>
      </c>
      <c r="U62" s="526">
        <f t="shared" si="17"/>
        <v>0.54999950000000009</v>
      </c>
    </row>
    <row r="63" spans="1:24">
      <c r="A63" s="1354"/>
      <c r="B63" s="739">
        <v>4</v>
      </c>
      <c r="C63" s="498">
        <v>30</v>
      </c>
      <c r="D63" s="498">
        <v>0.1</v>
      </c>
      <c r="E63" s="498">
        <v>-0.5</v>
      </c>
      <c r="F63" s="532"/>
      <c r="G63" s="526">
        <f t="shared" si="15"/>
        <v>0.3</v>
      </c>
      <c r="I63" s="739">
        <v>4</v>
      </c>
      <c r="J63" s="498">
        <v>60</v>
      </c>
      <c r="K63" s="498">
        <v>-6.4</v>
      </c>
      <c r="L63" s="498">
        <v>1.1000000000000001</v>
      </c>
      <c r="M63" s="532"/>
      <c r="N63" s="526">
        <f t="shared" si="16"/>
        <v>3.75</v>
      </c>
      <c r="P63" s="739">
        <v>4</v>
      </c>
      <c r="Q63" s="498">
        <v>900</v>
      </c>
      <c r="R63" s="498">
        <v>0.9</v>
      </c>
      <c r="S63" s="498">
        <v>0.7</v>
      </c>
      <c r="T63" s="495">
        <v>9.9999999999999995E-7</v>
      </c>
      <c r="U63" s="526">
        <f t="shared" si="17"/>
        <v>0.4499995</v>
      </c>
    </row>
    <row r="64" spans="1:24">
      <c r="A64" s="1354"/>
      <c r="B64" s="739">
        <v>5</v>
      </c>
      <c r="C64" s="498">
        <v>35</v>
      </c>
      <c r="D64" s="498">
        <v>0.1</v>
      </c>
      <c r="E64" s="498">
        <v>-0.9</v>
      </c>
      <c r="F64" s="532"/>
      <c r="G64" s="526">
        <f t="shared" si="15"/>
        <v>0.5</v>
      </c>
      <c r="I64" s="739">
        <v>5</v>
      </c>
      <c r="J64" s="498">
        <v>70</v>
      </c>
      <c r="K64" s="498">
        <v>-6.7</v>
      </c>
      <c r="L64" s="498">
        <v>0.9</v>
      </c>
      <c r="M64" s="532"/>
      <c r="N64" s="526">
        <f t="shared" si="16"/>
        <v>3.8000000000000003</v>
      </c>
      <c r="P64" s="739">
        <v>5</v>
      </c>
      <c r="Q64" s="498">
        <v>1000</v>
      </c>
      <c r="R64" s="498">
        <v>0.9</v>
      </c>
      <c r="S64" s="498">
        <v>-0.3</v>
      </c>
      <c r="T64" s="495">
        <v>9.9999999999999995E-7</v>
      </c>
      <c r="U64" s="526">
        <f t="shared" si="17"/>
        <v>0.6</v>
      </c>
    </row>
    <row r="65" spans="1:24">
      <c r="A65" s="1354"/>
      <c r="B65" s="739">
        <v>6</v>
      </c>
      <c r="C65" s="498">
        <v>37</v>
      </c>
      <c r="D65" s="498">
        <v>0.1</v>
      </c>
      <c r="E65" s="498">
        <v>-1.1000000000000001</v>
      </c>
      <c r="F65" s="532"/>
      <c r="G65" s="526">
        <f t="shared" si="15"/>
        <v>0.60000000000000009</v>
      </c>
      <c r="I65" s="739">
        <v>6</v>
      </c>
      <c r="J65" s="498">
        <v>80</v>
      </c>
      <c r="K65" s="498">
        <v>-6.3</v>
      </c>
      <c r="L65" s="498">
        <v>0.8</v>
      </c>
      <c r="M65" s="532"/>
      <c r="N65" s="526">
        <f t="shared" si="16"/>
        <v>3.55</v>
      </c>
      <c r="P65" s="739">
        <v>6</v>
      </c>
      <c r="Q65" s="498">
        <v>1005</v>
      </c>
      <c r="R65" s="498">
        <v>0.9</v>
      </c>
      <c r="S65" s="498">
        <v>-0.3</v>
      </c>
      <c r="T65" s="495">
        <v>9.9999999999999995E-7</v>
      </c>
      <c r="U65" s="526">
        <f t="shared" si="17"/>
        <v>0.6</v>
      </c>
    </row>
    <row r="66" spans="1:24">
      <c r="A66" s="1354"/>
      <c r="B66" s="739">
        <v>7</v>
      </c>
      <c r="C66" s="498">
        <v>40</v>
      </c>
      <c r="D66" s="498">
        <v>0.1</v>
      </c>
      <c r="E66" s="498">
        <v>-1.4</v>
      </c>
      <c r="F66" s="532"/>
      <c r="G66" s="526">
        <f t="shared" si="15"/>
        <v>0.75</v>
      </c>
      <c r="I66" s="739">
        <v>7</v>
      </c>
      <c r="J66" s="498">
        <v>90</v>
      </c>
      <c r="K66" s="498">
        <v>-5.2</v>
      </c>
      <c r="L66" s="498">
        <v>0.7</v>
      </c>
      <c r="M66" s="532"/>
      <c r="N66" s="526">
        <f t="shared" si="16"/>
        <v>2.95</v>
      </c>
      <c r="P66" s="739">
        <v>7</v>
      </c>
      <c r="Q66" s="498">
        <v>1020</v>
      </c>
      <c r="R66" s="498">
        <v>0.9</v>
      </c>
      <c r="S66" s="498">
        <v>9.9999999999999995E-7</v>
      </c>
      <c r="T66" s="495">
        <v>9.9999999999999995E-7</v>
      </c>
      <c r="U66" s="526">
        <f t="shared" si="17"/>
        <v>0.4499995</v>
      </c>
    </row>
    <row r="67" spans="1:24" ht="13.8" thickBot="1">
      <c r="A67" s="534"/>
      <c r="B67" s="437"/>
      <c r="C67" s="437"/>
      <c r="D67" s="437"/>
      <c r="E67" s="535"/>
      <c r="F67" s="536"/>
      <c r="G67" s="501"/>
      <c r="I67" s="437"/>
      <c r="J67" s="437"/>
      <c r="K67" s="437"/>
      <c r="L67" s="535"/>
      <c r="M67" s="536"/>
      <c r="R67" s="500"/>
    </row>
    <row r="68" spans="1:24">
      <c r="A68" s="1354">
        <v>7</v>
      </c>
      <c r="B68" s="1358" t="s">
        <v>267</v>
      </c>
      <c r="C68" s="1358"/>
      <c r="D68" s="1358"/>
      <c r="E68" s="1358"/>
      <c r="F68" s="1358"/>
      <c r="G68" s="1358"/>
      <c r="I68" s="1358" t="str">
        <f>B68</f>
        <v>KOREKSI GREISINGER 34903053</v>
      </c>
      <c r="J68" s="1358"/>
      <c r="K68" s="1358"/>
      <c r="L68" s="1358"/>
      <c r="M68" s="1358"/>
      <c r="N68" s="1358"/>
      <c r="P68" s="1358" t="str">
        <f>I68</f>
        <v>KOREKSI GREISINGER 34903053</v>
      </c>
      <c r="Q68" s="1358"/>
      <c r="R68" s="1358"/>
      <c r="S68" s="1358"/>
      <c r="T68" s="1358"/>
      <c r="U68" s="1358"/>
      <c r="W68" s="1363" t="s">
        <v>237</v>
      </c>
      <c r="X68" s="1364"/>
    </row>
    <row r="69" spans="1:24">
      <c r="A69" s="1354"/>
      <c r="B69" s="1365" t="s">
        <v>258</v>
      </c>
      <c r="C69" s="1365"/>
      <c r="D69" s="1365" t="s">
        <v>259</v>
      </c>
      <c r="E69" s="1365"/>
      <c r="F69" s="1365"/>
      <c r="G69" s="1365" t="s">
        <v>215</v>
      </c>
      <c r="I69" s="1365" t="s">
        <v>260</v>
      </c>
      <c r="J69" s="1365"/>
      <c r="K69" s="1365" t="s">
        <v>259</v>
      </c>
      <c r="L69" s="1365"/>
      <c r="M69" s="1365"/>
      <c r="N69" s="1365" t="s">
        <v>215</v>
      </c>
      <c r="P69" s="1365" t="s">
        <v>488</v>
      </c>
      <c r="Q69" s="1365"/>
      <c r="R69" s="1365" t="s">
        <v>259</v>
      </c>
      <c r="S69" s="1365"/>
      <c r="T69" s="1365"/>
      <c r="U69" s="1365" t="s">
        <v>215</v>
      </c>
      <c r="W69" s="522" t="s">
        <v>258</v>
      </c>
      <c r="X69" s="523">
        <v>0.2</v>
      </c>
    </row>
    <row r="70" spans="1:24" ht="14.4">
      <c r="A70" s="1354"/>
      <c r="B70" s="1353" t="s">
        <v>261</v>
      </c>
      <c r="C70" s="1353"/>
      <c r="D70" s="524">
        <v>2021</v>
      </c>
      <c r="E70" s="524">
        <v>2018</v>
      </c>
      <c r="F70" s="524">
        <v>2016</v>
      </c>
      <c r="G70" s="1365"/>
      <c r="I70" s="1352" t="s">
        <v>14</v>
      </c>
      <c r="J70" s="1353"/>
      <c r="K70" s="524">
        <f>D70</f>
        <v>2021</v>
      </c>
      <c r="L70" s="524">
        <f>E70</f>
        <v>2018</v>
      </c>
      <c r="M70" s="524">
        <v>2016</v>
      </c>
      <c r="N70" s="1365"/>
      <c r="P70" s="1352" t="s">
        <v>489</v>
      </c>
      <c r="Q70" s="1353"/>
      <c r="R70" s="524">
        <f>K70</f>
        <v>2021</v>
      </c>
      <c r="S70" s="524">
        <f>L70</f>
        <v>2018</v>
      </c>
      <c r="T70" s="524">
        <v>2016</v>
      </c>
      <c r="U70" s="1365"/>
      <c r="W70" s="522" t="s">
        <v>14</v>
      </c>
      <c r="X70" s="523">
        <v>2.4</v>
      </c>
    </row>
    <row r="71" spans="1:24" ht="13.8" thickBot="1">
      <c r="A71" s="1354"/>
      <c r="B71" s="739">
        <v>1</v>
      </c>
      <c r="C71" s="495">
        <v>15</v>
      </c>
      <c r="D71" s="495">
        <v>0.1</v>
      </c>
      <c r="E71" s="495">
        <v>0.3</v>
      </c>
      <c r="F71" s="532"/>
      <c r="G71" s="526">
        <f>0.5*(MAX(D71:F71)-MIN(D71:F71))</f>
        <v>9.9999999999999992E-2</v>
      </c>
      <c r="I71" s="739">
        <v>1</v>
      </c>
      <c r="J71" s="495">
        <v>30</v>
      </c>
      <c r="K71" s="495">
        <v>-1.9</v>
      </c>
      <c r="L71" s="495">
        <v>1.8</v>
      </c>
      <c r="M71" s="532"/>
      <c r="N71" s="526">
        <f>0.5*(MAX(K71:M71)-MIN(K71:M71))</f>
        <v>1.85</v>
      </c>
      <c r="P71" s="739">
        <v>1</v>
      </c>
      <c r="Q71" s="495">
        <v>750</v>
      </c>
      <c r="R71" s="495">
        <v>9.9999999999999995E-7</v>
      </c>
      <c r="S71" s="495">
        <v>3.2</v>
      </c>
      <c r="T71" s="495">
        <v>9.9999999999999995E-7</v>
      </c>
      <c r="U71" s="526">
        <f>0.5*(MAX(R71:T71)-MIN(R71:T71))</f>
        <v>1.5999995</v>
      </c>
      <c r="W71" s="529" t="s">
        <v>489</v>
      </c>
      <c r="X71" s="493">
        <v>2.4</v>
      </c>
    </row>
    <row r="72" spans="1:24">
      <c r="A72" s="1354"/>
      <c r="B72" s="739">
        <v>2</v>
      </c>
      <c r="C72" s="495">
        <v>20</v>
      </c>
      <c r="D72" s="495">
        <v>9.9999999999999995E-7</v>
      </c>
      <c r="E72" s="495">
        <v>0.1</v>
      </c>
      <c r="F72" s="532"/>
      <c r="G72" s="526">
        <f t="shared" ref="G72:G77" si="18">0.5*(MAX(D72:F72)-MIN(D72:F72))</f>
        <v>4.9999500000000002E-2</v>
      </c>
      <c r="I72" s="739">
        <v>2</v>
      </c>
      <c r="J72" s="495">
        <v>40</v>
      </c>
      <c r="K72" s="495">
        <v>-1.9</v>
      </c>
      <c r="L72" s="495">
        <v>1.2</v>
      </c>
      <c r="M72" s="532"/>
      <c r="N72" s="526">
        <f t="shared" ref="N72:N77" si="19">0.5*(MAX(K72:M72)-MIN(K72:M72))</f>
        <v>1.5499999999999998</v>
      </c>
      <c r="P72" s="739">
        <v>2</v>
      </c>
      <c r="Q72" s="495">
        <v>800</v>
      </c>
      <c r="R72" s="495">
        <v>9.9999999999999995E-7</v>
      </c>
      <c r="S72" s="495">
        <v>2.5</v>
      </c>
      <c r="T72" s="495">
        <v>9.9999999999999995E-7</v>
      </c>
      <c r="U72" s="526">
        <f t="shared" ref="U72:U77" si="20">0.5*(MAX(R72:T72)-MIN(R72:T72))</f>
        <v>1.2499994999999999</v>
      </c>
    </row>
    <row r="73" spans="1:24">
      <c r="A73" s="1354"/>
      <c r="B73" s="739">
        <v>3</v>
      </c>
      <c r="C73" s="495">
        <v>25</v>
      </c>
      <c r="D73" s="495">
        <v>9.9999999999999995E-7</v>
      </c>
      <c r="E73" s="495">
        <v>-0.2</v>
      </c>
      <c r="F73" s="532"/>
      <c r="G73" s="526">
        <f t="shared" si="18"/>
        <v>0.10000050000000001</v>
      </c>
      <c r="I73" s="739">
        <v>3</v>
      </c>
      <c r="J73" s="495">
        <v>50</v>
      </c>
      <c r="K73" s="495">
        <v>-1.9</v>
      </c>
      <c r="L73" s="495">
        <v>0.8</v>
      </c>
      <c r="M73" s="532"/>
      <c r="N73" s="526">
        <f t="shared" si="19"/>
        <v>1.35</v>
      </c>
      <c r="P73" s="739">
        <v>3</v>
      </c>
      <c r="Q73" s="495">
        <v>850</v>
      </c>
      <c r="R73" s="495">
        <v>9.9999999999999995E-7</v>
      </c>
      <c r="S73" s="495">
        <v>1.7</v>
      </c>
      <c r="T73" s="495">
        <v>9.9999999999999995E-7</v>
      </c>
      <c r="U73" s="526">
        <f t="shared" si="20"/>
        <v>0.84999950000000002</v>
      </c>
    </row>
    <row r="74" spans="1:24">
      <c r="A74" s="1354"/>
      <c r="B74" s="739">
        <v>4</v>
      </c>
      <c r="C74" s="498">
        <v>30</v>
      </c>
      <c r="D74" s="495">
        <v>9.9999999999999995E-7</v>
      </c>
      <c r="E74" s="498">
        <v>-0.6</v>
      </c>
      <c r="F74" s="532"/>
      <c r="G74" s="526">
        <f t="shared" si="18"/>
        <v>0.3000005</v>
      </c>
      <c r="I74" s="739">
        <v>4</v>
      </c>
      <c r="J74" s="498">
        <v>60</v>
      </c>
      <c r="K74" s="498">
        <v>-2.1</v>
      </c>
      <c r="L74" s="498">
        <v>0.7</v>
      </c>
      <c r="M74" s="532"/>
      <c r="N74" s="526">
        <f t="shared" si="19"/>
        <v>1.4</v>
      </c>
      <c r="P74" s="739">
        <v>4</v>
      </c>
      <c r="Q74" s="498">
        <v>900</v>
      </c>
      <c r="R74" s="495">
        <v>9.9999999999999995E-7</v>
      </c>
      <c r="S74" s="498">
        <v>1</v>
      </c>
      <c r="T74" s="495">
        <v>9.9999999999999995E-7</v>
      </c>
      <c r="U74" s="526">
        <f t="shared" si="20"/>
        <v>0.49999949999999999</v>
      </c>
    </row>
    <row r="75" spans="1:24">
      <c r="A75" s="1354"/>
      <c r="B75" s="739">
        <v>5</v>
      </c>
      <c r="C75" s="498">
        <v>35</v>
      </c>
      <c r="D75" s="495">
        <v>9.9999999999999995E-7</v>
      </c>
      <c r="E75" s="498">
        <v>-1.1000000000000001</v>
      </c>
      <c r="F75" s="532"/>
      <c r="G75" s="526">
        <f t="shared" si="18"/>
        <v>0.5500005</v>
      </c>
      <c r="I75" s="739">
        <v>5</v>
      </c>
      <c r="J75" s="498">
        <v>70</v>
      </c>
      <c r="K75" s="498">
        <v>-2.2999999999999998</v>
      </c>
      <c r="L75" s="498">
        <v>0.9</v>
      </c>
      <c r="M75" s="532"/>
      <c r="N75" s="526">
        <f t="shared" si="19"/>
        <v>1.5999999999999999</v>
      </c>
      <c r="P75" s="739">
        <v>5</v>
      </c>
      <c r="Q75" s="498">
        <v>1000</v>
      </c>
      <c r="R75" s="498">
        <v>-3.9</v>
      </c>
      <c r="S75" s="498">
        <v>-0.4</v>
      </c>
      <c r="T75" s="495">
        <v>9.9999999999999995E-7</v>
      </c>
      <c r="U75" s="526">
        <f t="shared" si="20"/>
        <v>1.9500005</v>
      </c>
    </row>
    <row r="76" spans="1:24">
      <c r="A76" s="1354"/>
      <c r="B76" s="739">
        <v>6</v>
      </c>
      <c r="C76" s="498">
        <v>37</v>
      </c>
      <c r="D76" s="495">
        <v>9.9999999999999995E-7</v>
      </c>
      <c r="E76" s="498">
        <v>-1.4</v>
      </c>
      <c r="F76" s="532"/>
      <c r="G76" s="526">
        <f t="shared" si="18"/>
        <v>0.70000049999999991</v>
      </c>
      <c r="I76" s="739">
        <v>6</v>
      </c>
      <c r="J76" s="498">
        <v>80</v>
      </c>
      <c r="K76" s="498">
        <v>-2.6</v>
      </c>
      <c r="L76" s="498">
        <v>1.2</v>
      </c>
      <c r="M76" s="532"/>
      <c r="N76" s="526">
        <f t="shared" si="19"/>
        <v>1.9</v>
      </c>
      <c r="P76" s="739">
        <v>6</v>
      </c>
      <c r="Q76" s="498">
        <v>1005</v>
      </c>
      <c r="R76" s="498">
        <v>-3.8</v>
      </c>
      <c r="S76" s="498">
        <v>-0.5</v>
      </c>
      <c r="T76" s="495">
        <v>9.9999999999999995E-7</v>
      </c>
      <c r="U76" s="526">
        <f t="shared" si="20"/>
        <v>1.9000005</v>
      </c>
    </row>
    <row r="77" spans="1:24" ht="13.8" thickBot="1">
      <c r="A77" s="1354"/>
      <c r="B77" s="739">
        <v>7</v>
      </c>
      <c r="C77" s="498">
        <v>40</v>
      </c>
      <c r="D77" s="498">
        <v>0.1</v>
      </c>
      <c r="E77" s="498">
        <v>-1.7</v>
      </c>
      <c r="F77" s="532"/>
      <c r="G77" s="526">
        <f t="shared" si="18"/>
        <v>0.9</v>
      </c>
      <c r="I77" s="739">
        <v>7</v>
      </c>
      <c r="J77" s="498">
        <v>90</v>
      </c>
      <c r="K77" s="498">
        <v>-3</v>
      </c>
      <c r="L77" s="498">
        <v>1.8</v>
      </c>
      <c r="M77" s="532"/>
      <c r="N77" s="526">
        <f t="shared" si="19"/>
        <v>2.4</v>
      </c>
      <c r="P77" s="739">
        <v>7</v>
      </c>
      <c r="Q77" s="498">
        <v>1020</v>
      </c>
      <c r="R77" s="498">
        <v>-3.8</v>
      </c>
      <c r="S77" s="498">
        <v>9.9999999999999995E-7</v>
      </c>
      <c r="T77" s="495">
        <v>9.9999999999999995E-7</v>
      </c>
      <c r="U77" s="526">
        <f t="shared" si="20"/>
        <v>1.9000005</v>
      </c>
    </row>
    <row r="78" spans="1:24" ht="13.8" thickBot="1">
      <c r="A78" s="534"/>
      <c r="B78" s="437"/>
      <c r="C78" s="437"/>
      <c r="D78" s="437"/>
      <c r="E78" s="535"/>
      <c r="F78" s="536"/>
      <c r="G78" s="501"/>
      <c r="H78" s="437"/>
      <c r="I78" s="437"/>
      <c r="J78" s="437"/>
      <c r="K78" s="535"/>
      <c r="L78" s="536"/>
      <c r="O78" s="531"/>
      <c r="P78" s="500"/>
    </row>
    <row r="79" spans="1:24">
      <c r="A79" s="1354">
        <v>8</v>
      </c>
      <c r="B79" s="1358" t="s">
        <v>268</v>
      </c>
      <c r="C79" s="1358"/>
      <c r="D79" s="1358"/>
      <c r="E79" s="1358"/>
      <c r="F79" s="1358"/>
      <c r="G79" s="1358"/>
      <c r="I79" s="1358" t="str">
        <f>B79</f>
        <v>KOREKSI GREISINGER 34903051</v>
      </c>
      <c r="J79" s="1358"/>
      <c r="K79" s="1358"/>
      <c r="L79" s="1358"/>
      <c r="M79" s="1358"/>
      <c r="N79" s="1358"/>
      <c r="P79" s="1358" t="str">
        <f>I79</f>
        <v>KOREKSI GREISINGER 34903051</v>
      </c>
      <c r="Q79" s="1358"/>
      <c r="R79" s="1358"/>
      <c r="S79" s="1358"/>
      <c r="T79" s="1358"/>
      <c r="U79" s="1358"/>
      <c r="W79" s="1363" t="s">
        <v>237</v>
      </c>
      <c r="X79" s="1364"/>
    </row>
    <row r="80" spans="1:24">
      <c r="A80" s="1354"/>
      <c r="B80" s="1365" t="s">
        <v>258</v>
      </c>
      <c r="C80" s="1365"/>
      <c r="D80" s="1365" t="s">
        <v>259</v>
      </c>
      <c r="E80" s="1365"/>
      <c r="F80" s="1365"/>
      <c r="G80" s="1365" t="s">
        <v>215</v>
      </c>
      <c r="I80" s="1365" t="s">
        <v>260</v>
      </c>
      <c r="J80" s="1365"/>
      <c r="K80" s="1365" t="s">
        <v>259</v>
      </c>
      <c r="L80" s="1365"/>
      <c r="M80" s="1365"/>
      <c r="N80" s="1365" t="s">
        <v>215</v>
      </c>
      <c r="P80" s="1365" t="s">
        <v>488</v>
      </c>
      <c r="Q80" s="1365"/>
      <c r="R80" s="1365" t="s">
        <v>259</v>
      </c>
      <c r="S80" s="1365"/>
      <c r="T80" s="1365"/>
      <c r="U80" s="1365" t="s">
        <v>215</v>
      </c>
      <c r="W80" s="522" t="s">
        <v>258</v>
      </c>
      <c r="X80" s="523">
        <v>0.3</v>
      </c>
    </row>
    <row r="81" spans="1:24" ht="14.4">
      <c r="A81" s="1354"/>
      <c r="B81" s="1353" t="s">
        <v>261</v>
      </c>
      <c r="C81" s="1353"/>
      <c r="D81" s="524">
        <v>2021</v>
      </c>
      <c r="E81" s="524">
        <v>2019</v>
      </c>
      <c r="F81" s="524">
        <v>2016</v>
      </c>
      <c r="G81" s="1365"/>
      <c r="I81" s="1352" t="s">
        <v>14</v>
      </c>
      <c r="J81" s="1353"/>
      <c r="K81" s="524">
        <f>D81</f>
        <v>2021</v>
      </c>
      <c r="L81" s="524">
        <f>E81</f>
        <v>2019</v>
      </c>
      <c r="M81" s="524">
        <v>2016</v>
      </c>
      <c r="N81" s="1365"/>
      <c r="P81" s="1352" t="s">
        <v>489</v>
      </c>
      <c r="Q81" s="1353"/>
      <c r="R81" s="524">
        <f>K81</f>
        <v>2021</v>
      </c>
      <c r="S81" s="524">
        <f>L81</f>
        <v>2019</v>
      </c>
      <c r="T81" s="524">
        <v>2016</v>
      </c>
      <c r="U81" s="1365"/>
      <c r="W81" s="522" t="s">
        <v>14</v>
      </c>
      <c r="X81" s="523">
        <v>2.5</v>
      </c>
    </row>
    <row r="82" spans="1:24" ht="13.8" thickBot="1">
      <c r="A82" s="1354"/>
      <c r="B82" s="739">
        <v>1</v>
      </c>
      <c r="C82" s="495">
        <v>15</v>
      </c>
      <c r="D82" s="495">
        <v>0.1</v>
      </c>
      <c r="E82" s="495">
        <v>9.9999999999999995E-7</v>
      </c>
      <c r="F82" s="532"/>
      <c r="G82" s="526">
        <f>0.5*(MAX(D82:F82)-MIN(D82:F82))</f>
        <v>4.9999500000000002E-2</v>
      </c>
      <c r="I82" s="739">
        <v>1</v>
      </c>
      <c r="J82" s="495">
        <v>30</v>
      </c>
      <c r="K82" s="495">
        <v>-4</v>
      </c>
      <c r="L82" s="495">
        <v>-1.4</v>
      </c>
      <c r="M82" s="532"/>
      <c r="N82" s="526">
        <f>0.5*(MAX(K82:M82)-MIN(K82:M82))</f>
        <v>1.3</v>
      </c>
      <c r="P82" s="739">
        <v>1</v>
      </c>
      <c r="Q82" s="495">
        <v>750</v>
      </c>
      <c r="R82" s="528">
        <v>9.9999999999999995E-7</v>
      </c>
      <c r="S82" s="528">
        <v>9.9999999999999995E-7</v>
      </c>
      <c r="T82" s="495">
        <v>9.9999999999999995E-7</v>
      </c>
      <c r="U82" s="526">
        <f>0.5*(MAX(R82:T82)-MIN(R82:T82))</f>
        <v>0</v>
      </c>
      <c r="W82" s="529" t="s">
        <v>489</v>
      </c>
      <c r="X82" s="493">
        <v>2.1</v>
      </c>
    </row>
    <row r="83" spans="1:24">
      <c r="A83" s="1354"/>
      <c r="B83" s="739">
        <v>2</v>
      </c>
      <c r="C83" s="495">
        <v>20</v>
      </c>
      <c r="D83" s="495">
        <v>9.9999999999999995E-7</v>
      </c>
      <c r="E83" s="495">
        <v>-0.2</v>
      </c>
      <c r="F83" s="532"/>
      <c r="G83" s="526">
        <f t="shared" ref="G83:G88" si="21">0.5*(MAX(D83:F83)-MIN(D83:F83))</f>
        <v>0.10000050000000001</v>
      </c>
      <c r="I83" s="739">
        <v>2</v>
      </c>
      <c r="J83" s="495">
        <v>40</v>
      </c>
      <c r="K83" s="495">
        <v>-3.8</v>
      </c>
      <c r="L83" s="495">
        <v>-1.2</v>
      </c>
      <c r="M83" s="532"/>
      <c r="N83" s="526">
        <f t="shared" ref="N83:N88" si="22">0.5*(MAX(K83:M83)-MIN(K83:M83))</f>
        <v>1.2999999999999998</v>
      </c>
      <c r="P83" s="739">
        <v>2</v>
      </c>
      <c r="Q83" s="495">
        <v>800</v>
      </c>
      <c r="R83" s="528">
        <v>9.9999999999999995E-7</v>
      </c>
      <c r="S83" s="528">
        <v>9.9999999999999995E-7</v>
      </c>
      <c r="T83" s="495">
        <v>9.9999999999999995E-7</v>
      </c>
      <c r="U83" s="526">
        <f t="shared" ref="U83:U88" si="23">0.5*(MAX(R83:T83)-MIN(R83:T83))</f>
        <v>0</v>
      </c>
    </row>
    <row r="84" spans="1:24">
      <c r="A84" s="1354"/>
      <c r="B84" s="739">
        <v>3</v>
      </c>
      <c r="C84" s="495">
        <v>25</v>
      </c>
      <c r="D84" s="495">
        <v>-0.1</v>
      </c>
      <c r="E84" s="495">
        <v>-0.4</v>
      </c>
      <c r="F84" s="532"/>
      <c r="G84" s="526">
        <f t="shared" si="21"/>
        <v>0.15000000000000002</v>
      </c>
      <c r="I84" s="739">
        <v>3</v>
      </c>
      <c r="J84" s="495">
        <v>50</v>
      </c>
      <c r="K84" s="495">
        <v>-3.8</v>
      </c>
      <c r="L84" s="495">
        <v>-1.2</v>
      </c>
      <c r="M84" s="532"/>
      <c r="N84" s="526">
        <f t="shared" si="22"/>
        <v>1.2999999999999998</v>
      </c>
      <c r="P84" s="739">
        <v>3</v>
      </c>
      <c r="Q84" s="495">
        <v>850</v>
      </c>
      <c r="R84" s="528">
        <v>9.9999999999999995E-7</v>
      </c>
      <c r="S84" s="528">
        <v>9.9999999999999995E-7</v>
      </c>
      <c r="T84" s="495">
        <v>9.9999999999999995E-7</v>
      </c>
      <c r="U84" s="526">
        <f t="shared" si="23"/>
        <v>0</v>
      </c>
    </row>
    <row r="85" spans="1:24">
      <c r="A85" s="1354"/>
      <c r="B85" s="739">
        <v>4</v>
      </c>
      <c r="C85" s="498">
        <v>30</v>
      </c>
      <c r="D85" s="495">
        <v>-0.2</v>
      </c>
      <c r="E85" s="495">
        <v>-0.4</v>
      </c>
      <c r="F85" s="532"/>
      <c r="G85" s="526">
        <f t="shared" si="21"/>
        <v>0.1</v>
      </c>
      <c r="I85" s="739">
        <v>4</v>
      </c>
      <c r="J85" s="498">
        <v>60</v>
      </c>
      <c r="K85" s="498">
        <v>-3.9</v>
      </c>
      <c r="L85" s="498">
        <v>-1.1000000000000001</v>
      </c>
      <c r="M85" s="532"/>
      <c r="N85" s="526">
        <f t="shared" si="22"/>
        <v>1.4</v>
      </c>
      <c r="P85" s="739">
        <v>4</v>
      </c>
      <c r="Q85" s="498">
        <v>900</v>
      </c>
      <c r="R85" s="499">
        <v>-4.4000000000000004</v>
      </c>
      <c r="S85" s="528">
        <v>9.9999999999999995E-7</v>
      </c>
      <c r="T85" s="495">
        <v>9.9999999999999995E-7</v>
      </c>
      <c r="U85" s="526">
        <f t="shared" si="23"/>
        <v>2.2000005000000002</v>
      </c>
    </row>
    <row r="86" spans="1:24">
      <c r="A86" s="1354"/>
      <c r="B86" s="739">
        <v>5</v>
      </c>
      <c r="C86" s="498">
        <v>35</v>
      </c>
      <c r="D86" s="498">
        <v>-0.1</v>
      </c>
      <c r="E86" s="498">
        <v>-0.5</v>
      </c>
      <c r="F86" s="532"/>
      <c r="G86" s="526">
        <f t="shared" si="21"/>
        <v>0.2</v>
      </c>
      <c r="I86" s="739">
        <v>5</v>
      </c>
      <c r="J86" s="498">
        <v>70</v>
      </c>
      <c r="K86" s="498">
        <v>-4.0999999999999996</v>
      </c>
      <c r="L86" s="498">
        <v>-1.2</v>
      </c>
      <c r="M86" s="532"/>
      <c r="N86" s="526">
        <f t="shared" si="22"/>
        <v>1.4499999999999997</v>
      </c>
      <c r="P86" s="739">
        <v>5</v>
      </c>
      <c r="Q86" s="498">
        <v>1000</v>
      </c>
      <c r="R86" s="499">
        <v>-3.5</v>
      </c>
      <c r="S86" s="499">
        <v>0.2</v>
      </c>
      <c r="T86" s="495">
        <v>9.9999999999999995E-7</v>
      </c>
      <c r="U86" s="526">
        <f t="shared" si="23"/>
        <v>1.85</v>
      </c>
    </row>
    <row r="87" spans="1:24">
      <c r="A87" s="1354"/>
      <c r="B87" s="739">
        <v>6</v>
      </c>
      <c r="C87" s="498">
        <v>37</v>
      </c>
      <c r="D87" s="498">
        <v>-0.1</v>
      </c>
      <c r="E87" s="498">
        <v>-0.5</v>
      </c>
      <c r="F87" s="532"/>
      <c r="G87" s="526">
        <f t="shared" si="21"/>
        <v>0.2</v>
      </c>
      <c r="I87" s="739">
        <v>6</v>
      </c>
      <c r="J87" s="498">
        <v>80</v>
      </c>
      <c r="K87" s="498">
        <v>-4.5</v>
      </c>
      <c r="L87" s="498">
        <v>-1.2</v>
      </c>
      <c r="M87" s="532"/>
      <c r="N87" s="526">
        <f t="shared" si="22"/>
        <v>1.65</v>
      </c>
      <c r="P87" s="739">
        <v>6</v>
      </c>
      <c r="Q87" s="498">
        <v>1005</v>
      </c>
      <c r="R87" s="499">
        <v>-3.4</v>
      </c>
      <c r="S87" s="499">
        <v>0.2</v>
      </c>
      <c r="T87" s="495">
        <v>9.9999999999999995E-7</v>
      </c>
      <c r="U87" s="526">
        <f t="shared" si="23"/>
        <v>1.8</v>
      </c>
    </row>
    <row r="88" spans="1:24">
      <c r="A88" s="1354"/>
      <c r="B88" s="739">
        <v>7</v>
      </c>
      <c r="C88" s="498">
        <v>40</v>
      </c>
      <c r="D88" s="498">
        <v>9.9999999999999995E-7</v>
      </c>
      <c r="E88" s="498">
        <v>-0.4</v>
      </c>
      <c r="F88" s="532"/>
      <c r="G88" s="526">
        <f t="shared" si="21"/>
        <v>0.2000005</v>
      </c>
      <c r="I88" s="739">
        <v>7</v>
      </c>
      <c r="J88" s="498">
        <v>90</v>
      </c>
      <c r="K88" s="498">
        <v>-4.9000000000000004</v>
      </c>
      <c r="L88" s="498">
        <v>-1.3</v>
      </c>
      <c r="M88" s="532"/>
      <c r="N88" s="526">
        <f t="shared" si="22"/>
        <v>1.8000000000000003</v>
      </c>
      <c r="P88" s="739">
        <v>7</v>
      </c>
      <c r="Q88" s="498">
        <v>1020</v>
      </c>
      <c r="R88" s="499">
        <v>-3.4</v>
      </c>
      <c r="S88" s="499">
        <v>9.9999999999999995E-7</v>
      </c>
      <c r="T88" s="495">
        <v>9.9999999999999995E-7</v>
      </c>
      <c r="U88" s="526">
        <f t="shared" si="23"/>
        <v>1.7000005</v>
      </c>
    </row>
    <row r="89" spans="1:24" ht="13.8" thickBot="1">
      <c r="A89" s="534"/>
      <c r="B89" s="437"/>
      <c r="C89" s="437"/>
      <c r="D89" s="437"/>
      <c r="E89" s="535"/>
      <c r="G89" s="536"/>
      <c r="I89" s="437"/>
      <c r="J89" s="437"/>
      <c r="K89" s="437"/>
      <c r="L89" s="535"/>
      <c r="N89" s="536"/>
      <c r="R89" s="500"/>
    </row>
    <row r="90" spans="1:24">
      <c r="A90" s="1354">
        <v>9</v>
      </c>
      <c r="B90" s="1358" t="s">
        <v>269</v>
      </c>
      <c r="C90" s="1358"/>
      <c r="D90" s="1358"/>
      <c r="E90" s="1358"/>
      <c r="F90" s="1358"/>
      <c r="G90" s="1358"/>
      <c r="I90" s="1358" t="str">
        <f>B90</f>
        <v>KOREKSI GREISINGER 34904091</v>
      </c>
      <c r="J90" s="1358"/>
      <c r="K90" s="1358"/>
      <c r="L90" s="1358"/>
      <c r="M90" s="1358"/>
      <c r="N90" s="1358"/>
      <c r="P90" s="1358" t="str">
        <f>I90</f>
        <v>KOREKSI GREISINGER 34904091</v>
      </c>
      <c r="Q90" s="1358"/>
      <c r="R90" s="1358"/>
      <c r="S90" s="1358"/>
      <c r="T90" s="1358"/>
      <c r="U90" s="1358"/>
      <c r="W90" s="1363" t="s">
        <v>237</v>
      </c>
      <c r="X90" s="1364"/>
    </row>
    <row r="91" spans="1:24">
      <c r="A91" s="1354"/>
      <c r="B91" s="1365" t="s">
        <v>258</v>
      </c>
      <c r="C91" s="1365"/>
      <c r="D91" s="1365" t="s">
        <v>259</v>
      </c>
      <c r="E91" s="1365"/>
      <c r="F91" s="1365"/>
      <c r="G91" s="1365" t="s">
        <v>215</v>
      </c>
      <c r="I91" s="1365" t="s">
        <v>260</v>
      </c>
      <c r="J91" s="1365"/>
      <c r="K91" s="1365" t="s">
        <v>259</v>
      </c>
      <c r="L91" s="1365"/>
      <c r="M91" s="1365"/>
      <c r="N91" s="1365" t="s">
        <v>215</v>
      </c>
      <c r="P91" s="1365" t="s">
        <v>488</v>
      </c>
      <c r="Q91" s="1365"/>
      <c r="R91" s="1365" t="s">
        <v>259</v>
      </c>
      <c r="S91" s="1365"/>
      <c r="T91" s="1365"/>
      <c r="U91" s="1365" t="s">
        <v>215</v>
      </c>
      <c r="W91" s="522" t="s">
        <v>258</v>
      </c>
      <c r="X91" s="523">
        <v>0.3</v>
      </c>
    </row>
    <row r="92" spans="1:24" ht="14.4">
      <c r="A92" s="1354"/>
      <c r="B92" s="1353" t="s">
        <v>261</v>
      </c>
      <c r="C92" s="1353"/>
      <c r="D92" s="524">
        <v>2019</v>
      </c>
      <c r="E92" s="537" t="s">
        <v>213</v>
      </c>
      <c r="F92" s="524">
        <v>2016</v>
      </c>
      <c r="G92" s="1365"/>
      <c r="I92" s="1352" t="s">
        <v>14</v>
      </c>
      <c r="J92" s="1353"/>
      <c r="K92" s="538">
        <f>D92</f>
        <v>2019</v>
      </c>
      <c r="L92" s="538" t="str">
        <f>E92</f>
        <v>-</v>
      </c>
      <c r="M92" s="524">
        <v>2016</v>
      </c>
      <c r="N92" s="1365"/>
      <c r="P92" s="1352" t="s">
        <v>489</v>
      </c>
      <c r="Q92" s="1353"/>
      <c r="R92" s="538">
        <f>K92</f>
        <v>2019</v>
      </c>
      <c r="S92" s="538" t="str">
        <f>L92</f>
        <v>-</v>
      </c>
      <c r="T92" s="524">
        <v>2016</v>
      </c>
      <c r="U92" s="1365"/>
      <c r="W92" s="522" t="s">
        <v>14</v>
      </c>
      <c r="X92" s="523">
        <v>2.4</v>
      </c>
    </row>
    <row r="93" spans="1:24" ht="13.8" thickBot="1">
      <c r="A93" s="1354"/>
      <c r="B93" s="739">
        <v>1</v>
      </c>
      <c r="C93" s="495">
        <v>15</v>
      </c>
      <c r="D93" s="525">
        <v>9.9999999999999995E-7</v>
      </c>
      <c r="E93" s="525" t="s">
        <v>213</v>
      </c>
      <c r="F93" s="532"/>
      <c r="G93" s="526">
        <f>0.5*(MAX(D93:F93)-MIN(D93:F93))</f>
        <v>0</v>
      </c>
      <c r="I93" s="739">
        <v>1</v>
      </c>
      <c r="J93" s="495">
        <v>30</v>
      </c>
      <c r="K93" s="525">
        <v>-1.2</v>
      </c>
      <c r="L93" s="525" t="s">
        <v>213</v>
      </c>
      <c r="M93" s="532"/>
      <c r="N93" s="526">
        <f>0.5*(MAX(K93:M93)-MIN(K93:M93))</f>
        <v>0</v>
      </c>
      <c r="P93" s="739">
        <v>1</v>
      </c>
      <c r="Q93" s="495">
        <v>750</v>
      </c>
      <c r="R93" s="528">
        <v>9.9999999999999995E-7</v>
      </c>
      <c r="S93" s="528" t="s">
        <v>213</v>
      </c>
      <c r="T93" s="495">
        <v>9.9999999999999995E-7</v>
      </c>
      <c r="U93" s="526">
        <f>0.5*(MAX(R93:T93)-MIN(R93:T93))</f>
        <v>0</v>
      </c>
      <c r="W93" s="529" t="s">
        <v>489</v>
      </c>
      <c r="X93" s="493">
        <v>2.2000000000000002</v>
      </c>
    </row>
    <row r="94" spans="1:24">
      <c r="A94" s="1354"/>
      <c r="B94" s="739">
        <v>2</v>
      </c>
      <c r="C94" s="495">
        <v>20</v>
      </c>
      <c r="D94" s="525">
        <v>-0.2</v>
      </c>
      <c r="E94" s="525" t="s">
        <v>213</v>
      </c>
      <c r="F94" s="532"/>
      <c r="G94" s="526">
        <f t="shared" ref="G94:G99" si="24">0.5*(MAX(D94:F94)-MIN(D94:F94))</f>
        <v>0</v>
      </c>
      <c r="I94" s="739">
        <v>2</v>
      </c>
      <c r="J94" s="495">
        <v>40</v>
      </c>
      <c r="K94" s="525">
        <v>-1</v>
      </c>
      <c r="L94" s="525" t="s">
        <v>213</v>
      </c>
      <c r="M94" s="532"/>
      <c r="N94" s="526">
        <f t="shared" ref="N94:N99" si="25">0.5*(MAX(K94:M94)-MIN(K94:M94))</f>
        <v>0</v>
      </c>
      <c r="P94" s="739">
        <v>2</v>
      </c>
      <c r="Q94" s="495">
        <v>800</v>
      </c>
      <c r="R94" s="528">
        <v>9.9999999999999995E-7</v>
      </c>
      <c r="S94" s="528" t="s">
        <v>213</v>
      </c>
      <c r="T94" s="495">
        <v>9.9999999999999995E-7</v>
      </c>
      <c r="U94" s="526">
        <f t="shared" ref="U94:U99" si="26">0.5*(MAX(R94:T94)-MIN(R94:T94))</f>
        <v>0</v>
      </c>
    </row>
    <row r="95" spans="1:24">
      <c r="A95" s="1354"/>
      <c r="B95" s="739">
        <v>3</v>
      </c>
      <c r="C95" s="495">
        <v>25</v>
      </c>
      <c r="D95" s="525">
        <v>-0.4</v>
      </c>
      <c r="E95" s="525" t="s">
        <v>213</v>
      </c>
      <c r="F95" s="532"/>
      <c r="G95" s="526">
        <f t="shared" si="24"/>
        <v>0</v>
      </c>
      <c r="I95" s="739">
        <v>3</v>
      </c>
      <c r="J95" s="495">
        <v>50</v>
      </c>
      <c r="K95" s="525">
        <v>-0.9</v>
      </c>
      <c r="L95" s="525" t="s">
        <v>213</v>
      </c>
      <c r="M95" s="532"/>
      <c r="N95" s="526">
        <f t="shared" si="25"/>
        <v>0</v>
      </c>
      <c r="P95" s="739">
        <v>3</v>
      </c>
      <c r="Q95" s="495">
        <v>850</v>
      </c>
      <c r="R95" s="528">
        <v>9.9999999999999995E-7</v>
      </c>
      <c r="S95" s="528" t="s">
        <v>213</v>
      </c>
      <c r="T95" s="495">
        <v>9.9999999999999995E-7</v>
      </c>
      <c r="U95" s="526">
        <f t="shared" si="26"/>
        <v>0</v>
      </c>
    </row>
    <row r="96" spans="1:24">
      <c r="A96" s="1354"/>
      <c r="B96" s="739">
        <v>4</v>
      </c>
      <c r="C96" s="498">
        <v>30</v>
      </c>
      <c r="D96" s="525">
        <v>-0.5</v>
      </c>
      <c r="E96" s="499" t="s">
        <v>213</v>
      </c>
      <c r="F96" s="532"/>
      <c r="G96" s="526">
        <f t="shared" si="24"/>
        <v>0</v>
      </c>
      <c r="I96" s="739">
        <v>4</v>
      </c>
      <c r="J96" s="498">
        <v>60</v>
      </c>
      <c r="K96" s="525">
        <v>-0.8</v>
      </c>
      <c r="L96" s="499" t="s">
        <v>213</v>
      </c>
      <c r="M96" s="532"/>
      <c r="N96" s="526">
        <f t="shared" si="25"/>
        <v>0</v>
      </c>
      <c r="P96" s="739">
        <v>4</v>
      </c>
      <c r="Q96" s="498">
        <v>900</v>
      </c>
      <c r="R96" s="528">
        <v>9.9999999999999995E-7</v>
      </c>
      <c r="S96" s="499" t="s">
        <v>213</v>
      </c>
      <c r="T96" s="495">
        <v>9.9999999999999995E-7</v>
      </c>
      <c r="U96" s="526">
        <f t="shared" si="26"/>
        <v>0</v>
      </c>
    </row>
    <row r="97" spans="1:28">
      <c r="A97" s="1354"/>
      <c r="B97" s="739">
        <v>5</v>
      </c>
      <c r="C97" s="498">
        <v>35</v>
      </c>
      <c r="D97" s="525">
        <v>-0.5</v>
      </c>
      <c r="E97" s="499" t="s">
        <v>213</v>
      </c>
      <c r="F97" s="532"/>
      <c r="G97" s="526">
        <f t="shared" si="24"/>
        <v>0</v>
      </c>
      <c r="I97" s="739">
        <v>5</v>
      </c>
      <c r="J97" s="498">
        <v>70</v>
      </c>
      <c r="K97" s="525">
        <v>-0.6</v>
      </c>
      <c r="L97" s="499" t="s">
        <v>213</v>
      </c>
      <c r="M97" s="532"/>
      <c r="N97" s="526">
        <f t="shared" si="25"/>
        <v>0</v>
      </c>
      <c r="P97" s="739">
        <v>5</v>
      </c>
      <c r="Q97" s="498">
        <v>1000</v>
      </c>
      <c r="R97" s="499">
        <v>0.2</v>
      </c>
      <c r="S97" s="499" t="s">
        <v>213</v>
      </c>
      <c r="T97" s="495">
        <v>9.9999999999999995E-7</v>
      </c>
      <c r="U97" s="526">
        <f t="shared" si="26"/>
        <v>9.9999500000000005E-2</v>
      </c>
    </row>
    <row r="98" spans="1:28">
      <c r="A98" s="1354"/>
      <c r="B98" s="739">
        <v>6</v>
      </c>
      <c r="C98" s="498">
        <v>37</v>
      </c>
      <c r="D98" s="525">
        <v>-0.5</v>
      </c>
      <c r="E98" s="499" t="s">
        <v>213</v>
      </c>
      <c r="F98" s="532"/>
      <c r="G98" s="526">
        <f t="shared" si="24"/>
        <v>0</v>
      </c>
      <c r="I98" s="739">
        <v>6</v>
      </c>
      <c r="J98" s="498">
        <v>80</v>
      </c>
      <c r="K98" s="525">
        <v>-0.5</v>
      </c>
      <c r="L98" s="499" t="s">
        <v>213</v>
      </c>
      <c r="M98" s="532"/>
      <c r="N98" s="526">
        <f t="shared" si="25"/>
        <v>0</v>
      </c>
      <c r="P98" s="739">
        <v>6</v>
      </c>
      <c r="Q98" s="498">
        <v>1005</v>
      </c>
      <c r="R98" s="499">
        <v>0.2</v>
      </c>
      <c r="S98" s="499" t="s">
        <v>213</v>
      </c>
      <c r="T98" s="495">
        <v>9.9999999999999995E-7</v>
      </c>
      <c r="U98" s="526">
        <f t="shared" si="26"/>
        <v>9.9999500000000005E-2</v>
      </c>
    </row>
    <row r="99" spans="1:28">
      <c r="A99" s="1354"/>
      <c r="B99" s="739">
        <v>7</v>
      </c>
      <c r="C99" s="498">
        <v>40</v>
      </c>
      <c r="D99" s="525">
        <v>-0.4</v>
      </c>
      <c r="E99" s="499" t="s">
        <v>213</v>
      </c>
      <c r="F99" s="532"/>
      <c r="G99" s="526">
        <f t="shared" si="24"/>
        <v>0</v>
      </c>
      <c r="I99" s="739">
        <v>7</v>
      </c>
      <c r="J99" s="498">
        <v>90</v>
      </c>
      <c r="K99" s="525">
        <v>-0.2</v>
      </c>
      <c r="L99" s="499" t="s">
        <v>213</v>
      </c>
      <c r="M99" s="532"/>
      <c r="N99" s="526">
        <f t="shared" si="25"/>
        <v>0</v>
      </c>
      <c r="P99" s="739">
        <v>7</v>
      </c>
      <c r="Q99" s="498">
        <v>1020</v>
      </c>
      <c r="R99" s="499">
        <v>9.9999999999999995E-7</v>
      </c>
      <c r="S99" s="499" t="s">
        <v>213</v>
      </c>
      <c r="T99" s="495">
        <v>9.9999999999999995E-7</v>
      </c>
      <c r="U99" s="526">
        <f t="shared" si="26"/>
        <v>0</v>
      </c>
    </row>
    <row r="100" spans="1:28" ht="13.8" thickBot="1">
      <c r="A100" s="534"/>
      <c r="B100" s="437"/>
      <c r="C100" s="437"/>
      <c r="D100" s="437"/>
      <c r="E100" s="535"/>
      <c r="G100" s="536"/>
      <c r="I100" s="437"/>
      <c r="J100" s="437"/>
      <c r="K100" s="437"/>
      <c r="L100" s="535"/>
      <c r="N100" s="536"/>
      <c r="R100" s="500"/>
      <c r="AB100" s="501"/>
    </row>
    <row r="101" spans="1:28">
      <c r="A101" s="1354">
        <v>10</v>
      </c>
      <c r="B101" s="1358" t="s">
        <v>270</v>
      </c>
      <c r="C101" s="1358"/>
      <c r="D101" s="1358"/>
      <c r="E101" s="1358"/>
      <c r="F101" s="1358"/>
      <c r="G101" s="1358"/>
      <c r="I101" s="1358" t="str">
        <f>B101</f>
        <v>KOREKSI Sekonic HE-21.000669</v>
      </c>
      <c r="J101" s="1358"/>
      <c r="K101" s="1358"/>
      <c r="L101" s="1358"/>
      <c r="M101" s="1358"/>
      <c r="N101" s="1358"/>
      <c r="P101" s="1358" t="str">
        <f>I101</f>
        <v>KOREKSI Sekonic HE-21.000669</v>
      </c>
      <c r="Q101" s="1358"/>
      <c r="R101" s="1358"/>
      <c r="S101" s="1358"/>
      <c r="T101" s="1358"/>
      <c r="U101" s="1358"/>
      <c r="W101" s="1363" t="s">
        <v>237</v>
      </c>
      <c r="X101" s="1364"/>
    </row>
    <row r="102" spans="1:28">
      <c r="A102" s="1354"/>
      <c r="B102" s="1365" t="s">
        <v>258</v>
      </c>
      <c r="C102" s="1365"/>
      <c r="D102" s="1365" t="s">
        <v>259</v>
      </c>
      <c r="E102" s="1365"/>
      <c r="F102" s="1365"/>
      <c r="G102" s="1365" t="s">
        <v>215</v>
      </c>
      <c r="I102" s="1365" t="s">
        <v>260</v>
      </c>
      <c r="J102" s="1365"/>
      <c r="K102" s="1365" t="s">
        <v>259</v>
      </c>
      <c r="L102" s="1365"/>
      <c r="M102" s="1365"/>
      <c r="N102" s="1365" t="s">
        <v>215</v>
      </c>
      <c r="P102" s="1365" t="s">
        <v>488</v>
      </c>
      <c r="Q102" s="1365"/>
      <c r="R102" s="1365" t="s">
        <v>259</v>
      </c>
      <c r="S102" s="1365"/>
      <c r="T102" s="1365"/>
      <c r="U102" s="1365" t="s">
        <v>215</v>
      </c>
      <c r="W102" s="522" t="s">
        <v>258</v>
      </c>
      <c r="X102" s="523">
        <v>0.3</v>
      </c>
    </row>
    <row r="103" spans="1:28" ht="14.4">
      <c r="A103" s="1354"/>
      <c r="B103" s="1353" t="s">
        <v>261</v>
      </c>
      <c r="C103" s="1353"/>
      <c r="D103" s="524">
        <v>2019</v>
      </c>
      <c r="E103" s="524">
        <v>2016</v>
      </c>
      <c r="F103" s="524">
        <v>2016</v>
      </c>
      <c r="G103" s="1365"/>
      <c r="I103" s="1352" t="s">
        <v>14</v>
      </c>
      <c r="J103" s="1353"/>
      <c r="K103" s="538">
        <f>D103</f>
        <v>2019</v>
      </c>
      <c r="L103" s="538">
        <f>E103</f>
        <v>2016</v>
      </c>
      <c r="M103" s="524">
        <v>2016</v>
      </c>
      <c r="N103" s="1365"/>
      <c r="P103" s="1352" t="s">
        <v>489</v>
      </c>
      <c r="Q103" s="1353"/>
      <c r="R103" s="524">
        <f>K103</f>
        <v>2019</v>
      </c>
      <c r="S103" s="524">
        <f>L103</f>
        <v>2016</v>
      </c>
      <c r="T103" s="524">
        <v>2016</v>
      </c>
      <c r="U103" s="1365"/>
      <c r="W103" s="522" t="s">
        <v>14</v>
      </c>
      <c r="X103" s="523">
        <v>1.5</v>
      </c>
    </row>
    <row r="104" spans="1:28" ht="13.8" thickBot="1">
      <c r="A104" s="1354"/>
      <c r="B104" s="739">
        <v>1</v>
      </c>
      <c r="C104" s="495">
        <v>15</v>
      </c>
      <c r="D104" s="495">
        <v>0.2</v>
      </c>
      <c r="E104" s="495">
        <v>0.2</v>
      </c>
      <c r="F104" s="532"/>
      <c r="G104" s="526">
        <f>0.5*(MAX(D104:F104)-MIN(D104:F104))</f>
        <v>0</v>
      </c>
      <c r="I104" s="739">
        <v>1</v>
      </c>
      <c r="J104" s="525">
        <v>30</v>
      </c>
      <c r="K104" s="495">
        <v>-2.9</v>
      </c>
      <c r="L104" s="495">
        <v>-5.8</v>
      </c>
      <c r="M104" s="532"/>
      <c r="N104" s="526">
        <f>0.5*(MAX(K104:M104)-MIN(K104:M104))</f>
        <v>1.45</v>
      </c>
      <c r="P104" s="739">
        <v>1</v>
      </c>
      <c r="Q104" s="495">
        <v>750</v>
      </c>
      <c r="R104" s="528" t="s">
        <v>213</v>
      </c>
      <c r="S104" s="528" t="s">
        <v>213</v>
      </c>
      <c r="T104" s="495">
        <v>9.9999999999999995E-7</v>
      </c>
      <c r="U104" s="526">
        <f>0.5*(MAX(R104:T104)-MIN(R104:T104))</f>
        <v>0</v>
      </c>
      <c r="W104" s="529" t="s">
        <v>489</v>
      </c>
      <c r="X104" s="493">
        <v>0</v>
      </c>
    </row>
    <row r="105" spans="1:28">
      <c r="A105" s="1354"/>
      <c r="B105" s="739">
        <v>2</v>
      </c>
      <c r="C105" s="495">
        <v>20</v>
      </c>
      <c r="D105" s="495">
        <v>0.2</v>
      </c>
      <c r="E105" s="495">
        <v>-0.7</v>
      </c>
      <c r="F105" s="532"/>
      <c r="G105" s="526">
        <f t="shared" ref="G105:G110" si="27">0.5*(MAX(D105:F105)-MIN(D105:F105))</f>
        <v>0.44999999999999996</v>
      </c>
      <c r="I105" s="739">
        <v>2</v>
      </c>
      <c r="J105" s="525">
        <v>40</v>
      </c>
      <c r="K105" s="495">
        <v>-3.3</v>
      </c>
      <c r="L105" s="495">
        <v>-6.4</v>
      </c>
      <c r="M105" s="532"/>
      <c r="N105" s="526">
        <f t="shared" ref="N105:N110" si="28">0.5*(MAX(K105:M105)-MIN(K105:M105))</f>
        <v>1.5500000000000003</v>
      </c>
      <c r="P105" s="739">
        <v>2</v>
      </c>
      <c r="Q105" s="495">
        <v>800</v>
      </c>
      <c r="R105" s="528" t="s">
        <v>213</v>
      </c>
      <c r="S105" s="528" t="s">
        <v>213</v>
      </c>
      <c r="T105" s="495">
        <v>9.9999999999999995E-7</v>
      </c>
      <c r="U105" s="526">
        <f t="shared" ref="U105:U110" si="29">0.5*(MAX(R105:T105)-MIN(R105:T105))</f>
        <v>0</v>
      </c>
    </row>
    <row r="106" spans="1:28">
      <c r="A106" s="1354"/>
      <c r="B106" s="739">
        <v>3</v>
      </c>
      <c r="C106" s="495">
        <v>25</v>
      </c>
      <c r="D106" s="495">
        <v>0.1</v>
      </c>
      <c r="E106" s="495">
        <v>-0.5</v>
      </c>
      <c r="F106" s="532"/>
      <c r="G106" s="526">
        <f t="shared" si="27"/>
        <v>0.3</v>
      </c>
      <c r="I106" s="739">
        <v>3</v>
      </c>
      <c r="J106" s="525">
        <v>50</v>
      </c>
      <c r="K106" s="495">
        <v>-3.1</v>
      </c>
      <c r="L106" s="495">
        <v>-6.1</v>
      </c>
      <c r="M106" s="532"/>
      <c r="N106" s="526">
        <f t="shared" si="28"/>
        <v>1.4999999999999998</v>
      </c>
      <c r="P106" s="739">
        <v>3</v>
      </c>
      <c r="Q106" s="495">
        <v>850</v>
      </c>
      <c r="R106" s="528" t="s">
        <v>213</v>
      </c>
      <c r="S106" s="528" t="s">
        <v>213</v>
      </c>
      <c r="T106" s="495">
        <v>9.9999999999999995E-7</v>
      </c>
      <c r="U106" s="526">
        <f t="shared" si="29"/>
        <v>0</v>
      </c>
    </row>
    <row r="107" spans="1:28">
      <c r="A107" s="1354"/>
      <c r="B107" s="739">
        <v>4</v>
      </c>
      <c r="C107" s="498">
        <v>30</v>
      </c>
      <c r="D107" s="498">
        <v>0.1</v>
      </c>
      <c r="E107" s="498">
        <v>0.2</v>
      </c>
      <c r="F107" s="532"/>
      <c r="G107" s="526">
        <f t="shared" si="27"/>
        <v>0.05</v>
      </c>
      <c r="I107" s="739">
        <v>4</v>
      </c>
      <c r="J107" s="539">
        <v>60</v>
      </c>
      <c r="K107" s="498">
        <v>-2.1</v>
      </c>
      <c r="L107" s="498">
        <v>-5.6</v>
      </c>
      <c r="M107" s="532"/>
      <c r="N107" s="526">
        <f t="shared" si="28"/>
        <v>1.7499999999999998</v>
      </c>
      <c r="P107" s="739">
        <v>4</v>
      </c>
      <c r="Q107" s="498">
        <v>900</v>
      </c>
      <c r="R107" s="499" t="s">
        <v>213</v>
      </c>
      <c r="S107" s="499" t="s">
        <v>213</v>
      </c>
      <c r="T107" s="495">
        <v>9.9999999999999995E-7</v>
      </c>
      <c r="U107" s="526">
        <f t="shared" si="29"/>
        <v>0</v>
      </c>
    </row>
    <row r="108" spans="1:28">
      <c r="A108" s="1354"/>
      <c r="B108" s="739">
        <v>5</v>
      </c>
      <c r="C108" s="498">
        <v>35</v>
      </c>
      <c r="D108" s="498">
        <v>0.2</v>
      </c>
      <c r="E108" s="498">
        <v>0.8</v>
      </c>
      <c r="F108" s="532"/>
      <c r="G108" s="526">
        <f t="shared" si="27"/>
        <v>0.30000000000000004</v>
      </c>
      <c r="I108" s="739">
        <v>5</v>
      </c>
      <c r="J108" s="539">
        <v>70</v>
      </c>
      <c r="K108" s="498">
        <v>-0.3</v>
      </c>
      <c r="L108" s="498">
        <v>-5.0999999999999996</v>
      </c>
      <c r="M108" s="532"/>
      <c r="N108" s="526">
        <f t="shared" si="28"/>
        <v>2.4</v>
      </c>
      <c r="P108" s="739">
        <v>5</v>
      </c>
      <c r="Q108" s="498">
        <v>1000</v>
      </c>
      <c r="R108" s="499" t="s">
        <v>213</v>
      </c>
      <c r="S108" s="499" t="s">
        <v>213</v>
      </c>
      <c r="T108" s="495">
        <v>9.9999999999999995E-7</v>
      </c>
      <c r="U108" s="526">
        <f t="shared" si="29"/>
        <v>0</v>
      </c>
    </row>
    <row r="109" spans="1:28">
      <c r="A109" s="1354"/>
      <c r="B109" s="739">
        <v>6</v>
      </c>
      <c r="C109" s="498">
        <v>37</v>
      </c>
      <c r="D109" s="498">
        <v>0.2</v>
      </c>
      <c r="E109" s="498">
        <v>0.4</v>
      </c>
      <c r="F109" s="532"/>
      <c r="G109" s="526">
        <f t="shared" si="27"/>
        <v>0.1</v>
      </c>
      <c r="I109" s="739">
        <v>6</v>
      </c>
      <c r="J109" s="539">
        <v>80</v>
      </c>
      <c r="K109" s="498">
        <v>2.2000000000000002</v>
      </c>
      <c r="L109" s="498">
        <v>-4.7</v>
      </c>
      <c r="M109" s="532"/>
      <c r="N109" s="526">
        <f t="shared" si="28"/>
        <v>3.45</v>
      </c>
      <c r="P109" s="739">
        <v>6</v>
      </c>
      <c r="Q109" s="498">
        <v>1005</v>
      </c>
      <c r="R109" s="499" t="s">
        <v>213</v>
      </c>
      <c r="S109" s="499" t="s">
        <v>213</v>
      </c>
      <c r="T109" s="495">
        <v>9.9999999999999995E-7</v>
      </c>
      <c r="U109" s="526">
        <f t="shared" si="29"/>
        <v>0</v>
      </c>
    </row>
    <row r="110" spans="1:28" ht="13.8" thickBot="1">
      <c r="A110" s="1354"/>
      <c r="B110" s="739">
        <v>7</v>
      </c>
      <c r="C110" s="539">
        <v>40</v>
      </c>
      <c r="D110" s="525">
        <v>0.2</v>
      </c>
      <c r="E110" s="525">
        <v>9.9999999999999995E-7</v>
      </c>
      <c r="F110" s="532"/>
      <c r="G110" s="526">
        <f t="shared" si="27"/>
        <v>9.9999500000000005E-2</v>
      </c>
      <c r="I110" s="739">
        <v>7</v>
      </c>
      <c r="J110" s="539">
        <v>90</v>
      </c>
      <c r="K110" s="539">
        <v>5.4</v>
      </c>
      <c r="L110" s="539">
        <v>9.9999999999999995E-7</v>
      </c>
      <c r="M110" s="532"/>
      <c r="N110" s="526">
        <f t="shared" si="28"/>
        <v>2.6999995000000001</v>
      </c>
      <c r="P110" s="739">
        <v>7</v>
      </c>
      <c r="Q110" s="498">
        <v>1020</v>
      </c>
      <c r="R110" s="499" t="s">
        <v>213</v>
      </c>
      <c r="S110" s="499" t="s">
        <v>213</v>
      </c>
      <c r="T110" s="495">
        <v>9.9999999999999995E-7</v>
      </c>
      <c r="U110" s="526">
        <f t="shared" si="29"/>
        <v>0</v>
      </c>
    </row>
    <row r="111" spans="1:28" ht="13.8" thickBot="1">
      <c r="A111" s="534"/>
      <c r="B111" s="437"/>
      <c r="C111" s="437"/>
      <c r="D111" s="437"/>
      <c r="E111" s="535"/>
      <c r="F111" s="536"/>
      <c r="G111" s="501"/>
      <c r="H111" s="437"/>
      <c r="I111" s="437"/>
      <c r="J111" s="437"/>
      <c r="K111" s="535"/>
      <c r="L111" s="536"/>
      <c r="M111" s="501"/>
      <c r="O111" s="492"/>
      <c r="P111" s="500"/>
    </row>
    <row r="112" spans="1:28">
      <c r="A112" s="1354">
        <v>11</v>
      </c>
      <c r="B112" s="1358" t="s">
        <v>271</v>
      </c>
      <c r="C112" s="1358"/>
      <c r="D112" s="1358"/>
      <c r="E112" s="1358"/>
      <c r="F112" s="1358"/>
      <c r="G112" s="1358"/>
      <c r="I112" s="1358" t="str">
        <f>B112</f>
        <v>KOREKSI Sekonic HE-21.000670</v>
      </c>
      <c r="J112" s="1358"/>
      <c r="K112" s="1358"/>
      <c r="L112" s="1358"/>
      <c r="M112" s="1358"/>
      <c r="N112" s="1358"/>
      <c r="P112" s="1358" t="str">
        <f>I112</f>
        <v>KOREKSI Sekonic HE-21.000670</v>
      </c>
      <c r="Q112" s="1358"/>
      <c r="R112" s="1358"/>
      <c r="S112" s="1358"/>
      <c r="T112" s="1358"/>
      <c r="U112" s="1358"/>
      <c r="W112" s="1363" t="s">
        <v>237</v>
      </c>
      <c r="X112" s="1364"/>
      <c r="AB112" s="492"/>
    </row>
    <row r="113" spans="1:24">
      <c r="A113" s="1354"/>
      <c r="B113" s="1365" t="s">
        <v>258</v>
      </c>
      <c r="C113" s="1365"/>
      <c r="D113" s="1365" t="s">
        <v>259</v>
      </c>
      <c r="E113" s="1365"/>
      <c r="F113" s="1365"/>
      <c r="G113" s="1365" t="s">
        <v>215</v>
      </c>
      <c r="I113" s="1365" t="s">
        <v>260</v>
      </c>
      <c r="J113" s="1365"/>
      <c r="K113" s="1365" t="s">
        <v>259</v>
      </c>
      <c r="L113" s="1365"/>
      <c r="M113" s="1365"/>
      <c r="N113" s="1365" t="s">
        <v>215</v>
      </c>
      <c r="P113" s="1365" t="s">
        <v>488</v>
      </c>
      <c r="Q113" s="1365"/>
      <c r="R113" s="1365" t="s">
        <v>259</v>
      </c>
      <c r="S113" s="1365"/>
      <c r="T113" s="1365"/>
      <c r="U113" s="1365" t="s">
        <v>215</v>
      </c>
      <c r="W113" s="522" t="s">
        <v>258</v>
      </c>
      <c r="X113" s="523">
        <v>0.3</v>
      </c>
    </row>
    <row r="114" spans="1:24" ht="14.4">
      <c r="A114" s="1354"/>
      <c r="B114" s="1353" t="s">
        <v>261</v>
      </c>
      <c r="C114" s="1353"/>
      <c r="D114" s="524">
        <v>2020</v>
      </c>
      <c r="E114" s="537">
        <v>2016</v>
      </c>
      <c r="F114" s="524">
        <v>2016</v>
      </c>
      <c r="G114" s="1365"/>
      <c r="I114" s="1352" t="s">
        <v>14</v>
      </c>
      <c r="J114" s="1353"/>
      <c r="K114" s="538">
        <f>D114</f>
        <v>2020</v>
      </c>
      <c r="L114" s="538">
        <f>E114</f>
        <v>2016</v>
      </c>
      <c r="M114" s="524">
        <v>2016</v>
      </c>
      <c r="N114" s="1365"/>
      <c r="P114" s="1352" t="s">
        <v>489</v>
      </c>
      <c r="Q114" s="1353"/>
      <c r="R114" s="538">
        <f>K114</f>
        <v>2020</v>
      </c>
      <c r="S114" s="538">
        <f>L114</f>
        <v>2016</v>
      </c>
      <c r="T114" s="524">
        <v>2016</v>
      </c>
      <c r="U114" s="1365"/>
      <c r="W114" s="522" t="s">
        <v>14</v>
      </c>
      <c r="X114" s="523">
        <v>1.8</v>
      </c>
    </row>
    <row r="115" spans="1:24" ht="13.8" thickBot="1">
      <c r="A115" s="1354"/>
      <c r="B115" s="739">
        <v>1</v>
      </c>
      <c r="C115" s="495">
        <v>15</v>
      </c>
      <c r="D115" s="495">
        <v>0.3</v>
      </c>
      <c r="E115" s="495">
        <v>0.3</v>
      </c>
      <c r="F115" s="532"/>
      <c r="G115" s="526">
        <f>0.5*(MAX(D115:F115)-MIN(D115:F115))</f>
        <v>0</v>
      </c>
      <c r="I115" s="739">
        <v>1</v>
      </c>
      <c r="J115" s="495">
        <v>30</v>
      </c>
      <c r="K115" s="495">
        <v>-5.2</v>
      </c>
      <c r="L115" s="495">
        <v>-6.4</v>
      </c>
      <c r="M115" s="532"/>
      <c r="N115" s="526">
        <f>0.5*(MAX(K115:M115)-MIN(K115:M115))</f>
        <v>0.60000000000000009</v>
      </c>
      <c r="P115" s="739">
        <v>1</v>
      </c>
      <c r="Q115" s="495">
        <v>750</v>
      </c>
      <c r="R115" s="528" t="s">
        <v>213</v>
      </c>
      <c r="S115" s="525" t="s">
        <v>213</v>
      </c>
      <c r="T115" s="495">
        <v>9.9999999999999995E-7</v>
      </c>
      <c r="U115" s="526">
        <f>0.5*(MAX(R115:T115)-MIN(R115:T115))</f>
        <v>0</v>
      </c>
      <c r="W115" s="529" t="s">
        <v>489</v>
      </c>
      <c r="X115" s="493">
        <v>0</v>
      </c>
    </row>
    <row r="116" spans="1:24">
      <c r="A116" s="1354"/>
      <c r="B116" s="739">
        <v>2</v>
      </c>
      <c r="C116" s="495">
        <v>20</v>
      </c>
      <c r="D116" s="495">
        <v>0.4</v>
      </c>
      <c r="E116" s="495">
        <v>0.5</v>
      </c>
      <c r="F116" s="532"/>
      <c r="G116" s="526">
        <f t="shared" ref="G116:G121" si="30">0.5*(MAX(D116:F116)-MIN(D116:F116))</f>
        <v>4.9999999999999989E-2</v>
      </c>
      <c r="I116" s="739">
        <v>2</v>
      </c>
      <c r="J116" s="495">
        <v>40</v>
      </c>
      <c r="K116" s="495">
        <v>-5.5</v>
      </c>
      <c r="L116" s="495">
        <v>-5.9</v>
      </c>
      <c r="M116" s="532"/>
      <c r="N116" s="526">
        <f t="shared" ref="N116:N121" si="31">0.5*(MAX(K116:M116)-MIN(K116:M116))</f>
        <v>0.20000000000000018</v>
      </c>
      <c r="P116" s="739">
        <v>2</v>
      </c>
      <c r="Q116" s="495">
        <v>800</v>
      </c>
      <c r="R116" s="528" t="s">
        <v>213</v>
      </c>
      <c r="S116" s="525" t="s">
        <v>213</v>
      </c>
      <c r="T116" s="495">
        <v>9.9999999999999995E-7</v>
      </c>
      <c r="U116" s="526">
        <f t="shared" ref="U116:U121" si="32">0.5*(MAX(R116:T116)-MIN(R116:T116))</f>
        <v>0</v>
      </c>
    </row>
    <row r="117" spans="1:24">
      <c r="A117" s="1354"/>
      <c r="B117" s="739">
        <v>3</v>
      </c>
      <c r="C117" s="495">
        <v>25</v>
      </c>
      <c r="D117" s="495">
        <v>0.4</v>
      </c>
      <c r="E117" s="495">
        <v>0.5</v>
      </c>
      <c r="F117" s="532"/>
      <c r="G117" s="526">
        <f t="shared" si="30"/>
        <v>4.9999999999999989E-2</v>
      </c>
      <c r="I117" s="739">
        <v>3</v>
      </c>
      <c r="J117" s="495">
        <v>50</v>
      </c>
      <c r="K117" s="495">
        <v>-5.5</v>
      </c>
      <c r="L117" s="495">
        <v>-5.6</v>
      </c>
      <c r="M117" s="532"/>
      <c r="N117" s="526">
        <f t="shared" si="31"/>
        <v>4.9999999999999822E-2</v>
      </c>
      <c r="P117" s="739">
        <v>3</v>
      </c>
      <c r="Q117" s="495">
        <v>850</v>
      </c>
      <c r="R117" s="528" t="s">
        <v>213</v>
      </c>
      <c r="S117" s="525" t="s">
        <v>213</v>
      </c>
      <c r="T117" s="495">
        <v>9.9999999999999995E-7</v>
      </c>
      <c r="U117" s="526">
        <f t="shared" si="32"/>
        <v>0</v>
      </c>
    </row>
    <row r="118" spans="1:24">
      <c r="A118" s="1354"/>
      <c r="B118" s="739">
        <v>4</v>
      </c>
      <c r="C118" s="498">
        <v>30</v>
      </c>
      <c r="D118" s="498">
        <v>0.5</v>
      </c>
      <c r="E118" s="498">
        <v>0.4</v>
      </c>
      <c r="F118" s="532"/>
      <c r="G118" s="526">
        <f t="shared" si="30"/>
        <v>4.9999999999999989E-2</v>
      </c>
      <c r="I118" s="739">
        <v>4</v>
      </c>
      <c r="J118" s="498">
        <v>60</v>
      </c>
      <c r="K118" s="498">
        <v>-4.8</v>
      </c>
      <c r="L118" s="498">
        <v>-4.5</v>
      </c>
      <c r="M118" s="532"/>
      <c r="N118" s="526">
        <f t="shared" si="31"/>
        <v>0.14999999999999991</v>
      </c>
      <c r="P118" s="739">
        <v>4</v>
      </c>
      <c r="Q118" s="498">
        <v>900</v>
      </c>
      <c r="R118" s="499" t="s">
        <v>213</v>
      </c>
      <c r="S118" s="499" t="s">
        <v>213</v>
      </c>
      <c r="T118" s="495">
        <v>9.9999999999999995E-7</v>
      </c>
      <c r="U118" s="526">
        <f t="shared" si="32"/>
        <v>0</v>
      </c>
    </row>
    <row r="119" spans="1:24">
      <c r="A119" s="1354"/>
      <c r="B119" s="739">
        <v>5</v>
      </c>
      <c r="C119" s="498">
        <v>35</v>
      </c>
      <c r="D119" s="498">
        <v>0.5</v>
      </c>
      <c r="E119" s="498">
        <v>0.4</v>
      </c>
      <c r="F119" s="532"/>
      <c r="G119" s="526">
        <f t="shared" si="30"/>
        <v>4.9999999999999989E-2</v>
      </c>
      <c r="I119" s="739">
        <v>5</v>
      </c>
      <c r="J119" s="498">
        <v>70</v>
      </c>
      <c r="K119" s="498">
        <v>-3.4</v>
      </c>
      <c r="L119" s="498">
        <v>-1.7</v>
      </c>
      <c r="M119" s="532"/>
      <c r="N119" s="526">
        <f t="shared" si="31"/>
        <v>0.85</v>
      </c>
      <c r="P119" s="739">
        <v>5</v>
      </c>
      <c r="Q119" s="498">
        <v>1000</v>
      </c>
      <c r="R119" s="499" t="s">
        <v>213</v>
      </c>
      <c r="S119" s="499" t="s">
        <v>213</v>
      </c>
      <c r="T119" s="495">
        <v>9.9999999999999995E-7</v>
      </c>
      <c r="U119" s="526">
        <f t="shared" si="32"/>
        <v>0</v>
      </c>
    </row>
    <row r="120" spans="1:24">
      <c r="A120" s="1354"/>
      <c r="B120" s="739">
        <v>6</v>
      </c>
      <c r="C120" s="498">
        <v>37</v>
      </c>
      <c r="D120" s="498">
        <v>0.5</v>
      </c>
      <c r="E120" s="498">
        <v>0.5</v>
      </c>
      <c r="F120" s="532"/>
      <c r="G120" s="526">
        <f t="shared" si="30"/>
        <v>0</v>
      </c>
      <c r="I120" s="739">
        <v>6</v>
      </c>
      <c r="J120" s="498">
        <v>80</v>
      </c>
      <c r="K120" s="498">
        <v>-1.4</v>
      </c>
      <c r="L120" s="498">
        <v>2.6</v>
      </c>
      <c r="M120" s="532"/>
      <c r="N120" s="526">
        <f t="shared" si="31"/>
        <v>2</v>
      </c>
      <c r="P120" s="739">
        <v>6</v>
      </c>
      <c r="Q120" s="498">
        <v>1005</v>
      </c>
      <c r="R120" s="499" t="s">
        <v>213</v>
      </c>
      <c r="S120" s="499" t="s">
        <v>213</v>
      </c>
      <c r="T120" s="495">
        <v>9.9999999999999995E-7</v>
      </c>
      <c r="U120" s="526">
        <f t="shared" si="32"/>
        <v>0</v>
      </c>
    </row>
    <row r="121" spans="1:24" ht="13.8" thickBot="1">
      <c r="A121" s="1354"/>
      <c r="B121" s="739">
        <v>7</v>
      </c>
      <c r="C121" s="539">
        <v>40</v>
      </c>
      <c r="D121" s="539">
        <v>0.5</v>
      </c>
      <c r="E121" s="539">
        <v>9.9999999999999995E-7</v>
      </c>
      <c r="F121" s="532"/>
      <c r="G121" s="526">
        <f t="shared" si="30"/>
        <v>0.24999950000000001</v>
      </c>
      <c r="I121" s="739">
        <v>7</v>
      </c>
      <c r="J121" s="539">
        <v>90</v>
      </c>
      <c r="K121" s="539">
        <v>1.3</v>
      </c>
      <c r="L121" s="539">
        <v>9.9999999999999995E-7</v>
      </c>
      <c r="M121" s="532"/>
      <c r="N121" s="526">
        <f t="shared" si="31"/>
        <v>0.64999950000000006</v>
      </c>
      <c r="P121" s="739">
        <v>7</v>
      </c>
      <c r="Q121" s="498">
        <v>1020</v>
      </c>
      <c r="R121" s="499" t="s">
        <v>213</v>
      </c>
      <c r="S121" s="499" t="s">
        <v>213</v>
      </c>
      <c r="T121" s="495">
        <v>9.9999999999999995E-7</v>
      </c>
      <c r="U121" s="526">
        <f t="shared" si="32"/>
        <v>0</v>
      </c>
    </row>
    <row r="122" spans="1:24" ht="13.8" thickBot="1">
      <c r="A122" s="534"/>
      <c r="B122" s="437"/>
      <c r="C122" s="437"/>
      <c r="D122" s="437"/>
      <c r="E122" s="535"/>
      <c r="F122" s="536"/>
      <c r="G122" s="501"/>
      <c r="I122" s="437"/>
      <c r="J122" s="437"/>
      <c r="K122" s="437"/>
      <c r="L122" s="535"/>
      <c r="M122" s="536"/>
      <c r="Q122" s="492"/>
      <c r="R122" s="500"/>
    </row>
    <row r="123" spans="1:24">
      <c r="A123" s="1354">
        <v>12</v>
      </c>
      <c r="B123" s="1358" t="s">
        <v>490</v>
      </c>
      <c r="C123" s="1358"/>
      <c r="D123" s="1358"/>
      <c r="E123" s="1358"/>
      <c r="F123" s="1358"/>
      <c r="G123" s="1358"/>
      <c r="I123" s="1358" t="str">
        <f>B123</f>
        <v>KOREKSI EXTECH A.100586</v>
      </c>
      <c r="J123" s="1358"/>
      <c r="K123" s="1358"/>
      <c r="L123" s="1358"/>
      <c r="M123" s="1358"/>
      <c r="N123" s="1358"/>
      <c r="P123" s="1358" t="str">
        <f>I123</f>
        <v>KOREKSI EXTECH A.100586</v>
      </c>
      <c r="Q123" s="1358"/>
      <c r="R123" s="1358"/>
      <c r="S123" s="1358"/>
      <c r="T123" s="1358"/>
      <c r="U123" s="1358"/>
      <c r="W123" s="1363" t="s">
        <v>237</v>
      </c>
      <c r="X123" s="1364"/>
    </row>
    <row r="124" spans="1:24">
      <c r="A124" s="1354"/>
      <c r="B124" s="1365" t="s">
        <v>258</v>
      </c>
      <c r="C124" s="1365"/>
      <c r="D124" s="1365" t="s">
        <v>259</v>
      </c>
      <c r="E124" s="1365"/>
      <c r="F124" s="1365"/>
      <c r="G124" s="1365" t="s">
        <v>215</v>
      </c>
      <c r="I124" s="1365" t="s">
        <v>260</v>
      </c>
      <c r="J124" s="1365"/>
      <c r="K124" s="1365" t="s">
        <v>259</v>
      </c>
      <c r="L124" s="1365"/>
      <c r="M124" s="1365"/>
      <c r="N124" s="1365" t="s">
        <v>215</v>
      </c>
      <c r="P124" s="1365" t="s">
        <v>488</v>
      </c>
      <c r="Q124" s="1365"/>
      <c r="R124" s="1365" t="s">
        <v>259</v>
      </c>
      <c r="S124" s="1365"/>
      <c r="T124" s="1365"/>
      <c r="U124" s="1365" t="s">
        <v>215</v>
      </c>
      <c r="W124" s="522" t="s">
        <v>258</v>
      </c>
      <c r="X124" s="523">
        <v>0.3</v>
      </c>
    </row>
    <row r="125" spans="1:24" ht="14.4">
      <c r="A125" s="1354"/>
      <c r="B125" s="1353" t="s">
        <v>261</v>
      </c>
      <c r="C125" s="1353"/>
      <c r="D125" s="524">
        <v>2020</v>
      </c>
      <c r="E125" s="537" t="s">
        <v>213</v>
      </c>
      <c r="F125" s="524">
        <v>2016</v>
      </c>
      <c r="G125" s="1365"/>
      <c r="I125" s="1352" t="s">
        <v>14</v>
      </c>
      <c r="J125" s="1353"/>
      <c r="K125" s="524">
        <f>D125</f>
        <v>2020</v>
      </c>
      <c r="L125" s="524" t="str">
        <f>E125</f>
        <v>-</v>
      </c>
      <c r="M125" s="524">
        <v>2016</v>
      </c>
      <c r="N125" s="1365"/>
      <c r="P125" s="1352" t="s">
        <v>489</v>
      </c>
      <c r="Q125" s="1353"/>
      <c r="R125" s="524">
        <f>K125</f>
        <v>2020</v>
      </c>
      <c r="S125" s="524" t="str">
        <f>L125</f>
        <v>-</v>
      </c>
      <c r="T125" s="524">
        <v>2016</v>
      </c>
      <c r="U125" s="1365"/>
      <c r="W125" s="522" t="s">
        <v>14</v>
      </c>
      <c r="X125" s="523">
        <v>2</v>
      </c>
    </row>
    <row r="126" spans="1:24" ht="13.8" thickBot="1">
      <c r="A126" s="1354"/>
      <c r="B126" s="739">
        <v>1</v>
      </c>
      <c r="C126" s="495">
        <v>15</v>
      </c>
      <c r="D126" s="495">
        <v>9.9999999999999995E-7</v>
      </c>
      <c r="E126" s="525" t="s">
        <v>213</v>
      </c>
      <c r="F126" s="532"/>
      <c r="G126" s="526">
        <f>0.5*(MAX(D126:F126)-MIN(D126:F126))</f>
        <v>0</v>
      </c>
      <c r="I126" s="739">
        <v>1</v>
      </c>
      <c r="J126" s="495">
        <v>30</v>
      </c>
      <c r="K126" s="495">
        <v>-0.4</v>
      </c>
      <c r="L126" s="525" t="s">
        <v>213</v>
      </c>
      <c r="M126" s="532"/>
      <c r="N126" s="526">
        <f>0.5*(MAX(K126:M126)-MIN(K126:M126))</f>
        <v>0</v>
      </c>
      <c r="P126" s="739">
        <v>1</v>
      </c>
      <c r="Q126" s="495">
        <v>800</v>
      </c>
      <c r="R126" s="528">
        <v>-0.4</v>
      </c>
      <c r="S126" s="525" t="s">
        <v>213</v>
      </c>
      <c r="T126" s="532"/>
      <c r="U126" s="526">
        <f>0.5*(MAX(R126:T126)-MIN(R126:T126))</f>
        <v>0</v>
      </c>
      <c r="W126" s="529" t="s">
        <v>489</v>
      </c>
      <c r="X126" s="493">
        <v>2.4</v>
      </c>
    </row>
    <row r="127" spans="1:24">
      <c r="A127" s="1354"/>
      <c r="B127" s="739">
        <v>2</v>
      </c>
      <c r="C127" s="495">
        <v>20</v>
      </c>
      <c r="D127" s="495">
        <v>9.9999999999999995E-7</v>
      </c>
      <c r="E127" s="525" t="s">
        <v>213</v>
      </c>
      <c r="F127" s="532"/>
      <c r="G127" s="526">
        <f t="shared" ref="G127:G132" si="33">0.5*(MAX(D127:F127)-MIN(D127:F127))</f>
        <v>0</v>
      </c>
      <c r="I127" s="739">
        <v>2</v>
      </c>
      <c r="J127" s="495">
        <v>40</v>
      </c>
      <c r="K127" s="495">
        <v>-0.1</v>
      </c>
      <c r="L127" s="525" t="s">
        <v>213</v>
      </c>
      <c r="M127" s="532"/>
      <c r="N127" s="526">
        <f t="shared" ref="N127:N132" si="34">0.5*(MAX(K127:M127)-MIN(K127:M127))</f>
        <v>0</v>
      </c>
      <c r="P127" s="739">
        <v>2</v>
      </c>
      <c r="Q127" s="495">
        <v>850</v>
      </c>
      <c r="R127" s="528">
        <v>-0.5</v>
      </c>
      <c r="S127" s="525" t="s">
        <v>213</v>
      </c>
      <c r="T127" s="532"/>
      <c r="U127" s="526">
        <f t="shared" ref="U127:U132" si="35">0.5*(MAX(R127:T127)-MIN(R127:T127))</f>
        <v>0</v>
      </c>
    </row>
    <row r="128" spans="1:24">
      <c r="A128" s="1354"/>
      <c r="B128" s="739">
        <v>3</v>
      </c>
      <c r="C128" s="495">
        <v>25</v>
      </c>
      <c r="D128" s="495">
        <v>9.9999999999999995E-7</v>
      </c>
      <c r="E128" s="525" t="s">
        <v>213</v>
      </c>
      <c r="F128" s="532"/>
      <c r="G128" s="526">
        <f t="shared" si="33"/>
        <v>0</v>
      </c>
      <c r="I128" s="739">
        <v>3</v>
      </c>
      <c r="J128" s="495">
        <v>50</v>
      </c>
      <c r="K128" s="495">
        <v>9.9999999999999995E-7</v>
      </c>
      <c r="L128" s="525" t="s">
        <v>213</v>
      </c>
      <c r="M128" s="532"/>
      <c r="N128" s="526">
        <f t="shared" si="34"/>
        <v>0</v>
      </c>
      <c r="P128" s="739">
        <v>3</v>
      </c>
      <c r="Q128" s="498">
        <v>900</v>
      </c>
      <c r="R128" s="499">
        <v>-0.6</v>
      </c>
      <c r="S128" s="525" t="s">
        <v>213</v>
      </c>
      <c r="T128" s="532"/>
      <c r="U128" s="526">
        <f t="shared" si="35"/>
        <v>0</v>
      </c>
    </row>
    <row r="129" spans="1:24">
      <c r="A129" s="1354"/>
      <c r="B129" s="739">
        <v>4</v>
      </c>
      <c r="C129" s="498">
        <v>30</v>
      </c>
      <c r="D129" s="498">
        <v>-0.1</v>
      </c>
      <c r="E129" s="499" t="s">
        <v>213</v>
      </c>
      <c r="F129" s="532"/>
      <c r="G129" s="526">
        <f t="shared" si="33"/>
        <v>0</v>
      </c>
      <c r="I129" s="739">
        <v>4</v>
      </c>
      <c r="J129" s="498">
        <v>60</v>
      </c>
      <c r="K129" s="498">
        <v>9.9999999999999995E-7</v>
      </c>
      <c r="L129" s="499" t="s">
        <v>213</v>
      </c>
      <c r="M129" s="532"/>
      <c r="N129" s="526">
        <f t="shared" si="34"/>
        <v>0</v>
      </c>
      <c r="P129" s="739">
        <v>4</v>
      </c>
      <c r="Q129" s="498">
        <v>950</v>
      </c>
      <c r="R129" s="499">
        <v>-0.7</v>
      </c>
      <c r="S129" s="499" t="s">
        <v>213</v>
      </c>
      <c r="T129" s="532"/>
      <c r="U129" s="526">
        <f t="shared" si="35"/>
        <v>0</v>
      </c>
    </row>
    <row r="130" spans="1:24">
      <c r="A130" s="1354"/>
      <c r="B130" s="739">
        <v>5</v>
      </c>
      <c r="C130" s="498">
        <v>35</v>
      </c>
      <c r="D130" s="498">
        <v>-0.2</v>
      </c>
      <c r="E130" s="499" t="s">
        <v>213</v>
      </c>
      <c r="F130" s="532"/>
      <c r="G130" s="526">
        <f t="shared" si="33"/>
        <v>0</v>
      </c>
      <c r="I130" s="739">
        <v>5</v>
      </c>
      <c r="J130" s="498">
        <v>70</v>
      </c>
      <c r="K130" s="498">
        <v>-0.1</v>
      </c>
      <c r="L130" s="499" t="s">
        <v>213</v>
      </c>
      <c r="M130" s="532"/>
      <c r="N130" s="526">
        <f t="shared" si="34"/>
        <v>0</v>
      </c>
      <c r="P130" s="739">
        <v>5</v>
      </c>
      <c r="Q130" s="498">
        <v>1000</v>
      </c>
      <c r="R130" s="499">
        <v>-0.8</v>
      </c>
      <c r="S130" s="499" t="s">
        <v>213</v>
      </c>
      <c r="T130" s="532"/>
      <c r="U130" s="526">
        <f t="shared" si="35"/>
        <v>0</v>
      </c>
    </row>
    <row r="131" spans="1:24">
      <c r="A131" s="1354"/>
      <c r="B131" s="739">
        <v>6</v>
      </c>
      <c r="C131" s="498">
        <v>37</v>
      </c>
      <c r="D131" s="498">
        <v>-0.3</v>
      </c>
      <c r="E131" s="499" t="s">
        <v>213</v>
      </c>
      <c r="F131" s="532"/>
      <c r="G131" s="526">
        <f t="shared" si="33"/>
        <v>0</v>
      </c>
      <c r="I131" s="739">
        <v>6</v>
      </c>
      <c r="J131" s="498">
        <v>80</v>
      </c>
      <c r="K131" s="498">
        <v>-0.5</v>
      </c>
      <c r="L131" s="499" t="s">
        <v>213</v>
      </c>
      <c r="M131" s="532"/>
      <c r="N131" s="526">
        <f t="shared" si="34"/>
        <v>0</v>
      </c>
      <c r="P131" s="739">
        <v>6</v>
      </c>
      <c r="Q131" s="498">
        <v>1005</v>
      </c>
      <c r="R131" s="499">
        <v>-0.8</v>
      </c>
      <c r="S131" s="499" t="s">
        <v>213</v>
      </c>
      <c r="T131" s="532"/>
      <c r="U131" s="526">
        <f t="shared" si="35"/>
        <v>0</v>
      </c>
    </row>
    <row r="132" spans="1:24">
      <c r="A132" s="1354"/>
      <c r="B132" s="739">
        <v>7</v>
      </c>
      <c r="C132" s="539">
        <v>40</v>
      </c>
      <c r="D132" s="498">
        <v>-0.4</v>
      </c>
      <c r="E132" s="499" t="s">
        <v>213</v>
      </c>
      <c r="F132" s="532"/>
      <c r="G132" s="526">
        <f t="shared" si="33"/>
        <v>0</v>
      </c>
      <c r="I132" s="739">
        <v>7</v>
      </c>
      <c r="J132" s="539">
        <v>90</v>
      </c>
      <c r="K132" s="498">
        <v>-0.9</v>
      </c>
      <c r="L132" s="499" t="s">
        <v>213</v>
      </c>
      <c r="M132" s="532"/>
      <c r="N132" s="526">
        <f t="shared" si="34"/>
        <v>0</v>
      </c>
      <c r="P132" s="739">
        <v>7</v>
      </c>
      <c r="Q132" s="498">
        <v>1020</v>
      </c>
      <c r="R132" s="499">
        <v>9.9999999999999995E-7</v>
      </c>
      <c r="S132" s="499" t="s">
        <v>213</v>
      </c>
      <c r="T132" s="532"/>
      <c r="U132" s="526">
        <f t="shared" si="35"/>
        <v>0</v>
      </c>
    </row>
    <row r="133" spans="1:24" ht="13.8" thickBot="1">
      <c r="A133" s="729"/>
      <c r="C133" s="540"/>
      <c r="D133" s="516"/>
      <c r="E133" s="541"/>
      <c r="F133" s="540"/>
      <c r="I133" s="540"/>
      <c r="J133" s="516"/>
      <c r="K133" s="541"/>
      <c r="L133" s="540"/>
      <c r="O133" s="516"/>
      <c r="P133" s="541"/>
      <c r="Q133" s="541"/>
      <c r="R133" s="540"/>
    </row>
    <row r="134" spans="1:24">
      <c r="A134" s="1354">
        <v>13</v>
      </c>
      <c r="B134" s="1358" t="s">
        <v>491</v>
      </c>
      <c r="C134" s="1358"/>
      <c r="D134" s="1358"/>
      <c r="E134" s="1358"/>
      <c r="F134" s="1358"/>
      <c r="G134" s="1358"/>
      <c r="I134" s="1358" t="str">
        <f>B134</f>
        <v>KOREKSI EXTECH A.100605</v>
      </c>
      <c r="J134" s="1358"/>
      <c r="K134" s="1358"/>
      <c r="L134" s="1358"/>
      <c r="M134" s="1358"/>
      <c r="N134" s="1358"/>
      <c r="P134" s="1358" t="str">
        <f>I134</f>
        <v>KOREKSI EXTECH A.100605</v>
      </c>
      <c r="Q134" s="1358"/>
      <c r="R134" s="1358"/>
      <c r="S134" s="1358"/>
      <c r="T134" s="1358"/>
      <c r="U134" s="1358"/>
      <c r="W134" s="1363" t="s">
        <v>237</v>
      </c>
      <c r="X134" s="1364"/>
    </row>
    <row r="135" spans="1:24">
      <c r="A135" s="1354"/>
      <c r="B135" s="1365" t="s">
        <v>258</v>
      </c>
      <c r="C135" s="1365"/>
      <c r="D135" s="1365" t="s">
        <v>259</v>
      </c>
      <c r="E135" s="1365"/>
      <c r="F135" s="1365"/>
      <c r="G135" s="1365" t="s">
        <v>215</v>
      </c>
      <c r="I135" s="1365" t="s">
        <v>260</v>
      </c>
      <c r="J135" s="1365"/>
      <c r="K135" s="1365" t="s">
        <v>259</v>
      </c>
      <c r="L135" s="1365"/>
      <c r="M135" s="1365"/>
      <c r="N135" s="1365" t="s">
        <v>215</v>
      </c>
      <c r="P135" s="1365" t="s">
        <v>488</v>
      </c>
      <c r="Q135" s="1365"/>
      <c r="R135" s="1365" t="s">
        <v>259</v>
      </c>
      <c r="S135" s="1365"/>
      <c r="T135" s="1365"/>
      <c r="U135" s="1365" t="s">
        <v>215</v>
      </c>
      <c r="W135" s="522" t="s">
        <v>258</v>
      </c>
      <c r="X135" s="523">
        <v>0.5</v>
      </c>
    </row>
    <row r="136" spans="1:24" ht="14.4">
      <c r="A136" s="1354"/>
      <c r="B136" s="1353" t="s">
        <v>261</v>
      </c>
      <c r="C136" s="1353"/>
      <c r="D136" s="524">
        <v>2022</v>
      </c>
      <c r="E136" s="524">
        <v>2020</v>
      </c>
      <c r="F136" s="524">
        <v>2016</v>
      </c>
      <c r="G136" s="1365"/>
      <c r="I136" s="1352" t="s">
        <v>14</v>
      </c>
      <c r="J136" s="1353"/>
      <c r="K136" s="538">
        <f>D136</f>
        <v>2022</v>
      </c>
      <c r="L136" s="538">
        <f>E136</f>
        <v>2020</v>
      </c>
      <c r="M136" s="524">
        <v>2016</v>
      </c>
      <c r="N136" s="1365"/>
      <c r="P136" s="1352" t="s">
        <v>489</v>
      </c>
      <c r="Q136" s="1353"/>
      <c r="R136" s="538">
        <f>K136</f>
        <v>2022</v>
      </c>
      <c r="S136" s="538">
        <f>L136</f>
        <v>2020</v>
      </c>
      <c r="T136" s="524">
        <v>2016</v>
      </c>
      <c r="U136" s="1365"/>
      <c r="W136" s="522" t="s">
        <v>14</v>
      </c>
      <c r="X136" s="523">
        <v>2.2999999999999998</v>
      </c>
    </row>
    <row r="137" spans="1:24" ht="13.8" thickBot="1">
      <c r="A137" s="1354"/>
      <c r="B137" s="739">
        <v>1</v>
      </c>
      <c r="C137" s="495">
        <v>15</v>
      </c>
      <c r="D137" s="495">
        <v>0.5</v>
      </c>
      <c r="E137" s="495">
        <v>-0.7</v>
      </c>
      <c r="F137" s="532"/>
      <c r="G137" s="526">
        <f>0.5*(MAX(D137:F137)-MIN(D137:F137))</f>
        <v>0.6</v>
      </c>
      <c r="I137" s="739">
        <v>1</v>
      </c>
      <c r="J137" s="495">
        <v>30</v>
      </c>
      <c r="K137" s="495">
        <v>-2.2000000000000002</v>
      </c>
      <c r="L137" s="495">
        <v>-1.4</v>
      </c>
      <c r="M137" s="532"/>
      <c r="N137" s="526">
        <f>0.5*(MAX(K137:M137)-MIN(K137:M137))</f>
        <v>0.40000000000000013</v>
      </c>
      <c r="P137" s="739">
        <v>1</v>
      </c>
      <c r="Q137" s="495">
        <v>985</v>
      </c>
      <c r="R137" s="528">
        <v>3.8</v>
      </c>
      <c r="S137" s="528">
        <v>0.9</v>
      </c>
      <c r="T137" s="532"/>
      <c r="U137" s="526">
        <f>0.5*(MAX(R137:T137)-MIN(R137:T137))</f>
        <v>1.45</v>
      </c>
      <c r="W137" s="529" t="s">
        <v>489</v>
      </c>
      <c r="X137" s="493">
        <v>2.4</v>
      </c>
    </row>
    <row r="138" spans="1:24">
      <c r="A138" s="1354"/>
      <c r="B138" s="739">
        <v>2</v>
      </c>
      <c r="C138" s="495">
        <v>20</v>
      </c>
      <c r="D138" s="495">
        <v>0.2</v>
      </c>
      <c r="E138" s="495">
        <v>-0.4</v>
      </c>
      <c r="F138" s="532"/>
      <c r="G138" s="526">
        <f t="shared" ref="G138:G143" si="36">0.5*(MAX(D138:F138)-MIN(D138:F138))</f>
        <v>0.30000000000000004</v>
      </c>
      <c r="I138" s="739">
        <v>2</v>
      </c>
      <c r="J138" s="495">
        <v>40</v>
      </c>
      <c r="K138" s="495">
        <v>-2</v>
      </c>
      <c r="L138" s="495">
        <v>-1.3</v>
      </c>
      <c r="M138" s="532"/>
      <c r="N138" s="526">
        <f t="shared" ref="N138:N143" si="37">0.5*(MAX(K138:M138)-MIN(K138:M138))</f>
        <v>0.35</v>
      </c>
      <c r="P138" s="739">
        <v>2</v>
      </c>
      <c r="Q138" s="495">
        <v>990</v>
      </c>
      <c r="R138" s="528">
        <v>3.8</v>
      </c>
      <c r="S138" s="528">
        <v>1</v>
      </c>
      <c r="T138" s="532"/>
      <c r="U138" s="526">
        <f t="shared" ref="U138:U143" si="38">0.5*(MAX(R138:T138)-MIN(R138:T138))</f>
        <v>1.4</v>
      </c>
    </row>
    <row r="139" spans="1:24">
      <c r="A139" s="1354"/>
      <c r="B139" s="739">
        <v>3</v>
      </c>
      <c r="C139" s="495">
        <v>25</v>
      </c>
      <c r="D139" s="495">
        <v>0.1</v>
      </c>
      <c r="E139" s="495">
        <v>-0.2</v>
      </c>
      <c r="F139" s="532"/>
      <c r="G139" s="526">
        <f t="shared" si="36"/>
        <v>0.15000000000000002</v>
      </c>
      <c r="I139" s="739">
        <v>3</v>
      </c>
      <c r="J139" s="495">
        <v>50</v>
      </c>
      <c r="K139" s="495">
        <v>-1.8</v>
      </c>
      <c r="L139" s="495">
        <v>-1.3</v>
      </c>
      <c r="M139" s="532"/>
      <c r="N139" s="526">
        <f t="shared" si="37"/>
        <v>0.25</v>
      </c>
      <c r="P139" s="739">
        <v>3</v>
      </c>
      <c r="Q139" s="498">
        <v>995</v>
      </c>
      <c r="R139" s="499">
        <v>3.7</v>
      </c>
      <c r="S139" s="499">
        <v>1</v>
      </c>
      <c r="T139" s="532"/>
      <c r="U139" s="526">
        <f t="shared" si="38"/>
        <v>1.35</v>
      </c>
    </row>
    <row r="140" spans="1:24">
      <c r="A140" s="1354"/>
      <c r="B140" s="739">
        <v>4</v>
      </c>
      <c r="C140" s="498">
        <v>30</v>
      </c>
      <c r="D140" s="498">
        <v>-0.1</v>
      </c>
      <c r="E140" s="498">
        <v>0.1</v>
      </c>
      <c r="F140" s="532"/>
      <c r="G140" s="526">
        <f t="shared" si="36"/>
        <v>0.1</v>
      </c>
      <c r="I140" s="739">
        <v>4</v>
      </c>
      <c r="J140" s="498">
        <v>60</v>
      </c>
      <c r="K140" s="498">
        <v>-1.6</v>
      </c>
      <c r="L140" s="498">
        <v>-1.5</v>
      </c>
      <c r="M140" s="532"/>
      <c r="N140" s="526">
        <f t="shared" si="37"/>
        <v>5.0000000000000044E-2</v>
      </c>
      <c r="P140" s="739">
        <v>4</v>
      </c>
      <c r="Q140" s="498">
        <v>1000</v>
      </c>
      <c r="R140" s="499">
        <v>3.7</v>
      </c>
      <c r="S140" s="499">
        <v>1.1000000000000001</v>
      </c>
      <c r="T140" s="532"/>
      <c r="U140" s="526">
        <f t="shared" si="38"/>
        <v>1.3</v>
      </c>
    </row>
    <row r="141" spans="1:24">
      <c r="A141" s="1354"/>
      <c r="B141" s="739">
        <v>5</v>
      </c>
      <c r="C141" s="498">
        <v>35</v>
      </c>
      <c r="D141" s="498">
        <v>-0.2</v>
      </c>
      <c r="E141" s="498">
        <v>0.3</v>
      </c>
      <c r="F141" s="532"/>
      <c r="G141" s="526">
        <f t="shared" si="36"/>
        <v>0.25</v>
      </c>
      <c r="I141" s="739">
        <v>5</v>
      </c>
      <c r="J141" s="498">
        <v>70</v>
      </c>
      <c r="K141" s="498">
        <v>-1.4</v>
      </c>
      <c r="L141" s="498">
        <v>-1.9</v>
      </c>
      <c r="M141" s="532"/>
      <c r="N141" s="526">
        <f t="shared" si="37"/>
        <v>0.25</v>
      </c>
      <c r="P141" s="739">
        <v>5</v>
      </c>
      <c r="Q141" s="498">
        <v>1005</v>
      </c>
      <c r="R141" s="499">
        <v>3.6</v>
      </c>
      <c r="S141" s="499">
        <v>1.1000000000000001</v>
      </c>
      <c r="T141" s="532"/>
      <c r="U141" s="526">
        <f t="shared" si="38"/>
        <v>1.25</v>
      </c>
    </row>
    <row r="142" spans="1:24">
      <c r="A142" s="1354"/>
      <c r="B142" s="739">
        <v>6</v>
      </c>
      <c r="C142" s="498">
        <v>37</v>
      </c>
      <c r="D142" s="498">
        <v>-0.2</v>
      </c>
      <c r="E142" s="498">
        <v>0.4</v>
      </c>
      <c r="F142" s="532"/>
      <c r="G142" s="526">
        <f t="shared" si="36"/>
        <v>0.30000000000000004</v>
      </c>
      <c r="I142" s="739">
        <v>6</v>
      </c>
      <c r="J142" s="498">
        <v>80</v>
      </c>
      <c r="K142" s="498">
        <v>-1.2</v>
      </c>
      <c r="L142" s="498">
        <v>-2.5</v>
      </c>
      <c r="M142" s="532"/>
      <c r="N142" s="526">
        <f t="shared" si="37"/>
        <v>0.65</v>
      </c>
      <c r="P142" s="739">
        <v>6</v>
      </c>
      <c r="Q142" s="498">
        <v>1010</v>
      </c>
      <c r="R142" s="499">
        <v>3.5</v>
      </c>
      <c r="S142" s="499">
        <v>1.1000000000000001</v>
      </c>
      <c r="T142" s="532"/>
      <c r="U142" s="526">
        <f t="shared" si="38"/>
        <v>1.2</v>
      </c>
    </row>
    <row r="143" spans="1:24">
      <c r="A143" s="1354"/>
      <c r="B143" s="739">
        <v>7</v>
      </c>
      <c r="C143" s="539">
        <v>40</v>
      </c>
      <c r="D143" s="498">
        <v>-0.2</v>
      </c>
      <c r="E143" s="498">
        <v>0.5</v>
      </c>
      <c r="F143" s="532"/>
      <c r="G143" s="526">
        <f t="shared" si="36"/>
        <v>0.35</v>
      </c>
      <c r="I143" s="739">
        <v>7</v>
      </c>
      <c r="J143" s="539">
        <v>90</v>
      </c>
      <c r="K143" s="498">
        <v>-1</v>
      </c>
      <c r="L143" s="498">
        <v>-3.2</v>
      </c>
      <c r="M143" s="532"/>
      <c r="N143" s="526">
        <f t="shared" si="37"/>
        <v>1.1000000000000001</v>
      </c>
      <c r="P143" s="739">
        <v>7</v>
      </c>
      <c r="Q143" s="498">
        <v>1020</v>
      </c>
      <c r="R143" s="499">
        <v>9.9999999999999995E-7</v>
      </c>
      <c r="S143" s="499">
        <v>9.9999999999999995E-7</v>
      </c>
      <c r="T143" s="532"/>
      <c r="U143" s="526">
        <f t="shared" si="38"/>
        <v>0</v>
      </c>
    </row>
    <row r="144" spans="1:24" ht="13.8" thickBot="1">
      <c r="A144" s="729"/>
      <c r="C144" s="540"/>
      <c r="D144" s="516"/>
      <c r="E144" s="541"/>
      <c r="F144" s="540"/>
      <c r="J144" s="540"/>
      <c r="K144" s="516"/>
      <c r="L144" s="541"/>
      <c r="M144" s="540"/>
      <c r="Q144" s="516"/>
      <c r="R144" s="541"/>
      <c r="S144" s="541"/>
      <c r="T144" s="540"/>
    </row>
    <row r="145" spans="1:24">
      <c r="A145" s="1354">
        <v>14</v>
      </c>
      <c r="B145" s="1358" t="s">
        <v>492</v>
      </c>
      <c r="C145" s="1358"/>
      <c r="D145" s="1358"/>
      <c r="E145" s="1358"/>
      <c r="F145" s="1358"/>
      <c r="G145" s="1358"/>
      <c r="I145" s="1358" t="str">
        <f>B145</f>
        <v>KOREKSI EXTECH A.100609</v>
      </c>
      <c r="J145" s="1358"/>
      <c r="K145" s="1358"/>
      <c r="L145" s="1358"/>
      <c r="M145" s="1358"/>
      <c r="N145" s="1358"/>
      <c r="P145" s="1358" t="str">
        <f>I145</f>
        <v>KOREKSI EXTECH A.100609</v>
      </c>
      <c r="Q145" s="1358"/>
      <c r="R145" s="1358"/>
      <c r="S145" s="1358"/>
      <c r="T145" s="1358"/>
      <c r="U145" s="1358"/>
      <c r="W145" s="1363" t="s">
        <v>237</v>
      </c>
      <c r="X145" s="1364"/>
    </row>
    <row r="146" spans="1:24">
      <c r="A146" s="1354"/>
      <c r="B146" s="1365" t="s">
        <v>258</v>
      </c>
      <c r="C146" s="1365"/>
      <c r="D146" s="1365" t="s">
        <v>259</v>
      </c>
      <c r="E146" s="1365"/>
      <c r="F146" s="1365"/>
      <c r="G146" s="1365" t="s">
        <v>215</v>
      </c>
      <c r="I146" s="1365" t="s">
        <v>260</v>
      </c>
      <c r="J146" s="1365"/>
      <c r="K146" s="1365" t="s">
        <v>259</v>
      </c>
      <c r="L146" s="1365"/>
      <c r="M146" s="1365"/>
      <c r="N146" s="1365" t="s">
        <v>215</v>
      </c>
      <c r="P146" s="1365" t="s">
        <v>488</v>
      </c>
      <c r="Q146" s="1365"/>
      <c r="R146" s="1365" t="s">
        <v>259</v>
      </c>
      <c r="S146" s="1365"/>
      <c r="T146" s="1365"/>
      <c r="U146" s="1365" t="s">
        <v>215</v>
      </c>
      <c r="W146" s="522" t="s">
        <v>258</v>
      </c>
      <c r="X146" s="523">
        <v>0.5</v>
      </c>
    </row>
    <row r="147" spans="1:24" ht="14.4">
      <c r="A147" s="1354"/>
      <c r="B147" s="1353" t="s">
        <v>261</v>
      </c>
      <c r="C147" s="1353"/>
      <c r="D147" s="524">
        <v>2022</v>
      </c>
      <c r="E147" s="524">
        <v>2020</v>
      </c>
      <c r="F147" s="524">
        <v>2016</v>
      </c>
      <c r="G147" s="1365"/>
      <c r="I147" s="1352" t="s">
        <v>14</v>
      </c>
      <c r="J147" s="1353"/>
      <c r="K147" s="538">
        <f>D147</f>
        <v>2022</v>
      </c>
      <c r="L147" s="538">
        <f>E147</f>
        <v>2020</v>
      </c>
      <c r="M147" s="524">
        <v>2016</v>
      </c>
      <c r="N147" s="1365"/>
      <c r="P147" s="1352" t="s">
        <v>489</v>
      </c>
      <c r="Q147" s="1353"/>
      <c r="R147" s="538">
        <f>K147</f>
        <v>2022</v>
      </c>
      <c r="S147" s="538">
        <f>L147</f>
        <v>2020</v>
      </c>
      <c r="T147" s="524">
        <v>2016</v>
      </c>
      <c r="U147" s="1365"/>
      <c r="W147" s="522" t="s">
        <v>14</v>
      </c>
      <c r="X147" s="523">
        <v>2.7</v>
      </c>
    </row>
    <row r="148" spans="1:24" ht="13.8" thickBot="1">
      <c r="A148" s="1354"/>
      <c r="B148" s="739">
        <v>1</v>
      </c>
      <c r="C148" s="495">
        <v>15</v>
      </c>
      <c r="D148" s="495">
        <v>0.5</v>
      </c>
      <c r="E148" s="495">
        <v>-0.2</v>
      </c>
      <c r="F148" s="532"/>
      <c r="G148" s="526">
        <f>0.5*(MAX(D148:F148)-MIN(D148:F148))</f>
        <v>0.35</v>
      </c>
      <c r="I148" s="739">
        <v>1</v>
      </c>
      <c r="J148" s="495">
        <v>30</v>
      </c>
      <c r="K148" s="495">
        <v>-0.8</v>
      </c>
      <c r="L148" s="495">
        <v>0.6</v>
      </c>
      <c r="M148" s="532"/>
      <c r="N148" s="526">
        <f>0.5*(MAX(K148:M148)-MIN(K148:M148))</f>
        <v>0.7</v>
      </c>
      <c r="P148" s="739">
        <v>1</v>
      </c>
      <c r="Q148" s="495">
        <v>985</v>
      </c>
      <c r="R148" s="528">
        <v>3.9</v>
      </c>
      <c r="S148" s="528">
        <v>0.9</v>
      </c>
      <c r="T148" s="532"/>
      <c r="U148" s="526">
        <f>0.5*(MAX(R148:T148)-MIN(R148:T148))</f>
        <v>1.5</v>
      </c>
      <c r="W148" s="529" t="s">
        <v>489</v>
      </c>
      <c r="X148" s="493">
        <v>2.4</v>
      </c>
    </row>
    <row r="149" spans="1:24">
      <c r="A149" s="1354"/>
      <c r="B149" s="739">
        <v>2</v>
      </c>
      <c r="C149" s="495">
        <v>20</v>
      </c>
      <c r="D149" s="495">
        <v>0.2</v>
      </c>
      <c r="E149" s="495">
        <v>-0.1</v>
      </c>
      <c r="F149" s="532"/>
      <c r="G149" s="526">
        <f t="shared" ref="G149:G154" si="39">0.5*(MAX(D149:F149)-MIN(D149:F149))</f>
        <v>0.15000000000000002</v>
      </c>
      <c r="I149" s="739">
        <v>2</v>
      </c>
      <c r="J149" s="495">
        <v>40</v>
      </c>
      <c r="K149" s="495">
        <v>-0.4</v>
      </c>
      <c r="L149" s="495">
        <v>0.3</v>
      </c>
      <c r="M149" s="532"/>
      <c r="N149" s="526">
        <f t="shared" ref="N149:N154" si="40">0.5*(MAX(K149:M149)-MIN(K149:M149))</f>
        <v>0.35</v>
      </c>
      <c r="P149" s="739">
        <v>2</v>
      </c>
      <c r="Q149" s="495">
        <v>990</v>
      </c>
      <c r="R149" s="528">
        <v>3.9</v>
      </c>
      <c r="S149" s="528">
        <v>1</v>
      </c>
      <c r="T149" s="532"/>
      <c r="U149" s="526">
        <f t="shared" ref="U149:U154" si="41">0.5*(MAX(R149:T149)-MIN(R149:T149))</f>
        <v>1.45</v>
      </c>
    </row>
    <row r="150" spans="1:24">
      <c r="A150" s="1354"/>
      <c r="B150" s="739">
        <v>3</v>
      </c>
      <c r="C150" s="495">
        <v>25</v>
      </c>
      <c r="D150" s="495">
        <v>-0.1</v>
      </c>
      <c r="E150" s="495">
        <v>-0.1</v>
      </c>
      <c r="F150" s="532"/>
      <c r="G150" s="526">
        <f t="shared" si="39"/>
        <v>0</v>
      </c>
      <c r="I150" s="739">
        <v>3</v>
      </c>
      <c r="J150" s="495">
        <v>50</v>
      </c>
      <c r="K150" s="495">
        <v>9.9999999999999995E-7</v>
      </c>
      <c r="L150" s="495">
        <v>-0.2</v>
      </c>
      <c r="M150" s="532"/>
      <c r="N150" s="526">
        <f t="shared" si="40"/>
        <v>0.10000050000000001</v>
      </c>
      <c r="P150" s="739">
        <v>3</v>
      </c>
      <c r="Q150" s="498">
        <v>995</v>
      </c>
      <c r="R150" s="499">
        <v>3.8</v>
      </c>
      <c r="S150" s="499">
        <v>1</v>
      </c>
      <c r="T150" s="532"/>
      <c r="U150" s="526">
        <f t="shared" si="41"/>
        <v>1.4</v>
      </c>
    </row>
    <row r="151" spans="1:24">
      <c r="A151" s="1354"/>
      <c r="B151" s="739">
        <v>4</v>
      </c>
      <c r="C151" s="498">
        <v>30</v>
      </c>
      <c r="D151" s="498">
        <v>-0.4</v>
      </c>
      <c r="E151" s="498">
        <v>-0.3</v>
      </c>
      <c r="F151" s="532"/>
      <c r="G151" s="526">
        <f t="shared" si="39"/>
        <v>5.0000000000000017E-2</v>
      </c>
      <c r="I151" s="739">
        <v>4</v>
      </c>
      <c r="J151" s="498">
        <v>60</v>
      </c>
      <c r="K151" s="498">
        <v>0.3</v>
      </c>
      <c r="L151" s="498">
        <v>-0.6</v>
      </c>
      <c r="M151" s="532"/>
      <c r="N151" s="526">
        <f t="shared" si="40"/>
        <v>0.44999999999999996</v>
      </c>
      <c r="P151" s="739">
        <v>4</v>
      </c>
      <c r="Q151" s="498">
        <v>1000</v>
      </c>
      <c r="R151" s="499">
        <v>3.8</v>
      </c>
      <c r="S151" s="499">
        <v>1.1000000000000001</v>
      </c>
      <c r="T151" s="532"/>
      <c r="U151" s="526">
        <f t="shared" si="41"/>
        <v>1.3499999999999999</v>
      </c>
    </row>
    <row r="152" spans="1:24">
      <c r="A152" s="1354"/>
      <c r="B152" s="739">
        <v>5</v>
      </c>
      <c r="C152" s="498">
        <v>35</v>
      </c>
      <c r="D152" s="498">
        <v>-0.6</v>
      </c>
      <c r="E152" s="498">
        <v>-0.6</v>
      </c>
      <c r="F152" s="532"/>
      <c r="G152" s="526">
        <f t="shared" si="39"/>
        <v>0</v>
      </c>
      <c r="I152" s="739">
        <v>5</v>
      </c>
      <c r="J152" s="498">
        <v>70</v>
      </c>
      <c r="K152" s="498">
        <v>0.7</v>
      </c>
      <c r="L152" s="498">
        <v>-0.8</v>
      </c>
      <c r="M152" s="532"/>
      <c r="N152" s="526">
        <f t="shared" si="40"/>
        <v>0.75</v>
      </c>
      <c r="P152" s="739">
        <v>5</v>
      </c>
      <c r="Q152" s="498">
        <v>1005</v>
      </c>
      <c r="R152" s="499">
        <v>3.8</v>
      </c>
      <c r="S152" s="499">
        <v>1.1000000000000001</v>
      </c>
      <c r="T152" s="532"/>
      <c r="U152" s="526">
        <f t="shared" si="41"/>
        <v>1.3499999999999999</v>
      </c>
    </row>
    <row r="153" spans="1:24">
      <c r="A153" s="1354"/>
      <c r="B153" s="739">
        <v>6</v>
      </c>
      <c r="C153" s="498">
        <v>37</v>
      </c>
      <c r="D153" s="498">
        <v>-0.7</v>
      </c>
      <c r="E153" s="498">
        <v>-0.8</v>
      </c>
      <c r="F153" s="532"/>
      <c r="G153" s="526">
        <f t="shared" si="39"/>
        <v>5.0000000000000044E-2</v>
      </c>
      <c r="I153" s="739">
        <v>6</v>
      </c>
      <c r="J153" s="498">
        <v>80</v>
      </c>
      <c r="K153" s="498">
        <v>1.1000000000000001</v>
      </c>
      <c r="L153" s="498">
        <v>-0.9</v>
      </c>
      <c r="M153" s="532"/>
      <c r="N153" s="526">
        <f t="shared" si="40"/>
        <v>1</v>
      </c>
      <c r="P153" s="739">
        <v>6</v>
      </c>
      <c r="Q153" s="498">
        <v>1010</v>
      </c>
      <c r="R153" s="499">
        <v>3.7</v>
      </c>
      <c r="S153" s="499">
        <v>1.1000000000000001</v>
      </c>
      <c r="T153" s="532"/>
      <c r="U153" s="526">
        <f t="shared" si="41"/>
        <v>1.3</v>
      </c>
    </row>
    <row r="154" spans="1:24">
      <c r="A154" s="1354"/>
      <c r="B154" s="739">
        <v>7</v>
      </c>
      <c r="C154" s="539">
        <v>40</v>
      </c>
      <c r="D154" s="498">
        <v>-0.8</v>
      </c>
      <c r="E154" s="498">
        <v>-1.1000000000000001</v>
      </c>
      <c r="F154" s="532"/>
      <c r="G154" s="526">
        <f t="shared" si="39"/>
        <v>0.15000000000000002</v>
      </c>
      <c r="I154" s="739">
        <v>7</v>
      </c>
      <c r="J154" s="539">
        <v>90</v>
      </c>
      <c r="K154" s="498">
        <v>1.5</v>
      </c>
      <c r="L154" s="498">
        <v>-0.8</v>
      </c>
      <c r="M154" s="532"/>
      <c r="N154" s="526">
        <f t="shared" si="40"/>
        <v>1.1499999999999999</v>
      </c>
      <c r="P154" s="739">
        <v>7</v>
      </c>
      <c r="Q154" s="498">
        <v>1020</v>
      </c>
      <c r="R154" s="499">
        <v>9.9999999999999995E-7</v>
      </c>
      <c r="S154" s="499">
        <v>9.9999999999999995E-7</v>
      </c>
      <c r="T154" s="532"/>
      <c r="U154" s="526">
        <f t="shared" si="41"/>
        <v>0</v>
      </c>
    </row>
    <row r="155" spans="1:24" ht="13.8" thickBot="1">
      <c r="A155" s="729"/>
      <c r="C155" s="540"/>
      <c r="D155" s="516"/>
      <c r="E155" s="541"/>
      <c r="F155" s="540"/>
      <c r="J155" s="540"/>
      <c r="K155" s="516"/>
      <c r="L155" s="541"/>
      <c r="M155" s="540"/>
      <c r="Q155" s="516"/>
      <c r="R155" s="541"/>
      <c r="S155" s="541"/>
      <c r="T155" s="540"/>
    </row>
    <row r="156" spans="1:24">
      <c r="A156" s="1354">
        <v>15</v>
      </c>
      <c r="B156" s="1358" t="s">
        <v>493</v>
      </c>
      <c r="C156" s="1358"/>
      <c r="D156" s="1358"/>
      <c r="E156" s="1358"/>
      <c r="F156" s="1358"/>
      <c r="G156" s="1358"/>
      <c r="I156" s="1358" t="str">
        <f>B156</f>
        <v>KOREKSI EXTECH A.100611</v>
      </c>
      <c r="J156" s="1358"/>
      <c r="K156" s="1358"/>
      <c r="L156" s="1358"/>
      <c r="M156" s="1358"/>
      <c r="N156" s="1358"/>
      <c r="P156" s="1358" t="str">
        <f>I156</f>
        <v>KOREKSI EXTECH A.100611</v>
      </c>
      <c r="Q156" s="1358"/>
      <c r="R156" s="1358"/>
      <c r="S156" s="1358"/>
      <c r="T156" s="1358"/>
      <c r="U156" s="1358"/>
      <c r="W156" s="1363" t="s">
        <v>237</v>
      </c>
      <c r="X156" s="1364"/>
    </row>
    <row r="157" spans="1:24">
      <c r="A157" s="1354"/>
      <c r="B157" s="1365" t="s">
        <v>258</v>
      </c>
      <c r="C157" s="1365"/>
      <c r="D157" s="1365" t="s">
        <v>259</v>
      </c>
      <c r="E157" s="1365"/>
      <c r="F157" s="1365"/>
      <c r="G157" s="1365" t="s">
        <v>215</v>
      </c>
      <c r="I157" s="1365" t="s">
        <v>260</v>
      </c>
      <c r="J157" s="1365"/>
      <c r="K157" s="1365" t="s">
        <v>259</v>
      </c>
      <c r="L157" s="1365"/>
      <c r="M157" s="1365"/>
      <c r="N157" s="1365" t="s">
        <v>215</v>
      </c>
      <c r="P157" s="1365" t="s">
        <v>488</v>
      </c>
      <c r="Q157" s="1365"/>
      <c r="R157" s="1365" t="s">
        <v>259</v>
      </c>
      <c r="S157" s="1365"/>
      <c r="T157" s="1365"/>
      <c r="U157" s="1365" t="s">
        <v>215</v>
      </c>
      <c r="W157" s="522" t="s">
        <v>258</v>
      </c>
      <c r="X157" s="523">
        <v>0.5</v>
      </c>
    </row>
    <row r="158" spans="1:24" ht="14.4">
      <c r="A158" s="1354"/>
      <c r="B158" s="1353" t="s">
        <v>261</v>
      </c>
      <c r="C158" s="1353"/>
      <c r="D158" s="524">
        <v>2022</v>
      </c>
      <c r="E158" s="524">
        <v>2020</v>
      </c>
      <c r="F158" s="524">
        <v>2016</v>
      </c>
      <c r="G158" s="1365"/>
      <c r="I158" s="1352" t="s">
        <v>14</v>
      </c>
      <c r="J158" s="1353"/>
      <c r="K158" s="538">
        <f>D158</f>
        <v>2022</v>
      </c>
      <c r="L158" s="538">
        <f>E158</f>
        <v>2020</v>
      </c>
      <c r="M158" s="524">
        <v>2016</v>
      </c>
      <c r="N158" s="1365"/>
      <c r="P158" s="1352" t="s">
        <v>489</v>
      </c>
      <c r="Q158" s="1353"/>
      <c r="R158" s="538">
        <f>K158</f>
        <v>2022</v>
      </c>
      <c r="S158" s="538">
        <f>L158</f>
        <v>2020</v>
      </c>
      <c r="T158" s="524">
        <v>2016</v>
      </c>
      <c r="U158" s="1365"/>
      <c r="W158" s="522" t="s">
        <v>14</v>
      </c>
      <c r="X158" s="523">
        <v>2.6</v>
      </c>
    </row>
    <row r="159" spans="1:24" ht="13.8" thickBot="1">
      <c r="A159" s="1354"/>
      <c r="B159" s="739">
        <v>1</v>
      </c>
      <c r="C159" s="495">
        <v>15</v>
      </c>
      <c r="D159" s="495">
        <v>0.6</v>
      </c>
      <c r="E159" s="495">
        <v>-0.6</v>
      </c>
      <c r="F159" s="532"/>
      <c r="G159" s="526">
        <f>0.5*(MAX(D159:F159)-MIN(D159:F159))</f>
        <v>0.6</v>
      </c>
      <c r="I159" s="739">
        <v>1</v>
      </c>
      <c r="J159" s="495">
        <v>30</v>
      </c>
      <c r="K159" s="495">
        <v>-2</v>
      </c>
      <c r="L159" s="495">
        <v>-0.4</v>
      </c>
      <c r="M159" s="532"/>
      <c r="N159" s="526">
        <f>0.5*(MAX(K159:M159)-MIN(K159:M159))</f>
        <v>0.8</v>
      </c>
      <c r="P159" s="739">
        <v>1</v>
      </c>
      <c r="Q159" s="495">
        <v>985</v>
      </c>
      <c r="R159" s="528">
        <v>4.3</v>
      </c>
      <c r="S159" s="528">
        <v>0.9</v>
      </c>
      <c r="T159" s="532"/>
      <c r="U159" s="526">
        <f>0.5*(MAX(R159:T159)-MIN(R159:T159))</f>
        <v>1.7</v>
      </c>
      <c r="W159" s="529" t="s">
        <v>489</v>
      </c>
      <c r="X159" s="493">
        <v>2.6</v>
      </c>
    </row>
    <row r="160" spans="1:24">
      <c r="A160" s="1354"/>
      <c r="B160" s="739">
        <v>2</v>
      </c>
      <c r="C160" s="495">
        <v>20</v>
      </c>
      <c r="D160" s="495">
        <v>0.3</v>
      </c>
      <c r="E160" s="495">
        <v>-0.5</v>
      </c>
      <c r="F160" s="532"/>
      <c r="G160" s="526">
        <f t="shared" ref="G160:G165" si="42">0.5*(MAX(D160:F160)-MIN(D160:F160))</f>
        <v>0.4</v>
      </c>
      <c r="I160" s="739">
        <v>2</v>
      </c>
      <c r="J160" s="495">
        <v>40</v>
      </c>
      <c r="K160" s="495">
        <v>-1.7</v>
      </c>
      <c r="L160" s="495">
        <v>-0.3</v>
      </c>
      <c r="M160" s="532"/>
      <c r="N160" s="526">
        <f t="shared" ref="N160:N165" si="43">0.5*(MAX(K160:M160)-MIN(K160:M160))</f>
        <v>0.7</v>
      </c>
      <c r="P160" s="739">
        <v>2</v>
      </c>
      <c r="Q160" s="495">
        <v>990</v>
      </c>
      <c r="R160" s="528">
        <v>4.2</v>
      </c>
      <c r="S160" s="528">
        <v>1</v>
      </c>
      <c r="T160" s="532"/>
      <c r="U160" s="526">
        <f t="shared" ref="U160:U165" si="44">0.5*(MAX(R160:T160)-MIN(R160:T160))</f>
        <v>1.6</v>
      </c>
    </row>
    <row r="161" spans="1:24">
      <c r="A161" s="1354"/>
      <c r="B161" s="739">
        <v>3</v>
      </c>
      <c r="C161" s="495">
        <v>25</v>
      </c>
      <c r="D161" s="495">
        <v>0.2</v>
      </c>
      <c r="E161" s="495">
        <v>-0.4</v>
      </c>
      <c r="F161" s="532"/>
      <c r="G161" s="526">
        <f t="shared" si="42"/>
        <v>0.30000000000000004</v>
      </c>
      <c r="I161" s="739">
        <v>3</v>
      </c>
      <c r="J161" s="495">
        <v>50</v>
      </c>
      <c r="K161" s="495">
        <v>-1.4</v>
      </c>
      <c r="L161" s="495">
        <v>-0.3</v>
      </c>
      <c r="M161" s="532"/>
      <c r="N161" s="526">
        <f t="shared" si="43"/>
        <v>0.54999999999999993</v>
      </c>
      <c r="P161" s="739">
        <v>3</v>
      </c>
      <c r="Q161" s="498">
        <v>995</v>
      </c>
      <c r="R161" s="499">
        <v>4.0999999999999996</v>
      </c>
      <c r="S161" s="499">
        <v>1</v>
      </c>
      <c r="T161" s="532"/>
      <c r="U161" s="526">
        <f t="shared" si="44"/>
        <v>1.5499999999999998</v>
      </c>
    </row>
    <row r="162" spans="1:24">
      <c r="A162" s="1354"/>
      <c r="B162" s="739">
        <v>4</v>
      </c>
      <c r="C162" s="498">
        <v>30</v>
      </c>
      <c r="D162" s="498">
        <v>0.4</v>
      </c>
      <c r="E162" s="498">
        <v>-0.2</v>
      </c>
      <c r="F162" s="532"/>
      <c r="G162" s="526">
        <f t="shared" si="42"/>
        <v>0.30000000000000004</v>
      </c>
      <c r="I162" s="739">
        <v>4</v>
      </c>
      <c r="J162" s="498">
        <v>60</v>
      </c>
      <c r="K162" s="498">
        <v>-1.1000000000000001</v>
      </c>
      <c r="L162" s="498">
        <v>-0.5</v>
      </c>
      <c r="M162" s="532"/>
      <c r="N162" s="526">
        <f t="shared" si="43"/>
        <v>0.30000000000000004</v>
      </c>
      <c r="P162" s="739">
        <v>4</v>
      </c>
      <c r="Q162" s="498">
        <v>1000</v>
      </c>
      <c r="R162" s="499">
        <v>4.0999999999999996</v>
      </c>
      <c r="S162" s="499">
        <v>1.1000000000000001</v>
      </c>
      <c r="T162" s="532"/>
      <c r="U162" s="526">
        <f t="shared" si="44"/>
        <v>1.4999999999999998</v>
      </c>
    </row>
    <row r="163" spans="1:24">
      <c r="A163" s="1354"/>
      <c r="B163" s="739">
        <v>5</v>
      </c>
      <c r="C163" s="498">
        <v>35</v>
      </c>
      <c r="D163" s="498">
        <v>0.8</v>
      </c>
      <c r="E163" s="498">
        <v>-0.1</v>
      </c>
      <c r="F163" s="532"/>
      <c r="G163" s="526">
        <f t="shared" si="42"/>
        <v>0.45</v>
      </c>
      <c r="I163" s="739">
        <v>5</v>
      </c>
      <c r="J163" s="498">
        <v>70</v>
      </c>
      <c r="K163" s="498">
        <v>-0.7</v>
      </c>
      <c r="L163" s="498">
        <v>-0.8</v>
      </c>
      <c r="M163" s="532"/>
      <c r="N163" s="526">
        <f t="shared" si="43"/>
        <v>5.0000000000000044E-2</v>
      </c>
      <c r="P163" s="739">
        <v>5</v>
      </c>
      <c r="Q163" s="498">
        <v>1005</v>
      </c>
      <c r="R163" s="499">
        <v>4</v>
      </c>
      <c r="S163" s="499">
        <v>1.1000000000000001</v>
      </c>
      <c r="T163" s="532"/>
      <c r="U163" s="526">
        <f t="shared" si="44"/>
        <v>1.45</v>
      </c>
    </row>
    <row r="164" spans="1:24">
      <c r="A164" s="1354"/>
      <c r="B164" s="739">
        <v>6</v>
      </c>
      <c r="C164" s="498">
        <v>37</v>
      </c>
      <c r="D164" s="498">
        <v>1</v>
      </c>
      <c r="E164" s="498">
        <v>-0.1</v>
      </c>
      <c r="F164" s="532"/>
      <c r="G164" s="526">
        <f t="shared" si="42"/>
        <v>0.55000000000000004</v>
      </c>
      <c r="I164" s="739">
        <v>6</v>
      </c>
      <c r="J164" s="498">
        <v>80</v>
      </c>
      <c r="K164" s="498">
        <v>-0.4</v>
      </c>
      <c r="L164" s="498">
        <v>-1.3</v>
      </c>
      <c r="M164" s="532"/>
      <c r="N164" s="526">
        <f t="shared" si="43"/>
        <v>0.45</v>
      </c>
      <c r="P164" s="739">
        <v>6</v>
      </c>
      <c r="Q164" s="498">
        <v>1010</v>
      </c>
      <c r="R164" s="499">
        <v>3.9</v>
      </c>
      <c r="S164" s="499">
        <v>1.1000000000000001</v>
      </c>
      <c r="T164" s="532"/>
      <c r="U164" s="526">
        <f t="shared" si="44"/>
        <v>1.4</v>
      </c>
    </row>
    <row r="165" spans="1:24">
      <c r="A165" s="1354"/>
      <c r="B165" s="739">
        <v>7</v>
      </c>
      <c r="C165" s="539">
        <v>40</v>
      </c>
      <c r="D165" s="498">
        <v>1.4</v>
      </c>
      <c r="E165" s="498">
        <v>9.9999999999999995E-7</v>
      </c>
      <c r="F165" s="532"/>
      <c r="G165" s="526">
        <f t="shared" si="42"/>
        <v>0.6999995</v>
      </c>
      <c r="I165" s="739">
        <v>7</v>
      </c>
      <c r="J165" s="539">
        <v>90</v>
      </c>
      <c r="K165" s="498">
        <v>-0.1</v>
      </c>
      <c r="L165" s="498">
        <v>-2</v>
      </c>
      <c r="M165" s="532"/>
      <c r="N165" s="526">
        <f t="shared" si="43"/>
        <v>0.95</v>
      </c>
      <c r="P165" s="739">
        <v>7</v>
      </c>
      <c r="Q165" s="498">
        <v>1020</v>
      </c>
      <c r="R165" s="499">
        <v>9.9999999999999995E-7</v>
      </c>
      <c r="S165" s="499">
        <v>9.9999999999999995E-7</v>
      </c>
      <c r="T165" s="532"/>
      <c r="U165" s="526">
        <f t="shared" si="44"/>
        <v>0</v>
      </c>
    </row>
    <row r="166" spans="1:24" ht="13.8" thickBot="1">
      <c r="A166" s="729"/>
      <c r="C166" s="540"/>
      <c r="D166" s="516"/>
      <c r="E166" s="541"/>
      <c r="F166" s="540"/>
      <c r="I166" s="540"/>
      <c r="J166" s="516"/>
      <c r="K166" s="541"/>
      <c r="L166" s="540"/>
      <c r="O166" s="516"/>
      <c r="P166" s="541"/>
      <c r="Q166" s="541"/>
      <c r="R166" s="540"/>
    </row>
    <row r="167" spans="1:24">
      <c r="A167" s="1354">
        <v>16</v>
      </c>
      <c r="B167" s="1358" t="s">
        <v>494</v>
      </c>
      <c r="C167" s="1358"/>
      <c r="D167" s="1358"/>
      <c r="E167" s="1358"/>
      <c r="F167" s="1358"/>
      <c r="G167" s="1358"/>
      <c r="I167" s="1358" t="str">
        <f>B167</f>
        <v>KOREKSI EXTECH A.100616</v>
      </c>
      <c r="J167" s="1358"/>
      <c r="K167" s="1358"/>
      <c r="L167" s="1358"/>
      <c r="M167" s="1358"/>
      <c r="N167" s="1358"/>
      <c r="P167" s="1358" t="str">
        <f>I167</f>
        <v>KOREKSI EXTECH A.100616</v>
      </c>
      <c r="Q167" s="1358"/>
      <c r="R167" s="1358"/>
      <c r="S167" s="1358"/>
      <c r="T167" s="1358"/>
      <c r="U167" s="1358"/>
      <c r="W167" s="1363" t="s">
        <v>237</v>
      </c>
      <c r="X167" s="1364"/>
    </row>
    <row r="168" spans="1:24">
      <c r="A168" s="1354"/>
      <c r="B168" s="1365" t="s">
        <v>258</v>
      </c>
      <c r="C168" s="1365"/>
      <c r="D168" s="1365" t="s">
        <v>259</v>
      </c>
      <c r="E168" s="1365"/>
      <c r="F168" s="1365"/>
      <c r="G168" s="1365" t="s">
        <v>215</v>
      </c>
      <c r="I168" s="1365" t="s">
        <v>260</v>
      </c>
      <c r="J168" s="1365"/>
      <c r="K168" s="1365" t="s">
        <v>259</v>
      </c>
      <c r="L168" s="1365"/>
      <c r="M168" s="1365"/>
      <c r="N168" s="1365" t="s">
        <v>215</v>
      </c>
      <c r="P168" s="1365" t="s">
        <v>488</v>
      </c>
      <c r="Q168" s="1365"/>
      <c r="R168" s="1365" t="s">
        <v>259</v>
      </c>
      <c r="S168" s="1365"/>
      <c r="T168" s="1365"/>
      <c r="U168" s="1365" t="s">
        <v>215</v>
      </c>
      <c r="W168" s="522" t="s">
        <v>258</v>
      </c>
      <c r="X168" s="523">
        <v>0.4</v>
      </c>
    </row>
    <row r="169" spans="1:24" ht="14.4">
      <c r="A169" s="1354"/>
      <c r="B169" s="1353" t="s">
        <v>261</v>
      </c>
      <c r="C169" s="1353"/>
      <c r="D169" s="524">
        <v>2020</v>
      </c>
      <c r="E169" s="537" t="s">
        <v>213</v>
      </c>
      <c r="F169" s="524">
        <v>2016</v>
      </c>
      <c r="G169" s="1365"/>
      <c r="I169" s="1352" t="s">
        <v>14</v>
      </c>
      <c r="J169" s="1353"/>
      <c r="K169" s="538">
        <f>D169</f>
        <v>2020</v>
      </c>
      <c r="L169" s="538" t="str">
        <f>E169</f>
        <v>-</v>
      </c>
      <c r="M169" s="524">
        <v>2016</v>
      </c>
      <c r="N169" s="1365"/>
      <c r="P169" s="1352" t="s">
        <v>489</v>
      </c>
      <c r="Q169" s="1353"/>
      <c r="R169" s="538">
        <f>K169</f>
        <v>2020</v>
      </c>
      <c r="S169" s="538" t="str">
        <f>L169</f>
        <v>-</v>
      </c>
      <c r="T169" s="524">
        <v>2016</v>
      </c>
      <c r="U169" s="1365"/>
      <c r="W169" s="522" t="s">
        <v>14</v>
      </c>
      <c r="X169" s="523">
        <v>2.2000000000000002</v>
      </c>
    </row>
    <row r="170" spans="1:24" ht="13.8" thickBot="1">
      <c r="A170" s="1354"/>
      <c r="B170" s="739">
        <v>1</v>
      </c>
      <c r="C170" s="495">
        <v>15</v>
      </c>
      <c r="D170" s="495">
        <v>0.1</v>
      </c>
      <c r="E170" s="525" t="s">
        <v>213</v>
      </c>
      <c r="F170" s="532"/>
      <c r="G170" s="526">
        <f>0.5*(MAX(D170:F170)-MIN(D170:F170))</f>
        <v>0</v>
      </c>
      <c r="I170" s="739">
        <v>1</v>
      </c>
      <c r="J170" s="495">
        <v>30</v>
      </c>
      <c r="K170" s="495">
        <v>-1.6</v>
      </c>
      <c r="L170" s="525" t="s">
        <v>213</v>
      </c>
      <c r="M170" s="532"/>
      <c r="N170" s="526">
        <f>0.5*(MAX(K170:M170)-MIN(K170:M170))</f>
        <v>0</v>
      </c>
      <c r="P170" s="739">
        <v>1</v>
      </c>
      <c r="Q170" s="495">
        <v>800</v>
      </c>
      <c r="R170" s="528">
        <v>-2.9</v>
      </c>
      <c r="S170" s="525" t="s">
        <v>213</v>
      </c>
      <c r="T170" s="532"/>
      <c r="U170" s="526">
        <f>0.5*(MAX(R170:T170)-MIN(R170:T170))</f>
        <v>0</v>
      </c>
      <c r="W170" s="529" t="s">
        <v>489</v>
      </c>
      <c r="X170" s="493">
        <v>2.2999999999999998</v>
      </c>
    </row>
    <row r="171" spans="1:24">
      <c r="A171" s="1354"/>
      <c r="B171" s="739">
        <v>2</v>
      </c>
      <c r="C171" s="495">
        <v>20</v>
      </c>
      <c r="D171" s="495">
        <v>0.2</v>
      </c>
      <c r="E171" s="525" t="s">
        <v>213</v>
      </c>
      <c r="F171" s="532"/>
      <c r="G171" s="526">
        <f t="shared" ref="G171:G176" si="45">0.5*(MAX(D171:F171)-MIN(D171:F171))</f>
        <v>0</v>
      </c>
      <c r="I171" s="739">
        <v>2</v>
      </c>
      <c r="J171" s="495">
        <v>40</v>
      </c>
      <c r="K171" s="495">
        <v>-1.4</v>
      </c>
      <c r="L171" s="525" t="s">
        <v>213</v>
      </c>
      <c r="M171" s="532"/>
      <c r="N171" s="526">
        <f t="shared" ref="N171:N176" si="46">0.5*(MAX(K171:M171)-MIN(K171:M171))</f>
        <v>0</v>
      </c>
      <c r="P171" s="739">
        <v>2</v>
      </c>
      <c r="Q171" s="495">
        <v>850</v>
      </c>
      <c r="R171" s="528">
        <v>-2.2999999999999998</v>
      </c>
      <c r="S171" s="525" t="s">
        <v>213</v>
      </c>
      <c r="T171" s="532"/>
      <c r="U171" s="526">
        <f t="shared" ref="U171:U176" si="47">0.5*(MAX(R171:T171)-MIN(R171:T171))</f>
        <v>0</v>
      </c>
    </row>
    <row r="172" spans="1:24">
      <c r="A172" s="1354"/>
      <c r="B172" s="739">
        <v>3</v>
      </c>
      <c r="C172" s="495">
        <v>25</v>
      </c>
      <c r="D172" s="495">
        <v>0.2</v>
      </c>
      <c r="E172" s="525" t="s">
        <v>213</v>
      </c>
      <c r="F172" s="532"/>
      <c r="G172" s="526">
        <f t="shared" si="45"/>
        <v>0</v>
      </c>
      <c r="I172" s="739">
        <v>3</v>
      </c>
      <c r="J172" s="495">
        <v>50</v>
      </c>
      <c r="K172" s="495">
        <v>-1.4</v>
      </c>
      <c r="L172" s="525" t="s">
        <v>213</v>
      </c>
      <c r="M172" s="532"/>
      <c r="N172" s="526">
        <f t="shared" si="46"/>
        <v>0</v>
      </c>
      <c r="P172" s="739">
        <v>3</v>
      </c>
      <c r="Q172" s="498">
        <v>900</v>
      </c>
      <c r="R172" s="499">
        <v>-1.7</v>
      </c>
      <c r="S172" s="525" t="s">
        <v>213</v>
      </c>
      <c r="T172" s="532"/>
      <c r="U172" s="526">
        <f t="shared" si="47"/>
        <v>0</v>
      </c>
    </row>
    <row r="173" spans="1:24">
      <c r="A173" s="1354"/>
      <c r="B173" s="739">
        <v>4</v>
      </c>
      <c r="C173" s="498">
        <v>30</v>
      </c>
      <c r="D173" s="498">
        <v>0.2</v>
      </c>
      <c r="E173" s="499" t="s">
        <v>213</v>
      </c>
      <c r="F173" s="532"/>
      <c r="G173" s="526">
        <f t="shared" si="45"/>
        <v>0</v>
      </c>
      <c r="I173" s="739">
        <v>4</v>
      </c>
      <c r="J173" s="498">
        <v>60</v>
      </c>
      <c r="K173" s="498">
        <v>-1.5</v>
      </c>
      <c r="L173" s="499" t="s">
        <v>213</v>
      </c>
      <c r="M173" s="532"/>
      <c r="N173" s="526">
        <f t="shared" si="46"/>
        <v>0</v>
      </c>
      <c r="P173" s="739">
        <v>4</v>
      </c>
      <c r="Q173" s="498">
        <v>950</v>
      </c>
      <c r="R173" s="499">
        <v>-1.1000000000000001</v>
      </c>
      <c r="S173" s="499" t="s">
        <v>213</v>
      </c>
      <c r="T173" s="532"/>
      <c r="U173" s="526">
        <f t="shared" si="47"/>
        <v>0</v>
      </c>
    </row>
    <row r="174" spans="1:24">
      <c r="A174" s="1354"/>
      <c r="B174" s="739">
        <v>5</v>
      </c>
      <c r="C174" s="498">
        <v>35</v>
      </c>
      <c r="D174" s="498">
        <v>0.1</v>
      </c>
      <c r="E174" s="499" t="s">
        <v>213</v>
      </c>
      <c r="F174" s="532"/>
      <c r="G174" s="526">
        <f t="shared" si="45"/>
        <v>0</v>
      </c>
      <c r="I174" s="739">
        <v>5</v>
      </c>
      <c r="J174" s="498">
        <v>70</v>
      </c>
      <c r="K174" s="498">
        <v>-1.8</v>
      </c>
      <c r="L174" s="499" t="s">
        <v>213</v>
      </c>
      <c r="M174" s="532"/>
      <c r="N174" s="526">
        <f t="shared" si="46"/>
        <v>0</v>
      </c>
      <c r="P174" s="739">
        <v>5</v>
      </c>
      <c r="Q174" s="498">
        <v>1000</v>
      </c>
      <c r="R174" s="499">
        <v>-0.4</v>
      </c>
      <c r="S174" s="499" t="s">
        <v>213</v>
      </c>
      <c r="T174" s="532"/>
      <c r="U174" s="526">
        <f t="shared" si="47"/>
        <v>0</v>
      </c>
    </row>
    <row r="175" spans="1:24">
      <c r="A175" s="1354"/>
      <c r="B175" s="739">
        <v>6</v>
      </c>
      <c r="C175" s="498">
        <v>37</v>
      </c>
      <c r="D175" s="498">
        <v>9.9999999999999995E-7</v>
      </c>
      <c r="E175" s="499" t="s">
        <v>213</v>
      </c>
      <c r="F175" s="532"/>
      <c r="G175" s="526">
        <f t="shared" si="45"/>
        <v>0</v>
      </c>
      <c r="I175" s="739">
        <v>6</v>
      </c>
      <c r="J175" s="498">
        <v>80</v>
      </c>
      <c r="K175" s="498">
        <v>-2.2999999999999998</v>
      </c>
      <c r="L175" s="499" t="s">
        <v>213</v>
      </c>
      <c r="M175" s="532"/>
      <c r="N175" s="526">
        <f t="shared" si="46"/>
        <v>0</v>
      </c>
      <c r="P175" s="739">
        <v>6</v>
      </c>
      <c r="Q175" s="498">
        <v>1005</v>
      </c>
      <c r="R175" s="499">
        <v>-0.4</v>
      </c>
      <c r="S175" s="499" t="s">
        <v>213</v>
      </c>
      <c r="T175" s="532"/>
      <c r="U175" s="526">
        <f t="shared" si="47"/>
        <v>0</v>
      </c>
    </row>
    <row r="176" spans="1:24">
      <c r="A176" s="1354"/>
      <c r="B176" s="739">
        <v>7</v>
      </c>
      <c r="C176" s="539">
        <v>40</v>
      </c>
      <c r="D176" s="498">
        <v>9.9999999999999995E-7</v>
      </c>
      <c r="E176" s="499" t="s">
        <v>213</v>
      </c>
      <c r="F176" s="532"/>
      <c r="G176" s="526">
        <f t="shared" si="45"/>
        <v>0</v>
      </c>
      <c r="I176" s="739">
        <v>7</v>
      </c>
      <c r="J176" s="539">
        <v>90</v>
      </c>
      <c r="K176" s="498">
        <v>-3</v>
      </c>
      <c r="L176" s="499" t="s">
        <v>213</v>
      </c>
      <c r="M176" s="532"/>
      <c r="N176" s="526">
        <f t="shared" si="46"/>
        <v>0</v>
      </c>
      <c r="P176" s="739">
        <v>7</v>
      </c>
      <c r="Q176" s="498">
        <v>1020</v>
      </c>
      <c r="R176" s="499">
        <v>9.9999999999999995E-7</v>
      </c>
      <c r="S176" s="499" t="s">
        <v>213</v>
      </c>
      <c r="T176" s="532"/>
      <c r="U176" s="526">
        <f t="shared" si="47"/>
        <v>0</v>
      </c>
    </row>
    <row r="177" spans="1:24" ht="13.8" thickBot="1">
      <c r="A177" s="729"/>
      <c r="C177" s="540"/>
      <c r="D177" s="516"/>
      <c r="E177" s="541"/>
      <c r="F177" s="540"/>
      <c r="J177" s="540"/>
      <c r="K177" s="516"/>
      <c r="L177" s="541"/>
      <c r="M177" s="540"/>
      <c r="Q177" s="516"/>
      <c r="R177" s="541"/>
      <c r="S177" s="541"/>
      <c r="T177" s="540"/>
    </row>
    <row r="178" spans="1:24">
      <c r="A178" s="1354">
        <v>17</v>
      </c>
      <c r="B178" s="1358" t="s">
        <v>495</v>
      </c>
      <c r="C178" s="1358"/>
      <c r="D178" s="1358"/>
      <c r="E178" s="1358"/>
      <c r="F178" s="1358"/>
      <c r="G178" s="1358"/>
      <c r="I178" s="1358" t="str">
        <f>B178</f>
        <v>KOREKSI EXTECH A.100617</v>
      </c>
      <c r="J178" s="1358"/>
      <c r="K178" s="1358"/>
      <c r="L178" s="1358"/>
      <c r="M178" s="1358"/>
      <c r="N178" s="1358"/>
      <c r="P178" s="1358" t="str">
        <f>I178</f>
        <v>KOREKSI EXTECH A.100617</v>
      </c>
      <c r="Q178" s="1358"/>
      <c r="R178" s="1358"/>
      <c r="S178" s="1358"/>
      <c r="T178" s="1358"/>
      <c r="U178" s="1358"/>
      <c r="W178" s="1363" t="s">
        <v>237</v>
      </c>
      <c r="X178" s="1364"/>
    </row>
    <row r="179" spans="1:24">
      <c r="A179" s="1354"/>
      <c r="B179" s="1365" t="s">
        <v>258</v>
      </c>
      <c r="C179" s="1365"/>
      <c r="D179" s="1365" t="s">
        <v>259</v>
      </c>
      <c r="E179" s="1365"/>
      <c r="F179" s="1365"/>
      <c r="G179" s="1365" t="s">
        <v>215</v>
      </c>
      <c r="I179" s="1365" t="s">
        <v>260</v>
      </c>
      <c r="J179" s="1365"/>
      <c r="K179" s="1365" t="s">
        <v>259</v>
      </c>
      <c r="L179" s="1365"/>
      <c r="M179" s="1365"/>
      <c r="N179" s="1365" t="s">
        <v>215</v>
      </c>
      <c r="P179" s="1365" t="s">
        <v>488</v>
      </c>
      <c r="Q179" s="1365"/>
      <c r="R179" s="1365" t="s">
        <v>259</v>
      </c>
      <c r="S179" s="1365"/>
      <c r="T179" s="1365"/>
      <c r="U179" s="1365" t="s">
        <v>215</v>
      </c>
      <c r="W179" s="522" t="s">
        <v>258</v>
      </c>
      <c r="X179" s="523">
        <v>0.3</v>
      </c>
    </row>
    <row r="180" spans="1:24" ht="14.4">
      <c r="A180" s="1354"/>
      <c r="B180" s="1353" t="s">
        <v>261</v>
      </c>
      <c r="C180" s="1353"/>
      <c r="D180" s="524">
        <v>2020</v>
      </c>
      <c r="E180" s="537" t="s">
        <v>213</v>
      </c>
      <c r="F180" s="524">
        <v>2016</v>
      </c>
      <c r="G180" s="1365"/>
      <c r="I180" s="1352" t="s">
        <v>14</v>
      </c>
      <c r="J180" s="1353"/>
      <c r="K180" s="538">
        <f>D180</f>
        <v>2020</v>
      </c>
      <c r="L180" s="538" t="str">
        <f>E180</f>
        <v>-</v>
      </c>
      <c r="M180" s="524">
        <v>2016</v>
      </c>
      <c r="N180" s="1365"/>
      <c r="P180" s="1352" t="s">
        <v>489</v>
      </c>
      <c r="Q180" s="1353"/>
      <c r="R180" s="538">
        <f>K180</f>
        <v>2020</v>
      </c>
      <c r="S180" s="538" t="str">
        <f>L180</f>
        <v>-</v>
      </c>
      <c r="T180" s="524">
        <v>2016</v>
      </c>
      <c r="U180" s="1365"/>
      <c r="W180" s="522" t="s">
        <v>14</v>
      </c>
      <c r="X180" s="523">
        <v>2.8</v>
      </c>
    </row>
    <row r="181" spans="1:24" ht="13.8" thickBot="1">
      <c r="A181" s="1354"/>
      <c r="B181" s="739">
        <v>1</v>
      </c>
      <c r="C181" s="495">
        <v>15</v>
      </c>
      <c r="D181" s="495">
        <v>0.1</v>
      </c>
      <c r="E181" s="525" t="s">
        <v>213</v>
      </c>
      <c r="F181" s="532"/>
      <c r="G181" s="526">
        <f>0.5*(MAX(D181:F181)-MIN(D181:F181))</f>
        <v>0</v>
      </c>
      <c r="I181" s="739">
        <v>1</v>
      </c>
      <c r="J181" s="495">
        <v>30</v>
      </c>
      <c r="K181" s="495">
        <v>0.1</v>
      </c>
      <c r="L181" s="525" t="s">
        <v>213</v>
      </c>
      <c r="M181" s="532"/>
      <c r="N181" s="526">
        <f>0.5*(MAX(K181:M181)-MIN(K181:M181))</f>
        <v>0</v>
      </c>
      <c r="P181" s="739">
        <v>1</v>
      </c>
      <c r="Q181" s="495">
        <v>960</v>
      </c>
      <c r="R181" s="528">
        <v>-0.6</v>
      </c>
      <c r="S181" s="525" t="s">
        <v>213</v>
      </c>
      <c r="T181" s="532"/>
      <c r="U181" s="526">
        <f>0.5*(MAX(R181:T181)-MIN(R181:T181))</f>
        <v>0</v>
      </c>
      <c r="W181" s="529" t="s">
        <v>489</v>
      </c>
      <c r="X181" s="493">
        <v>2.1</v>
      </c>
    </row>
    <row r="182" spans="1:24">
      <c r="A182" s="1354"/>
      <c r="B182" s="739">
        <v>2</v>
      </c>
      <c r="C182" s="495">
        <v>20</v>
      </c>
      <c r="D182" s="495">
        <v>0.1</v>
      </c>
      <c r="E182" s="525" t="s">
        <v>213</v>
      </c>
      <c r="F182" s="532"/>
      <c r="G182" s="526">
        <f t="shared" ref="G182:G187" si="48">0.5*(MAX(D182:F182)-MIN(D182:F182))</f>
        <v>0</v>
      </c>
      <c r="I182" s="739">
        <v>2</v>
      </c>
      <c r="J182" s="495">
        <v>40</v>
      </c>
      <c r="K182" s="495">
        <v>0.2</v>
      </c>
      <c r="L182" s="525" t="s">
        <v>213</v>
      </c>
      <c r="M182" s="532"/>
      <c r="N182" s="526">
        <f t="shared" ref="N182:N187" si="49">0.5*(MAX(K182:M182)-MIN(K182:M182))</f>
        <v>0</v>
      </c>
      <c r="P182" s="739">
        <v>2</v>
      </c>
      <c r="Q182" s="495">
        <v>970</v>
      </c>
      <c r="R182" s="528">
        <v>-0.6</v>
      </c>
      <c r="S182" s="525" t="s">
        <v>213</v>
      </c>
      <c r="T182" s="532"/>
      <c r="U182" s="526">
        <f t="shared" ref="U182:U187" si="50">0.5*(MAX(R182:T182)-MIN(R182:T182))</f>
        <v>0</v>
      </c>
    </row>
    <row r="183" spans="1:24">
      <c r="A183" s="1354"/>
      <c r="B183" s="739">
        <v>3</v>
      </c>
      <c r="C183" s="495">
        <v>25</v>
      </c>
      <c r="D183" s="495">
        <v>9.9999999999999995E-7</v>
      </c>
      <c r="E183" s="525" t="s">
        <v>213</v>
      </c>
      <c r="F183" s="532"/>
      <c r="G183" s="526">
        <f t="shared" si="48"/>
        <v>0</v>
      </c>
      <c r="I183" s="739">
        <v>3</v>
      </c>
      <c r="J183" s="495">
        <v>50</v>
      </c>
      <c r="K183" s="495">
        <v>0.2</v>
      </c>
      <c r="L183" s="525" t="s">
        <v>213</v>
      </c>
      <c r="M183" s="532"/>
      <c r="N183" s="526">
        <f t="shared" si="49"/>
        <v>0</v>
      </c>
      <c r="P183" s="739">
        <v>3</v>
      </c>
      <c r="Q183" s="498">
        <v>980</v>
      </c>
      <c r="R183" s="499">
        <v>-0.6</v>
      </c>
      <c r="S183" s="525" t="s">
        <v>213</v>
      </c>
      <c r="T183" s="532"/>
      <c r="U183" s="526">
        <f t="shared" si="50"/>
        <v>0</v>
      </c>
    </row>
    <row r="184" spans="1:24">
      <c r="A184" s="1354"/>
      <c r="B184" s="739">
        <v>4</v>
      </c>
      <c r="C184" s="498">
        <v>30</v>
      </c>
      <c r="D184" s="498">
        <v>-0.2</v>
      </c>
      <c r="E184" s="499" t="s">
        <v>213</v>
      </c>
      <c r="F184" s="532"/>
      <c r="G184" s="526">
        <f t="shared" si="48"/>
        <v>0</v>
      </c>
      <c r="I184" s="739">
        <v>4</v>
      </c>
      <c r="J184" s="498">
        <v>60</v>
      </c>
      <c r="K184" s="498">
        <v>9.9999999999999995E-7</v>
      </c>
      <c r="L184" s="499" t="s">
        <v>213</v>
      </c>
      <c r="M184" s="532"/>
      <c r="N184" s="526">
        <f t="shared" si="49"/>
        <v>0</v>
      </c>
      <c r="P184" s="739">
        <v>4</v>
      </c>
      <c r="Q184" s="498">
        <v>990</v>
      </c>
      <c r="R184" s="499">
        <v>-0.6</v>
      </c>
      <c r="S184" s="499" t="s">
        <v>213</v>
      </c>
      <c r="T184" s="532"/>
      <c r="U184" s="526">
        <f t="shared" si="50"/>
        <v>0</v>
      </c>
    </row>
    <row r="185" spans="1:24">
      <c r="A185" s="1354"/>
      <c r="B185" s="739">
        <v>5</v>
      </c>
      <c r="C185" s="498">
        <v>35</v>
      </c>
      <c r="D185" s="498">
        <v>-0.5</v>
      </c>
      <c r="E185" s="499" t="s">
        <v>213</v>
      </c>
      <c r="F185" s="532"/>
      <c r="G185" s="526">
        <f t="shared" si="48"/>
        <v>0</v>
      </c>
      <c r="I185" s="739">
        <v>5</v>
      </c>
      <c r="J185" s="498">
        <v>70</v>
      </c>
      <c r="K185" s="498">
        <v>-0.3</v>
      </c>
      <c r="L185" s="499" t="s">
        <v>213</v>
      </c>
      <c r="M185" s="532"/>
      <c r="N185" s="526">
        <f t="shared" si="49"/>
        <v>0</v>
      </c>
      <c r="P185" s="739">
        <v>5</v>
      </c>
      <c r="Q185" s="498">
        <v>1000</v>
      </c>
      <c r="R185" s="499">
        <v>-0.6</v>
      </c>
      <c r="S185" s="499" t="s">
        <v>213</v>
      </c>
      <c r="T185" s="532"/>
      <c r="U185" s="526">
        <f t="shared" si="50"/>
        <v>0</v>
      </c>
    </row>
    <row r="186" spans="1:24">
      <c r="A186" s="1354"/>
      <c r="B186" s="739">
        <v>6</v>
      </c>
      <c r="C186" s="498">
        <v>37</v>
      </c>
      <c r="D186" s="498">
        <v>-0.6</v>
      </c>
      <c r="E186" s="499" t="s">
        <v>213</v>
      </c>
      <c r="F186" s="532"/>
      <c r="G186" s="526">
        <f t="shared" si="48"/>
        <v>0</v>
      </c>
      <c r="I186" s="739">
        <v>6</v>
      </c>
      <c r="J186" s="498">
        <v>80</v>
      </c>
      <c r="K186" s="498">
        <v>-0.8</v>
      </c>
      <c r="L186" s="499" t="s">
        <v>213</v>
      </c>
      <c r="M186" s="532"/>
      <c r="N186" s="526">
        <f t="shared" si="49"/>
        <v>0</v>
      </c>
      <c r="P186" s="739">
        <v>6</v>
      </c>
      <c r="Q186" s="498">
        <v>1005</v>
      </c>
      <c r="R186" s="499">
        <v>-0.6</v>
      </c>
      <c r="S186" s="499" t="s">
        <v>213</v>
      </c>
      <c r="T186" s="532"/>
      <c r="U186" s="526">
        <f t="shared" si="50"/>
        <v>0</v>
      </c>
    </row>
    <row r="187" spans="1:24">
      <c r="A187" s="1354"/>
      <c r="B187" s="739">
        <v>7</v>
      </c>
      <c r="C187" s="539">
        <v>40</v>
      </c>
      <c r="D187" s="498">
        <v>-0.8</v>
      </c>
      <c r="E187" s="499" t="s">
        <v>213</v>
      </c>
      <c r="F187" s="532"/>
      <c r="G187" s="526">
        <f t="shared" si="48"/>
        <v>0</v>
      </c>
      <c r="I187" s="739">
        <v>7</v>
      </c>
      <c r="J187" s="539">
        <v>90</v>
      </c>
      <c r="K187" s="498">
        <v>-1.4</v>
      </c>
      <c r="L187" s="499" t="s">
        <v>213</v>
      </c>
      <c r="M187" s="532"/>
      <c r="N187" s="526">
        <f t="shared" si="49"/>
        <v>0</v>
      </c>
      <c r="P187" s="739">
        <v>7</v>
      </c>
      <c r="Q187" s="498">
        <v>1020</v>
      </c>
      <c r="R187" s="499">
        <v>9.9999999999999995E-7</v>
      </c>
      <c r="S187" s="499" t="s">
        <v>213</v>
      </c>
      <c r="T187" s="532"/>
      <c r="U187" s="526">
        <f t="shared" si="50"/>
        <v>0</v>
      </c>
    </row>
    <row r="188" spans="1:24" ht="13.8" thickBot="1">
      <c r="A188" s="729"/>
      <c r="C188" s="540"/>
      <c r="D188" s="516"/>
      <c r="E188" s="541"/>
      <c r="F188" s="540"/>
      <c r="J188" s="540"/>
      <c r="K188" s="516"/>
      <c r="L188" s="541"/>
      <c r="M188" s="540"/>
      <c r="Q188" s="516"/>
      <c r="R188" s="541"/>
      <c r="S188" s="541"/>
      <c r="T188" s="540"/>
    </row>
    <row r="189" spans="1:24">
      <c r="A189" s="1354">
        <v>18</v>
      </c>
      <c r="B189" s="1358" t="s">
        <v>496</v>
      </c>
      <c r="C189" s="1358"/>
      <c r="D189" s="1358"/>
      <c r="E189" s="1358"/>
      <c r="F189" s="1358"/>
      <c r="G189" s="1358"/>
      <c r="I189" s="1358" t="str">
        <f>B189</f>
        <v>KOREKSI EXTECH A.100618</v>
      </c>
      <c r="J189" s="1358"/>
      <c r="K189" s="1358"/>
      <c r="L189" s="1358"/>
      <c r="M189" s="1358"/>
      <c r="N189" s="1358"/>
      <c r="P189" s="1358" t="str">
        <f>I189</f>
        <v>KOREKSI EXTECH A.100618</v>
      </c>
      <c r="Q189" s="1358"/>
      <c r="R189" s="1358"/>
      <c r="S189" s="1358"/>
      <c r="T189" s="1358"/>
      <c r="U189" s="1358"/>
      <c r="W189" s="1363" t="s">
        <v>237</v>
      </c>
      <c r="X189" s="1364"/>
    </row>
    <row r="190" spans="1:24">
      <c r="A190" s="1354"/>
      <c r="B190" s="1365" t="s">
        <v>258</v>
      </c>
      <c r="C190" s="1365"/>
      <c r="D190" s="1365" t="s">
        <v>259</v>
      </c>
      <c r="E190" s="1365"/>
      <c r="F190" s="1365"/>
      <c r="G190" s="1365" t="s">
        <v>215</v>
      </c>
      <c r="I190" s="1365" t="s">
        <v>260</v>
      </c>
      <c r="J190" s="1365"/>
      <c r="K190" s="1365" t="s">
        <v>259</v>
      </c>
      <c r="L190" s="1365"/>
      <c r="M190" s="1365"/>
      <c r="N190" s="1365" t="s">
        <v>215</v>
      </c>
      <c r="P190" s="1365" t="s">
        <v>488</v>
      </c>
      <c r="Q190" s="1365"/>
      <c r="R190" s="1365" t="s">
        <v>259</v>
      </c>
      <c r="S190" s="1365"/>
      <c r="T190" s="1365"/>
      <c r="U190" s="1365" t="s">
        <v>215</v>
      </c>
      <c r="W190" s="522" t="s">
        <v>258</v>
      </c>
      <c r="X190" s="523">
        <v>0.3</v>
      </c>
    </row>
    <row r="191" spans="1:24" ht="14.4">
      <c r="A191" s="1354"/>
      <c r="B191" s="1353" t="s">
        <v>261</v>
      </c>
      <c r="C191" s="1353"/>
      <c r="D191" s="524">
        <v>2020</v>
      </c>
      <c r="E191" s="537" t="s">
        <v>213</v>
      </c>
      <c r="F191" s="524">
        <v>2016</v>
      </c>
      <c r="G191" s="1365"/>
      <c r="I191" s="1352" t="s">
        <v>14</v>
      </c>
      <c r="J191" s="1353"/>
      <c r="K191" s="538">
        <f>D191</f>
        <v>2020</v>
      </c>
      <c r="L191" s="538" t="str">
        <f>E191</f>
        <v>-</v>
      </c>
      <c r="M191" s="524">
        <v>2016</v>
      </c>
      <c r="N191" s="1365"/>
      <c r="P191" s="1352" t="s">
        <v>489</v>
      </c>
      <c r="Q191" s="1353"/>
      <c r="R191" s="538">
        <f>K191</f>
        <v>2020</v>
      </c>
      <c r="S191" s="538" t="str">
        <f>L191</f>
        <v>-</v>
      </c>
      <c r="T191" s="524">
        <v>2016</v>
      </c>
      <c r="U191" s="1365"/>
      <c r="W191" s="522" t="s">
        <v>14</v>
      </c>
      <c r="X191" s="523">
        <v>1.6</v>
      </c>
    </row>
    <row r="192" spans="1:24" ht="13.8" thickBot="1">
      <c r="A192" s="1354"/>
      <c r="B192" s="739">
        <v>1</v>
      </c>
      <c r="C192" s="495">
        <v>15</v>
      </c>
      <c r="D192" s="495">
        <v>9.9999999999999995E-7</v>
      </c>
      <c r="E192" s="525" t="s">
        <v>213</v>
      </c>
      <c r="F192" s="532"/>
      <c r="G192" s="526">
        <f>0.5*(MAX(D192:F192)-MIN(D192:F192))</f>
        <v>0</v>
      </c>
      <c r="I192" s="739">
        <v>1</v>
      </c>
      <c r="J192" s="495">
        <v>30</v>
      </c>
      <c r="K192" s="495">
        <v>-0.4</v>
      </c>
      <c r="L192" s="525" t="s">
        <v>213</v>
      </c>
      <c r="M192" s="532"/>
      <c r="N192" s="526">
        <f>0.5*(MAX(K192:M192)-MIN(K192:M192))</f>
        <v>0</v>
      </c>
      <c r="P192" s="739">
        <v>1</v>
      </c>
      <c r="Q192" s="495">
        <v>800</v>
      </c>
      <c r="R192" s="528">
        <v>-1.5</v>
      </c>
      <c r="S192" s="525" t="s">
        <v>213</v>
      </c>
      <c r="T192" s="532"/>
      <c r="U192" s="526">
        <f>0.5*(MAX(R192:T192)-MIN(R192:T192))</f>
        <v>0</v>
      </c>
      <c r="W192" s="529" t="s">
        <v>489</v>
      </c>
      <c r="X192" s="493">
        <v>2.4</v>
      </c>
    </row>
    <row r="193" spans="1:24">
      <c r="A193" s="1354"/>
      <c r="B193" s="739">
        <v>2</v>
      </c>
      <c r="C193" s="495">
        <v>20</v>
      </c>
      <c r="D193" s="495">
        <v>-0.1</v>
      </c>
      <c r="E193" s="525" t="s">
        <v>213</v>
      </c>
      <c r="F193" s="532"/>
      <c r="G193" s="526">
        <f t="shared" ref="G193:G198" si="51">0.5*(MAX(D193:F193)-MIN(D193:F193))</f>
        <v>0</v>
      </c>
      <c r="I193" s="739">
        <v>2</v>
      </c>
      <c r="J193" s="495">
        <v>40</v>
      </c>
      <c r="K193" s="495">
        <v>-0.2</v>
      </c>
      <c r="L193" s="525" t="s">
        <v>213</v>
      </c>
      <c r="M193" s="532"/>
      <c r="N193" s="526">
        <f t="shared" ref="N193:N198" si="52">0.5*(MAX(K193:M193)-MIN(K193:M193))</f>
        <v>0</v>
      </c>
      <c r="P193" s="739">
        <v>2</v>
      </c>
      <c r="Q193" s="495">
        <v>850</v>
      </c>
      <c r="R193" s="528">
        <v>-1.3</v>
      </c>
      <c r="S193" s="525" t="s">
        <v>213</v>
      </c>
      <c r="T193" s="532"/>
      <c r="U193" s="526">
        <f t="shared" ref="U193:U198" si="53">0.5*(MAX(R193:T193)-MIN(R193:T193))</f>
        <v>0</v>
      </c>
    </row>
    <row r="194" spans="1:24">
      <c r="A194" s="1354"/>
      <c r="B194" s="739">
        <v>3</v>
      </c>
      <c r="C194" s="495">
        <v>25</v>
      </c>
      <c r="D194" s="495">
        <v>-0.2</v>
      </c>
      <c r="E194" s="525" t="s">
        <v>213</v>
      </c>
      <c r="F194" s="532"/>
      <c r="G194" s="526">
        <f t="shared" si="51"/>
        <v>0</v>
      </c>
      <c r="I194" s="739">
        <v>3</v>
      </c>
      <c r="J194" s="495">
        <v>50</v>
      </c>
      <c r="K194" s="495">
        <v>-0.2</v>
      </c>
      <c r="L194" s="525" t="s">
        <v>213</v>
      </c>
      <c r="M194" s="532"/>
      <c r="N194" s="526">
        <f t="shared" si="52"/>
        <v>0</v>
      </c>
      <c r="P194" s="739">
        <v>3</v>
      </c>
      <c r="Q194" s="498">
        <v>900</v>
      </c>
      <c r="R194" s="499">
        <v>-1.1000000000000001</v>
      </c>
      <c r="S194" s="525" t="s">
        <v>213</v>
      </c>
      <c r="T194" s="532"/>
      <c r="U194" s="526">
        <f t="shared" si="53"/>
        <v>0</v>
      </c>
    </row>
    <row r="195" spans="1:24">
      <c r="A195" s="1354"/>
      <c r="B195" s="739">
        <v>4</v>
      </c>
      <c r="C195" s="498">
        <v>30</v>
      </c>
      <c r="D195" s="498">
        <v>-0.2</v>
      </c>
      <c r="E195" s="499" t="s">
        <v>213</v>
      </c>
      <c r="F195" s="532"/>
      <c r="G195" s="526">
        <f t="shared" si="51"/>
        <v>0</v>
      </c>
      <c r="I195" s="739">
        <v>4</v>
      </c>
      <c r="J195" s="498">
        <v>60</v>
      </c>
      <c r="K195" s="498">
        <v>-0.2</v>
      </c>
      <c r="L195" s="499" t="s">
        <v>213</v>
      </c>
      <c r="M195" s="532"/>
      <c r="N195" s="526">
        <f t="shared" si="52"/>
        <v>0</v>
      </c>
      <c r="P195" s="739">
        <v>4</v>
      </c>
      <c r="Q195" s="498">
        <v>950</v>
      </c>
      <c r="R195" s="499">
        <v>-0.9</v>
      </c>
      <c r="S195" s="499" t="s">
        <v>213</v>
      </c>
      <c r="T195" s="532"/>
      <c r="U195" s="526">
        <f t="shared" si="53"/>
        <v>0</v>
      </c>
    </row>
    <row r="196" spans="1:24">
      <c r="A196" s="1354"/>
      <c r="B196" s="739">
        <v>5</v>
      </c>
      <c r="C196" s="498">
        <v>35</v>
      </c>
      <c r="D196" s="498">
        <v>-0.3</v>
      </c>
      <c r="E196" s="499" t="s">
        <v>213</v>
      </c>
      <c r="F196" s="532"/>
      <c r="G196" s="526">
        <f t="shared" si="51"/>
        <v>0</v>
      </c>
      <c r="I196" s="739">
        <v>5</v>
      </c>
      <c r="J196" s="498">
        <v>70</v>
      </c>
      <c r="K196" s="498">
        <v>-0.3</v>
      </c>
      <c r="L196" s="499" t="s">
        <v>213</v>
      </c>
      <c r="M196" s="532"/>
      <c r="N196" s="526">
        <f t="shared" si="52"/>
        <v>0</v>
      </c>
      <c r="P196" s="739">
        <v>5</v>
      </c>
      <c r="Q196" s="498">
        <v>1000</v>
      </c>
      <c r="R196" s="499">
        <v>-0.8</v>
      </c>
      <c r="S196" s="499" t="s">
        <v>213</v>
      </c>
      <c r="T196" s="532"/>
      <c r="U196" s="526">
        <f t="shared" si="53"/>
        <v>0</v>
      </c>
    </row>
    <row r="197" spans="1:24">
      <c r="A197" s="1354"/>
      <c r="B197" s="739">
        <v>6</v>
      </c>
      <c r="C197" s="498">
        <v>37</v>
      </c>
      <c r="D197" s="498">
        <v>-0.3</v>
      </c>
      <c r="E197" s="499" t="s">
        <v>213</v>
      </c>
      <c r="F197" s="532"/>
      <c r="G197" s="526">
        <f t="shared" si="51"/>
        <v>0</v>
      </c>
      <c r="I197" s="739">
        <v>6</v>
      </c>
      <c r="J197" s="498">
        <v>80</v>
      </c>
      <c r="K197" s="498">
        <v>-0.5</v>
      </c>
      <c r="L197" s="499" t="s">
        <v>213</v>
      </c>
      <c r="M197" s="532"/>
      <c r="N197" s="526">
        <f t="shared" si="52"/>
        <v>0</v>
      </c>
      <c r="P197" s="739">
        <v>6</v>
      </c>
      <c r="Q197" s="498">
        <v>1005</v>
      </c>
      <c r="R197" s="499">
        <v>-0.7</v>
      </c>
      <c r="S197" s="499" t="s">
        <v>213</v>
      </c>
      <c r="T197" s="532"/>
      <c r="U197" s="526">
        <f t="shared" si="53"/>
        <v>0</v>
      </c>
    </row>
    <row r="198" spans="1:24">
      <c r="A198" s="1354"/>
      <c r="B198" s="739">
        <v>7</v>
      </c>
      <c r="C198" s="539">
        <v>40</v>
      </c>
      <c r="D198" s="498">
        <v>-0.4</v>
      </c>
      <c r="E198" s="499" t="s">
        <v>213</v>
      </c>
      <c r="F198" s="532"/>
      <c r="G198" s="526">
        <f t="shared" si="51"/>
        <v>0</v>
      </c>
      <c r="I198" s="739">
        <v>7</v>
      </c>
      <c r="J198" s="539">
        <v>90</v>
      </c>
      <c r="K198" s="498">
        <v>-0.8</v>
      </c>
      <c r="L198" s="499" t="s">
        <v>213</v>
      </c>
      <c r="M198" s="532"/>
      <c r="N198" s="526">
        <f t="shared" si="52"/>
        <v>0</v>
      </c>
      <c r="P198" s="739">
        <v>7</v>
      </c>
      <c r="Q198" s="498">
        <v>1020</v>
      </c>
      <c r="R198" s="499">
        <v>9.9999999999999995E-7</v>
      </c>
      <c r="S198" s="499" t="s">
        <v>213</v>
      </c>
      <c r="T198" s="532"/>
      <c r="U198" s="526">
        <f t="shared" si="53"/>
        <v>0</v>
      </c>
    </row>
    <row r="199" spans="1:24" ht="13.8" thickBot="1">
      <c r="A199" s="729"/>
      <c r="C199" s="540"/>
      <c r="D199" s="516"/>
      <c r="E199" s="541"/>
      <c r="F199" s="540"/>
      <c r="I199" s="540"/>
      <c r="J199" s="516"/>
      <c r="K199" s="541"/>
      <c r="L199" s="540"/>
      <c r="O199" s="516"/>
      <c r="P199" s="541"/>
      <c r="Q199" s="541"/>
      <c r="R199" s="540"/>
    </row>
    <row r="200" spans="1:24">
      <c r="A200" s="1354">
        <v>19</v>
      </c>
      <c r="B200" s="1358" t="s">
        <v>497</v>
      </c>
      <c r="C200" s="1358"/>
      <c r="D200" s="1358"/>
      <c r="E200" s="1358"/>
      <c r="F200" s="1358"/>
      <c r="G200" s="1358"/>
      <c r="I200" s="1358" t="str">
        <f>B200</f>
        <v>KOREKSI EXTECH A.100615</v>
      </c>
      <c r="J200" s="1358"/>
      <c r="K200" s="1358"/>
      <c r="L200" s="1358"/>
      <c r="M200" s="1358"/>
      <c r="N200" s="1358"/>
      <c r="P200" s="1358" t="str">
        <f>I200</f>
        <v>KOREKSI EXTECH A.100615</v>
      </c>
      <c r="Q200" s="1358"/>
      <c r="R200" s="1358"/>
      <c r="S200" s="1358"/>
      <c r="T200" s="1358"/>
      <c r="U200" s="1358"/>
      <c r="W200" s="1363" t="s">
        <v>237</v>
      </c>
      <c r="X200" s="1364"/>
    </row>
    <row r="201" spans="1:24">
      <c r="A201" s="1354"/>
      <c r="B201" s="1365" t="s">
        <v>258</v>
      </c>
      <c r="C201" s="1365"/>
      <c r="D201" s="1365" t="s">
        <v>259</v>
      </c>
      <c r="E201" s="1365"/>
      <c r="F201" s="1365"/>
      <c r="G201" s="1365" t="s">
        <v>215</v>
      </c>
      <c r="I201" s="1365" t="s">
        <v>260</v>
      </c>
      <c r="J201" s="1365"/>
      <c r="K201" s="1365" t="s">
        <v>259</v>
      </c>
      <c r="L201" s="1365"/>
      <c r="M201" s="1365"/>
      <c r="N201" s="1365" t="s">
        <v>215</v>
      </c>
      <c r="P201" s="1365" t="s">
        <v>488</v>
      </c>
      <c r="Q201" s="1365"/>
      <c r="R201" s="1365" t="s">
        <v>259</v>
      </c>
      <c r="S201" s="1365"/>
      <c r="T201" s="1365"/>
      <c r="U201" s="1365" t="s">
        <v>215</v>
      </c>
      <c r="W201" s="522" t="s">
        <v>258</v>
      </c>
      <c r="X201" s="523">
        <v>0.1</v>
      </c>
    </row>
    <row r="202" spans="1:24" ht="14.4">
      <c r="A202" s="1354"/>
      <c r="B202" s="1353" t="s">
        <v>261</v>
      </c>
      <c r="C202" s="1353"/>
      <c r="D202" s="524">
        <v>2021</v>
      </c>
      <c r="E202" s="537" t="s">
        <v>213</v>
      </c>
      <c r="F202" s="524">
        <v>2016</v>
      </c>
      <c r="G202" s="1365"/>
      <c r="I202" s="1352" t="s">
        <v>14</v>
      </c>
      <c r="J202" s="1353"/>
      <c r="K202" s="538">
        <f>D202</f>
        <v>2021</v>
      </c>
      <c r="L202" s="538" t="str">
        <f>E202</f>
        <v>-</v>
      </c>
      <c r="M202" s="524">
        <v>2016</v>
      </c>
      <c r="N202" s="1365"/>
      <c r="P202" s="1352" t="s">
        <v>489</v>
      </c>
      <c r="Q202" s="1353"/>
      <c r="R202" s="538">
        <f>K202</f>
        <v>2021</v>
      </c>
      <c r="S202" s="538" t="str">
        <f>L202</f>
        <v>-</v>
      </c>
      <c r="T202" s="524">
        <v>2016</v>
      </c>
      <c r="U202" s="1365"/>
      <c r="W202" s="522" t="s">
        <v>14</v>
      </c>
      <c r="X202" s="523">
        <v>1.5</v>
      </c>
    </row>
    <row r="203" spans="1:24" ht="13.8" thickBot="1">
      <c r="A203" s="1354"/>
      <c r="B203" s="739">
        <v>1</v>
      </c>
      <c r="C203" s="495">
        <v>15</v>
      </c>
      <c r="D203" s="495">
        <v>9.9999999999999995E-7</v>
      </c>
      <c r="E203" s="525" t="s">
        <v>213</v>
      </c>
      <c r="F203" s="532"/>
      <c r="G203" s="526">
        <f>0.5*(MAX(D203:F203)-MIN(D203:F203))</f>
        <v>0</v>
      </c>
      <c r="I203" s="739">
        <v>1</v>
      </c>
      <c r="J203" s="495">
        <v>30</v>
      </c>
      <c r="K203" s="495">
        <v>-1.5</v>
      </c>
      <c r="L203" s="525" t="s">
        <v>213</v>
      </c>
      <c r="M203" s="532"/>
      <c r="N203" s="526">
        <f>0.5*(MAX(K203:M203)-MIN(K203:M203))</f>
        <v>0</v>
      </c>
      <c r="P203" s="739">
        <v>1</v>
      </c>
      <c r="Q203" s="495">
        <v>750</v>
      </c>
      <c r="R203" s="528">
        <v>2.5</v>
      </c>
      <c r="S203" s="525" t="s">
        <v>213</v>
      </c>
      <c r="T203" s="532"/>
      <c r="U203" s="526">
        <f>0.5*(MAX(R203:T203)-MIN(R203:T203))</f>
        <v>0</v>
      </c>
      <c r="W203" s="529" t="s">
        <v>489</v>
      </c>
      <c r="X203" s="493">
        <v>0.4</v>
      </c>
    </row>
    <row r="204" spans="1:24">
      <c r="A204" s="1354"/>
      <c r="B204" s="739">
        <v>2</v>
      </c>
      <c r="C204" s="495">
        <v>20</v>
      </c>
      <c r="D204" s="495">
        <v>0.1</v>
      </c>
      <c r="E204" s="525" t="s">
        <v>213</v>
      </c>
      <c r="F204" s="532"/>
      <c r="G204" s="526">
        <f t="shared" ref="G204:G209" si="54">0.5*(MAX(D204:F204)-MIN(D204:F204))</f>
        <v>0</v>
      </c>
      <c r="I204" s="739">
        <v>2</v>
      </c>
      <c r="J204" s="495">
        <v>40</v>
      </c>
      <c r="K204" s="495">
        <v>-0.8</v>
      </c>
      <c r="L204" s="525" t="s">
        <v>213</v>
      </c>
      <c r="M204" s="532"/>
      <c r="N204" s="526">
        <f t="shared" ref="N204:N209" si="55">0.5*(MAX(K204:M204)-MIN(K204:M204))</f>
        <v>0</v>
      </c>
      <c r="P204" s="739">
        <v>2</v>
      </c>
      <c r="Q204" s="495">
        <v>800</v>
      </c>
      <c r="R204" s="528">
        <v>2.5</v>
      </c>
      <c r="S204" s="525" t="s">
        <v>213</v>
      </c>
      <c r="T204" s="532"/>
      <c r="U204" s="526">
        <f t="shared" ref="U204:U209" si="56">0.5*(MAX(R204:T204)-MIN(R204:T204))</f>
        <v>0</v>
      </c>
    </row>
    <row r="205" spans="1:24">
      <c r="A205" s="1354"/>
      <c r="B205" s="739">
        <v>3</v>
      </c>
      <c r="C205" s="495">
        <v>25</v>
      </c>
      <c r="D205" s="495">
        <v>9.9999999999999995E-7</v>
      </c>
      <c r="E205" s="525" t="s">
        <v>213</v>
      </c>
      <c r="F205" s="532"/>
      <c r="G205" s="526">
        <f t="shared" si="54"/>
        <v>0</v>
      </c>
      <c r="I205" s="739">
        <v>3</v>
      </c>
      <c r="J205" s="495">
        <v>50</v>
      </c>
      <c r="K205" s="495">
        <v>-0.2</v>
      </c>
      <c r="L205" s="525" t="s">
        <v>213</v>
      </c>
      <c r="M205" s="532"/>
      <c r="N205" s="526">
        <f t="shared" si="55"/>
        <v>0</v>
      </c>
      <c r="P205" s="739">
        <v>3</v>
      </c>
      <c r="Q205" s="495">
        <v>850</v>
      </c>
      <c r="R205" s="528">
        <v>2.4</v>
      </c>
      <c r="S205" s="525" t="s">
        <v>213</v>
      </c>
      <c r="T205" s="532"/>
      <c r="U205" s="526">
        <f t="shared" si="56"/>
        <v>0</v>
      </c>
    </row>
    <row r="206" spans="1:24">
      <c r="A206" s="1354"/>
      <c r="B206" s="739">
        <v>4</v>
      </c>
      <c r="C206" s="498">
        <v>30</v>
      </c>
      <c r="D206" s="498">
        <v>-0.1</v>
      </c>
      <c r="E206" s="499" t="s">
        <v>213</v>
      </c>
      <c r="F206" s="532"/>
      <c r="G206" s="526">
        <f t="shared" si="54"/>
        <v>0</v>
      </c>
      <c r="I206" s="739">
        <v>4</v>
      </c>
      <c r="J206" s="498">
        <v>60</v>
      </c>
      <c r="K206" s="498">
        <v>0.4</v>
      </c>
      <c r="L206" s="499" t="s">
        <v>213</v>
      </c>
      <c r="M206" s="532"/>
      <c r="N206" s="526">
        <f t="shared" si="55"/>
        <v>0</v>
      </c>
      <c r="P206" s="739">
        <v>4</v>
      </c>
      <c r="Q206" s="498">
        <v>900</v>
      </c>
      <c r="R206" s="499">
        <v>2.2999999999999998</v>
      </c>
      <c r="S206" s="499" t="s">
        <v>213</v>
      </c>
      <c r="T206" s="532"/>
      <c r="U206" s="526">
        <f t="shared" si="56"/>
        <v>0</v>
      </c>
    </row>
    <row r="207" spans="1:24">
      <c r="A207" s="1354"/>
      <c r="B207" s="739">
        <v>5</v>
      </c>
      <c r="C207" s="498">
        <v>35</v>
      </c>
      <c r="D207" s="498">
        <v>-0.1</v>
      </c>
      <c r="E207" s="499" t="s">
        <v>213</v>
      </c>
      <c r="F207" s="532"/>
      <c r="G207" s="526">
        <f t="shared" si="54"/>
        <v>0</v>
      </c>
      <c r="I207" s="739">
        <v>5</v>
      </c>
      <c r="J207" s="498">
        <v>70</v>
      </c>
      <c r="K207" s="498">
        <v>-0.7</v>
      </c>
      <c r="L207" s="499" t="s">
        <v>213</v>
      </c>
      <c r="M207" s="532"/>
      <c r="N207" s="526">
        <f t="shared" si="55"/>
        <v>0</v>
      </c>
      <c r="P207" s="739">
        <v>5</v>
      </c>
      <c r="Q207" s="498">
        <v>1000</v>
      </c>
      <c r="R207" s="499">
        <v>2.2000000000000002</v>
      </c>
      <c r="S207" s="499" t="s">
        <v>213</v>
      </c>
      <c r="T207" s="532"/>
      <c r="U207" s="526">
        <f t="shared" si="56"/>
        <v>0</v>
      </c>
    </row>
    <row r="208" spans="1:24">
      <c r="A208" s="1354"/>
      <c r="B208" s="739">
        <v>6</v>
      </c>
      <c r="C208" s="498">
        <v>37</v>
      </c>
      <c r="D208" s="498">
        <v>9.9999999999999995E-7</v>
      </c>
      <c r="E208" s="499" t="s">
        <v>213</v>
      </c>
      <c r="F208" s="532"/>
      <c r="G208" s="526">
        <f t="shared" si="54"/>
        <v>0</v>
      </c>
      <c r="I208" s="739">
        <v>6</v>
      </c>
      <c r="J208" s="498">
        <v>80</v>
      </c>
      <c r="K208" s="498">
        <v>-0.9</v>
      </c>
      <c r="L208" s="499" t="s">
        <v>213</v>
      </c>
      <c r="M208" s="532"/>
      <c r="N208" s="526">
        <f t="shared" si="55"/>
        <v>0</v>
      </c>
      <c r="P208" s="739">
        <v>6</v>
      </c>
      <c r="Q208" s="498">
        <v>1005</v>
      </c>
      <c r="R208" s="499">
        <v>2.2000000000000002</v>
      </c>
      <c r="S208" s="499" t="s">
        <v>213</v>
      </c>
      <c r="T208" s="532"/>
      <c r="U208" s="526">
        <f t="shared" si="56"/>
        <v>0</v>
      </c>
    </row>
    <row r="209" spans="1:31">
      <c r="A209" s="1354"/>
      <c r="B209" s="739">
        <v>7</v>
      </c>
      <c r="C209" s="539">
        <v>40</v>
      </c>
      <c r="D209" s="498">
        <v>0.2</v>
      </c>
      <c r="E209" s="499" t="s">
        <v>213</v>
      </c>
      <c r="F209" s="532"/>
      <c r="G209" s="526">
        <f t="shared" si="54"/>
        <v>0</v>
      </c>
      <c r="I209" s="739">
        <v>7</v>
      </c>
      <c r="J209" s="539">
        <v>90</v>
      </c>
      <c r="K209" s="498">
        <v>-0.6</v>
      </c>
      <c r="L209" s="499" t="s">
        <v>213</v>
      </c>
      <c r="M209" s="532"/>
      <c r="N209" s="526">
        <f t="shared" si="55"/>
        <v>0</v>
      </c>
      <c r="P209" s="739">
        <v>7</v>
      </c>
      <c r="Q209" s="498">
        <v>1020</v>
      </c>
      <c r="R209" s="499">
        <v>2.2999999999999998</v>
      </c>
      <c r="S209" s="499" t="s">
        <v>213</v>
      </c>
      <c r="T209" s="532"/>
      <c r="U209" s="526">
        <f t="shared" si="56"/>
        <v>0</v>
      </c>
    </row>
    <row r="210" spans="1:31" ht="13.8" thickBot="1">
      <c r="A210" s="729"/>
      <c r="C210" s="540"/>
      <c r="D210" s="516"/>
      <c r="E210" s="541"/>
      <c r="F210" s="540"/>
      <c r="J210" s="540"/>
      <c r="K210" s="516"/>
      <c r="L210" s="541"/>
      <c r="M210" s="540"/>
      <c r="Q210" s="516"/>
      <c r="R210" s="541"/>
      <c r="S210" s="541"/>
      <c r="T210" s="540"/>
    </row>
    <row r="211" spans="1:31">
      <c r="A211" s="1354">
        <v>20</v>
      </c>
      <c r="B211" s="1355">
        <v>20</v>
      </c>
      <c r="C211" s="1355"/>
      <c r="D211" s="1355"/>
      <c r="E211" s="1355"/>
      <c r="F211" s="1355"/>
      <c r="G211" s="1355"/>
      <c r="H211" s="542"/>
      <c r="I211" s="1355">
        <f>B211</f>
        <v>20</v>
      </c>
      <c r="J211" s="1355"/>
      <c r="K211" s="1355"/>
      <c r="L211" s="1355"/>
      <c r="M211" s="1355"/>
      <c r="N211" s="1355"/>
      <c r="O211" s="542"/>
      <c r="P211" s="1355">
        <f>I211</f>
        <v>20</v>
      </c>
      <c r="Q211" s="1355"/>
      <c r="R211" s="1355"/>
      <c r="S211" s="1355"/>
      <c r="T211" s="1355"/>
      <c r="U211" s="1355"/>
      <c r="W211" s="1363" t="s">
        <v>237</v>
      </c>
      <c r="X211" s="1364"/>
    </row>
    <row r="212" spans="1:31">
      <c r="A212" s="1354"/>
      <c r="B212" s="1365" t="s">
        <v>258</v>
      </c>
      <c r="C212" s="1365"/>
      <c r="D212" s="1365" t="s">
        <v>259</v>
      </c>
      <c r="E212" s="1365"/>
      <c r="F212" s="1365"/>
      <c r="G212" s="1365" t="s">
        <v>215</v>
      </c>
      <c r="I212" s="1365" t="s">
        <v>260</v>
      </c>
      <c r="J212" s="1365"/>
      <c r="K212" s="1365" t="s">
        <v>259</v>
      </c>
      <c r="L212" s="1365"/>
      <c r="M212" s="1365"/>
      <c r="N212" s="1365" t="s">
        <v>215</v>
      </c>
      <c r="P212" s="1365" t="s">
        <v>488</v>
      </c>
      <c r="Q212" s="1365"/>
      <c r="R212" s="1365" t="s">
        <v>259</v>
      </c>
      <c r="S212" s="1365"/>
      <c r="T212" s="1365"/>
      <c r="U212" s="1365" t="s">
        <v>215</v>
      </c>
      <c r="W212" s="522" t="s">
        <v>258</v>
      </c>
      <c r="X212" s="523">
        <v>0</v>
      </c>
    </row>
    <row r="213" spans="1:31" ht="14.4">
      <c r="A213" s="1354"/>
      <c r="B213" s="1353" t="s">
        <v>261</v>
      </c>
      <c r="C213" s="1353"/>
      <c r="D213" s="524">
        <v>2017</v>
      </c>
      <c r="E213" s="537" t="s">
        <v>213</v>
      </c>
      <c r="F213" s="524">
        <v>2016</v>
      </c>
      <c r="G213" s="1365"/>
      <c r="I213" s="1352" t="s">
        <v>14</v>
      </c>
      <c r="J213" s="1353"/>
      <c r="K213" s="538">
        <f>D213</f>
        <v>2017</v>
      </c>
      <c r="L213" s="538" t="str">
        <f>E213</f>
        <v>-</v>
      </c>
      <c r="M213" s="524">
        <v>2016</v>
      </c>
      <c r="N213" s="1365"/>
      <c r="P213" s="1352" t="s">
        <v>489</v>
      </c>
      <c r="Q213" s="1353"/>
      <c r="R213" s="538">
        <f>K213</f>
        <v>2017</v>
      </c>
      <c r="S213" s="538" t="str">
        <f>L213</f>
        <v>-</v>
      </c>
      <c r="T213" s="524">
        <v>2016</v>
      </c>
      <c r="U213" s="1365"/>
      <c r="W213" s="522" t="s">
        <v>14</v>
      </c>
      <c r="X213" s="523">
        <v>0</v>
      </c>
    </row>
    <row r="214" spans="1:31" ht="13.8" thickBot="1">
      <c r="A214" s="1354"/>
      <c r="B214" s="739">
        <v>1</v>
      </c>
      <c r="C214" s="495">
        <v>14.8</v>
      </c>
      <c r="D214" s="495">
        <v>9.9999999999999995E-7</v>
      </c>
      <c r="E214" s="525" t="s">
        <v>213</v>
      </c>
      <c r="F214" s="495">
        <v>9.9999999999999995E-7</v>
      </c>
      <c r="G214" s="526">
        <f>0.5*(MAX(D214:F214)-MIN(D214:F214))</f>
        <v>0</v>
      </c>
      <c r="I214" s="739">
        <v>1</v>
      </c>
      <c r="J214" s="495">
        <v>45.7</v>
      </c>
      <c r="K214" s="495">
        <v>9.9999999999999995E-7</v>
      </c>
      <c r="L214" s="525" t="s">
        <v>213</v>
      </c>
      <c r="M214" s="532"/>
      <c r="N214" s="526">
        <f>0.5*(MAX(K214:M214)-MIN(K214:M214))</f>
        <v>0</v>
      </c>
      <c r="P214" s="739">
        <v>1</v>
      </c>
      <c r="Q214" s="495">
        <v>750</v>
      </c>
      <c r="R214" s="528">
        <v>9.9999999999999995E-7</v>
      </c>
      <c r="S214" s="525" t="s">
        <v>213</v>
      </c>
      <c r="T214" s="495">
        <v>9.9999999999999995E-7</v>
      </c>
      <c r="U214" s="526">
        <f>0.5*(MAX(R214:T214)-MIN(R214:T214))</f>
        <v>0</v>
      </c>
      <c r="W214" s="529" t="s">
        <v>489</v>
      </c>
      <c r="X214" s="493">
        <v>0</v>
      </c>
    </row>
    <row r="215" spans="1:31">
      <c r="A215" s="1354"/>
      <c r="B215" s="739">
        <v>2</v>
      </c>
      <c r="C215" s="495">
        <v>19.7</v>
      </c>
      <c r="D215" s="495">
        <v>9.9999999999999995E-7</v>
      </c>
      <c r="E215" s="525" t="s">
        <v>213</v>
      </c>
      <c r="F215" s="495">
        <v>9.9999999999999995E-7</v>
      </c>
      <c r="G215" s="526">
        <f t="shared" ref="G215:G220" si="57">0.5*(MAX(D215:F215)-MIN(D215:F215))</f>
        <v>0</v>
      </c>
      <c r="I215" s="739">
        <v>2</v>
      </c>
      <c r="J215" s="495">
        <v>54.3</v>
      </c>
      <c r="K215" s="495">
        <v>9.9999999999999995E-7</v>
      </c>
      <c r="L215" s="525" t="s">
        <v>213</v>
      </c>
      <c r="M215" s="532"/>
      <c r="N215" s="526">
        <f t="shared" ref="N215:N220" si="58">0.5*(MAX(K215:M215)-MIN(K215:M215))</f>
        <v>0</v>
      </c>
      <c r="P215" s="739">
        <v>2</v>
      </c>
      <c r="Q215" s="495">
        <v>800</v>
      </c>
      <c r="R215" s="528">
        <v>9.9999999999999995E-7</v>
      </c>
      <c r="S215" s="525" t="s">
        <v>213</v>
      </c>
      <c r="T215" s="495">
        <v>9.9999999999999995E-7</v>
      </c>
      <c r="U215" s="526">
        <f t="shared" ref="U215:U220" si="59">0.5*(MAX(R215:T215)-MIN(R215:T215))</f>
        <v>0</v>
      </c>
    </row>
    <row r="216" spans="1:31">
      <c r="A216" s="1354"/>
      <c r="B216" s="739">
        <v>3</v>
      </c>
      <c r="C216" s="495">
        <v>24.6</v>
      </c>
      <c r="D216" s="495">
        <v>9.9999999999999995E-7</v>
      </c>
      <c r="E216" s="525" t="s">
        <v>213</v>
      </c>
      <c r="F216" s="495">
        <v>9.9999999999999995E-7</v>
      </c>
      <c r="G216" s="526">
        <f t="shared" si="57"/>
        <v>0</v>
      </c>
      <c r="I216" s="739">
        <v>3</v>
      </c>
      <c r="J216" s="495">
        <v>62.5</v>
      </c>
      <c r="K216" s="495">
        <v>9.9999999999999995E-7</v>
      </c>
      <c r="L216" s="525" t="s">
        <v>213</v>
      </c>
      <c r="M216" s="532"/>
      <c r="N216" s="526">
        <f t="shared" si="58"/>
        <v>0</v>
      </c>
      <c r="P216" s="739">
        <v>3</v>
      </c>
      <c r="Q216" s="495">
        <v>850</v>
      </c>
      <c r="R216" s="528">
        <v>9.9999999999999995E-7</v>
      </c>
      <c r="S216" s="525" t="s">
        <v>213</v>
      </c>
      <c r="T216" s="495">
        <v>9.9999999999999995E-7</v>
      </c>
      <c r="U216" s="526">
        <f t="shared" si="59"/>
        <v>0</v>
      </c>
    </row>
    <row r="217" spans="1:31">
      <c r="A217" s="1354"/>
      <c r="B217" s="739">
        <v>4</v>
      </c>
      <c r="C217" s="498">
        <v>29.5</v>
      </c>
      <c r="D217" s="495">
        <v>9.9999999999999995E-7</v>
      </c>
      <c r="E217" s="499" t="s">
        <v>213</v>
      </c>
      <c r="F217" s="495">
        <v>9.9999999999999995E-7</v>
      </c>
      <c r="G217" s="526">
        <f t="shared" si="57"/>
        <v>0</v>
      </c>
      <c r="I217" s="739">
        <v>4</v>
      </c>
      <c r="J217" s="498">
        <v>71.5</v>
      </c>
      <c r="K217" s="495">
        <v>9.9999999999999995E-7</v>
      </c>
      <c r="L217" s="499" t="s">
        <v>213</v>
      </c>
      <c r="M217" s="532"/>
      <c r="N217" s="526">
        <f t="shared" si="58"/>
        <v>0</v>
      </c>
      <c r="P217" s="739">
        <v>4</v>
      </c>
      <c r="Q217" s="498">
        <v>900</v>
      </c>
      <c r="R217" s="528">
        <v>9.9999999999999995E-7</v>
      </c>
      <c r="S217" s="499" t="s">
        <v>213</v>
      </c>
      <c r="T217" s="495">
        <v>9.9999999999999995E-7</v>
      </c>
      <c r="U217" s="526">
        <f t="shared" si="59"/>
        <v>0</v>
      </c>
    </row>
    <row r="218" spans="1:31">
      <c r="A218" s="1354"/>
      <c r="B218" s="739">
        <v>5</v>
      </c>
      <c r="C218" s="498">
        <v>34.5</v>
      </c>
      <c r="D218" s="495">
        <v>9.9999999999999995E-7</v>
      </c>
      <c r="E218" s="499" t="s">
        <v>213</v>
      </c>
      <c r="F218" s="495">
        <v>9.9999999999999995E-7</v>
      </c>
      <c r="G218" s="526">
        <f t="shared" si="57"/>
        <v>0</v>
      </c>
      <c r="I218" s="739">
        <v>5</v>
      </c>
      <c r="J218" s="498">
        <v>80.8</v>
      </c>
      <c r="K218" s="495">
        <v>9.9999999999999995E-7</v>
      </c>
      <c r="L218" s="499" t="s">
        <v>213</v>
      </c>
      <c r="M218" s="532"/>
      <c r="N218" s="526">
        <f t="shared" si="58"/>
        <v>0</v>
      </c>
      <c r="P218" s="739">
        <v>5</v>
      </c>
      <c r="Q218" s="498">
        <v>1000</v>
      </c>
      <c r="R218" s="528">
        <v>9.9999999999999995E-7</v>
      </c>
      <c r="S218" s="499" t="s">
        <v>213</v>
      </c>
      <c r="T218" s="495">
        <v>9.9999999999999995E-7</v>
      </c>
      <c r="U218" s="526">
        <f t="shared" si="59"/>
        <v>0</v>
      </c>
    </row>
    <row r="219" spans="1:31">
      <c r="A219" s="1354"/>
      <c r="B219" s="739">
        <v>6</v>
      </c>
      <c r="C219" s="498">
        <v>39.5</v>
      </c>
      <c r="D219" s="495">
        <v>9.9999999999999995E-7</v>
      </c>
      <c r="E219" s="499" t="s">
        <v>213</v>
      </c>
      <c r="F219" s="495">
        <v>9.9999999999999995E-7</v>
      </c>
      <c r="G219" s="526">
        <f t="shared" si="57"/>
        <v>0</v>
      </c>
      <c r="I219" s="739">
        <v>6</v>
      </c>
      <c r="J219" s="498">
        <v>88.7</v>
      </c>
      <c r="K219" s="495">
        <v>9.9999999999999995E-7</v>
      </c>
      <c r="L219" s="499" t="s">
        <v>213</v>
      </c>
      <c r="M219" s="532"/>
      <c r="N219" s="526">
        <f t="shared" si="58"/>
        <v>0</v>
      </c>
      <c r="P219" s="739">
        <v>6</v>
      </c>
      <c r="Q219" s="498">
        <v>1005</v>
      </c>
      <c r="R219" s="528">
        <v>9.9999999999999995E-7</v>
      </c>
      <c r="S219" s="499" t="s">
        <v>213</v>
      </c>
      <c r="T219" s="495">
        <v>9.9999999999999995E-7</v>
      </c>
      <c r="U219" s="526">
        <f t="shared" si="59"/>
        <v>0</v>
      </c>
    </row>
    <row r="220" spans="1:31">
      <c r="A220" s="1354"/>
      <c r="B220" s="739">
        <v>7</v>
      </c>
      <c r="C220" s="539">
        <v>40</v>
      </c>
      <c r="D220" s="495">
        <v>9.9999999999999995E-7</v>
      </c>
      <c r="E220" s="499" t="s">
        <v>213</v>
      </c>
      <c r="F220" s="495">
        <v>9.9999999999999995E-7</v>
      </c>
      <c r="G220" s="526">
        <f t="shared" si="57"/>
        <v>0</v>
      </c>
      <c r="I220" s="739">
        <v>7</v>
      </c>
      <c r="J220" s="539">
        <v>90</v>
      </c>
      <c r="K220" s="495">
        <v>9.9999999999999995E-7</v>
      </c>
      <c r="L220" s="499" t="s">
        <v>213</v>
      </c>
      <c r="M220" s="532"/>
      <c r="N220" s="526">
        <f t="shared" si="58"/>
        <v>0</v>
      </c>
      <c r="P220" s="739">
        <v>7</v>
      </c>
      <c r="Q220" s="498">
        <v>1020</v>
      </c>
      <c r="R220" s="528">
        <v>9.9999999999999995E-7</v>
      </c>
      <c r="S220" s="499" t="s">
        <v>213</v>
      </c>
      <c r="T220" s="495">
        <v>9.9999999999999995E-7</v>
      </c>
      <c r="U220" s="526">
        <f t="shared" si="59"/>
        <v>0</v>
      </c>
    </row>
    <row r="221" spans="1:31" ht="13.8" thickBot="1">
      <c r="A221" s="502"/>
      <c r="B221" s="1351"/>
      <c r="C221" s="1351"/>
      <c r="D221" s="1351"/>
      <c r="E221" s="1351"/>
      <c r="F221" s="1351"/>
      <c r="G221" s="1351"/>
      <c r="H221" s="1351"/>
      <c r="I221" s="1351"/>
      <c r="J221" s="1351"/>
      <c r="K221" s="1351"/>
      <c r="L221" s="1351"/>
      <c r="M221" s="1351"/>
      <c r="N221" s="1351"/>
      <c r="O221" s="1351"/>
      <c r="P221" s="1351"/>
      <c r="Q221" s="1351"/>
      <c r="R221" s="1351"/>
      <c r="S221" s="1351"/>
      <c r="T221" s="1351"/>
      <c r="U221" s="1351"/>
    </row>
    <row r="222" spans="1:31" hidden="1">
      <c r="A222" s="500"/>
      <c r="B222" s="500"/>
      <c r="C222" s="500"/>
      <c r="D222" s="500"/>
      <c r="E222" s="500"/>
      <c r="F222" s="500"/>
      <c r="G222" s="500"/>
      <c r="H222" s="500"/>
      <c r="I222" s="500"/>
      <c r="J222" s="500"/>
      <c r="K222" s="500"/>
      <c r="L222" s="500"/>
      <c r="M222" s="500"/>
      <c r="N222" s="500"/>
      <c r="O222" s="500"/>
      <c r="P222" s="500"/>
    </row>
    <row r="223" spans="1:31" ht="12.75" hidden="1" customHeight="1">
      <c r="A223" s="1356" t="s">
        <v>22</v>
      </c>
      <c r="B223" s="1357" t="s">
        <v>272</v>
      </c>
      <c r="C223" s="1358" t="s">
        <v>273</v>
      </c>
      <c r="D223" s="1358"/>
      <c r="E223" s="1358"/>
      <c r="F223" s="1358"/>
      <c r="G223" s="892"/>
      <c r="I223" s="1356" t="s">
        <v>22</v>
      </c>
      <c r="J223" s="1357" t="s">
        <v>272</v>
      </c>
      <c r="K223" s="1358" t="s">
        <v>273</v>
      </c>
      <c r="L223" s="1358"/>
      <c r="M223" s="1358"/>
      <c r="N223" s="1358"/>
      <c r="O223" s="494"/>
      <c r="Q223" s="1359" t="s">
        <v>22</v>
      </c>
      <c r="R223" s="1360" t="s">
        <v>272</v>
      </c>
      <c r="S223" s="1361" t="s">
        <v>273</v>
      </c>
      <c r="T223" s="1361"/>
      <c r="U223" s="1361"/>
      <c r="V223" s="1362"/>
      <c r="Y223" s="1341" t="s">
        <v>237</v>
      </c>
      <c r="Z223" s="1342"/>
      <c r="AE223" s="893"/>
    </row>
    <row r="224" spans="1:31" ht="13.8" hidden="1">
      <c r="A224" s="1356"/>
      <c r="B224" s="1357"/>
      <c r="C224" s="730" t="s">
        <v>258</v>
      </c>
      <c r="D224" s="1346" t="s">
        <v>259</v>
      </c>
      <c r="E224" s="1346"/>
      <c r="F224" s="1346"/>
      <c r="G224" s="1346" t="s">
        <v>215</v>
      </c>
      <c r="I224" s="1356"/>
      <c r="J224" s="1357"/>
      <c r="K224" s="730" t="s">
        <v>260</v>
      </c>
      <c r="L224" s="1346" t="s">
        <v>259</v>
      </c>
      <c r="M224" s="1346"/>
      <c r="N224" s="1346"/>
      <c r="O224" s="1346" t="s">
        <v>215</v>
      </c>
      <c r="Q224" s="1356"/>
      <c r="R224" s="1357"/>
      <c r="S224" s="730" t="s">
        <v>488</v>
      </c>
      <c r="T224" s="1347" t="s">
        <v>259</v>
      </c>
      <c r="U224" s="1348"/>
      <c r="V224" s="1349"/>
      <c r="W224" s="1350" t="s">
        <v>215</v>
      </c>
      <c r="Y224" s="1343" t="s">
        <v>258</v>
      </c>
      <c r="Z224" s="1344"/>
      <c r="AE224" s="500"/>
    </row>
    <row r="225" spans="1:38" ht="14.4" hidden="1">
      <c r="A225" s="1356"/>
      <c r="B225" s="1357"/>
      <c r="C225" s="894" t="s">
        <v>274</v>
      </c>
      <c r="D225" s="730"/>
      <c r="E225" s="730"/>
      <c r="F225" s="494"/>
      <c r="G225" s="1346"/>
      <c r="I225" s="1356"/>
      <c r="J225" s="1357"/>
      <c r="K225" s="894" t="s">
        <v>14</v>
      </c>
      <c r="L225" s="730"/>
      <c r="M225" s="730"/>
      <c r="N225" s="494"/>
      <c r="O225" s="1346"/>
      <c r="Q225" s="1356"/>
      <c r="R225" s="1357"/>
      <c r="S225" s="894" t="s">
        <v>489</v>
      </c>
      <c r="T225" s="730"/>
      <c r="U225" s="730"/>
      <c r="W225" s="1350"/>
      <c r="Y225" s="731">
        <v>1</v>
      </c>
      <c r="Z225" s="732">
        <f>X3</f>
        <v>0.6</v>
      </c>
      <c r="AE225" s="500"/>
    </row>
    <row r="226" spans="1:38" hidden="1">
      <c r="A226" s="1335">
        <v>1</v>
      </c>
      <c r="B226" s="733">
        <v>1</v>
      </c>
      <c r="C226" s="733">
        <f>C5</f>
        <v>15</v>
      </c>
      <c r="D226" s="733">
        <f t="shared" ref="D226:F226" si="60">D5</f>
        <v>-0.5</v>
      </c>
      <c r="E226" s="733">
        <f t="shared" si="60"/>
        <v>0.3</v>
      </c>
      <c r="F226" s="733">
        <f t="shared" si="60"/>
        <v>9.9999999999999995E-7</v>
      </c>
      <c r="G226" s="733">
        <f>G5</f>
        <v>0.4</v>
      </c>
      <c r="I226" s="1335">
        <v>1</v>
      </c>
      <c r="J226" s="733">
        <v>1</v>
      </c>
      <c r="K226" s="733">
        <f>J5</f>
        <v>35</v>
      </c>
      <c r="L226" s="733">
        <f>K5</f>
        <v>-6</v>
      </c>
      <c r="M226" s="733">
        <f>L5</f>
        <v>-9.4</v>
      </c>
      <c r="N226" s="733">
        <f>M5</f>
        <v>0</v>
      </c>
      <c r="O226" s="733">
        <f>N5</f>
        <v>1.7000000000000002</v>
      </c>
      <c r="Q226" s="1345">
        <v>1</v>
      </c>
      <c r="R226" s="733">
        <v>1</v>
      </c>
      <c r="S226" s="733">
        <f>Q5</f>
        <v>750</v>
      </c>
      <c r="T226" s="733" t="str">
        <f>R5</f>
        <v>-</v>
      </c>
      <c r="U226" s="733" t="str">
        <f>S5</f>
        <v>-</v>
      </c>
      <c r="V226" s="733">
        <f>T5</f>
        <v>9.9999999999999995E-7</v>
      </c>
      <c r="W226" s="543">
        <f>U5</f>
        <v>0</v>
      </c>
      <c r="Y226" s="544">
        <v>2</v>
      </c>
      <c r="Z226" s="732">
        <f>X14</f>
        <v>0.8</v>
      </c>
      <c r="AE226" s="500"/>
    </row>
    <row r="227" spans="1:38" hidden="1">
      <c r="A227" s="1335"/>
      <c r="B227" s="733">
        <v>2</v>
      </c>
      <c r="C227" s="733">
        <f>C16</f>
        <v>15</v>
      </c>
      <c r="D227" s="733">
        <f t="shared" ref="D227:F227" si="61">D16</f>
        <v>0.4</v>
      </c>
      <c r="E227" s="733">
        <f t="shared" si="61"/>
        <v>9.9999999999999995E-7</v>
      </c>
      <c r="F227" s="733">
        <f t="shared" si="61"/>
        <v>0</v>
      </c>
      <c r="G227" s="733">
        <f>G16</f>
        <v>0.19999950000000002</v>
      </c>
      <c r="I227" s="1335"/>
      <c r="J227" s="733">
        <v>2</v>
      </c>
      <c r="K227" s="733">
        <f>J16</f>
        <v>35</v>
      </c>
      <c r="L227" s="733">
        <f>K16</f>
        <v>-6.9</v>
      </c>
      <c r="M227" s="733">
        <f>L16</f>
        <v>-1.6</v>
      </c>
      <c r="N227" s="733">
        <f>M16</f>
        <v>0</v>
      </c>
      <c r="O227" s="733">
        <f>N16</f>
        <v>2.6500000000000004</v>
      </c>
      <c r="Q227" s="1339"/>
      <c r="R227" s="733">
        <v>2</v>
      </c>
      <c r="S227" s="733">
        <f>Q16</f>
        <v>750</v>
      </c>
      <c r="T227" s="733" t="str">
        <f>R16</f>
        <v>-</v>
      </c>
      <c r="U227" s="733" t="str">
        <f>S16</f>
        <v>-</v>
      </c>
      <c r="V227" s="733">
        <f>T16</f>
        <v>9.9999999999999995E-7</v>
      </c>
      <c r="W227" s="543">
        <f>U16</f>
        <v>0</v>
      </c>
      <c r="Y227" s="544">
        <v>3</v>
      </c>
      <c r="Z227" s="545">
        <f>X25</f>
        <v>0.5</v>
      </c>
      <c r="AE227" s="500"/>
    </row>
    <row r="228" spans="1:38" hidden="1">
      <c r="A228" s="1335"/>
      <c r="B228" s="733">
        <v>3</v>
      </c>
      <c r="C228" s="733">
        <f>C27</f>
        <v>15</v>
      </c>
      <c r="D228" s="733">
        <f t="shared" ref="D228:F228" si="62">D27</f>
        <v>0.4</v>
      </c>
      <c r="E228" s="733">
        <f t="shared" si="62"/>
        <v>9.9999999999999995E-7</v>
      </c>
      <c r="F228" s="733">
        <f t="shared" si="62"/>
        <v>0</v>
      </c>
      <c r="G228" s="733">
        <f>G27</f>
        <v>0.19999950000000002</v>
      </c>
      <c r="I228" s="1335"/>
      <c r="J228" s="733">
        <v>3</v>
      </c>
      <c r="K228" s="733">
        <f>J27</f>
        <v>30</v>
      </c>
      <c r="L228" s="733">
        <f>K27</f>
        <v>-7.3</v>
      </c>
      <c r="M228" s="733">
        <f>L27</f>
        <v>-5.7</v>
      </c>
      <c r="N228" s="733">
        <f>M27</f>
        <v>0</v>
      </c>
      <c r="O228" s="733">
        <f>N27</f>
        <v>0.79999999999999982</v>
      </c>
      <c r="Q228" s="1339"/>
      <c r="R228" s="733">
        <v>3</v>
      </c>
      <c r="S228" s="733">
        <f>Q27</f>
        <v>750</v>
      </c>
      <c r="T228" s="733" t="str">
        <f>R27</f>
        <v>-</v>
      </c>
      <c r="U228" s="733" t="str">
        <f>S27</f>
        <v>-</v>
      </c>
      <c r="V228" s="733">
        <f>T27</f>
        <v>9.9999999999999995E-7</v>
      </c>
      <c r="W228" s="543">
        <f>U27</f>
        <v>4.9999999999999998E-7</v>
      </c>
      <c r="Y228" s="544">
        <v>4</v>
      </c>
      <c r="Z228" s="545">
        <f>X36</f>
        <v>0.3</v>
      </c>
      <c r="AE228" s="500"/>
    </row>
    <row r="229" spans="1:38" hidden="1">
      <c r="A229" s="1335"/>
      <c r="B229" s="733">
        <v>4</v>
      </c>
      <c r="C229" s="546">
        <f>C38</f>
        <v>15</v>
      </c>
      <c r="D229" s="546">
        <f t="shared" ref="D229:F229" si="63">D38</f>
        <v>-0.2</v>
      </c>
      <c r="E229" s="546">
        <f t="shared" si="63"/>
        <v>-0.1</v>
      </c>
      <c r="F229" s="546">
        <f t="shared" si="63"/>
        <v>0</v>
      </c>
      <c r="G229" s="546">
        <f>G38</f>
        <v>0.05</v>
      </c>
      <c r="I229" s="1335"/>
      <c r="J229" s="733">
        <v>4</v>
      </c>
      <c r="K229" s="546">
        <f>J38</f>
        <v>35</v>
      </c>
      <c r="L229" s="546">
        <f>K38</f>
        <v>-4.5</v>
      </c>
      <c r="M229" s="546">
        <f>L38</f>
        <v>-1.7</v>
      </c>
      <c r="N229" s="546">
        <f>M38</f>
        <v>0</v>
      </c>
      <c r="O229" s="546">
        <f>N38</f>
        <v>1.4</v>
      </c>
      <c r="Q229" s="1339"/>
      <c r="R229" s="733">
        <v>4</v>
      </c>
      <c r="S229" s="546">
        <f>Q38</f>
        <v>750</v>
      </c>
      <c r="T229" s="546" t="str">
        <f>R38</f>
        <v>-</v>
      </c>
      <c r="U229" s="546" t="str">
        <f>S38</f>
        <v>-</v>
      </c>
      <c r="V229" s="546">
        <f>T38</f>
        <v>9.9999999999999995E-7</v>
      </c>
      <c r="W229" s="547">
        <f>U38</f>
        <v>0</v>
      </c>
      <c r="Y229" s="544">
        <v>5</v>
      </c>
      <c r="Z229" s="545">
        <f>X47</f>
        <v>0.4</v>
      </c>
      <c r="AE229" s="500"/>
    </row>
    <row r="230" spans="1:38" hidden="1">
      <c r="A230" s="1335"/>
      <c r="B230" s="733">
        <v>5</v>
      </c>
      <c r="C230" s="546">
        <f>C49</f>
        <v>15</v>
      </c>
      <c r="D230" s="546">
        <f t="shared" ref="D230:F230" si="64">D49</f>
        <v>-0.3</v>
      </c>
      <c r="E230" s="546">
        <f t="shared" si="64"/>
        <v>0.3</v>
      </c>
      <c r="F230" s="546">
        <f t="shared" si="64"/>
        <v>0</v>
      </c>
      <c r="G230" s="546">
        <f>G49</f>
        <v>0.3</v>
      </c>
      <c r="I230" s="1335"/>
      <c r="J230" s="733">
        <v>5</v>
      </c>
      <c r="K230" s="546">
        <f>J49</f>
        <v>35</v>
      </c>
      <c r="L230" s="546">
        <f>K49</f>
        <v>-7.7</v>
      </c>
      <c r="M230" s="546">
        <f>L49</f>
        <v>-9.6</v>
      </c>
      <c r="N230" s="546">
        <f>M49</f>
        <v>0</v>
      </c>
      <c r="O230" s="546">
        <f>N49</f>
        <v>0.94999999999999973</v>
      </c>
      <c r="Q230" s="1339"/>
      <c r="R230" s="733">
        <v>5</v>
      </c>
      <c r="S230" s="546">
        <f>Q49</f>
        <v>750</v>
      </c>
      <c r="T230" s="546" t="str">
        <f>R49</f>
        <v>-</v>
      </c>
      <c r="U230" s="546" t="str">
        <f>S49</f>
        <v>-</v>
      </c>
      <c r="V230" s="546">
        <f>T49</f>
        <v>9.9999999999999995E-7</v>
      </c>
      <c r="W230" s="547">
        <f>U49</f>
        <v>0</v>
      </c>
      <c r="Y230" s="731">
        <v>6</v>
      </c>
      <c r="Z230" s="732">
        <f>X58</f>
        <v>0.8</v>
      </c>
      <c r="AE230" s="500"/>
    </row>
    <row r="231" spans="1:38" hidden="1">
      <c r="A231" s="1335"/>
      <c r="B231" s="733">
        <v>6</v>
      </c>
      <c r="C231" s="546">
        <f>C60</f>
        <v>15</v>
      </c>
      <c r="D231" s="546">
        <f t="shared" ref="D231:F231" si="65">D60</f>
        <v>0.4</v>
      </c>
      <c r="E231" s="546">
        <f t="shared" si="65"/>
        <v>0.4</v>
      </c>
      <c r="F231" s="546">
        <f t="shared" si="65"/>
        <v>0</v>
      </c>
      <c r="G231" s="546">
        <f>G60</f>
        <v>0</v>
      </c>
      <c r="I231" s="1335"/>
      <c r="J231" s="733">
        <v>6</v>
      </c>
      <c r="K231" s="546">
        <f>J60</f>
        <v>30</v>
      </c>
      <c r="L231" s="546">
        <f>K60</f>
        <v>-1.5</v>
      </c>
      <c r="M231" s="546">
        <f>L60</f>
        <v>1.7</v>
      </c>
      <c r="N231" s="546">
        <f>M60</f>
        <v>0</v>
      </c>
      <c r="O231" s="546">
        <f>N60</f>
        <v>1.6</v>
      </c>
      <c r="Q231" s="1339"/>
      <c r="R231" s="733">
        <v>6</v>
      </c>
      <c r="S231" s="546">
        <f>Q60</f>
        <v>750</v>
      </c>
      <c r="T231" s="546">
        <f>R60</f>
        <v>0.9</v>
      </c>
      <c r="U231" s="546">
        <f>S60</f>
        <v>2.1</v>
      </c>
      <c r="V231" s="546">
        <f>T60</f>
        <v>9.9999999999999995E-7</v>
      </c>
      <c r="W231" s="547">
        <f>U60</f>
        <v>1.0499995</v>
      </c>
      <c r="Y231" s="731">
        <v>7</v>
      </c>
      <c r="Z231" s="732">
        <f>X69</f>
        <v>0.2</v>
      </c>
      <c r="AE231" s="500"/>
    </row>
    <row r="232" spans="1:38" hidden="1">
      <c r="A232" s="1335"/>
      <c r="B232" s="733">
        <v>7</v>
      </c>
      <c r="C232" s="546">
        <f>C71</f>
        <v>15</v>
      </c>
      <c r="D232" s="546">
        <f t="shared" ref="D232:F232" si="66">D71</f>
        <v>0.1</v>
      </c>
      <c r="E232" s="546">
        <f t="shared" si="66"/>
        <v>0.3</v>
      </c>
      <c r="F232" s="546">
        <f t="shared" si="66"/>
        <v>0</v>
      </c>
      <c r="G232" s="546">
        <f>G71</f>
        <v>9.9999999999999992E-2</v>
      </c>
      <c r="I232" s="1335"/>
      <c r="J232" s="733">
        <v>7</v>
      </c>
      <c r="K232" s="546">
        <f>J71</f>
        <v>30</v>
      </c>
      <c r="L232" s="546">
        <f>K71</f>
        <v>-1.9</v>
      </c>
      <c r="M232" s="546">
        <f>L71</f>
        <v>1.8</v>
      </c>
      <c r="N232" s="546">
        <f>M71</f>
        <v>0</v>
      </c>
      <c r="O232" s="546">
        <f>N71</f>
        <v>1.85</v>
      </c>
      <c r="Q232" s="1339"/>
      <c r="R232" s="733">
        <v>7</v>
      </c>
      <c r="S232" s="546">
        <f>Q71</f>
        <v>750</v>
      </c>
      <c r="T232" s="546">
        <f>R71</f>
        <v>9.9999999999999995E-7</v>
      </c>
      <c r="U232" s="546">
        <f>S71</f>
        <v>3.2</v>
      </c>
      <c r="V232" s="546">
        <f>T71</f>
        <v>9.9999999999999995E-7</v>
      </c>
      <c r="W232" s="547">
        <f>U71</f>
        <v>1.5999995</v>
      </c>
      <c r="Y232" s="731">
        <v>8</v>
      </c>
      <c r="Z232" s="732">
        <f>X80</f>
        <v>0.3</v>
      </c>
      <c r="AE232" s="500"/>
    </row>
    <row r="233" spans="1:38" hidden="1">
      <c r="A233" s="1335"/>
      <c r="B233" s="733">
        <v>8</v>
      </c>
      <c r="C233" s="546">
        <f>C82</f>
        <v>15</v>
      </c>
      <c r="D233" s="546">
        <f t="shared" ref="D233:F233" si="67">D82</f>
        <v>0.1</v>
      </c>
      <c r="E233" s="546">
        <f t="shared" si="67"/>
        <v>9.9999999999999995E-7</v>
      </c>
      <c r="F233" s="546">
        <f t="shared" si="67"/>
        <v>0</v>
      </c>
      <c r="G233" s="546">
        <f>G82</f>
        <v>4.9999500000000002E-2</v>
      </c>
      <c r="I233" s="1335"/>
      <c r="J233" s="733">
        <v>8</v>
      </c>
      <c r="K233" s="546">
        <f>J82</f>
        <v>30</v>
      </c>
      <c r="L233" s="546">
        <f>K82</f>
        <v>-4</v>
      </c>
      <c r="M233" s="546">
        <f>L82</f>
        <v>-1.4</v>
      </c>
      <c r="N233" s="546">
        <f>M82</f>
        <v>0</v>
      </c>
      <c r="O233" s="546">
        <f>N82</f>
        <v>1.3</v>
      </c>
      <c r="Q233" s="1339"/>
      <c r="R233" s="733">
        <v>8</v>
      </c>
      <c r="S233" s="546">
        <f>Q82</f>
        <v>750</v>
      </c>
      <c r="T233" s="546">
        <f>R82</f>
        <v>9.9999999999999995E-7</v>
      </c>
      <c r="U233" s="546">
        <f>S82</f>
        <v>9.9999999999999995E-7</v>
      </c>
      <c r="V233" s="546">
        <f>T82</f>
        <v>9.9999999999999995E-7</v>
      </c>
      <c r="W233" s="547">
        <f>U82</f>
        <v>0</v>
      </c>
      <c r="Y233" s="731">
        <v>9</v>
      </c>
      <c r="Z233" s="732">
        <f>X91</f>
        <v>0.3</v>
      </c>
      <c r="AE233" s="500"/>
    </row>
    <row r="234" spans="1:38" hidden="1">
      <c r="A234" s="1335"/>
      <c r="B234" s="733">
        <v>9</v>
      </c>
      <c r="C234" s="546">
        <f>C93</f>
        <v>15</v>
      </c>
      <c r="D234" s="546">
        <f t="shared" ref="D234:F234" si="68">D93</f>
        <v>9.9999999999999995E-7</v>
      </c>
      <c r="E234" s="546" t="str">
        <f t="shared" si="68"/>
        <v>-</v>
      </c>
      <c r="F234" s="546">
        <f t="shared" si="68"/>
        <v>0</v>
      </c>
      <c r="G234" s="546">
        <f>G93</f>
        <v>0</v>
      </c>
      <c r="I234" s="1335"/>
      <c r="J234" s="733">
        <v>9</v>
      </c>
      <c r="K234" s="546">
        <f>J93</f>
        <v>30</v>
      </c>
      <c r="L234" s="546">
        <f>K93</f>
        <v>-1.2</v>
      </c>
      <c r="M234" s="546" t="str">
        <f>L93</f>
        <v>-</v>
      </c>
      <c r="N234" s="546">
        <f>M93</f>
        <v>0</v>
      </c>
      <c r="O234" s="546">
        <f>N93</f>
        <v>0</v>
      </c>
      <c r="Q234" s="1339"/>
      <c r="R234" s="733">
        <v>9</v>
      </c>
      <c r="S234" s="546">
        <f>Q93</f>
        <v>750</v>
      </c>
      <c r="T234" s="546">
        <f>R93</f>
        <v>9.9999999999999995E-7</v>
      </c>
      <c r="U234" s="546" t="str">
        <f>S93</f>
        <v>-</v>
      </c>
      <c r="V234" s="546">
        <f>T93</f>
        <v>9.9999999999999995E-7</v>
      </c>
      <c r="W234" s="547">
        <f>U93</f>
        <v>0</v>
      </c>
      <c r="Y234" s="731">
        <v>10</v>
      </c>
      <c r="Z234" s="732">
        <f>X102</f>
        <v>0.3</v>
      </c>
      <c r="AE234" s="500"/>
    </row>
    <row r="235" spans="1:38" hidden="1">
      <c r="A235" s="1335"/>
      <c r="B235" s="733">
        <v>10</v>
      </c>
      <c r="C235" s="546">
        <f>C104</f>
        <v>15</v>
      </c>
      <c r="D235" s="546">
        <f t="shared" ref="D235:F235" si="69">D104</f>
        <v>0.2</v>
      </c>
      <c r="E235" s="546">
        <f t="shared" si="69"/>
        <v>0.2</v>
      </c>
      <c r="F235" s="546">
        <f t="shared" si="69"/>
        <v>0</v>
      </c>
      <c r="G235" s="546">
        <f>G104</f>
        <v>0</v>
      </c>
      <c r="I235" s="1335"/>
      <c r="J235" s="733">
        <v>10</v>
      </c>
      <c r="K235" s="546">
        <f>J104</f>
        <v>30</v>
      </c>
      <c r="L235" s="546">
        <f>K104</f>
        <v>-2.9</v>
      </c>
      <c r="M235" s="546">
        <f>L104</f>
        <v>-5.8</v>
      </c>
      <c r="N235" s="546">
        <f>M104</f>
        <v>0</v>
      </c>
      <c r="O235" s="546">
        <f>N104</f>
        <v>1.45</v>
      </c>
      <c r="Q235" s="1339"/>
      <c r="R235" s="733">
        <v>10</v>
      </c>
      <c r="S235" s="546">
        <f>Q104</f>
        <v>750</v>
      </c>
      <c r="T235" s="546" t="str">
        <f>R104</f>
        <v>-</v>
      </c>
      <c r="U235" s="546" t="str">
        <f>S104</f>
        <v>-</v>
      </c>
      <c r="V235" s="546">
        <f>T104</f>
        <v>9.9999999999999995E-7</v>
      </c>
      <c r="W235" s="547">
        <f>U104</f>
        <v>0</v>
      </c>
      <c r="Y235" s="731">
        <v>11</v>
      </c>
      <c r="Z235" s="732">
        <f>X113</f>
        <v>0.3</v>
      </c>
      <c r="AE235" s="500"/>
    </row>
    <row r="236" spans="1:38" hidden="1">
      <c r="A236" s="1335"/>
      <c r="B236" s="733">
        <v>11</v>
      </c>
      <c r="C236" s="546">
        <f>C115</f>
        <v>15</v>
      </c>
      <c r="D236" s="546">
        <f t="shared" ref="D236:F236" si="70">D115</f>
        <v>0.3</v>
      </c>
      <c r="E236" s="546">
        <f t="shared" si="70"/>
        <v>0.3</v>
      </c>
      <c r="F236" s="546">
        <f t="shared" si="70"/>
        <v>0</v>
      </c>
      <c r="G236" s="546">
        <f>G115</f>
        <v>0</v>
      </c>
      <c r="I236" s="1335"/>
      <c r="J236" s="733">
        <v>11</v>
      </c>
      <c r="K236" s="546">
        <f>J115</f>
        <v>30</v>
      </c>
      <c r="L236" s="546">
        <f>K115</f>
        <v>-5.2</v>
      </c>
      <c r="M236" s="546">
        <f>L115</f>
        <v>-6.4</v>
      </c>
      <c r="N236" s="546">
        <f>M115</f>
        <v>0</v>
      </c>
      <c r="O236" s="546">
        <f>N115</f>
        <v>0.60000000000000009</v>
      </c>
      <c r="Q236" s="1339"/>
      <c r="R236" s="733">
        <v>11</v>
      </c>
      <c r="S236" s="546">
        <f>Q115</f>
        <v>750</v>
      </c>
      <c r="T236" s="546" t="str">
        <f>R115</f>
        <v>-</v>
      </c>
      <c r="U236" s="546" t="str">
        <f>S115</f>
        <v>-</v>
      </c>
      <c r="V236" s="546">
        <f>T115</f>
        <v>9.9999999999999995E-7</v>
      </c>
      <c r="W236" s="547">
        <f>U115</f>
        <v>0</v>
      </c>
      <c r="Y236" s="731">
        <v>12</v>
      </c>
      <c r="Z236" s="732">
        <f>X124</f>
        <v>0.3</v>
      </c>
      <c r="AE236" s="500"/>
    </row>
    <row r="237" spans="1:38" hidden="1">
      <c r="A237" s="1335"/>
      <c r="B237" s="733">
        <v>12</v>
      </c>
      <c r="C237" s="546">
        <f>C126</f>
        <v>15</v>
      </c>
      <c r="D237" s="546">
        <f t="shared" ref="D237:F237" si="71">D126</f>
        <v>9.9999999999999995E-7</v>
      </c>
      <c r="E237" s="546" t="str">
        <f t="shared" si="71"/>
        <v>-</v>
      </c>
      <c r="F237" s="546">
        <f t="shared" si="71"/>
        <v>0</v>
      </c>
      <c r="G237" s="546">
        <f>G126</f>
        <v>0</v>
      </c>
      <c r="I237" s="1335"/>
      <c r="J237" s="733">
        <v>12</v>
      </c>
      <c r="K237" s="546">
        <f>J126</f>
        <v>30</v>
      </c>
      <c r="L237" s="546">
        <f>K126</f>
        <v>-0.4</v>
      </c>
      <c r="M237" s="546" t="str">
        <f>L126</f>
        <v>-</v>
      </c>
      <c r="N237" s="546">
        <f>M126</f>
        <v>0</v>
      </c>
      <c r="O237" s="546">
        <f>N126</f>
        <v>0</v>
      </c>
      <c r="Q237" s="1339"/>
      <c r="R237" s="733">
        <v>12</v>
      </c>
      <c r="S237" s="546">
        <f>Q126</f>
        <v>800</v>
      </c>
      <c r="T237" s="546">
        <f>R126</f>
        <v>-0.4</v>
      </c>
      <c r="U237" s="546" t="str">
        <f>S126</f>
        <v>-</v>
      </c>
      <c r="V237" s="546">
        <f>T126</f>
        <v>0</v>
      </c>
      <c r="W237" s="547">
        <f>U126</f>
        <v>0</v>
      </c>
      <c r="Y237" s="731">
        <v>13</v>
      </c>
      <c r="Z237" s="548">
        <f>X135</f>
        <v>0.5</v>
      </c>
      <c r="AE237" s="500"/>
      <c r="AL237" s="500"/>
    </row>
    <row r="238" spans="1:38" hidden="1">
      <c r="A238" s="1335"/>
      <c r="B238" s="733">
        <v>13</v>
      </c>
      <c r="C238" s="546">
        <f>C137</f>
        <v>15</v>
      </c>
      <c r="D238" s="546">
        <f t="shared" ref="D238:F238" si="72">D137</f>
        <v>0.5</v>
      </c>
      <c r="E238" s="546">
        <f t="shared" si="72"/>
        <v>-0.7</v>
      </c>
      <c r="F238" s="546">
        <f t="shared" si="72"/>
        <v>0</v>
      </c>
      <c r="G238" s="546">
        <f>G137</f>
        <v>0.6</v>
      </c>
      <c r="I238" s="1335"/>
      <c r="J238" s="733">
        <v>13</v>
      </c>
      <c r="K238" s="546">
        <f>J137</f>
        <v>30</v>
      </c>
      <c r="L238" s="546">
        <f>K137</f>
        <v>-2.2000000000000002</v>
      </c>
      <c r="M238" s="546">
        <f>L137</f>
        <v>-1.4</v>
      </c>
      <c r="N238" s="546">
        <f>M137</f>
        <v>0</v>
      </c>
      <c r="O238" s="546">
        <f>N137</f>
        <v>0.40000000000000013</v>
      </c>
      <c r="Q238" s="1339"/>
      <c r="R238" s="733">
        <v>13</v>
      </c>
      <c r="S238" s="546">
        <f>Q137</f>
        <v>985</v>
      </c>
      <c r="T238" s="546">
        <f>R137</f>
        <v>3.8</v>
      </c>
      <c r="U238" s="546">
        <f>S137</f>
        <v>0.9</v>
      </c>
      <c r="V238" s="546">
        <f>T137</f>
        <v>0</v>
      </c>
      <c r="W238" s="547">
        <f>U137</f>
        <v>1.45</v>
      </c>
      <c r="Y238" s="731">
        <v>14</v>
      </c>
      <c r="Z238" s="548">
        <f>X146</f>
        <v>0.5</v>
      </c>
      <c r="AE238" s="500"/>
      <c r="AL238" s="500"/>
    </row>
    <row r="239" spans="1:38" hidden="1">
      <c r="A239" s="1335"/>
      <c r="B239" s="733">
        <v>14</v>
      </c>
      <c r="C239" s="546">
        <f>C148</f>
        <v>15</v>
      </c>
      <c r="D239" s="546">
        <f t="shared" ref="D239:F239" si="73">D148</f>
        <v>0.5</v>
      </c>
      <c r="E239" s="546">
        <f t="shared" si="73"/>
        <v>-0.2</v>
      </c>
      <c r="F239" s="546">
        <f t="shared" si="73"/>
        <v>0</v>
      </c>
      <c r="G239" s="546">
        <f>G148</f>
        <v>0.35</v>
      </c>
      <c r="I239" s="1335"/>
      <c r="J239" s="733">
        <v>14</v>
      </c>
      <c r="K239" s="546">
        <f>J148</f>
        <v>30</v>
      </c>
      <c r="L239" s="546">
        <f>K148</f>
        <v>-0.8</v>
      </c>
      <c r="M239" s="546">
        <f>L148</f>
        <v>0.6</v>
      </c>
      <c r="N239" s="546">
        <f>M148</f>
        <v>0</v>
      </c>
      <c r="O239" s="546">
        <f>N148</f>
        <v>0.7</v>
      </c>
      <c r="Q239" s="1339"/>
      <c r="R239" s="733">
        <v>14</v>
      </c>
      <c r="S239" s="546">
        <f>Q148</f>
        <v>985</v>
      </c>
      <c r="T239" s="546">
        <f>R148</f>
        <v>3.9</v>
      </c>
      <c r="U239" s="546">
        <f>S148</f>
        <v>0.9</v>
      </c>
      <c r="V239" s="546">
        <f>T148</f>
        <v>0</v>
      </c>
      <c r="W239" s="547">
        <f>U148</f>
        <v>1.5</v>
      </c>
      <c r="Y239" s="731">
        <v>15</v>
      </c>
      <c r="Z239" s="548">
        <f>X157</f>
        <v>0.5</v>
      </c>
      <c r="AE239" s="500"/>
      <c r="AL239" s="500"/>
    </row>
    <row r="240" spans="1:38" hidden="1">
      <c r="A240" s="1335"/>
      <c r="B240" s="733">
        <v>15</v>
      </c>
      <c r="C240" s="546">
        <f>C159</f>
        <v>15</v>
      </c>
      <c r="D240" s="546">
        <f t="shared" ref="D240:F240" si="74">D159</f>
        <v>0.6</v>
      </c>
      <c r="E240" s="546">
        <f t="shared" si="74"/>
        <v>-0.6</v>
      </c>
      <c r="F240" s="546">
        <f t="shared" si="74"/>
        <v>0</v>
      </c>
      <c r="G240" s="546">
        <f>G159</f>
        <v>0.6</v>
      </c>
      <c r="I240" s="1335"/>
      <c r="J240" s="733">
        <v>15</v>
      </c>
      <c r="K240" s="546">
        <f>J159</f>
        <v>30</v>
      </c>
      <c r="L240" s="546">
        <f>K159</f>
        <v>-2</v>
      </c>
      <c r="M240" s="546">
        <f>L159</f>
        <v>-0.4</v>
      </c>
      <c r="N240" s="546">
        <f>M159</f>
        <v>0</v>
      </c>
      <c r="O240" s="546">
        <f>N159</f>
        <v>0.8</v>
      </c>
      <c r="Q240" s="1339"/>
      <c r="R240" s="733">
        <v>15</v>
      </c>
      <c r="S240" s="546">
        <f>Q159</f>
        <v>985</v>
      </c>
      <c r="T240" s="546">
        <f>R159</f>
        <v>4.3</v>
      </c>
      <c r="U240" s="546">
        <f>S159</f>
        <v>0.9</v>
      </c>
      <c r="V240" s="546">
        <f>T159</f>
        <v>0</v>
      </c>
      <c r="W240" s="547">
        <f>U159</f>
        <v>1.7</v>
      </c>
      <c r="Y240" s="731">
        <v>16</v>
      </c>
      <c r="Z240" s="548">
        <f>X168</f>
        <v>0.4</v>
      </c>
      <c r="AE240" s="500"/>
      <c r="AL240" s="500"/>
    </row>
    <row r="241" spans="1:38" hidden="1">
      <c r="A241" s="1335"/>
      <c r="B241" s="733">
        <v>16</v>
      </c>
      <c r="C241" s="546">
        <f>C170</f>
        <v>15</v>
      </c>
      <c r="D241" s="546">
        <f t="shared" ref="D241:F241" si="75">D170</f>
        <v>0.1</v>
      </c>
      <c r="E241" s="546" t="str">
        <f t="shared" si="75"/>
        <v>-</v>
      </c>
      <c r="F241" s="546">
        <f t="shared" si="75"/>
        <v>0</v>
      </c>
      <c r="G241" s="546">
        <f>G170</f>
        <v>0</v>
      </c>
      <c r="I241" s="1335"/>
      <c r="J241" s="733">
        <v>16</v>
      </c>
      <c r="K241" s="546">
        <f>J170</f>
        <v>30</v>
      </c>
      <c r="L241" s="546">
        <f>K170</f>
        <v>-1.6</v>
      </c>
      <c r="M241" s="546" t="str">
        <f>L170</f>
        <v>-</v>
      </c>
      <c r="N241" s="546">
        <f>M170</f>
        <v>0</v>
      </c>
      <c r="O241" s="546">
        <f>N170</f>
        <v>0</v>
      </c>
      <c r="Q241" s="1339"/>
      <c r="R241" s="733">
        <v>16</v>
      </c>
      <c r="S241" s="546">
        <f>Q170</f>
        <v>800</v>
      </c>
      <c r="T241" s="546">
        <f>R170</f>
        <v>-2.9</v>
      </c>
      <c r="U241" s="546" t="str">
        <f>S170</f>
        <v>-</v>
      </c>
      <c r="V241" s="546">
        <f>T170</f>
        <v>0</v>
      </c>
      <c r="W241" s="547">
        <f>U170</f>
        <v>0</v>
      </c>
      <c r="Y241" s="731">
        <v>17</v>
      </c>
      <c r="Z241" s="548">
        <f>X179</f>
        <v>0.3</v>
      </c>
      <c r="AE241" s="500"/>
      <c r="AL241" s="500"/>
    </row>
    <row r="242" spans="1:38" hidden="1">
      <c r="A242" s="1335"/>
      <c r="B242" s="733">
        <v>17</v>
      </c>
      <c r="C242" s="546">
        <f>C181</f>
        <v>15</v>
      </c>
      <c r="D242" s="546">
        <f t="shared" ref="D242:F242" si="76">D181</f>
        <v>0.1</v>
      </c>
      <c r="E242" s="546" t="str">
        <f t="shared" si="76"/>
        <v>-</v>
      </c>
      <c r="F242" s="546">
        <f t="shared" si="76"/>
        <v>0</v>
      </c>
      <c r="G242" s="546">
        <f>G181</f>
        <v>0</v>
      </c>
      <c r="I242" s="1335"/>
      <c r="J242" s="733">
        <v>17</v>
      </c>
      <c r="K242" s="546">
        <f>J181</f>
        <v>30</v>
      </c>
      <c r="L242" s="546">
        <f>K181</f>
        <v>0.1</v>
      </c>
      <c r="M242" s="546" t="str">
        <f>L181</f>
        <v>-</v>
      </c>
      <c r="N242" s="546">
        <f>M181</f>
        <v>0</v>
      </c>
      <c r="O242" s="546">
        <f>N181</f>
        <v>0</v>
      </c>
      <c r="Q242" s="1339"/>
      <c r="R242" s="733">
        <v>17</v>
      </c>
      <c r="S242" s="546">
        <f>Q181</f>
        <v>960</v>
      </c>
      <c r="T242" s="546">
        <f>R181</f>
        <v>-0.6</v>
      </c>
      <c r="U242" s="546" t="str">
        <f>S181</f>
        <v>-</v>
      </c>
      <c r="V242" s="546">
        <f>T181</f>
        <v>0</v>
      </c>
      <c r="W242" s="547">
        <f>U181</f>
        <v>0</v>
      </c>
      <c r="Y242" s="731">
        <v>18</v>
      </c>
      <c r="Z242" s="548">
        <f>X190</f>
        <v>0.3</v>
      </c>
      <c r="AE242" s="500"/>
      <c r="AL242" s="500"/>
    </row>
    <row r="243" spans="1:38" hidden="1">
      <c r="A243" s="1335"/>
      <c r="B243" s="733">
        <v>18</v>
      </c>
      <c r="C243" s="546">
        <f>C192</f>
        <v>15</v>
      </c>
      <c r="D243" s="546">
        <f t="shared" ref="D243:F243" si="77">D192</f>
        <v>9.9999999999999995E-7</v>
      </c>
      <c r="E243" s="546" t="str">
        <f t="shared" si="77"/>
        <v>-</v>
      </c>
      <c r="F243" s="546">
        <f t="shared" si="77"/>
        <v>0</v>
      </c>
      <c r="G243" s="546">
        <f>G192</f>
        <v>0</v>
      </c>
      <c r="I243" s="1335"/>
      <c r="J243" s="733">
        <v>18</v>
      </c>
      <c r="K243" s="546">
        <f>J192</f>
        <v>30</v>
      </c>
      <c r="L243" s="546">
        <f>K192</f>
        <v>-0.4</v>
      </c>
      <c r="M243" s="546" t="str">
        <f>L192</f>
        <v>-</v>
      </c>
      <c r="N243" s="546">
        <f>M192</f>
        <v>0</v>
      </c>
      <c r="O243" s="546">
        <f>N192</f>
        <v>0</v>
      </c>
      <c r="Q243" s="1339"/>
      <c r="R243" s="733">
        <v>18</v>
      </c>
      <c r="S243" s="546">
        <f>Q192</f>
        <v>800</v>
      </c>
      <c r="T243" s="546">
        <f>R192</f>
        <v>-1.5</v>
      </c>
      <c r="U243" s="546" t="str">
        <f>S192</f>
        <v>-</v>
      </c>
      <c r="V243" s="546">
        <f>T192</f>
        <v>0</v>
      </c>
      <c r="W243" s="547">
        <f>U192</f>
        <v>0</v>
      </c>
      <c r="Y243" s="731">
        <v>19</v>
      </c>
      <c r="Z243" s="548">
        <f>X201</f>
        <v>0.1</v>
      </c>
      <c r="AE243" s="500"/>
      <c r="AL243" s="500"/>
    </row>
    <row r="244" spans="1:38" ht="13.8" hidden="1" thickBot="1">
      <c r="A244" s="1335"/>
      <c r="B244" s="733">
        <v>19</v>
      </c>
      <c r="C244" s="546">
        <f>C203</f>
        <v>15</v>
      </c>
      <c r="D244" s="546">
        <f t="shared" ref="D244:F244" si="78">D203</f>
        <v>9.9999999999999995E-7</v>
      </c>
      <c r="E244" s="546" t="str">
        <f t="shared" si="78"/>
        <v>-</v>
      </c>
      <c r="F244" s="546">
        <f t="shared" si="78"/>
        <v>0</v>
      </c>
      <c r="G244" s="546">
        <f>G203</f>
        <v>0</v>
      </c>
      <c r="I244" s="1335"/>
      <c r="J244" s="733">
        <v>19</v>
      </c>
      <c r="K244" s="546">
        <f>J203</f>
        <v>30</v>
      </c>
      <c r="L244" s="546">
        <f>K203</f>
        <v>-1.5</v>
      </c>
      <c r="M244" s="546" t="str">
        <f>L203</f>
        <v>-</v>
      </c>
      <c r="N244" s="546">
        <f>M203</f>
        <v>0</v>
      </c>
      <c r="O244" s="546">
        <f>N203</f>
        <v>0</v>
      </c>
      <c r="Q244" s="1339"/>
      <c r="R244" s="733">
        <v>19</v>
      </c>
      <c r="S244" s="546">
        <f>Q203</f>
        <v>750</v>
      </c>
      <c r="T244" s="546">
        <f>R203</f>
        <v>2.5</v>
      </c>
      <c r="U244" s="546" t="str">
        <f>S203</f>
        <v>-</v>
      </c>
      <c r="V244" s="546">
        <f>T203</f>
        <v>0</v>
      </c>
      <c r="W244" s="547">
        <f>U203</f>
        <v>0</v>
      </c>
      <c r="Y244" s="549">
        <v>20</v>
      </c>
      <c r="Z244" s="550">
        <f>X212</f>
        <v>0</v>
      </c>
      <c r="AE244" s="500"/>
      <c r="AL244" s="500"/>
    </row>
    <row r="245" spans="1:38" ht="13.8" hidden="1" thickBot="1">
      <c r="A245" s="1335"/>
      <c r="B245" s="733">
        <v>20</v>
      </c>
      <c r="C245" s="546">
        <f>C214</f>
        <v>14.8</v>
      </c>
      <c r="D245" s="546">
        <f t="shared" ref="D245:F245" si="79">D214</f>
        <v>9.9999999999999995E-7</v>
      </c>
      <c r="E245" s="546" t="str">
        <f t="shared" si="79"/>
        <v>-</v>
      </c>
      <c r="F245" s="546">
        <f t="shared" si="79"/>
        <v>9.9999999999999995E-7</v>
      </c>
      <c r="G245" s="546">
        <f>G214</f>
        <v>0</v>
      </c>
      <c r="I245" s="1335"/>
      <c r="J245" s="733">
        <v>20</v>
      </c>
      <c r="K245" s="546">
        <f>J214</f>
        <v>45.7</v>
      </c>
      <c r="L245" s="546">
        <f>K214</f>
        <v>9.9999999999999995E-7</v>
      </c>
      <c r="M245" s="546" t="str">
        <f>L214</f>
        <v>-</v>
      </c>
      <c r="N245" s="546">
        <f>M214</f>
        <v>0</v>
      </c>
      <c r="O245" s="546">
        <f>N214</f>
        <v>0</v>
      </c>
      <c r="Q245" s="1340"/>
      <c r="R245" s="735">
        <v>20</v>
      </c>
      <c r="S245" s="551">
        <f>Q214</f>
        <v>750</v>
      </c>
      <c r="T245" s="551">
        <f>R214</f>
        <v>9.9999999999999995E-7</v>
      </c>
      <c r="U245" s="551" t="str">
        <f>S214</f>
        <v>-</v>
      </c>
      <c r="V245" s="551">
        <f>T214</f>
        <v>9.9999999999999995E-7</v>
      </c>
      <c r="W245" s="552">
        <f>U214</f>
        <v>0</v>
      </c>
      <c r="Y245" s="511"/>
      <c r="AE245" s="553"/>
      <c r="AL245" s="500"/>
    </row>
    <row r="246" spans="1:38" hidden="1">
      <c r="A246" s="506"/>
      <c r="B246" s="506"/>
      <c r="C246" s="438"/>
      <c r="D246" s="438"/>
      <c r="E246" s="438"/>
      <c r="F246" s="494"/>
      <c r="G246" s="438"/>
      <c r="I246" s="506"/>
      <c r="J246" s="506"/>
      <c r="K246" s="438"/>
      <c r="L246" s="438"/>
      <c r="M246" s="438"/>
      <c r="N246" s="494"/>
      <c r="O246" s="438"/>
      <c r="Q246" s="504"/>
      <c r="R246" s="504"/>
      <c r="S246" s="554"/>
      <c r="T246" s="554"/>
      <c r="U246" s="554"/>
      <c r="W246" s="555"/>
      <c r="Y246" s="505"/>
      <c r="AE246" s="505"/>
      <c r="AL246" s="505"/>
    </row>
    <row r="247" spans="1:38" hidden="1">
      <c r="A247" s="1335">
        <v>2</v>
      </c>
      <c r="B247" s="733">
        <v>1</v>
      </c>
      <c r="C247" s="546">
        <f>C6</f>
        <v>20</v>
      </c>
      <c r="D247" s="546">
        <f t="shared" ref="D247:F247" si="80">D6</f>
        <v>-0.2</v>
      </c>
      <c r="E247" s="546">
        <f t="shared" si="80"/>
        <v>0.2</v>
      </c>
      <c r="F247" s="546">
        <f t="shared" si="80"/>
        <v>9.9999999999999995E-7</v>
      </c>
      <c r="G247" s="546">
        <f>G6</f>
        <v>0.2</v>
      </c>
      <c r="I247" s="1335">
        <v>2</v>
      </c>
      <c r="J247" s="733">
        <v>1</v>
      </c>
      <c r="K247" s="546">
        <f>J6</f>
        <v>40</v>
      </c>
      <c r="L247" s="546">
        <f>K6</f>
        <v>-6</v>
      </c>
      <c r="M247" s="546">
        <f>L6</f>
        <v>-8.6</v>
      </c>
      <c r="N247" s="546">
        <f>M6</f>
        <v>0</v>
      </c>
      <c r="O247" s="546">
        <f>N6</f>
        <v>1.2999999999999998</v>
      </c>
      <c r="Q247" s="1336">
        <v>2</v>
      </c>
      <c r="R247" s="734">
        <v>1</v>
      </c>
      <c r="S247" s="556">
        <f>Q6</f>
        <v>800</v>
      </c>
      <c r="T247" s="556" t="str">
        <f>R6</f>
        <v>-</v>
      </c>
      <c r="U247" s="556" t="str">
        <f>S6</f>
        <v>-</v>
      </c>
      <c r="V247" s="556">
        <f>T6</f>
        <v>9.9999999999999995E-7</v>
      </c>
      <c r="W247" s="557">
        <f>U6</f>
        <v>0</v>
      </c>
      <c r="Y247" s="1341" t="s">
        <v>237</v>
      </c>
      <c r="Z247" s="1342"/>
      <c r="AE247" s="558"/>
    </row>
    <row r="248" spans="1:38" hidden="1">
      <c r="A248" s="1335"/>
      <c r="B248" s="733">
        <v>2</v>
      </c>
      <c r="C248" s="546">
        <f>C17</f>
        <v>20</v>
      </c>
      <c r="D248" s="546">
        <f t="shared" ref="D248:F248" si="81">D17</f>
        <v>0.7</v>
      </c>
      <c r="E248" s="546">
        <f t="shared" si="81"/>
        <v>-0.1</v>
      </c>
      <c r="F248" s="546">
        <f t="shared" si="81"/>
        <v>0</v>
      </c>
      <c r="G248" s="546">
        <f>G17</f>
        <v>0.39999999999999997</v>
      </c>
      <c r="I248" s="1335"/>
      <c r="J248" s="733">
        <v>2</v>
      </c>
      <c r="K248" s="546">
        <f>J17</f>
        <v>40</v>
      </c>
      <c r="L248" s="546">
        <f>K17</f>
        <v>-6.2</v>
      </c>
      <c r="M248" s="546">
        <f>L17</f>
        <v>-1.6</v>
      </c>
      <c r="N248" s="546">
        <f>M17</f>
        <v>0</v>
      </c>
      <c r="O248" s="546">
        <f>N17</f>
        <v>2.2999999999999998</v>
      </c>
      <c r="Q248" s="1335"/>
      <c r="R248" s="733">
        <v>2</v>
      </c>
      <c r="S248" s="546">
        <f>Q17</f>
        <v>800</v>
      </c>
      <c r="T248" s="546" t="str">
        <f>R17</f>
        <v>-</v>
      </c>
      <c r="U248" s="546" t="str">
        <f>S17</f>
        <v>-</v>
      </c>
      <c r="V248" s="546">
        <f>T17</f>
        <v>9.9999999999999995E-7</v>
      </c>
      <c r="W248" s="547">
        <f>U17</f>
        <v>0</v>
      </c>
      <c r="Y248" s="1343" t="s">
        <v>260</v>
      </c>
      <c r="Z248" s="1344"/>
      <c r="AE248" s="500"/>
    </row>
    <row r="249" spans="1:38" hidden="1">
      <c r="A249" s="1335"/>
      <c r="B249" s="733">
        <v>3</v>
      </c>
      <c r="C249" s="733">
        <f>C28</f>
        <v>20</v>
      </c>
      <c r="D249" s="733">
        <f t="shared" ref="D249:F249" si="82">D28</f>
        <v>1</v>
      </c>
      <c r="E249" s="733">
        <f t="shared" si="82"/>
        <v>9.9999999999999995E-7</v>
      </c>
      <c r="F249" s="733">
        <f t="shared" si="82"/>
        <v>0</v>
      </c>
      <c r="G249" s="733">
        <f>G28</f>
        <v>0.49999949999999999</v>
      </c>
      <c r="I249" s="1335"/>
      <c r="J249" s="733">
        <v>3</v>
      </c>
      <c r="K249" s="733">
        <f>J28</f>
        <v>40</v>
      </c>
      <c r="L249" s="733">
        <f>K28</f>
        <v>-5.9</v>
      </c>
      <c r="M249" s="733">
        <f>L28</f>
        <v>-5.3</v>
      </c>
      <c r="N249" s="733">
        <f>M28</f>
        <v>0</v>
      </c>
      <c r="O249" s="733">
        <f>N28</f>
        <v>0.30000000000000027</v>
      </c>
      <c r="Q249" s="1335"/>
      <c r="R249" s="733">
        <v>3</v>
      </c>
      <c r="S249" s="733">
        <f>Q28</f>
        <v>800</v>
      </c>
      <c r="T249" s="733" t="str">
        <f>R28</f>
        <v>-</v>
      </c>
      <c r="U249" s="733" t="str">
        <f>S28</f>
        <v>-</v>
      </c>
      <c r="V249" s="733">
        <f>T28</f>
        <v>9.9999999999999995E-7</v>
      </c>
      <c r="W249" s="543">
        <f>U28</f>
        <v>4.9999999999999998E-7</v>
      </c>
      <c r="Y249" s="731">
        <v>1</v>
      </c>
      <c r="Z249" s="732">
        <f>X4</f>
        <v>3.1</v>
      </c>
      <c r="AE249" s="500"/>
    </row>
    <row r="250" spans="1:38" hidden="1">
      <c r="A250" s="1335"/>
      <c r="B250" s="733">
        <v>4</v>
      </c>
      <c r="C250" s="733">
        <f>C39</f>
        <v>20</v>
      </c>
      <c r="D250" s="733">
        <f t="shared" ref="D250:F250" si="83">D39</f>
        <v>-0.1</v>
      </c>
      <c r="E250" s="733">
        <f t="shared" si="83"/>
        <v>-0.3</v>
      </c>
      <c r="F250" s="733">
        <f t="shared" si="83"/>
        <v>0</v>
      </c>
      <c r="G250" s="733">
        <f>G39</f>
        <v>9.9999999999999992E-2</v>
      </c>
      <c r="I250" s="1335"/>
      <c r="J250" s="733">
        <v>4</v>
      </c>
      <c r="K250" s="733">
        <f>J39</f>
        <v>40</v>
      </c>
      <c r="L250" s="733">
        <f>K39</f>
        <v>-4.4000000000000004</v>
      </c>
      <c r="M250" s="733">
        <f>L39</f>
        <v>-1.5</v>
      </c>
      <c r="N250" s="733">
        <f>M39</f>
        <v>0</v>
      </c>
      <c r="O250" s="733">
        <f>N39</f>
        <v>1.4500000000000002</v>
      </c>
      <c r="Q250" s="1335"/>
      <c r="R250" s="733">
        <v>4</v>
      </c>
      <c r="S250" s="733">
        <f>Q39</f>
        <v>800</v>
      </c>
      <c r="T250" s="733" t="str">
        <f>R39</f>
        <v>-</v>
      </c>
      <c r="U250" s="733" t="str">
        <f>S39</f>
        <v>-</v>
      </c>
      <c r="V250" s="733">
        <f>T39</f>
        <v>9.9999999999999995E-7</v>
      </c>
      <c r="W250" s="543">
        <f>U39</f>
        <v>0</v>
      </c>
      <c r="Y250" s="544">
        <v>2</v>
      </c>
      <c r="Z250" s="732">
        <f>X15</f>
        <v>2.2000000000000002</v>
      </c>
      <c r="AE250" s="500"/>
    </row>
    <row r="251" spans="1:38" hidden="1">
      <c r="A251" s="1335"/>
      <c r="B251" s="733">
        <v>5</v>
      </c>
      <c r="C251" s="733">
        <f>C50</f>
        <v>20</v>
      </c>
      <c r="D251" s="733">
        <f t="shared" ref="D251:F251" si="84">D50</f>
        <v>0.1</v>
      </c>
      <c r="E251" s="733">
        <f t="shared" si="84"/>
        <v>0.3</v>
      </c>
      <c r="F251" s="733">
        <f t="shared" si="84"/>
        <v>0</v>
      </c>
      <c r="G251" s="733">
        <f>G50</f>
        <v>9.9999999999999992E-2</v>
      </c>
      <c r="I251" s="1335"/>
      <c r="J251" s="733">
        <v>5</v>
      </c>
      <c r="K251" s="733">
        <f>J50</f>
        <v>40</v>
      </c>
      <c r="L251" s="733">
        <f>K50</f>
        <v>-7.2</v>
      </c>
      <c r="M251" s="733">
        <f>L50</f>
        <v>-8</v>
      </c>
      <c r="N251" s="733">
        <f>M50</f>
        <v>0</v>
      </c>
      <c r="O251" s="733">
        <f>N50</f>
        <v>0.39999999999999991</v>
      </c>
      <c r="Q251" s="1335"/>
      <c r="R251" s="733">
        <v>5</v>
      </c>
      <c r="S251" s="733">
        <f>Q50</f>
        <v>800</v>
      </c>
      <c r="T251" s="733" t="str">
        <f>R50</f>
        <v>-</v>
      </c>
      <c r="U251" s="733" t="str">
        <f>S50</f>
        <v>-</v>
      </c>
      <c r="V251" s="733">
        <f>T50</f>
        <v>9.9999999999999995E-7</v>
      </c>
      <c r="W251" s="543">
        <f>U50</f>
        <v>0</v>
      </c>
      <c r="Y251" s="544">
        <v>3</v>
      </c>
      <c r="Z251" s="545">
        <f>X26</f>
        <v>3.1</v>
      </c>
      <c r="AE251" s="500"/>
    </row>
    <row r="252" spans="1:38" hidden="1">
      <c r="A252" s="1335"/>
      <c r="B252" s="733">
        <v>6</v>
      </c>
      <c r="C252" s="733">
        <f>C61</f>
        <v>20</v>
      </c>
      <c r="D252" s="733">
        <f t="shared" ref="D252:F252" si="85">D61</f>
        <v>0.3</v>
      </c>
      <c r="E252" s="733">
        <f t="shared" si="85"/>
        <v>0.2</v>
      </c>
      <c r="F252" s="733">
        <f t="shared" si="85"/>
        <v>0</v>
      </c>
      <c r="G252" s="733">
        <f>G61</f>
        <v>4.9999999999999989E-2</v>
      </c>
      <c r="I252" s="1335"/>
      <c r="J252" s="733">
        <v>6</v>
      </c>
      <c r="K252" s="733">
        <f>J61</f>
        <v>40</v>
      </c>
      <c r="L252" s="733">
        <f>K61</f>
        <v>-3.8</v>
      </c>
      <c r="M252" s="733">
        <f>L61</f>
        <v>1.5</v>
      </c>
      <c r="N252" s="733">
        <f>M61</f>
        <v>0</v>
      </c>
      <c r="O252" s="733">
        <f>N61</f>
        <v>2.65</v>
      </c>
      <c r="Q252" s="1335"/>
      <c r="R252" s="733">
        <v>6</v>
      </c>
      <c r="S252" s="733">
        <f>Q61</f>
        <v>800</v>
      </c>
      <c r="T252" s="733">
        <f>R61</f>
        <v>0.9</v>
      </c>
      <c r="U252" s="733">
        <f>S61</f>
        <v>1.6</v>
      </c>
      <c r="V252" s="733">
        <f>T61</f>
        <v>9.9999999999999995E-7</v>
      </c>
      <c r="W252" s="543">
        <f>U61</f>
        <v>0.79999950000000009</v>
      </c>
      <c r="Y252" s="544">
        <v>4</v>
      </c>
      <c r="Z252" s="545">
        <f>X37</f>
        <v>1.3</v>
      </c>
      <c r="AE252" s="500"/>
    </row>
    <row r="253" spans="1:38" hidden="1">
      <c r="A253" s="1335"/>
      <c r="B253" s="733">
        <v>7</v>
      </c>
      <c r="C253" s="733">
        <f>C72</f>
        <v>20</v>
      </c>
      <c r="D253" s="733">
        <f t="shared" ref="D253:F253" si="86">D72</f>
        <v>9.9999999999999995E-7</v>
      </c>
      <c r="E253" s="733">
        <f t="shared" si="86"/>
        <v>0.1</v>
      </c>
      <c r="F253" s="733">
        <f t="shared" si="86"/>
        <v>0</v>
      </c>
      <c r="G253" s="733">
        <f>G72</f>
        <v>4.9999500000000002E-2</v>
      </c>
      <c r="I253" s="1335"/>
      <c r="J253" s="733">
        <v>7</v>
      </c>
      <c r="K253" s="733">
        <f>J72</f>
        <v>40</v>
      </c>
      <c r="L253" s="733">
        <f>K72</f>
        <v>-1.9</v>
      </c>
      <c r="M253" s="733">
        <f>L72</f>
        <v>1.2</v>
      </c>
      <c r="N253" s="733">
        <f>M72</f>
        <v>0</v>
      </c>
      <c r="O253" s="733">
        <f>N72</f>
        <v>1.5499999999999998</v>
      </c>
      <c r="Q253" s="1335"/>
      <c r="R253" s="733">
        <v>7</v>
      </c>
      <c r="S253" s="733">
        <f>Q72</f>
        <v>800</v>
      </c>
      <c r="T253" s="733">
        <f>R72</f>
        <v>9.9999999999999995E-7</v>
      </c>
      <c r="U253" s="733">
        <f>S72</f>
        <v>2.5</v>
      </c>
      <c r="V253" s="733">
        <f>T72</f>
        <v>9.9999999999999995E-7</v>
      </c>
      <c r="W253" s="543">
        <f>U72</f>
        <v>1.2499994999999999</v>
      </c>
      <c r="Y253" s="544">
        <v>5</v>
      </c>
      <c r="Z253" s="545">
        <f>X48</f>
        <v>2.8</v>
      </c>
      <c r="AE253" s="500"/>
    </row>
    <row r="254" spans="1:38" hidden="1">
      <c r="A254" s="1335"/>
      <c r="B254" s="733">
        <v>8</v>
      </c>
      <c r="C254" s="733">
        <f>C83</f>
        <v>20</v>
      </c>
      <c r="D254" s="733">
        <f t="shared" ref="D254:F254" si="87">D83</f>
        <v>9.9999999999999995E-7</v>
      </c>
      <c r="E254" s="733">
        <f t="shared" si="87"/>
        <v>-0.2</v>
      </c>
      <c r="F254" s="733">
        <f t="shared" si="87"/>
        <v>0</v>
      </c>
      <c r="G254" s="733">
        <f>G83</f>
        <v>0.10000050000000001</v>
      </c>
      <c r="I254" s="1335"/>
      <c r="J254" s="733">
        <v>8</v>
      </c>
      <c r="K254" s="733">
        <f>J83</f>
        <v>40</v>
      </c>
      <c r="L254" s="733">
        <f>K83</f>
        <v>-3.8</v>
      </c>
      <c r="M254" s="733">
        <f>L83</f>
        <v>-1.2</v>
      </c>
      <c r="N254" s="733">
        <f>M83</f>
        <v>0</v>
      </c>
      <c r="O254" s="733">
        <f>N83</f>
        <v>1.2999999999999998</v>
      </c>
      <c r="Q254" s="1335"/>
      <c r="R254" s="733">
        <v>8</v>
      </c>
      <c r="S254" s="733">
        <f>Q83</f>
        <v>800</v>
      </c>
      <c r="T254" s="733">
        <f>R83</f>
        <v>9.9999999999999995E-7</v>
      </c>
      <c r="U254" s="733">
        <f>S83</f>
        <v>9.9999999999999995E-7</v>
      </c>
      <c r="V254" s="733">
        <f>T83</f>
        <v>9.9999999999999995E-7</v>
      </c>
      <c r="W254" s="543">
        <f>U83</f>
        <v>0</v>
      </c>
      <c r="Y254" s="731">
        <v>6</v>
      </c>
      <c r="Z254" s="732">
        <f>X59</f>
        <v>2.6</v>
      </c>
      <c r="AE254" s="500"/>
    </row>
    <row r="255" spans="1:38" hidden="1">
      <c r="A255" s="1335"/>
      <c r="B255" s="733">
        <v>9</v>
      </c>
      <c r="C255" s="733">
        <f>C94</f>
        <v>20</v>
      </c>
      <c r="D255" s="733">
        <f t="shared" ref="D255:F255" si="88">D94</f>
        <v>-0.2</v>
      </c>
      <c r="E255" s="733" t="str">
        <f t="shared" si="88"/>
        <v>-</v>
      </c>
      <c r="F255" s="733">
        <f t="shared" si="88"/>
        <v>0</v>
      </c>
      <c r="G255" s="733">
        <f>G94</f>
        <v>0</v>
      </c>
      <c r="I255" s="1335"/>
      <c r="J255" s="733">
        <v>9</v>
      </c>
      <c r="K255" s="733">
        <f>J94</f>
        <v>40</v>
      </c>
      <c r="L255" s="733">
        <f>K94</f>
        <v>-1</v>
      </c>
      <c r="M255" s="733" t="str">
        <f>L94</f>
        <v>-</v>
      </c>
      <c r="N255" s="733">
        <f>M94</f>
        <v>0</v>
      </c>
      <c r="O255" s="733">
        <f>N94</f>
        <v>0</v>
      </c>
      <c r="Q255" s="1335"/>
      <c r="R255" s="733">
        <v>9</v>
      </c>
      <c r="S255" s="733">
        <f>Q94</f>
        <v>800</v>
      </c>
      <c r="T255" s="733">
        <f>R94</f>
        <v>9.9999999999999995E-7</v>
      </c>
      <c r="U255" s="733" t="str">
        <f>S94</f>
        <v>-</v>
      </c>
      <c r="V255" s="733">
        <f>T94</f>
        <v>9.9999999999999995E-7</v>
      </c>
      <c r="W255" s="543">
        <f>U94</f>
        <v>0</v>
      </c>
      <c r="Y255" s="731">
        <v>7</v>
      </c>
      <c r="Z255" s="732">
        <f>X70</f>
        <v>2.4</v>
      </c>
      <c r="AE255" s="500"/>
    </row>
    <row r="256" spans="1:38" hidden="1">
      <c r="A256" s="1335"/>
      <c r="B256" s="733">
        <v>10</v>
      </c>
      <c r="C256" s="733">
        <f>C105</f>
        <v>20</v>
      </c>
      <c r="D256" s="733">
        <f t="shared" ref="D256:F256" si="89">D105</f>
        <v>0.2</v>
      </c>
      <c r="E256" s="733">
        <f t="shared" si="89"/>
        <v>-0.7</v>
      </c>
      <c r="F256" s="733">
        <f t="shared" si="89"/>
        <v>0</v>
      </c>
      <c r="G256" s="733">
        <f>G105</f>
        <v>0.44999999999999996</v>
      </c>
      <c r="I256" s="1335"/>
      <c r="J256" s="733">
        <v>10</v>
      </c>
      <c r="K256" s="733">
        <f>J105</f>
        <v>40</v>
      </c>
      <c r="L256" s="733">
        <f>K105</f>
        <v>-3.3</v>
      </c>
      <c r="M256" s="733">
        <f>L105</f>
        <v>-6.4</v>
      </c>
      <c r="N256" s="733">
        <f>M105</f>
        <v>0</v>
      </c>
      <c r="O256" s="733">
        <f>N105</f>
        <v>1.5500000000000003</v>
      </c>
      <c r="Q256" s="1335"/>
      <c r="R256" s="733">
        <v>10</v>
      </c>
      <c r="S256" s="733">
        <f>Q105</f>
        <v>800</v>
      </c>
      <c r="T256" s="733" t="str">
        <f>R105</f>
        <v>-</v>
      </c>
      <c r="U256" s="733" t="str">
        <f>S105</f>
        <v>-</v>
      </c>
      <c r="V256" s="733">
        <f>T105</f>
        <v>9.9999999999999995E-7</v>
      </c>
      <c r="W256" s="543">
        <f>U105</f>
        <v>0</v>
      </c>
      <c r="Y256" s="731">
        <v>8</v>
      </c>
      <c r="Z256" s="732">
        <f>X81</f>
        <v>2.5</v>
      </c>
      <c r="AE256" s="500"/>
    </row>
    <row r="257" spans="1:31" hidden="1">
      <c r="A257" s="1335"/>
      <c r="B257" s="733">
        <v>11</v>
      </c>
      <c r="C257" s="733">
        <f>C116</f>
        <v>20</v>
      </c>
      <c r="D257" s="733">
        <f t="shared" ref="D257:F257" si="90">D116</f>
        <v>0.4</v>
      </c>
      <c r="E257" s="733">
        <f t="shared" si="90"/>
        <v>0.5</v>
      </c>
      <c r="F257" s="733">
        <f t="shared" si="90"/>
        <v>0</v>
      </c>
      <c r="G257" s="733">
        <f>G116</f>
        <v>4.9999999999999989E-2</v>
      </c>
      <c r="I257" s="1335"/>
      <c r="J257" s="733">
        <v>11</v>
      </c>
      <c r="K257" s="733">
        <f>J116</f>
        <v>40</v>
      </c>
      <c r="L257" s="733">
        <f>K116</f>
        <v>-5.5</v>
      </c>
      <c r="M257" s="733">
        <f>L116</f>
        <v>-5.9</v>
      </c>
      <c r="N257" s="733">
        <f>M116</f>
        <v>0</v>
      </c>
      <c r="O257" s="733">
        <f>N116</f>
        <v>0.20000000000000018</v>
      </c>
      <c r="Q257" s="1335"/>
      <c r="R257" s="733">
        <v>11</v>
      </c>
      <c r="S257" s="733">
        <f>Q116</f>
        <v>800</v>
      </c>
      <c r="T257" s="733" t="str">
        <f>R116</f>
        <v>-</v>
      </c>
      <c r="U257" s="733" t="str">
        <f>S116</f>
        <v>-</v>
      </c>
      <c r="V257" s="733">
        <f>T116</f>
        <v>9.9999999999999995E-7</v>
      </c>
      <c r="W257" s="543">
        <f>U116</f>
        <v>0</v>
      </c>
      <c r="Y257" s="731">
        <v>9</v>
      </c>
      <c r="Z257" s="732">
        <f>X92</f>
        <v>2.4</v>
      </c>
      <c r="AE257" s="500"/>
    </row>
    <row r="258" spans="1:31" hidden="1">
      <c r="A258" s="1335"/>
      <c r="B258" s="733">
        <v>12</v>
      </c>
      <c r="C258" s="733">
        <f>C127</f>
        <v>20</v>
      </c>
      <c r="D258" s="733">
        <f t="shared" ref="D258:F258" si="91">D127</f>
        <v>9.9999999999999995E-7</v>
      </c>
      <c r="E258" s="733" t="str">
        <f t="shared" si="91"/>
        <v>-</v>
      </c>
      <c r="F258" s="733">
        <f t="shared" si="91"/>
        <v>0</v>
      </c>
      <c r="G258" s="733">
        <f>G127</f>
        <v>0</v>
      </c>
      <c r="I258" s="1335"/>
      <c r="J258" s="733">
        <v>12</v>
      </c>
      <c r="K258" s="733">
        <f>J127</f>
        <v>40</v>
      </c>
      <c r="L258" s="733">
        <f>K127</f>
        <v>-0.1</v>
      </c>
      <c r="M258" s="733" t="str">
        <f>L127</f>
        <v>-</v>
      </c>
      <c r="N258" s="733">
        <f>M127</f>
        <v>0</v>
      </c>
      <c r="O258" s="733">
        <f>N127</f>
        <v>0</v>
      </c>
      <c r="Q258" s="1335"/>
      <c r="R258" s="733">
        <v>12</v>
      </c>
      <c r="S258" s="733">
        <f>Q127</f>
        <v>850</v>
      </c>
      <c r="T258" s="733">
        <f>R127</f>
        <v>-0.5</v>
      </c>
      <c r="U258" s="733" t="str">
        <f>S127</f>
        <v>-</v>
      </c>
      <c r="V258" s="733">
        <f>T127</f>
        <v>0</v>
      </c>
      <c r="W258" s="543">
        <f>U127</f>
        <v>0</v>
      </c>
      <c r="Y258" s="731">
        <v>10</v>
      </c>
      <c r="Z258" s="732">
        <f>X103</f>
        <v>1.5</v>
      </c>
      <c r="AE258" s="500"/>
    </row>
    <row r="259" spans="1:31" hidden="1">
      <c r="A259" s="1335"/>
      <c r="B259" s="733">
        <v>13</v>
      </c>
      <c r="C259" s="733">
        <f>C138</f>
        <v>20</v>
      </c>
      <c r="D259" s="733">
        <f t="shared" ref="D259:F259" si="92">D138</f>
        <v>0.2</v>
      </c>
      <c r="E259" s="733">
        <f t="shared" si="92"/>
        <v>-0.4</v>
      </c>
      <c r="F259" s="733">
        <f t="shared" si="92"/>
        <v>0</v>
      </c>
      <c r="G259" s="733">
        <f>G138</f>
        <v>0.30000000000000004</v>
      </c>
      <c r="I259" s="1335"/>
      <c r="J259" s="733">
        <v>13</v>
      </c>
      <c r="K259" s="733">
        <f>J138</f>
        <v>40</v>
      </c>
      <c r="L259" s="733">
        <f>K138</f>
        <v>-2</v>
      </c>
      <c r="M259" s="733">
        <f>L138</f>
        <v>-1.3</v>
      </c>
      <c r="N259" s="733">
        <f>M138</f>
        <v>0</v>
      </c>
      <c r="O259" s="733">
        <f>N138</f>
        <v>0.35</v>
      </c>
      <c r="Q259" s="1335"/>
      <c r="R259" s="733">
        <v>13</v>
      </c>
      <c r="S259" s="733">
        <f>Q138</f>
        <v>990</v>
      </c>
      <c r="T259" s="733">
        <f>R138</f>
        <v>3.8</v>
      </c>
      <c r="U259" s="733">
        <f>S138</f>
        <v>1</v>
      </c>
      <c r="V259" s="733">
        <f>T138</f>
        <v>0</v>
      </c>
      <c r="W259" s="543">
        <f>U138</f>
        <v>1.4</v>
      </c>
      <c r="Y259" s="731">
        <v>11</v>
      </c>
      <c r="Z259" s="732">
        <f>X114</f>
        <v>1.8</v>
      </c>
      <c r="AE259" s="500"/>
    </row>
    <row r="260" spans="1:31" hidden="1">
      <c r="A260" s="1335"/>
      <c r="B260" s="733">
        <v>14</v>
      </c>
      <c r="C260" s="733">
        <f>C149</f>
        <v>20</v>
      </c>
      <c r="D260" s="733">
        <f t="shared" ref="D260:F260" si="93">D149</f>
        <v>0.2</v>
      </c>
      <c r="E260" s="733">
        <f t="shared" si="93"/>
        <v>-0.1</v>
      </c>
      <c r="F260" s="733">
        <f t="shared" si="93"/>
        <v>0</v>
      </c>
      <c r="G260" s="733">
        <f>G149</f>
        <v>0.15000000000000002</v>
      </c>
      <c r="I260" s="1335"/>
      <c r="J260" s="733">
        <v>14</v>
      </c>
      <c r="K260" s="733">
        <f>J149</f>
        <v>40</v>
      </c>
      <c r="L260" s="733">
        <f>K149</f>
        <v>-0.4</v>
      </c>
      <c r="M260" s="733">
        <f>L149</f>
        <v>0.3</v>
      </c>
      <c r="N260" s="733">
        <f>M149</f>
        <v>0</v>
      </c>
      <c r="O260" s="733">
        <f>N149</f>
        <v>0.35</v>
      </c>
      <c r="Q260" s="1335"/>
      <c r="R260" s="733">
        <v>14</v>
      </c>
      <c r="S260" s="733">
        <f>Q149</f>
        <v>990</v>
      </c>
      <c r="T260" s="733">
        <f>R149</f>
        <v>3.9</v>
      </c>
      <c r="U260" s="733">
        <f>S149</f>
        <v>1</v>
      </c>
      <c r="V260" s="733">
        <f>T149</f>
        <v>0</v>
      </c>
      <c r="W260" s="543">
        <f>U149</f>
        <v>1.45</v>
      </c>
      <c r="Y260" s="731">
        <v>12</v>
      </c>
      <c r="Z260" s="559">
        <f>X125</f>
        <v>2</v>
      </c>
      <c r="AE260" s="500"/>
    </row>
    <row r="261" spans="1:31" hidden="1">
      <c r="A261" s="1335"/>
      <c r="B261" s="733">
        <v>15</v>
      </c>
      <c r="C261" s="733">
        <f>C160</f>
        <v>20</v>
      </c>
      <c r="D261" s="733">
        <f t="shared" ref="D261:F261" si="94">D160</f>
        <v>0.3</v>
      </c>
      <c r="E261" s="733">
        <f t="shared" si="94"/>
        <v>-0.5</v>
      </c>
      <c r="F261" s="733">
        <f t="shared" si="94"/>
        <v>0</v>
      </c>
      <c r="G261" s="733">
        <f>G160</f>
        <v>0.4</v>
      </c>
      <c r="I261" s="1335"/>
      <c r="J261" s="733">
        <v>15</v>
      </c>
      <c r="K261" s="733">
        <f>J160</f>
        <v>40</v>
      </c>
      <c r="L261" s="733">
        <f>K160</f>
        <v>-1.7</v>
      </c>
      <c r="M261" s="733">
        <f>L160</f>
        <v>-0.3</v>
      </c>
      <c r="N261" s="733">
        <f>M160</f>
        <v>0</v>
      </c>
      <c r="O261" s="733">
        <f>N160</f>
        <v>0.7</v>
      </c>
      <c r="Q261" s="1335"/>
      <c r="R261" s="733">
        <v>15</v>
      </c>
      <c r="S261" s="733">
        <f>Q160</f>
        <v>990</v>
      </c>
      <c r="T261" s="733">
        <f>R160</f>
        <v>4.2</v>
      </c>
      <c r="U261" s="733">
        <f>S160</f>
        <v>1</v>
      </c>
      <c r="V261" s="733">
        <f>T160</f>
        <v>0</v>
      </c>
      <c r="W261" s="543">
        <f>U160</f>
        <v>1.6</v>
      </c>
      <c r="Y261" s="731">
        <v>13</v>
      </c>
      <c r="Z261" s="732">
        <f>X136</f>
        <v>2.2999999999999998</v>
      </c>
      <c r="AE261" s="500"/>
    </row>
    <row r="262" spans="1:31" hidden="1">
      <c r="A262" s="1335"/>
      <c r="B262" s="733">
        <v>16</v>
      </c>
      <c r="C262" s="733">
        <f>C171</f>
        <v>20</v>
      </c>
      <c r="D262" s="733">
        <f t="shared" ref="D262:F262" si="95">D171</f>
        <v>0.2</v>
      </c>
      <c r="E262" s="733" t="str">
        <f t="shared" si="95"/>
        <v>-</v>
      </c>
      <c r="F262" s="733">
        <f t="shared" si="95"/>
        <v>0</v>
      </c>
      <c r="G262" s="733">
        <f>G171</f>
        <v>0</v>
      </c>
      <c r="I262" s="1335"/>
      <c r="J262" s="733">
        <v>16</v>
      </c>
      <c r="K262" s="733">
        <f>J171</f>
        <v>40</v>
      </c>
      <c r="L262" s="733">
        <f>K171</f>
        <v>-1.4</v>
      </c>
      <c r="M262" s="733" t="str">
        <f>L171</f>
        <v>-</v>
      </c>
      <c r="N262" s="733">
        <f>M171</f>
        <v>0</v>
      </c>
      <c r="O262" s="733">
        <f>N171</f>
        <v>0</v>
      </c>
      <c r="Q262" s="1335"/>
      <c r="R262" s="733">
        <v>16</v>
      </c>
      <c r="S262" s="733">
        <f>Q171</f>
        <v>850</v>
      </c>
      <c r="T262" s="733">
        <f>R171</f>
        <v>-2.2999999999999998</v>
      </c>
      <c r="U262" s="733" t="str">
        <f>S171</f>
        <v>-</v>
      </c>
      <c r="V262" s="733">
        <f>T171</f>
        <v>0</v>
      </c>
      <c r="W262" s="543">
        <f>U171</f>
        <v>0</v>
      </c>
      <c r="Y262" s="731">
        <v>14</v>
      </c>
      <c r="Z262" s="732">
        <f>X147</f>
        <v>2.7</v>
      </c>
      <c r="AE262" s="500"/>
    </row>
    <row r="263" spans="1:31" hidden="1">
      <c r="A263" s="1335"/>
      <c r="B263" s="733">
        <v>17</v>
      </c>
      <c r="C263" s="733">
        <f>C182</f>
        <v>20</v>
      </c>
      <c r="D263" s="733">
        <f t="shared" ref="D263:F263" si="96">D182</f>
        <v>0.1</v>
      </c>
      <c r="E263" s="733" t="str">
        <f t="shared" si="96"/>
        <v>-</v>
      </c>
      <c r="F263" s="733">
        <f t="shared" si="96"/>
        <v>0</v>
      </c>
      <c r="G263" s="733">
        <f>G182</f>
        <v>0</v>
      </c>
      <c r="I263" s="1335"/>
      <c r="J263" s="733">
        <v>17</v>
      </c>
      <c r="K263" s="733">
        <f>J182</f>
        <v>40</v>
      </c>
      <c r="L263" s="733">
        <f>K182</f>
        <v>0.2</v>
      </c>
      <c r="M263" s="733" t="str">
        <f>L182</f>
        <v>-</v>
      </c>
      <c r="N263" s="733">
        <f>M182</f>
        <v>0</v>
      </c>
      <c r="O263" s="733">
        <f>N182</f>
        <v>0</v>
      </c>
      <c r="Q263" s="1335"/>
      <c r="R263" s="733">
        <v>17</v>
      </c>
      <c r="S263" s="733">
        <f>Q182</f>
        <v>970</v>
      </c>
      <c r="T263" s="733">
        <f>R182</f>
        <v>-0.6</v>
      </c>
      <c r="U263" s="733" t="str">
        <f>S182</f>
        <v>-</v>
      </c>
      <c r="V263" s="733">
        <f>T182</f>
        <v>0</v>
      </c>
      <c r="W263" s="543">
        <f>U182</f>
        <v>0</v>
      </c>
      <c r="Y263" s="731">
        <v>15</v>
      </c>
      <c r="Z263" s="732">
        <f>X158</f>
        <v>2.6</v>
      </c>
      <c r="AE263" s="500"/>
    </row>
    <row r="264" spans="1:31" hidden="1">
      <c r="A264" s="1335"/>
      <c r="B264" s="733">
        <v>18</v>
      </c>
      <c r="C264" s="733">
        <f>C193</f>
        <v>20</v>
      </c>
      <c r="D264" s="733">
        <f t="shared" ref="D264:F264" si="97">D193</f>
        <v>-0.1</v>
      </c>
      <c r="E264" s="733" t="str">
        <f t="shared" si="97"/>
        <v>-</v>
      </c>
      <c r="F264" s="733">
        <f t="shared" si="97"/>
        <v>0</v>
      </c>
      <c r="G264" s="733">
        <f>G193</f>
        <v>0</v>
      </c>
      <c r="I264" s="1335"/>
      <c r="J264" s="733">
        <v>18</v>
      </c>
      <c r="K264" s="733">
        <f>J193</f>
        <v>40</v>
      </c>
      <c r="L264" s="733">
        <f>K193</f>
        <v>-0.2</v>
      </c>
      <c r="M264" s="733" t="str">
        <f>L193</f>
        <v>-</v>
      </c>
      <c r="N264" s="733">
        <f>M193</f>
        <v>0</v>
      </c>
      <c r="O264" s="733">
        <f>N193</f>
        <v>0</v>
      </c>
      <c r="Q264" s="1335"/>
      <c r="R264" s="733">
        <v>18</v>
      </c>
      <c r="S264" s="733">
        <f>Q193</f>
        <v>850</v>
      </c>
      <c r="T264" s="733">
        <f>R193</f>
        <v>-1.3</v>
      </c>
      <c r="U264" s="733" t="str">
        <f>S193</f>
        <v>-</v>
      </c>
      <c r="V264" s="733">
        <f>T193</f>
        <v>0</v>
      </c>
      <c r="W264" s="543">
        <f>U193</f>
        <v>0</v>
      </c>
      <c r="Y264" s="731">
        <v>16</v>
      </c>
      <c r="Z264" s="732">
        <f>X169</f>
        <v>2.2000000000000002</v>
      </c>
      <c r="AE264" s="500"/>
    </row>
    <row r="265" spans="1:31" hidden="1">
      <c r="A265" s="1335"/>
      <c r="B265" s="733">
        <v>19</v>
      </c>
      <c r="C265" s="733">
        <f>C204</f>
        <v>20</v>
      </c>
      <c r="D265" s="733">
        <f t="shared" ref="D265:F265" si="98">D204</f>
        <v>0.1</v>
      </c>
      <c r="E265" s="733" t="str">
        <f t="shared" si="98"/>
        <v>-</v>
      </c>
      <c r="F265" s="733">
        <f t="shared" si="98"/>
        <v>0</v>
      </c>
      <c r="G265" s="733">
        <f>G204</f>
        <v>0</v>
      </c>
      <c r="I265" s="1335"/>
      <c r="J265" s="733">
        <v>19</v>
      </c>
      <c r="K265" s="733">
        <f>J204</f>
        <v>40</v>
      </c>
      <c r="L265" s="733">
        <f>K204</f>
        <v>-0.8</v>
      </c>
      <c r="M265" s="733" t="str">
        <f>L204</f>
        <v>-</v>
      </c>
      <c r="N265" s="733">
        <f>M204</f>
        <v>0</v>
      </c>
      <c r="O265" s="733">
        <f>N204</f>
        <v>0</v>
      </c>
      <c r="Q265" s="1335"/>
      <c r="R265" s="733">
        <v>19</v>
      </c>
      <c r="S265" s="733">
        <f>Q204</f>
        <v>800</v>
      </c>
      <c r="T265" s="733">
        <f>R204</f>
        <v>2.5</v>
      </c>
      <c r="U265" s="733" t="str">
        <f>S204</f>
        <v>-</v>
      </c>
      <c r="V265" s="733">
        <f>T204</f>
        <v>0</v>
      </c>
      <c r="W265" s="543">
        <f>U204</f>
        <v>0</v>
      </c>
      <c r="Y265" s="731">
        <v>17</v>
      </c>
      <c r="Z265" s="732">
        <f>X180</f>
        <v>2.8</v>
      </c>
      <c r="AE265" s="500"/>
    </row>
    <row r="266" spans="1:31" ht="13.8" hidden="1" thickBot="1">
      <c r="A266" s="1335"/>
      <c r="B266" s="733">
        <v>20</v>
      </c>
      <c r="C266" s="733">
        <f>C215</f>
        <v>19.7</v>
      </c>
      <c r="D266" s="733">
        <f t="shared" ref="D266:F266" si="99">D215</f>
        <v>9.9999999999999995E-7</v>
      </c>
      <c r="E266" s="733" t="str">
        <f t="shared" si="99"/>
        <v>-</v>
      </c>
      <c r="F266" s="733">
        <f t="shared" si="99"/>
        <v>9.9999999999999995E-7</v>
      </c>
      <c r="G266" s="733">
        <f>G215</f>
        <v>0</v>
      </c>
      <c r="I266" s="1335"/>
      <c r="J266" s="733">
        <v>20</v>
      </c>
      <c r="K266" s="733">
        <f>J215</f>
        <v>54.3</v>
      </c>
      <c r="L266" s="733">
        <f>K215</f>
        <v>9.9999999999999995E-7</v>
      </c>
      <c r="M266" s="733" t="str">
        <f>L215</f>
        <v>-</v>
      </c>
      <c r="N266" s="733">
        <f>M215</f>
        <v>0</v>
      </c>
      <c r="O266" s="733">
        <f>N215</f>
        <v>0</v>
      </c>
      <c r="Q266" s="1337"/>
      <c r="R266" s="735">
        <v>20</v>
      </c>
      <c r="S266" s="735">
        <f>Q215</f>
        <v>800</v>
      </c>
      <c r="T266" s="735">
        <f>R215</f>
        <v>9.9999999999999995E-7</v>
      </c>
      <c r="U266" s="735" t="str">
        <f>S215</f>
        <v>-</v>
      </c>
      <c r="V266" s="735">
        <f>T215</f>
        <v>9.9999999999999995E-7</v>
      </c>
      <c r="W266" s="560">
        <f>U215</f>
        <v>0</v>
      </c>
      <c r="Y266" s="731">
        <v>18</v>
      </c>
      <c r="Z266" s="732">
        <f>X191</f>
        <v>1.6</v>
      </c>
      <c r="AE266" s="553"/>
    </row>
    <row r="267" spans="1:31" hidden="1">
      <c r="A267" s="506"/>
      <c r="B267" s="506"/>
      <c r="C267" s="506"/>
      <c r="D267" s="506"/>
      <c r="E267" s="506"/>
      <c r="F267" s="494"/>
      <c r="G267" s="506"/>
      <c r="I267" s="506"/>
      <c r="J267" s="506"/>
      <c r="K267" s="506"/>
      <c r="L267" s="506"/>
      <c r="M267" s="506"/>
      <c r="N267" s="494"/>
      <c r="O267" s="506"/>
      <c r="Q267" s="503"/>
      <c r="R267" s="504"/>
      <c r="S267" s="439"/>
      <c r="T267" s="439"/>
      <c r="U267" s="439"/>
      <c r="W267" s="440"/>
      <c r="Y267" s="731">
        <v>19</v>
      </c>
      <c r="Z267" s="548">
        <f>X202</f>
        <v>1.5</v>
      </c>
      <c r="AE267" s="500"/>
    </row>
    <row r="268" spans="1:31" ht="13.8" hidden="1" thickBot="1">
      <c r="A268" s="1335">
        <v>3</v>
      </c>
      <c r="B268" s="733">
        <v>1</v>
      </c>
      <c r="C268" s="733">
        <f>C7</f>
        <v>25</v>
      </c>
      <c r="D268" s="733">
        <f t="shared" ref="D268:F268" si="100">D7</f>
        <v>9.9999999999999995E-7</v>
      </c>
      <c r="E268" s="733">
        <f t="shared" si="100"/>
        <v>0.1</v>
      </c>
      <c r="F268" s="733">
        <f t="shared" si="100"/>
        <v>9.9999999999999995E-7</v>
      </c>
      <c r="G268" s="733">
        <f>G7</f>
        <v>4.9999500000000002E-2</v>
      </c>
      <c r="I268" s="1335">
        <v>3</v>
      </c>
      <c r="J268" s="733">
        <v>1</v>
      </c>
      <c r="K268" s="733">
        <f>J7</f>
        <v>50</v>
      </c>
      <c r="L268" s="733">
        <f>K7</f>
        <v>-5.8</v>
      </c>
      <c r="M268" s="733">
        <f>L7</f>
        <v>-7.2</v>
      </c>
      <c r="N268" s="733">
        <f>M7</f>
        <v>0</v>
      </c>
      <c r="O268" s="733">
        <f>N7</f>
        <v>0.70000000000000018</v>
      </c>
      <c r="Q268" s="1336">
        <v>3</v>
      </c>
      <c r="R268" s="734">
        <v>1</v>
      </c>
      <c r="S268" s="734">
        <f>Q7</f>
        <v>850</v>
      </c>
      <c r="T268" s="734" t="str">
        <f>R7</f>
        <v>-</v>
      </c>
      <c r="U268" s="734" t="str">
        <f>S7</f>
        <v>-</v>
      </c>
      <c r="V268" s="734">
        <f>T7</f>
        <v>9.9999999999999995E-7</v>
      </c>
      <c r="W268" s="561">
        <f>U7</f>
        <v>0</v>
      </c>
      <c r="Y268" s="549">
        <v>20</v>
      </c>
      <c r="Z268" s="550">
        <f>X213</f>
        <v>0</v>
      </c>
      <c r="AE268" s="558"/>
    </row>
    <row r="269" spans="1:31" hidden="1">
      <c r="A269" s="1335"/>
      <c r="B269" s="733">
        <v>2</v>
      </c>
      <c r="C269" s="733">
        <f>C18</f>
        <v>25</v>
      </c>
      <c r="D269" s="733">
        <f t="shared" ref="D269:F269" si="101">D18</f>
        <v>0.5</v>
      </c>
      <c r="E269" s="733">
        <f t="shared" si="101"/>
        <v>-0.2</v>
      </c>
      <c r="F269" s="733">
        <f t="shared" si="101"/>
        <v>0</v>
      </c>
      <c r="G269" s="733">
        <f>G18</f>
        <v>0.35</v>
      </c>
      <c r="I269" s="1335"/>
      <c r="J269" s="733">
        <v>2</v>
      </c>
      <c r="K269" s="733">
        <f>J18</f>
        <v>50</v>
      </c>
      <c r="L269" s="733">
        <f>K18</f>
        <v>-5.3</v>
      </c>
      <c r="M269" s="733">
        <f>L18</f>
        <v>-1.5</v>
      </c>
      <c r="N269" s="733">
        <f>M18</f>
        <v>0</v>
      </c>
      <c r="O269" s="733">
        <f>N18</f>
        <v>1.9</v>
      </c>
      <c r="Q269" s="1335"/>
      <c r="R269" s="733">
        <v>2</v>
      </c>
      <c r="S269" s="733">
        <f>Q18</f>
        <v>850</v>
      </c>
      <c r="T269" s="733" t="str">
        <f>R18</f>
        <v>-</v>
      </c>
      <c r="U269" s="733" t="str">
        <f>S18</f>
        <v>-</v>
      </c>
      <c r="V269" s="733">
        <f>T18</f>
        <v>9.9999999999999995E-7</v>
      </c>
      <c r="W269" s="543">
        <f>U18</f>
        <v>0</v>
      </c>
      <c r="AE269" s="500"/>
    </row>
    <row r="270" spans="1:31" hidden="1">
      <c r="A270" s="1335"/>
      <c r="B270" s="733">
        <v>3</v>
      </c>
      <c r="C270" s="733">
        <f>C29</f>
        <v>25</v>
      </c>
      <c r="D270" s="733">
        <f t="shared" ref="D270:F270" si="102">D29</f>
        <v>0.7</v>
      </c>
      <c r="E270" s="733">
        <f t="shared" si="102"/>
        <v>-0.1</v>
      </c>
      <c r="F270" s="733">
        <f t="shared" si="102"/>
        <v>0</v>
      </c>
      <c r="G270" s="733">
        <f>G29</f>
        <v>0.39999999999999997</v>
      </c>
      <c r="I270" s="1335"/>
      <c r="J270" s="733">
        <v>3</v>
      </c>
      <c r="K270" s="733">
        <f>J29</f>
        <v>50</v>
      </c>
      <c r="L270" s="733">
        <f>K29</f>
        <v>-4.5</v>
      </c>
      <c r="M270" s="733">
        <f>L29</f>
        <v>-4.9000000000000004</v>
      </c>
      <c r="N270" s="733">
        <f>M29</f>
        <v>0</v>
      </c>
      <c r="O270" s="733">
        <f>N29</f>
        <v>0.20000000000000018</v>
      </c>
      <c r="Q270" s="1335"/>
      <c r="R270" s="733">
        <v>3</v>
      </c>
      <c r="S270" s="733">
        <f>Q29</f>
        <v>850</v>
      </c>
      <c r="T270" s="733" t="str">
        <f>R29</f>
        <v>-</v>
      </c>
      <c r="U270" s="733" t="str">
        <f>S29</f>
        <v>-</v>
      </c>
      <c r="V270" s="733">
        <f>T29</f>
        <v>9.9999999999999995E-7</v>
      </c>
      <c r="W270" s="543">
        <f>U29</f>
        <v>4.9999999999999998E-7</v>
      </c>
      <c r="AE270" s="500"/>
    </row>
    <row r="271" spans="1:31" hidden="1">
      <c r="A271" s="1335"/>
      <c r="B271" s="733">
        <v>4</v>
      </c>
      <c r="C271" s="733">
        <f>C40</f>
        <v>25</v>
      </c>
      <c r="D271" s="733">
        <f t="shared" ref="D271:F271" si="103">D40</f>
        <v>-0.1</v>
      </c>
      <c r="E271" s="733">
        <f t="shared" si="103"/>
        <v>-0.5</v>
      </c>
      <c r="F271" s="733">
        <f t="shared" si="103"/>
        <v>0</v>
      </c>
      <c r="G271" s="733">
        <f>G40</f>
        <v>0.2</v>
      </c>
      <c r="I271" s="1335"/>
      <c r="J271" s="733">
        <v>4</v>
      </c>
      <c r="K271" s="733">
        <f>J40</f>
        <v>50</v>
      </c>
      <c r="L271" s="733">
        <f>K40</f>
        <v>-4.3</v>
      </c>
      <c r="M271" s="733">
        <f>L40</f>
        <v>-1</v>
      </c>
      <c r="N271" s="733">
        <f>M40</f>
        <v>0</v>
      </c>
      <c r="O271" s="733">
        <f>N40</f>
        <v>1.65</v>
      </c>
      <c r="Q271" s="1335"/>
      <c r="R271" s="733">
        <v>4</v>
      </c>
      <c r="S271" s="733">
        <f>Q40</f>
        <v>850</v>
      </c>
      <c r="T271" s="733" t="str">
        <f>R40</f>
        <v>-</v>
      </c>
      <c r="U271" s="733" t="str">
        <f>S40</f>
        <v>-</v>
      </c>
      <c r="V271" s="733">
        <f>T40</f>
        <v>9.9999999999999995E-7</v>
      </c>
      <c r="W271" s="543">
        <f>U40</f>
        <v>0</v>
      </c>
      <c r="Y271" s="1341" t="s">
        <v>237</v>
      </c>
      <c r="Z271" s="1342"/>
      <c r="AE271" s="500"/>
    </row>
    <row r="272" spans="1:31" hidden="1">
      <c r="A272" s="1335"/>
      <c r="B272" s="733">
        <v>5</v>
      </c>
      <c r="C272" s="733">
        <f>C51</f>
        <v>25</v>
      </c>
      <c r="D272" s="733">
        <f t="shared" ref="D272:F272" si="104">D51</f>
        <v>0.4</v>
      </c>
      <c r="E272" s="733">
        <f t="shared" si="104"/>
        <v>0.2</v>
      </c>
      <c r="F272" s="733">
        <f t="shared" si="104"/>
        <v>0</v>
      </c>
      <c r="G272" s="733">
        <f>G51</f>
        <v>0.1</v>
      </c>
      <c r="I272" s="1335"/>
      <c r="J272" s="733">
        <v>5</v>
      </c>
      <c r="K272" s="733">
        <f>J51</f>
        <v>50</v>
      </c>
      <c r="L272" s="733">
        <f>K51</f>
        <v>-6.2</v>
      </c>
      <c r="M272" s="733">
        <f>L51</f>
        <v>-6.2</v>
      </c>
      <c r="N272" s="733">
        <f>M51</f>
        <v>0</v>
      </c>
      <c r="O272" s="733">
        <f>N51</f>
        <v>0</v>
      </c>
      <c r="Q272" s="1335"/>
      <c r="R272" s="733">
        <v>5</v>
      </c>
      <c r="S272" s="733">
        <f>Q51</f>
        <v>850</v>
      </c>
      <c r="T272" s="733" t="str">
        <f>R51</f>
        <v>-</v>
      </c>
      <c r="U272" s="733" t="str">
        <f>S51</f>
        <v>-</v>
      </c>
      <c r="V272" s="733">
        <f>T51</f>
        <v>9.9999999999999995E-7</v>
      </c>
      <c r="W272" s="543">
        <f>U51</f>
        <v>0</v>
      </c>
      <c r="Y272" s="1343" t="s">
        <v>488</v>
      </c>
      <c r="Z272" s="1344"/>
      <c r="AE272" s="500"/>
    </row>
    <row r="273" spans="1:31" hidden="1">
      <c r="A273" s="1335"/>
      <c r="B273" s="733">
        <v>6</v>
      </c>
      <c r="C273" s="733">
        <f>C62</f>
        <v>25</v>
      </c>
      <c r="D273" s="733">
        <f t="shared" ref="D273:F273" si="105">D62</f>
        <v>0.2</v>
      </c>
      <c r="E273" s="733">
        <f t="shared" si="105"/>
        <v>-0.1</v>
      </c>
      <c r="F273" s="733">
        <f t="shared" si="105"/>
        <v>0</v>
      </c>
      <c r="G273" s="733">
        <f>G62</f>
        <v>0.15000000000000002</v>
      </c>
      <c r="I273" s="1335"/>
      <c r="J273" s="733">
        <v>6</v>
      </c>
      <c r="K273" s="733">
        <f>J62</f>
        <v>50</v>
      </c>
      <c r="L273" s="733">
        <f>K62</f>
        <v>-5.4</v>
      </c>
      <c r="M273" s="733">
        <f>L62</f>
        <v>1.2</v>
      </c>
      <c r="N273" s="733">
        <f>M62</f>
        <v>0</v>
      </c>
      <c r="O273" s="733">
        <f>N62</f>
        <v>3.3000000000000003</v>
      </c>
      <c r="Q273" s="1335"/>
      <c r="R273" s="733">
        <v>6</v>
      </c>
      <c r="S273" s="733">
        <f>Q62</f>
        <v>850</v>
      </c>
      <c r="T273" s="733">
        <f>R62</f>
        <v>0.9</v>
      </c>
      <c r="U273" s="733">
        <f>S62</f>
        <v>1.1000000000000001</v>
      </c>
      <c r="V273" s="733">
        <f>T62</f>
        <v>9.9999999999999995E-7</v>
      </c>
      <c r="W273" s="543">
        <f>U62</f>
        <v>0.54999950000000009</v>
      </c>
      <c r="Y273" s="731">
        <v>1</v>
      </c>
      <c r="Z273" s="732">
        <f>X5</f>
        <v>0</v>
      </c>
      <c r="AE273" s="500"/>
    </row>
    <row r="274" spans="1:31" hidden="1">
      <c r="A274" s="1335"/>
      <c r="B274" s="733">
        <v>7</v>
      </c>
      <c r="C274" s="733">
        <f>C73</f>
        <v>25</v>
      </c>
      <c r="D274" s="733">
        <f t="shared" ref="D274:F274" si="106">D73</f>
        <v>9.9999999999999995E-7</v>
      </c>
      <c r="E274" s="733">
        <f t="shared" si="106"/>
        <v>-0.2</v>
      </c>
      <c r="F274" s="733">
        <f t="shared" si="106"/>
        <v>0</v>
      </c>
      <c r="G274" s="733">
        <f>G73</f>
        <v>0.10000050000000001</v>
      </c>
      <c r="I274" s="1335"/>
      <c r="J274" s="733">
        <v>7</v>
      </c>
      <c r="K274" s="733">
        <f>J73</f>
        <v>50</v>
      </c>
      <c r="L274" s="733">
        <f>K73</f>
        <v>-1.9</v>
      </c>
      <c r="M274" s="733">
        <f>L73</f>
        <v>0.8</v>
      </c>
      <c r="N274" s="733">
        <f>M73</f>
        <v>0</v>
      </c>
      <c r="O274" s="733">
        <f>N73</f>
        <v>1.35</v>
      </c>
      <c r="Q274" s="1335"/>
      <c r="R274" s="733">
        <v>7</v>
      </c>
      <c r="S274" s="733">
        <f>Q73</f>
        <v>850</v>
      </c>
      <c r="T274" s="733">
        <f>R73</f>
        <v>9.9999999999999995E-7</v>
      </c>
      <c r="U274" s="733">
        <f>S73</f>
        <v>1.7</v>
      </c>
      <c r="V274" s="733">
        <f>T73</f>
        <v>9.9999999999999995E-7</v>
      </c>
      <c r="W274" s="543">
        <f>U73</f>
        <v>0.84999950000000002</v>
      </c>
      <c r="Y274" s="544">
        <v>2</v>
      </c>
      <c r="Z274" s="732">
        <f>X16</f>
        <v>0</v>
      </c>
      <c r="AE274" s="500"/>
    </row>
    <row r="275" spans="1:31" hidden="1">
      <c r="A275" s="1335"/>
      <c r="B275" s="733">
        <v>8</v>
      </c>
      <c r="C275" s="733">
        <f>C84</f>
        <v>25</v>
      </c>
      <c r="D275" s="733">
        <f t="shared" ref="D275:F275" si="107">D84</f>
        <v>-0.1</v>
      </c>
      <c r="E275" s="733">
        <f t="shared" si="107"/>
        <v>-0.4</v>
      </c>
      <c r="F275" s="733">
        <f t="shared" si="107"/>
        <v>0</v>
      </c>
      <c r="G275" s="733">
        <f>G84</f>
        <v>0.15000000000000002</v>
      </c>
      <c r="I275" s="1335"/>
      <c r="J275" s="733">
        <v>8</v>
      </c>
      <c r="K275" s="733">
        <f>J84</f>
        <v>50</v>
      </c>
      <c r="L275" s="733">
        <f>K84</f>
        <v>-3.8</v>
      </c>
      <c r="M275" s="733">
        <f>L84</f>
        <v>-1.2</v>
      </c>
      <c r="N275" s="733">
        <f>M84</f>
        <v>0</v>
      </c>
      <c r="O275" s="733">
        <f>N84</f>
        <v>1.2999999999999998</v>
      </c>
      <c r="Q275" s="1335"/>
      <c r="R275" s="733">
        <v>8</v>
      </c>
      <c r="S275" s="733">
        <f>Q84</f>
        <v>850</v>
      </c>
      <c r="T275" s="733">
        <f>R84</f>
        <v>9.9999999999999995E-7</v>
      </c>
      <c r="U275" s="733">
        <f>S84</f>
        <v>9.9999999999999995E-7</v>
      </c>
      <c r="V275" s="733">
        <f>T84</f>
        <v>9.9999999999999995E-7</v>
      </c>
      <c r="W275" s="543">
        <f>U84</f>
        <v>0</v>
      </c>
      <c r="Y275" s="544">
        <v>3</v>
      </c>
      <c r="Z275" s="545">
        <f>X27</f>
        <v>0</v>
      </c>
      <c r="AE275" s="500"/>
    </row>
    <row r="276" spans="1:31" hidden="1">
      <c r="A276" s="1335"/>
      <c r="B276" s="733">
        <v>9</v>
      </c>
      <c r="C276" s="733">
        <f>C95</f>
        <v>25</v>
      </c>
      <c r="D276" s="733">
        <f t="shared" ref="D276:F276" si="108">D95</f>
        <v>-0.4</v>
      </c>
      <c r="E276" s="733" t="str">
        <f t="shared" si="108"/>
        <v>-</v>
      </c>
      <c r="F276" s="733">
        <f t="shared" si="108"/>
        <v>0</v>
      </c>
      <c r="G276" s="733">
        <f>G95</f>
        <v>0</v>
      </c>
      <c r="I276" s="1335"/>
      <c r="J276" s="733">
        <v>9</v>
      </c>
      <c r="K276" s="733">
        <f>J95</f>
        <v>50</v>
      </c>
      <c r="L276" s="733">
        <f>K95</f>
        <v>-0.9</v>
      </c>
      <c r="M276" s="733" t="str">
        <f>L95</f>
        <v>-</v>
      </c>
      <c r="N276" s="733">
        <f>M95</f>
        <v>0</v>
      </c>
      <c r="O276" s="733">
        <f>N95</f>
        <v>0</v>
      </c>
      <c r="Q276" s="1335"/>
      <c r="R276" s="733">
        <v>9</v>
      </c>
      <c r="S276" s="733">
        <f>Q95</f>
        <v>850</v>
      </c>
      <c r="T276" s="733">
        <f>R95</f>
        <v>9.9999999999999995E-7</v>
      </c>
      <c r="U276" s="733" t="str">
        <f>S95</f>
        <v>-</v>
      </c>
      <c r="V276" s="733">
        <f>T95</f>
        <v>9.9999999999999995E-7</v>
      </c>
      <c r="W276" s="543">
        <f>U95</f>
        <v>0</v>
      </c>
      <c r="Y276" s="544">
        <v>4</v>
      </c>
      <c r="Z276" s="545">
        <f>X38</f>
        <v>0</v>
      </c>
      <c r="AE276" s="500"/>
    </row>
    <row r="277" spans="1:31" hidden="1">
      <c r="A277" s="1335"/>
      <c r="B277" s="733">
        <v>10</v>
      </c>
      <c r="C277" s="733">
        <f>C106</f>
        <v>25</v>
      </c>
      <c r="D277" s="733">
        <f t="shared" ref="D277:F277" si="109">D106</f>
        <v>0.1</v>
      </c>
      <c r="E277" s="733">
        <f t="shared" si="109"/>
        <v>-0.5</v>
      </c>
      <c r="F277" s="733">
        <f t="shared" si="109"/>
        <v>0</v>
      </c>
      <c r="G277" s="733">
        <f>G106</f>
        <v>0.3</v>
      </c>
      <c r="I277" s="1335"/>
      <c r="J277" s="733">
        <v>10</v>
      </c>
      <c r="K277" s="733">
        <f>J106</f>
        <v>50</v>
      </c>
      <c r="L277" s="733">
        <f>K106</f>
        <v>-3.1</v>
      </c>
      <c r="M277" s="733">
        <f>L106</f>
        <v>-6.1</v>
      </c>
      <c r="N277" s="733">
        <f>M106</f>
        <v>0</v>
      </c>
      <c r="O277" s="733">
        <f>N106</f>
        <v>1.4999999999999998</v>
      </c>
      <c r="Q277" s="1335"/>
      <c r="R277" s="733">
        <v>10</v>
      </c>
      <c r="S277" s="733">
        <f>Q106</f>
        <v>850</v>
      </c>
      <c r="T277" s="733" t="str">
        <f>R106</f>
        <v>-</v>
      </c>
      <c r="U277" s="733" t="str">
        <f>S106</f>
        <v>-</v>
      </c>
      <c r="V277" s="733">
        <f>T106</f>
        <v>9.9999999999999995E-7</v>
      </c>
      <c r="W277" s="543">
        <f>U106</f>
        <v>0</v>
      </c>
      <c r="Y277" s="544">
        <v>5</v>
      </c>
      <c r="Z277" s="545">
        <f>X49</f>
        <v>0</v>
      </c>
      <c r="AE277" s="500"/>
    </row>
    <row r="278" spans="1:31" hidden="1">
      <c r="A278" s="1335"/>
      <c r="B278" s="733">
        <v>11</v>
      </c>
      <c r="C278" s="733">
        <f>C117</f>
        <v>25</v>
      </c>
      <c r="D278" s="733">
        <f t="shared" ref="D278:F278" si="110">D117</f>
        <v>0.4</v>
      </c>
      <c r="E278" s="733">
        <f t="shared" si="110"/>
        <v>0.5</v>
      </c>
      <c r="F278" s="733">
        <f t="shared" si="110"/>
        <v>0</v>
      </c>
      <c r="G278" s="733">
        <f>G117</f>
        <v>4.9999999999999989E-2</v>
      </c>
      <c r="I278" s="1335"/>
      <c r="J278" s="733">
        <v>11</v>
      </c>
      <c r="K278" s="733">
        <f>J117</f>
        <v>50</v>
      </c>
      <c r="L278" s="733">
        <f>K117</f>
        <v>-5.5</v>
      </c>
      <c r="M278" s="733">
        <f>L117</f>
        <v>-5.6</v>
      </c>
      <c r="N278" s="733">
        <f>M117</f>
        <v>0</v>
      </c>
      <c r="O278" s="733">
        <f>N117</f>
        <v>4.9999999999999822E-2</v>
      </c>
      <c r="Q278" s="1335"/>
      <c r="R278" s="733">
        <v>11</v>
      </c>
      <c r="S278" s="733">
        <f>Q117</f>
        <v>850</v>
      </c>
      <c r="T278" s="733" t="str">
        <f>R117</f>
        <v>-</v>
      </c>
      <c r="U278" s="733" t="str">
        <f>S117</f>
        <v>-</v>
      </c>
      <c r="V278" s="733">
        <f>T117</f>
        <v>9.9999999999999995E-7</v>
      </c>
      <c r="W278" s="543">
        <f>U117</f>
        <v>0</v>
      </c>
      <c r="Y278" s="731">
        <v>6</v>
      </c>
      <c r="Z278" s="732">
        <f>X60</f>
        <v>1.6</v>
      </c>
      <c r="AE278" s="500"/>
    </row>
    <row r="279" spans="1:31" hidden="1">
      <c r="A279" s="1335"/>
      <c r="B279" s="733">
        <v>12</v>
      </c>
      <c r="C279" s="733">
        <f>C128</f>
        <v>25</v>
      </c>
      <c r="D279" s="733">
        <f t="shared" ref="D279:F279" si="111">D128</f>
        <v>9.9999999999999995E-7</v>
      </c>
      <c r="E279" s="733" t="str">
        <f t="shared" si="111"/>
        <v>-</v>
      </c>
      <c r="F279" s="733">
        <f t="shared" si="111"/>
        <v>0</v>
      </c>
      <c r="G279" s="733">
        <f>G128</f>
        <v>0</v>
      </c>
      <c r="I279" s="1335"/>
      <c r="J279" s="733">
        <v>12</v>
      </c>
      <c r="K279" s="733">
        <f>J128</f>
        <v>50</v>
      </c>
      <c r="L279" s="733">
        <f>K128</f>
        <v>9.9999999999999995E-7</v>
      </c>
      <c r="M279" s="733" t="str">
        <f>L128</f>
        <v>-</v>
      </c>
      <c r="N279" s="733">
        <f>M128</f>
        <v>0</v>
      </c>
      <c r="O279" s="733">
        <f>N128</f>
        <v>0</v>
      </c>
      <c r="Q279" s="1335"/>
      <c r="R279" s="733">
        <v>12</v>
      </c>
      <c r="S279" s="733">
        <f>Q128</f>
        <v>900</v>
      </c>
      <c r="T279" s="733">
        <f>R128</f>
        <v>-0.6</v>
      </c>
      <c r="U279" s="733" t="str">
        <f>S128</f>
        <v>-</v>
      </c>
      <c r="V279" s="733">
        <f>T128</f>
        <v>0</v>
      </c>
      <c r="W279" s="543">
        <f>U128</f>
        <v>0</v>
      </c>
      <c r="Y279" s="731">
        <v>7</v>
      </c>
      <c r="Z279" s="732">
        <f>X71</f>
        <v>2.4</v>
      </c>
      <c r="AE279" s="500"/>
    </row>
    <row r="280" spans="1:31" hidden="1">
      <c r="A280" s="1335"/>
      <c r="B280" s="733">
        <v>13</v>
      </c>
      <c r="C280" s="733">
        <f>C139</f>
        <v>25</v>
      </c>
      <c r="D280" s="733">
        <f t="shared" ref="D280:F280" si="112">D139</f>
        <v>0.1</v>
      </c>
      <c r="E280" s="733">
        <f t="shared" si="112"/>
        <v>-0.2</v>
      </c>
      <c r="F280" s="733">
        <f t="shared" si="112"/>
        <v>0</v>
      </c>
      <c r="G280" s="733">
        <f>G139</f>
        <v>0.15000000000000002</v>
      </c>
      <c r="I280" s="1335"/>
      <c r="J280" s="733">
        <v>13</v>
      </c>
      <c r="K280" s="733">
        <f>J139</f>
        <v>50</v>
      </c>
      <c r="L280" s="733">
        <f>K139</f>
        <v>-1.8</v>
      </c>
      <c r="M280" s="733">
        <f>L139</f>
        <v>-1.3</v>
      </c>
      <c r="N280" s="733">
        <f>M139</f>
        <v>0</v>
      </c>
      <c r="O280" s="733">
        <f>N139</f>
        <v>0.25</v>
      </c>
      <c r="Q280" s="1335"/>
      <c r="R280" s="733">
        <v>13</v>
      </c>
      <c r="S280" s="733">
        <f>Q139</f>
        <v>995</v>
      </c>
      <c r="T280" s="733">
        <f>R139</f>
        <v>3.7</v>
      </c>
      <c r="U280" s="733">
        <f>S139</f>
        <v>1</v>
      </c>
      <c r="V280" s="733">
        <f>T139</f>
        <v>0</v>
      </c>
      <c r="W280" s="543">
        <f>U139</f>
        <v>1.35</v>
      </c>
      <c r="Y280" s="731">
        <v>8</v>
      </c>
      <c r="Z280" s="732">
        <f>X82</f>
        <v>2.1</v>
      </c>
      <c r="AE280" s="500"/>
    </row>
    <row r="281" spans="1:31" hidden="1">
      <c r="A281" s="1335"/>
      <c r="B281" s="733">
        <v>14</v>
      </c>
      <c r="C281" s="733">
        <f>C150</f>
        <v>25</v>
      </c>
      <c r="D281" s="733">
        <f t="shared" ref="D281:F281" si="113">D150</f>
        <v>-0.1</v>
      </c>
      <c r="E281" s="733">
        <f t="shared" si="113"/>
        <v>-0.1</v>
      </c>
      <c r="F281" s="733">
        <f t="shared" si="113"/>
        <v>0</v>
      </c>
      <c r="G281" s="733">
        <f>G150</f>
        <v>0</v>
      </c>
      <c r="I281" s="1335"/>
      <c r="J281" s="733">
        <v>14</v>
      </c>
      <c r="K281" s="733">
        <f>J151</f>
        <v>60</v>
      </c>
      <c r="L281" s="733">
        <f>K151</f>
        <v>0.3</v>
      </c>
      <c r="M281" s="733">
        <f>L151</f>
        <v>-0.6</v>
      </c>
      <c r="N281" s="733">
        <f>M151</f>
        <v>0</v>
      </c>
      <c r="O281" s="733">
        <f>N151</f>
        <v>0.44999999999999996</v>
      </c>
      <c r="Q281" s="1335"/>
      <c r="R281" s="733">
        <v>14</v>
      </c>
      <c r="S281" s="733">
        <f>Q150</f>
        <v>995</v>
      </c>
      <c r="T281" s="733">
        <f>R150</f>
        <v>3.8</v>
      </c>
      <c r="U281" s="733">
        <f>S150</f>
        <v>1</v>
      </c>
      <c r="V281" s="733">
        <f>T150</f>
        <v>0</v>
      </c>
      <c r="W281" s="543">
        <f>U150</f>
        <v>1.4</v>
      </c>
      <c r="Y281" s="731">
        <v>9</v>
      </c>
      <c r="Z281" s="732">
        <f>X93</f>
        <v>2.2000000000000002</v>
      </c>
      <c r="AE281" s="500"/>
    </row>
    <row r="282" spans="1:31" hidden="1">
      <c r="A282" s="1335"/>
      <c r="B282" s="733">
        <v>15</v>
      </c>
      <c r="C282" s="733">
        <f>C161</f>
        <v>25</v>
      </c>
      <c r="D282" s="733">
        <f t="shared" ref="D282:F282" si="114">D161</f>
        <v>0.2</v>
      </c>
      <c r="E282" s="733">
        <f t="shared" si="114"/>
        <v>-0.4</v>
      </c>
      <c r="F282" s="733">
        <f t="shared" si="114"/>
        <v>0</v>
      </c>
      <c r="G282" s="733">
        <f>G161</f>
        <v>0.30000000000000004</v>
      </c>
      <c r="I282" s="1335"/>
      <c r="J282" s="733">
        <v>15</v>
      </c>
      <c r="K282" s="733">
        <f>J161</f>
        <v>50</v>
      </c>
      <c r="L282" s="733">
        <f>K161</f>
        <v>-1.4</v>
      </c>
      <c r="M282" s="733">
        <f>L161</f>
        <v>-0.3</v>
      </c>
      <c r="N282" s="733">
        <f>M161</f>
        <v>0</v>
      </c>
      <c r="O282" s="733">
        <f>N161</f>
        <v>0.54999999999999993</v>
      </c>
      <c r="Q282" s="1335"/>
      <c r="R282" s="733">
        <v>15</v>
      </c>
      <c r="S282" s="733">
        <f>Q161</f>
        <v>995</v>
      </c>
      <c r="T282" s="733">
        <f>R161</f>
        <v>4.0999999999999996</v>
      </c>
      <c r="U282" s="733">
        <f>S161</f>
        <v>1</v>
      </c>
      <c r="V282" s="733">
        <f>T161</f>
        <v>0</v>
      </c>
      <c r="W282" s="543">
        <f>U161</f>
        <v>1.5499999999999998</v>
      </c>
      <c r="Y282" s="731">
        <v>10</v>
      </c>
      <c r="Z282" s="732">
        <f>X104</f>
        <v>0</v>
      </c>
      <c r="AE282" s="500"/>
    </row>
    <row r="283" spans="1:31" hidden="1">
      <c r="A283" s="1335"/>
      <c r="B283" s="733">
        <v>16</v>
      </c>
      <c r="C283" s="733">
        <f>C172</f>
        <v>25</v>
      </c>
      <c r="D283" s="733">
        <f t="shared" ref="D283:F283" si="115">D172</f>
        <v>0.2</v>
      </c>
      <c r="E283" s="733" t="str">
        <f t="shared" si="115"/>
        <v>-</v>
      </c>
      <c r="F283" s="733">
        <f t="shared" si="115"/>
        <v>0</v>
      </c>
      <c r="G283" s="733">
        <f>G172</f>
        <v>0</v>
      </c>
      <c r="I283" s="1335"/>
      <c r="J283" s="733">
        <v>16</v>
      </c>
      <c r="K283" s="733">
        <f>J172</f>
        <v>50</v>
      </c>
      <c r="L283" s="733">
        <f>K172</f>
        <v>-1.4</v>
      </c>
      <c r="M283" s="733" t="str">
        <f>L172</f>
        <v>-</v>
      </c>
      <c r="N283" s="733">
        <f>M172</f>
        <v>0</v>
      </c>
      <c r="O283" s="733">
        <f>N172</f>
        <v>0</v>
      </c>
      <c r="Q283" s="1335"/>
      <c r="R283" s="733">
        <v>16</v>
      </c>
      <c r="S283" s="733">
        <f>Q172</f>
        <v>900</v>
      </c>
      <c r="T283" s="733">
        <f>R172</f>
        <v>-1.7</v>
      </c>
      <c r="U283" s="733" t="str">
        <f>S172</f>
        <v>-</v>
      </c>
      <c r="V283" s="733">
        <f>T172</f>
        <v>0</v>
      </c>
      <c r="W283" s="543">
        <f>U172</f>
        <v>0</v>
      </c>
      <c r="Y283" s="731">
        <v>11</v>
      </c>
      <c r="Z283" s="732">
        <f>X115</f>
        <v>0</v>
      </c>
      <c r="AE283" s="500"/>
    </row>
    <row r="284" spans="1:31" hidden="1">
      <c r="A284" s="1335"/>
      <c r="B284" s="733">
        <v>17</v>
      </c>
      <c r="C284" s="733">
        <f>C183</f>
        <v>25</v>
      </c>
      <c r="D284" s="733">
        <f t="shared" ref="D284:F284" si="116">D183</f>
        <v>9.9999999999999995E-7</v>
      </c>
      <c r="E284" s="733" t="str">
        <f t="shared" si="116"/>
        <v>-</v>
      </c>
      <c r="F284" s="733">
        <f t="shared" si="116"/>
        <v>0</v>
      </c>
      <c r="G284" s="733">
        <f>G183</f>
        <v>0</v>
      </c>
      <c r="I284" s="1335"/>
      <c r="J284" s="733">
        <v>17</v>
      </c>
      <c r="K284" s="733">
        <f>J183</f>
        <v>50</v>
      </c>
      <c r="L284" s="733">
        <f>K183</f>
        <v>0.2</v>
      </c>
      <c r="M284" s="733" t="str">
        <f>L183</f>
        <v>-</v>
      </c>
      <c r="N284" s="733">
        <f>M183</f>
        <v>0</v>
      </c>
      <c r="O284" s="733">
        <f>N183</f>
        <v>0</v>
      </c>
      <c r="Q284" s="1335"/>
      <c r="R284" s="733">
        <v>17</v>
      </c>
      <c r="S284" s="733">
        <f>Q183</f>
        <v>980</v>
      </c>
      <c r="T284" s="733">
        <f>R183</f>
        <v>-0.6</v>
      </c>
      <c r="U284" s="733" t="str">
        <f>S183</f>
        <v>-</v>
      </c>
      <c r="V284" s="733">
        <f>T183</f>
        <v>0</v>
      </c>
      <c r="W284" s="543">
        <f>U183</f>
        <v>0</v>
      </c>
      <c r="Y284" s="731">
        <v>12</v>
      </c>
      <c r="Z284" s="559">
        <f>X126</f>
        <v>2.4</v>
      </c>
      <c r="AE284" s="500"/>
    </row>
    <row r="285" spans="1:31" hidden="1">
      <c r="A285" s="1335"/>
      <c r="B285" s="733">
        <v>18</v>
      </c>
      <c r="C285" s="733">
        <f>C194</f>
        <v>25</v>
      </c>
      <c r="D285" s="733">
        <f t="shared" ref="D285:F285" si="117">D194</f>
        <v>-0.2</v>
      </c>
      <c r="E285" s="733" t="str">
        <f t="shared" si="117"/>
        <v>-</v>
      </c>
      <c r="F285" s="733">
        <f t="shared" si="117"/>
        <v>0</v>
      </c>
      <c r="G285" s="733">
        <f>G194</f>
        <v>0</v>
      </c>
      <c r="I285" s="1335"/>
      <c r="J285" s="733">
        <v>18</v>
      </c>
      <c r="K285" s="733">
        <f>J194</f>
        <v>50</v>
      </c>
      <c r="L285" s="733">
        <f>K194</f>
        <v>-0.2</v>
      </c>
      <c r="M285" s="733" t="str">
        <f>L194</f>
        <v>-</v>
      </c>
      <c r="N285" s="733">
        <f>M194</f>
        <v>0</v>
      </c>
      <c r="O285" s="733">
        <f>N194</f>
        <v>0</v>
      </c>
      <c r="Q285" s="1335"/>
      <c r="R285" s="733">
        <v>18</v>
      </c>
      <c r="S285" s="733">
        <f>Q194</f>
        <v>900</v>
      </c>
      <c r="T285" s="733">
        <f>R194</f>
        <v>-1.1000000000000001</v>
      </c>
      <c r="U285" s="733" t="str">
        <f>S194</f>
        <v>-</v>
      </c>
      <c r="V285" s="733">
        <f>T194</f>
        <v>0</v>
      </c>
      <c r="W285" s="543">
        <f>U194</f>
        <v>0</v>
      </c>
      <c r="Y285" s="731">
        <v>13</v>
      </c>
      <c r="Z285" s="732">
        <f>X137</f>
        <v>2.4</v>
      </c>
      <c r="AE285" s="500"/>
    </row>
    <row r="286" spans="1:31" hidden="1">
      <c r="A286" s="1335"/>
      <c r="B286" s="733">
        <v>19</v>
      </c>
      <c r="C286" s="733">
        <f>C194</f>
        <v>25</v>
      </c>
      <c r="D286" s="733">
        <f t="shared" ref="D286:F286" si="118">D194</f>
        <v>-0.2</v>
      </c>
      <c r="E286" s="733" t="str">
        <f t="shared" si="118"/>
        <v>-</v>
      </c>
      <c r="F286" s="733">
        <f t="shared" si="118"/>
        <v>0</v>
      </c>
      <c r="G286" s="733">
        <f>G194</f>
        <v>0</v>
      </c>
      <c r="I286" s="1335"/>
      <c r="J286" s="733">
        <v>19</v>
      </c>
      <c r="K286" s="733">
        <f>J205</f>
        <v>50</v>
      </c>
      <c r="L286" s="733">
        <f>K205</f>
        <v>-0.2</v>
      </c>
      <c r="M286" s="733" t="str">
        <f>L205</f>
        <v>-</v>
      </c>
      <c r="N286" s="733">
        <f>M205</f>
        <v>0</v>
      </c>
      <c r="O286" s="733">
        <f>N205</f>
        <v>0</v>
      </c>
      <c r="Q286" s="1335"/>
      <c r="R286" s="733">
        <v>19</v>
      </c>
      <c r="S286" s="733">
        <f>Q205</f>
        <v>850</v>
      </c>
      <c r="T286" s="733">
        <f>R205</f>
        <v>2.4</v>
      </c>
      <c r="U286" s="733" t="str">
        <f>S205</f>
        <v>-</v>
      </c>
      <c r="V286" s="733">
        <f>T205</f>
        <v>0</v>
      </c>
      <c r="W286" s="543">
        <f>U205</f>
        <v>0</v>
      </c>
      <c r="Y286" s="731">
        <v>14</v>
      </c>
      <c r="Z286" s="732">
        <f>X148</f>
        <v>2.4</v>
      </c>
      <c r="AE286" s="500"/>
    </row>
    <row r="287" spans="1:31" ht="13.8" hidden="1" thickBot="1">
      <c r="A287" s="1335"/>
      <c r="B287" s="733">
        <v>20</v>
      </c>
      <c r="C287" s="733">
        <f>C216</f>
        <v>24.6</v>
      </c>
      <c r="D287" s="733">
        <f t="shared" ref="D287:F287" si="119">D216</f>
        <v>9.9999999999999995E-7</v>
      </c>
      <c r="E287" s="733" t="str">
        <f t="shared" si="119"/>
        <v>-</v>
      </c>
      <c r="F287" s="733">
        <f t="shared" si="119"/>
        <v>9.9999999999999995E-7</v>
      </c>
      <c r="G287" s="733">
        <f>G216</f>
        <v>0</v>
      </c>
      <c r="I287" s="1335"/>
      <c r="J287" s="733">
        <v>20</v>
      </c>
      <c r="K287" s="733">
        <f>J216</f>
        <v>62.5</v>
      </c>
      <c r="L287" s="733">
        <f>K216</f>
        <v>9.9999999999999995E-7</v>
      </c>
      <c r="M287" s="733" t="str">
        <f>L216</f>
        <v>-</v>
      </c>
      <c r="N287" s="733">
        <f>M216</f>
        <v>0</v>
      </c>
      <c r="O287" s="733">
        <f>N216</f>
        <v>0</v>
      </c>
      <c r="Q287" s="1337"/>
      <c r="R287" s="735">
        <v>20</v>
      </c>
      <c r="S287" s="735">
        <f>Q216</f>
        <v>850</v>
      </c>
      <c r="T287" s="735">
        <f>R216</f>
        <v>9.9999999999999995E-7</v>
      </c>
      <c r="U287" s="735" t="str">
        <f>S216</f>
        <v>-</v>
      </c>
      <c r="V287" s="735">
        <f>T216</f>
        <v>9.9999999999999995E-7</v>
      </c>
      <c r="W287" s="560">
        <f>U216</f>
        <v>0</v>
      </c>
      <c r="Y287" s="731">
        <v>15</v>
      </c>
      <c r="Z287" s="732">
        <f>X159</f>
        <v>2.6</v>
      </c>
      <c r="AE287" s="553"/>
    </row>
    <row r="288" spans="1:31" hidden="1">
      <c r="A288" s="506"/>
      <c r="B288" s="506"/>
      <c r="C288" s="506"/>
      <c r="D288" s="506"/>
      <c r="E288" s="506"/>
      <c r="F288" s="494"/>
      <c r="G288" s="506"/>
      <c r="I288" s="506"/>
      <c r="J288" s="506"/>
      <c r="K288" s="506"/>
      <c r="L288" s="506"/>
      <c r="M288" s="506"/>
      <c r="N288" s="494"/>
      <c r="O288" s="506"/>
      <c r="Q288" s="503"/>
      <c r="R288" s="507"/>
      <c r="S288" s="439"/>
      <c r="T288" s="439"/>
      <c r="U288" s="439"/>
      <c r="W288" s="440"/>
      <c r="Y288" s="731">
        <v>16</v>
      </c>
      <c r="Z288" s="548">
        <f>X170</f>
        <v>2.2999999999999998</v>
      </c>
      <c r="AE288" s="500"/>
    </row>
    <row r="289" spans="1:31" hidden="1">
      <c r="A289" s="1335">
        <v>4</v>
      </c>
      <c r="B289" s="733">
        <v>1</v>
      </c>
      <c r="C289" s="733">
        <f>C8</f>
        <v>30</v>
      </c>
      <c r="D289" s="733">
        <f t="shared" ref="D289:F289" si="120">D8</f>
        <v>9.9999999999999995E-7</v>
      </c>
      <c r="E289" s="733">
        <f t="shared" si="120"/>
        <v>-0.2</v>
      </c>
      <c r="F289" s="733">
        <f t="shared" si="120"/>
        <v>9.9999999999999995E-7</v>
      </c>
      <c r="G289" s="733">
        <f>G8</f>
        <v>0.10000050000000001</v>
      </c>
      <c r="I289" s="1335">
        <v>4</v>
      </c>
      <c r="J289" s="733">
        <v>1</v>
      </c>
      <c r="K289" s="733">
        <f>J8</f>
        <v>60</v>
      </c>
      <c r="L289" s="733">
        <f>K8</f>
        <v>-5.3</v>
      </c>
      <c r="M289" s="733">
        <f>L8</f>
        <v>-5.2</v>
      </c>
      <c r="N289" s="733">
        <f>M8</f>
        <v>0</v>
      </c>
      <c r="O289" s="733">
        <f>N8</f>
        <v>4.9999999999999822E-2</v>
      </c>
      <c r="Q289" s="1336">
        <v>4</v>
      </c>
      <c r="R289" s="734">
        <v>1</v>
      </c>
      <c r="S289" s="734">
        <f>Q8</f>
        <v>900</v>
      </c>
      <c r="T289" s="734" t="str">
        <f>R8</f>
        <v>-</v>
      </c>
      <c r="U289" s="734" t="str">
        <f>S8</f>
        <v>-</v>
      </c>
      <c r="V289" s="734">
        <f>T8</f>
        <v>9.9999999999999995E-7</v>
      </c>
      <c r="W289" s="561">
        <f>U8</f>
        <v>0</v>
      </c>
      <c r="Y289" s="731">
        <v>17</v>
      </c>
      <c r="Z289" s="548">
        <f>X181</f>
        <v>2.1</v>
      </c>
      <c r="AE289" s="558"/>
    </row>
    <row r="290" spans="1:31" hidden="1">
      <c r="A290" s="1335"/>
      <c r="B290" s="733">
        <v>2</v>
      </c>
      <c r="C290" s="733">
        <f>C19</f>
        <v>30</v>
      </c>
      <c r="D290" s="733">
        <f t="shared" ref="D290:F290" si="121">D19</f>
        <v>0.2</v>
      </c>
      <c r="E290" s="733">
        <f t="shared" si="121"/>
        <v>-0.3</v>
      </c>
      <c r="F290" s="733">
        <f t="shared" si="121"/>
        <v>0</v>
      </c>
      <c r="G290" s="733">
        <f>G19</f>
        <v>0.25</v>
      </c>
      <c r="I290" s="1335"/>
      <c r="J290" s="733">
        <v>2</v>
      </c>
      <c r="K290" s="733">
        <f>J19</f>
        <v>60</v>
      </c>
      <c r="L290" s="733">
        <f>K19</f>
        <v>-4</v>
      </c>
      <c r="M290" s="733">
        <f>L19</f>
        <v>-1.3</v>
      </c>
      <c r="N290" s="733">
        <f>M19</f>
        <v>0</v>
      </c>
      <c r="O290" s="733">
        <f>N19</f>
        <v>1.35</v>
      </c>
      <c r="Q290" s="1335"/>
      <c r="R290" s="733">
        <v>2</v>
      </c>
      <c r="S290" s="733">
        <f>Q19</f>
        <v>900</v>
      </c>
      <c r="T290" s="733" t="str">
        <f>R19</f>
        <v>-</v>
      </c>
      <c r="U290" s="733" t="str">
        <f>S19</f>
        <v>-</v>
      </c>
      <c r="V290" s="733">
        <f>T19</f>
        <v>9.9999999999999995E-7</v>
      </c>
      <c r="W290" s="543">
        <f>U19</f>
        <v>0</v>
      </c>
      <c r="Y290" s="731">
        <v>18</v>
      </c>
      <c r="Z290" s="548">
        <f>X192</f>
        <v>2.4</v>
      </c>
      <c r="AE290" s="500"/>
    </row>
    <row r="291" spans="1:31" hidden="1">
      <c r="A291" s="1335"/>
      <c r="B291" s="733">
        <v>3</v>
      </c>
      <c r="C291" s="733">
        <f>C30</f>
        <v>30</v>
      </c>
      <c r="D291" s="733">
        <f t="shared" ref="D291:F291" si="122">D30</f>
        <v>9.9999999999999995E-7</v>
      </c>
      <c r="E291" s="733">
        <f t="shared" si="122"/>
        <v>-0.3</v>
      </c>
      <c r="F291" s="733">
        <f t="shared" si="122"/>
        <v>0</v>
      </c>
      <c r="G291" s="733">
        <f>G30</f>
        <v>0.15000049999999998</v>
      </c>
      <c r="I291" s="1335"/>
      <c r="J291" s="733">
        <v>3</v>
      </c>
      <c r="K291" s="733">
        <f>J30</f>
        <v>60</v>
      </c>
      <c r="L291" s="733">
        <f>K30</f>
        <v>-3.2</v>
      </c>
      <c r="M291" s="733">
        <f>L30</f>
        <v>-4.3</v>
      </c>
      <c r="N291" s="733">
        <f>M30</f>
        <v>0</v>
      </c>
      <c r="O291" s="733">
        <f>N30</f>
        <v>0.54999999999999982</v>
      </c>
      <c r="Q291" s="1335"/>
      <c r="R291" s="733">
        <v>3</v>
      </c>
      <c r="S291" s="733">
        <f>Q30</f>
        <v>900</v>
      </c>
      <c r="T291" s="733" t="str">
        <f>R30</f>
        <v>-</v>
      </c>
      <c r="U291" s="733" t="str">
        <f>S30</f>
        <v>-</v>
      </c>
      <c r="V291" s="733">
        <f>T30</f>
        <v>9.9999999999999995E-7</v>
      </c>
      <c r="W291" s="543">
        <f>U30</f>
        <v>4.9999999999999998E-7</v>
      </c>
      <c r="Y291" s="731">
        <v>19</v>
      </c>
      <c r="Z291" s="548">
        <f>X203</f>
        <v>0.4</v>
      </c>
      <c r="AE291" s="500"/>
    </row>
    <row r="292" spans="1:31" ht="13.8" hidden="1" thickBot="1">
      <c r="A292" s="1335"/>
      <c r="B292" s="733">
        <v>4</v>
      </c>
      <c r="C292" s="733">
        <f>C41</f>
        <v>30</v>
      </c>
      <c r="D292" s="733">
        <f t="shared" ref="D292:F292" si="123">D41</f>
        <v>-0.1</v>
      </c>
      <c r="E292" s="733">
        <f t="shared" si="123"/>
        <v>-0.6</v>
      </c>
      <c r="F292" s="733">
        <f t="shared" si="123"/>
        <v>0</v>
      </c>
      <c r="G292" s="733">
        <f>G41</f>
        <v>0.25</v>
      </c>
      <c r="I292" s="1335"/>
      <c r="J292" s="733">
        <v>4</v>
      </c>
      <c r="K292" s="733">
        <f>J41</f>
        <v>60</v>
      </c>
      <c r="L292" s="733">
        <f>K41</f>
        <v>-4.2</v>
      </c>
      <c r="M292" s="733">
        <f>L41</f>
        <v>-0.3</v>
      </c>
      <c r="N292" s="733">
        <f>M41</f>
        <v>0</v>
      </c>
      <c r="O292" s="733">
        <f>N41</f>
        <v>1.9500000000000002</v>
      </c>
      <c r="Q292" s="1335"/>
      <c r="R292" s="733">
        <v>4</v>
      </c>
      <c r="S292" s="733">
        <f>Q41</f>
        <v>900</v>
      </c>
      <c r="T292" s="733" t="str">
        <f>R41</f>
        <v>-</v>
      </c>
      <c r="U292" s="733" t="str">
        <f>S41</f>
        <v>-</v>
      </c>
      <c r="V292" s="733">
        <f>T41</f>
        <v>9.9999999999999995E-7</v>
      </c>
      <c r="W292" s="543">
        <f>U41</f>
        <v>0</v>
      </c>
      <c r="Y292" s="549">
        <v>20</v>
      </c>
      <c r="Z292" s="550">
        <f>X214</f>
        <v>0</v>
      </c>
      <c r="AE292" s="500"/>
    </row>
    <row r="293" spans="1:31" hidden="1">
      <c r="A293" s="1335"/>
      <c r="B293" s="733">
        <v>5</v>
      </c>
      <c r="C293" s="733">
        <f>C52</f>
        <v>30</v>
      </c>
      <c r="D293" s="733">
        <f t="shared" ref="D293:F293" si="124">D52</f>
        <v>0.6</v>
      </c>
      <c r="E293" s="733">
        <f t="shared" si="124"/>
        <v>0.1</v>
      </c>
      <c r="F293" s="733">
        <f t="shared" si="124"/>
        <v>0</v>
      </c>
      <c r="G293" s="733">
        <f>G52</f>
        <v>0.25</v>
      </c>
      <c r="I293" s="1335"/>
      <c r="J293" s="733">
        <v>5</v>
      </c>
      <c r="K293" s="733">
        <f>J52</f>
        <v>60</v>
      </c>
      <c r="L293" s="733">
        <f>K52</f>
        <v>-5.2</v>
      </c>
      <c r="M293" s="733">
        <f>L52</f>
        <v>-4.2</v>
      </c>
      <c r="N293" s="733">
        <f>M52</f>
        <v>0</v>
      </c>
      <c r="O293" s="733">
        <f>N52</f>
        <v>0.5</v>
      </c>
      <c r="Q293" s="1335"/>
      <c r="R293" s="733">
        <v>5</v>
      </c>
      <c r="S293" s="733">
        <f>Q52</f>
        <v>900</v>
      </c>
      <c r="T293" s="733" t="str">
        <f>R52</f>
        <v>-</v>
      </c>
      <c r="U293" s="733" t="str">
        <f>S52</f>
        <v>-</v>
      </c>
      <c r="V293" s="733">
        <f>T52</f>
        <v>9.9999999999999995E-7</v>
      </c>
      <c r="W293" s="543">
        <f>U52</f>
        <v>0</v>
      </c>
      <c r="AE293" s="500"/>
    </row>
    <row r="294" spans="1:31" hidden="1">
      <c r="A294" s="1335"/>
      <c r="B294" s="733">
        <v>6</v>
      </c>
      <c r="C294" s="733">
        <f>C63</f>
        <v>30</v>
      </c>
      <c r="D294" s="733">
        <f t="shared" ref="D294:F294" si="125">D63</f>
        <v>0.1</v>
      </c>
      <c r="E294" s="733">
        <f t="shared" si="125"/>
        <v>-0.5</v>
      </c>
      <c r="F294" s="733">
        <f t="shared" si="125"/>
        <v>0</v>
      </c>
      <c r="G294" s="733">
        <f>G63</f>
        <v>0.3</v>
      </c>
      <c r="I294" s="1335"/>
      <c r="J294" s="733">
        <v>6</v>
      </c>
      <c r="K294" s="733">
        <f>J63</f>
        <v>60</v>
      </c>
      <c r="L294" s="733">
        <f>K63</f>
        <v>-6.4</v>
      </c>
      <c r="M294" s="733">
        <f>L63</f>
        <v>1.1000000000000001</v>
      </c>
      <c r="N294" s="733">
        <f>M63</f>
        <v>0</v>
      </c>
      <c r="O294" s="733">
        <f>N63</f>
        <v>3.75</v>
      </c>
      <c r="Q294" s="1335"/>
      <c r="R294" s="733">
        <v>6</v>
      </c>
      <c r="S294" s="733">
        <f>Q63</f>
        <v>900</v>
      </c>
      <c r="T294" s="733">
        <f>R63</f>
        <v>0.9</v>
      </c>
      <c r="U294" s="733">
        <f>S63</f>
        <v>0.7</v>
      </c>
      <c r="V294" s="733">
        <f>T63</f>
        <v>9.9999999999999995E-7</v>
      </c>
      <c r="W294" s="543">
        <f>U63</f>
        <v>0.4499995</v>
      </c>
      <c r="AE294" s="500"/>
    </row>
    <row r="295" spans="1:31" hidden="1">
      <c r="A295" s="1335"/>
      <c r="B295" s="733">
        <v>7</v>
      </c>
      <c r="C295" s="733">
        <f>C74</f>
        <v>30</v>
      </c>
      <c r="D295" s="733">
        <f t="shared" ref="D295:F295" si="126">D74</f>
        <v>9.9999999999999995E-7</v>
      </c>
      <c r="E295" s="733">
        <f t="shared" si="126"/>
        <v>-0.6</v>
      </c>
      <c r="F295" s="733">
        <f t="shared" si="126"/>
        <v>0</v>
      </c>
      <c r="G295" s="733">
        <f>G74</f>
        <v>0.3000005</v>
      </c>
      <c r="I295" s="1335"/>
      <c r="J295" s="733">
        <v>7</v>
      </c>
      <c r="K295" s="733">
        <f>J74</f>
        <v>60</v>
      </c>
      <c r="L295" s="733">
        <f>K74</f>
        <v>-2.1</v>
      </c>
      <c r="M295" s="733">
        <f>L74</f>
        <v>0.7</v>
      </c>
      <c r="N295" s="733">
        <f>M74</f>
        <v>0</v>
      </c>
      <c r="O295" s="733">
        <f>N74</f>
        <v>1.4</v>
      </c>
      <c r="Q295" s="1335"/>
      <c r="R295" s="733">
        <v>7</v>
      </c>
      <c r="S295" s="733">
        <f>Q74</f>
        <v>900</v>
      </c>
      <c r="T295" s="733">
        <f>R74</f>
        <v>9.9999999999999995E-7</v>
      </c>
      <c r="U295" s="733">
        <f>S74</f>
        <v>1</v>
      </c>
      <c r="V295" s="733">
        <f>T74</f>
        <v>9.9999999999999995E-7</v>
      </c>
      <c r="W295" s="543">
        <f>U74</f>
        <v>0.49999949999999999</v>
      </c>
      <c r="AE295" s="500"/>
    </row>
    <row r="296" spans="1:31" hidden="1">
      <c r="A296" s="1335"/>
      <c r="B296" s="733">
        <v>8</v>
      </c>
      <c r="C296" s="733">
        <f>C85</f>
        <v>30</v>
      </c>
      <c r="D296" s="733">
        <f t="shared" ref="D296:F296" si="127">D85</f>
        <v>-0.2</v>
      </c>
      <c r="E296" s="733">
        <f t="shared" si="127"/>
        <v>-0.4</v>
      </c>
      <c r="F296" s="733">
        <f t="shared" si="127"/>
        <v>0</v>
      </c>
      <c r="G296" s="733">
        <f>G85</f>
        <v>0.1</v>
      </c>
      <c r="I296" s="1335"/>
      <c r="J296" s="733">
        <v>8</v>
      </c>
      <c r="K296" s="733">
        <f>J85</f>
        <v>60</v>
      </c>
      <c r="L296" s="733">
        <f>K85</f>
        <v>-3.9</v>
      </c>
      <c r="M296" s="733">
        <f>L85</f>
        <v>-1.1000000000000001</v>
      </c>
      <c r="N296" s="733">
        <f>M85</f>
        <v>0</v>
      </c>
      <c r="O296" s="733">
        <f>N85</f>
        <v>1.4</v>
      </c>
      <c r="Q296" s="1335"/>
      <c r="R296" s="733">
        <v>8</v>
      </c>
      <c r="S296" s="733">
        <f>Q85</f>
        <v>900</v>
      </c>
      <c r="T296" s="733">
        <f>R85</f>
        <v>-4.4000000000000004</v>
      </c>
      <c r="U296" s="733">
        <f>S85</f>
        <v>9.9999999999999995E-7</v>
      </c>
      <c r="V296" s="733">
        <f>T85</f>
        <v>9.9999999999999995E-7</v>
      </c>
      <c r="W296" s="543">
        <f>U85</f>
        <v>2.2000005000000002</v>
      </c>
      <c r="AE296" s="500"/>
    </row>
    <row r="297" spans="1:31" hidden="1">
      <c r="A297" s="1335"/>
      <c r="B297" s="733">
        <v>9</v>
      </c>
      <c r="C297" s="733">
        <f>C96</f>
        <v>30</v>
      </c>
      <c r="D297" s="733">
        <f t="shared" ref="D297:F297" si="128">D96</f>
        <v>-0.5</v>
      </c>
      <c r="E297" s="733" t="str">
        <f t="shared" si="128"/>
        <v>-</v>
      </c>
      <c r="F297" s="733">
        <f t="shared" si="128"/>
        <v>0</v>
      </c>
      <c r="G297" s="733">
        <f>G96</f>
        <v>0</v>
      </c>
      <c r="I297" s="1335"/>
      <c r="J297" s="733">
        <v>9</v>
      </c>
      <c r="K297" s="733">
        <f>J96</f>
        <v>60</v>
      </c>
      <c r="L297" s="733">
        <f>K96</f>
        <v>-0.8</v>
      </c>
      <c r="M297" s="733" t="str">
        <f>L96</f>
        <v>-</v>
      </c>
      <c r="N297" s="733">
        <f>M96</f>
        <v>0</v>
      </c>
      <c r="O297" s="733">
        <f>N96</f>
        <v>0</v>
      </c>
      <c r="Q297" s="1335"/>
      <c r="R297" s="733">
        <v>9</v>
      </c>
      <c r="S297" s="733">
        <f>Q96</f>
        <v>900</v>
      </c>
      <c r="T297" s="733">
        <f>R96</f>
        <v>9.9999999999999995E-7</v>
      </c>
      <c r="U297" s="733" t="str">
        <f>S96</f>
        <v>-</v>
      </c>
      <c r="V297" s="733">
        <f>T96</f>
        <v>9.9999999999999995E-7</v>
      </c>
      <c r="W297" s="543">
        <f>U96</f>
        <v>0</v>
      </c>
      <c r="AE297" s="500"/>
    </row>
    <row r="298" spans="1:31" hidden="1">
      <c r="A298" s="1335"/>
      <c r="B298" s="733">
        <v>10</v>
      </c>
      <c r="C298" s="733">
        <f>C107</f>
        <v>30</v>
      </c>
      <c r="D298" s="733">
        <f t="shared" ref="D298:F298" si="129">D107</f>
        <v>0.1</v>
      </c>
      <c r="E298" s="733">
        <f t="shared" si="129"/>
        <v>0.2</v>
      </c>
      <c r="F298" s="733">
        <f t="shared" si="129"/>
        <v>0</v>
      </c>
      <c r="G298" s="733">
        <f>G107</f>
        <v>0.05</v>
      </c>
      <c r="I298" s="1335"/>
      <c r="J298" s="733">
        <v>10</v>
      </c>
      <c r="K298" s="733">
        <f>J107</f>
        <v>60</v>
      </c>
      <c r="L298" s="733">
        <f>K107</f>
        <v>-2.1</v>
      </c>
      <c r="M298" s="733">
        <f>L107</f>
        <v>-5.6</v>
      </c>
      <c r="N298" s="733">
        <f>M107</f>
        <v>0</v>
      </c>
      <c r="O298" s="733">
        <f>N107</f>
        <v>1.7499999999999998</v>
      </c>
      <c r="Q298" s="1335"/>
      <c r="R298" s="733">
        <v>10</v>
      </c>
      <c r="S298" s="733">
        <f>Q107</f>
        <v>900</v>
      </c>
      <c r="T298" s="733" t="str">
        <f>R107</f>
        <v>-</v>
      </c>
      <c r="U298" s="733" t="str">
        <f>S107</f>
        <v>-</v>
      </c>
      <c r="V298" s="733">
        <f>T107</f>
        <v>9.9999999999999995E-7</v>
      </c>
      <c r="W298" s="543">
        <f>U107</f>
        <v>0</v>
      </c>
      <c r="AE298" s="500"/>
    </row>
    <row r="299" spans="1:31" hidden="1">
      <c r="A299" s="1335"/>
      <c r="B299" s="733">
        <v>11</v>
      </c>
      <c r="C299" s="733">
        <f>C118</f>
        <v>30</v>
      </c>
      <c r="D299" s="733">
        <f t="shared" ref="D299:F299" si="130">D118</f>
        <v>0.5</v>
      </c>
      <c r="E299" s="733">
        <f t="shared" si="130"/>
        <v>0.4</v>
      </c>
      <c r="F299" s="733">
        <f t="shared" si="130"/>
        <v>0</v>
      </c>
      <c r="G299" s="733">
        <f>G118</f>
        <v>4.9999999999999989E-2</v>
      </c>
      <c r="I299" s="1335"/>
      <c r="J299" s="733">
        <v>11</v>
      </c>
      <c r="K299" s="733">
        <f>J118</f>
        <v>60</v>
      </c>
      <c r="L299" s="733">
        <f>K118</f>
        <v>-4.8</v>
      </c>
      <c r="M299" s="733">
        <f>L118</f>
        <v>-4.5</v>
      </c>
      <c r="N299" s="733">
        <f>M118</f>
        <v>0</v>
      </c>
      <c r="O299" s="733">
        <f>N118</f>
        <v>0.14999999999999991</v>
      </c>
      <c r="Q299" s="1335"/>
      <c r="R299" s="733">
        <v>11</v>
      </c>
      <c r="S299" s="733">
        <f>Q118</f>
        <v>900</v>
      </c>
      <c r="T299" s="733" t="str">
        <f>R118</f>
        <v>-</v>
      </c>
      <c r="U299" s="733" t="str">
        <f>S118</f>
        <v>-</v>
      </c>
      <c r="V299" s="733">
        <f>T118</f>
        <v>9.9999999999999995E-7</v>
      </c>
      <c r="W299" s="543">
        <f>U118</f>
        <v>0</v>
      </c>
      <c r="AE299" s="500"/>
    </row>
    <row r="300" spans="1:31" hidden="1">
      <c r="A300" s="1335"/>
      <c r="B300" s="733">
        <v>12</v>
      </c>
      <c r="C300" s="733">
        <f>C129</f>
        <v>30</v>
      </c>
      <c r="D300" s="733">
        <f t="shared" ref="D300:F300" si="131">D129</f>
        <v>-0.1</v>
      </c>
      <c r="E300" s="733" t="str">
        <f t="shared" si="131"/>
        <v>-</v>
      </c>
      <c r="F300" s="733">
        <f t="shared" si="131"/>
        <v>0</v>
      </c>
      <c r="G300" s="733">
        <f>G129</f>
        <v>0</v>
      </c>
      <c r="I300" s="1335"/>
      <c r="J300" s="733">
        <v>12</v>
      </c>
      <c r="K300" s="733">
        <f>J129</f>
        <v>60</v>
      </c>
      <c r="L300" s="733">
        <f>K129</f>
        <v>9.9999999999999995E-7</v>
      </c>
      <c r="M300" s="733" t="str">
        <f>L129</f>
        <v>-</v>
      </c>
      <c r="N300" s="733">
        <f>M129</f>
        <v>0</v>
      </c>
      <c r="O300" s="733">
        <f>N129</f>
        <v>0</v>
      </c>
      <c r="Q300" s="1335"/>
      <c r="R300" s="733">
        <v>12</v>
      </c>
      <c r="S300" s="733">
        <f>Q129</f>
        <v>950</v>
      </c>
      <c r="T300" s="733">
        <f>R129</f>
        <v>-0.7</v>
      </c>
      <c r="U300" s="733" t="str">
        <f>S129</f>
        <v>-</v>
      </c>
      <c r="V300" s="733">
        <f>T129</f>
        <v>0</v>
      </c>
      <c r="W300" s="543">
        <f>U129</f>
        <v>0</v>
      </c>
      <c r="AE300" s="500"/>
    </row>
    <row r="301" spans="1:31" hidden="1">
      <c r="A301" s="1335"/>
      <c r="B301" s="733">
        <v>13</v>
      </c>
      <c r="C301" s="733">
        <f>C151</f>
        <v>30</v>
      </c>
      <c r="D301" s="733">
        <f t="shared" ref="D301:F301" si="132">D151</f>
        <v>-0.4</v>
      </c>
      <c r="E301" s="733">
        <f t="shared" si="132"/>
        <v>-0.3</v>
      </c>
      <c r="F301" s="733">
        <f t="shared" si="132"/>
        <v>0</v>
      </c>
      <c r="G301" s="733">
        <f>G151</f>
        <v>5.0000000000000017E-2</v>
      </c>
      <c r="I301" s="1335"/>
      <c r="J301" s="733">
        <v>13</v>
      </c>
      <c r="K301" s="733">
        <f>J140</f>
        <v>60</v>
      </c>
      <c r="L301" s="733">
        <f>K140</f>
        <v>-1.6</v>
      </c>
      <c r="M301" s="733">
        <f>L140</f>
        <v>-1.5</v>
      </c>
      <c r="N301" s="733">
        <f>M140</f>
        <v>0</v>
      </c>
      <c r="O301" s="733">
        <f>N140</f>
        <v>5.0000000000000044E-2</v>
      </c>
      <c r="Q301" s="1335"/>
      <c r="R301" s="733">
        <v>13</v>
      </c>
      <c r="S301" s="733">
        <f>Q140</f>
        <v>1000</v>
      </c>
      <c r="T301" s="733">
        <f>R140</f>
        <v>3.7</v>
      </c>
      <c r="U301" s="733">
        <f>S140</f>
        <v>1.1000000000000001</v>
      </c>
      <c r="V301" s="733">
        <f>T140</f>
        <v>0</v>
      </c>
      <c r="W301" s="543">
        <f>U140</f>
        <v>1.3</v>
      </c>
      <c r="AE301" s="500"/>
    </row>
    <row r="302" spans="1:31" hidden="1">
      <c r="A302" s="1335"/>
      <c r="B302" s="733">
        <v>14</v>
      </c>
      <c r="C302" s="733">
        <f>C151</f>
        <v>30</v>
      </c>
      <c r="D302" s="733">
        <f t="shared" ref="D302:F302" si="133">D151</f>
        <v>-0.4</v>
      </c>
      <c r="E302" s="733">
        <f t="shared" si="133"/>
        <v>-0.3</v>
      </c>
      <c r="F302" s="733">
        <f t="shared" si="133"/>
        <v>0</v>
      </c>
      <c r="G302" s="733">
        <f>G151</f>
        <v>5.0000000000000017E-2</v>
      </c>
      <c r="I302" s="1335"/>
      <c r="J302" s="733">
        <v>14</v>
      </c>
      <c r="K302" s="733">
        <f>J151</f>
        <v>60</v>
      </c>
      <c r="L302" s="733">
        <f>K151</f>
        <v>0.3</v>
      </c>
      <c r="M302" s="733">
        <f>L151</f>
        <v>-0.6</v>
      </c>
      <c r="N302" s="733">
        <f>M151</f>
        <v>0</v>
      </c>
      <c r="O302" s="733">
        <f>N151</f>
        <v>0.44999999999999996</v>
      </c>
      <c r="Q302" s="1335"/>
      <c r="R302" s="733">
        <v>14</v>
      </c>
      <c r="S302" s="733">
        <f>Q151</f>
        <v>1000</v>
      </c>
      <c r="T302" s="733">
        <f>R151</f>
        <v>3.8</v>
      </c>
      <c r="U302" s="733">
        <f>S151</f>
        <v>1.1000000000000001</v>
      </c>
      <c r="V302" s="733">
        <f>T151</f>
        <v>0</v>
      </c>
      <c r="W302" s="543">
        <f>U151</f>
        <v>1.3499999999999999</v>
      </c>
      <c r="AE302" s="500"/>
    </row>
    <row r="303" spans="1:31" hidden="1">
      <c r="A303" s="1335"/>
      <c r="B303" s="733">
        <v>15</v>
      </c>
      <c r="C303" s="733">
        <f>C162</f>
        <v>30</v>
      </c>
      <c r="D303" s="733">
        <f t="shared" ref="D303:F303" si="134">D162</f>
        <v>0.4</v>
      </c>
      <c r="E303" s="733">
        <f t="shared" si="134"/>
        <v>-0.2</v>
      </c>
      <c r="F303" s="733">
        <f t="shared" si="134"/>
        <v>0</v>
      </c>
      <c r="G303" s="733">
        <f>G162</f>
        <v>0.30000000000000004</v>
      </c>
      <c r="I303" s="1335"/>
      <c r="J303" s="733">
        <v>15</v>
      </c>
      <c r="K303" s="733">
        <f>J162</f>
        <v>60</v>
      </c>
      <c r="L303" s="733">
        <f>K162</f>
        <v>-1.1000000000000001</v>
      </c>
      <c r="M303" s="733">
        <f>L162</f>
        <v>-0.5</v>
      </c>
      <c r="N303" s="733">
        <f>M162</f>
        <v>0</v>
      </c>
      <c r="O303" s="733">
        <f>N162</f>
        <v>0.30000000000000004</v>
      </c>
      <c r="Q303" s="1335"/>
      <c r="R303" s="733">
        <v>15</v>
      </c>
      <c r="S303" s="733">
        <f>Q162</f>
        <v>1000</v>
      </c>
      <c r="T303" s="733">
        <f>R162</f>
        <v>4.0999999999999996</v>
      </c>
      <c r="U303" s="733">
        <f>S162</f>
        <v>1.1000000000000001</v>
      </c>
      <c r="V303" s="733">
        <f>T162</f>
        <v>0</v>
      </c>
      <c r="W303" s="543">
        <f>U162</f>
        <v>1.4999999999999998</v>
      </c>
      <c r="AE303" s="500"/>
    </row>
    <row r="304" spans="1:31" hidden="1">
      <c r="A304" s="1335"/>
      <c r="B304" s="733">
        <v>16</v>
      </c>
      <c r="C304" s="733">
        <f>C173</f>
        <v>30</v>
      </c>
      <c r="D304" s="733">
        <f t="shared" ref="D304:F304" si="135">D173</f>
        <v>0.2</v>
      </c>
      <c r="E304" s="733" t="str">
        <f t="shared" si="135"/>
        <v>-</v>
      </c>
      <c r="F304" s="733">
        <f t="shared" si="135"/>
        <v>0</v>
      </c>
      <c r="G304" s="733">
        <f>G173</f>
        <v>0</v>
      </c>
      <c r="I304" s="1335"/>
      <c r="J304" s="733">
        <v>16</v>
      </c>
      <c r="K304" s="733">
        <f>J173</f>
        <v>60</v>
      </c>
      <c r="L304" s="733">
        <f>K173</f>
        <v>-1.5</v>
      </c>
      <c r="M304" s="733" t="str">
        <f>L173</f>
        <v>-</v>
      </c>
      <c r="N304" s="733">
        <f>M173</f>
        <v>0</v>
      </c>
      <c r="O304" s="733">
        <f>N173</f>
        <v>0</v>
      </c>
      <c r="Q304" s="1335"/>
      <c r="R304" s="733">
        <v>16</v>
      </c>
      <c r="S304" s="733">
        <f>Q173</f>
        <v>950</v>
      </c>
      <c r="T304" s="733">
        <f>R173</f>
        <v>-1.1000000000000001</v>
      </c>
      <c r="U304" s="733" t="str">
        <f>S173</f>
        <v>-</v>
      </c>
      <c r="V304" s="733">
        <f>T173</f>
        <v>0</v>
      </c>
      <c r="W304" s="543">
        <f>U173</f>
        <v>0</v>
      </c>
      <c r="AE304" s="500"/>
    </row>
    <row r="305" spans="1:31" hidden="1">
      <c r="A305" s="1335"/>
      <c r="B305" s="733">
        <v>17</v>
      </c>
      <c r="C305" s="733">
        <f>C184</f>
        <v>30</v>
      </c>
      <c r="D305" s="733">
        <f t="shared" ref="D305:F305" si="136">D184</f>
        <v>-0.2</v>
      </c>
      <c r="E305" s="733" t="str">
        <f t="shared" si="136"/>
        <v>-</v>
      </c>
      <c r="F305" s="733">
        <f t="shared" si="136"/>
        <v>0</v>
      </c>
      <c r="G305" s="733">
        <f>G184</f>
        <v>0</v>
      </c>
      <c r="I305" s="1335"/>
      <c r="J305" s="733">
        <v>17</v>
      </c>
      <c r="K305" s="733">
        <f>J184</f>
        <v>60</v>
      </c>
      <c r="L305" s="733">
        <f>K184</f>
        <v>9.9999999999999995E-7</v>
      </c>
      <c r="M305" s="733" t="str">
        <f>L184</f>
        <v>-</v>
      </c>
      <c r="N305" s="733">
        <f>M184</f>
        <v>0</v>
      </c>
      <c r="O305" s="733">
        <f>N184</f>
        <v>0</v>
      </c>
      <c r="Q305" s="1335"/>
      <c r="R305" s="733">
        <v>17</v>
      </c>
      <c r="S305" s="733">
        <f>Q184</f>
        <v>990</v>
      </c>
      <c r="T305" s="733">
        <f>R184</f>
        <v>-0.6</v>
      </c>
      <c r="U305" s="733" t="str">
        <f>S184</f>
        <v>-</v>
      </c>
      <c r="V305" s="733">
        <f>T184</f>
        <v>0</v>
      </c>
      <c r="W305" s="543">
        <f>U184</f>
        <v>0</v>
      </c>
      <c r="AE305" s="500"/>
    </row>
    <row r="306" spans="1:31" hidden="1">
      <c r="A306" s="1335"/>
      <c r="B306" s="733">
        <v>18</v>
      </c>
      <c r="C306" s="733">
        <f>C195</f>
        <v>30</v>
      </c>
      <c r="D306" s="733">
        <f t="shared" ref="D306:F306" si="137">D195</f>
        <v>-0.2</v>
      </c>
      <c r="E306" s="733" t="str">
        <f t="shared" si="137"/>
        <v>-</v>
      </c>
      <c r="F306" s="733">
        <f t="shared" si="137"/>
        <v>0</v>
      </c>
      <c r="G306" s="733">
        <f>G195</f>
        <v>0</v>
      </c>
      <c r="I306" s="1335"/>
      <c r="J306" s="733">
        <v>18</v>
      </c>
      <c r="K306" s="733">
        <f>J195</f>
        <v>60</v>
      </c>
      <c r="L306" s="733">
        <f>K195</f>
        <v>-0.2</v>
      </c>
      <c r="M306" s="733" t="str">
        <f>L195</f>
        <v>-</v>
      </c>
      <c r="N306" s="733">
        <f>M195</f>
        <v>0</v>
      </c>
      <c r="O306" s="733">
        <f>N195</f>
        <v>0</v>
      </c>
      <c r="Q306" s="1335"/>
      <c r="R306" s="733">
        <v>18</v>
      </c>
      <c r="S306" s="733">
        <f>Q195</f>
        <v>950</v>
      </c>
      <c r="T306" s="733">
        <f>R195</f>
        <v>-0.9</v>
      </c>
      <c r="U306" s="733" t="str">
        <f>S195</f>
        <v>-</v>
      </c>
      <c r="V306" s="733">
        <f>T195</f>
        <v>0</v>
      </c>
      <c r="W306" s="543">
        <f>U195</f>
        <v>0</v>
      </c>
      <c r="AE306" s="500"/>
    </row>
    <row r="307" spans="1:31" hidden="1">
      <c r="A307" s="1335"/>
      <c r="B307" s="733">
        <v>19</v>
      </c>
      <c r="C307" s="733">
        <f>C206</f>
        <v>30</v>
      </c>
      <c r="D307" s="733">
        <f t="shared" ref="D307:F307" si="138">D206</f>
        <v>-0.1</v>
      </c>
      <c r="E307" s="733" t="str">
        <f t="shared" si="138"/>
        <v>-</v>
      </c>
      <c r="F307" s="733">
        <f t="shared" si="138"/>
        <v>0</v>
      </c>
      <c r="G307" s="733">
        <f>G206</f>
        <v>0</v>
      </c>
      <c r="I307" s="1335"/>
      <c r="J307" s="733">
        <v>19</v>
      </c>
      <c r="K307" s="733">
        <f>J206</f>
        <v>60</v>
      </c>
      <c r="L307" s="733">
        <f>K206</f>
        <v>0.4</v>
      </c>
      <c r="M307" s="733" t="str">
        <f>L206</f>
        <v>-</v>
      </c>
      <c r="N307" s="733">
        <f>M206</f>
        <v>0</v>
      </c>
      <c r="O307" s="733">
        <f>N206</f>
        <v>0</v>
      </c>
      <c r="Q307" s="1335"/>
      <c r="R307" s="733">
        <v>19</v>
      </c>
      <c r="S307" s="733">
        <f>Q206</f>
        <v>900</v>
      </c>
      <c r="T307" s="733">
        <f>R206</f>
        <v>2.2999999999999998</v>
      </c>
      <c r="U307" s="733" t="str">
        <f>S206</f>
        <v>-</v>
      </c>
      <c r="V307" s="733">
        <f>T206</f>
        <v>0</v>
      </c>
      <c r="W307" s="543">
        <f>U206</f>
        <v>0</v>
      </c>
      <c r="AE307" s="500"/>
    </row>
    <row r="308" spans="1:31" ht="13.8" hidden="1" thickBot="1">
      <c r="A308" s="1335"/>
      <c r="B308" s="733">
        <v>20</v>
      </c>
      <c r="C308" s="733">
        <f>C217</f>
        <v>29.5</v>
      </c>
      <c r="D308" s="733">
        <f t="shared" ref="D308:F308" si="139">D217</f>
        <v>9.9999999999999995E-7</v>
      </c>
      <c r="E308" s="733" t="str">
        <f t="shared" si="139"/>
        <v>-</v>
      </c>
      <c r="F308" s="733">
        <f t="shared" si="139"/>
        <v>9.9999999999999995E-7</v>
      </c>
      <c r="G308" s="733">
        <f>G217</f>
        <v>0</v>
      </c>
      <c r="I308" s="1335"/>
      <c r="J308" s="733">
        <v>20</v>
      </c>
      <c r="K308" s="733">
        <f>J217</f>
        <v>71.5</v>
      </c>
      <c r="L308" s="733">
        <f>K217</f>
        <v>9.9999999999999995E-7</v>
      </c>
      <c r="M308" s="733" t="str">
        <f>L217</f>
        <v>-</v>
      </c>
      <c r="N308" s="733">
        <f>M217</f>
        <v>0</v>
      </c>
      <c r="O308" s="733">
        <f>N217</f>
        <v>0</v>
      </c>
      <c r="Q308" s="1337"/>
      <c r="R308" s="735">
        <v>20</v>
      </c>
      <c r="S308" s="735">
        <f>Q217</f>
        <v>900</v>
      </c>
      <c r="T308" s="735">
        <f>R217</f>
        <v>9.9999999999999995E-7</v>
      </c>
      <c r="U308" s="735" t="str">
        <f>S217</f>
        <v>-</v>
      </c>
      <c r="V308" s="735">
        <f>T217</f>
        <v>9.9999999999999995E-7</v>
      </c>
      <c r="W308" s="560">
        <f>U217</f>
        <v>0</v>
      </c>
      <c r="AE308" s="553"/>
    </row>
    <row r="309" spans="1:31" hidden="1">
      <c r="A309" s="506"/>
      <c r="B309" s="506"/>
      <c r="C309" s="506"/>
      <c r="D309" s="506"/>
      <c r="E309" s="506"/>
      <c r="F309" s="494"/>
      <c r="G309" s="506"/>
      <c r="I309" s="506"/>
      <c r="J309" s="506"/>
      <c r="K309" s="506"/>
      <c r="L309" s="506"/>
      <c r="M309" s="506"/>
      <c r="N309" s="494"/>
      <c r="O309" s="506"/>
      <c r="Q309" s="503"/>
      <c r="R309" s="507"/>
      <c r="S309" s="439"/>
      <c r="T309" s="439"/>
      <c r="U309" s="439"/>
      <c r="W309" s="440"/>
      <c r="AE309" s="500"/>
    </row>
    <row r="310" spans="1:31" hidden="1">
      <c r="A310" s="1335">
        <v>5</v>
      </c>
      <c r="B310" s="733">
        <v>1</v>
      </c>
      <c r="C310" s="733">
        <f>C9</f>
        <v>35</v>
      </c>
      <c r="D310" s="733">
        <f t="shared" ref="D310:F310" si="140">D9</f>
        <v>-0.1</v>
      </c>
      <c r="E310" s="733">
        <f t="shared" si="140"/>
        <v>-0.5</v>
      </c>
      <c r="F310" s="733">
        <f t="shared" si="140"/>
        <v>9.9999999999999995E-7</v>
      </c>
      <c r="G310" s="733">
        <f>G9</f>
        <v>0.25000050000000001</v>
      </c>
      <c r="I310" s="1335">
        <v>5</v>
      </c>
      <c r="J310" s="733">
        <v>1</v>
      </c>
      <c r="K310" s="733">
        <f>J20</f>
        <v>70</v>
      </c>
      <c r="L310" s="733">
        <f>K20</f>
        <v>-2.4</v>
      </c>
      <c r="M310" s="733">
        <f>L20</f>
        <v>-1.1000000000000001</v>
      </c>
      <c r="N310" s="733">
        <f>M20</f>
        <v>0</v>
      </c>
      <c r="O310" s="733">
        <f>N20</f>
        <v>0.64999999999999991</v>
      </c>
      <c r="Q310" s="1336">
        <v>5</v>
      </c>
      <c r="R310" s="734">
        <v>1</v>
      </c>
      <c r="S310" s="734">
        <f>Q9</f>
        <v>1000</v>
      </c>
      <c r="T310" s="734" t="str">
        <f>R9</f>
        <v>-</v>
      </c>
      <c r="U310" s="734" t="str">
        <f>S9</f>
        <v>-</v>
      </c>
      <c r="V310" s="734">
        <f>T9</f>
        <v>9.9999999999999995E-7</v>
      </c>
      <c r="W310" s="561">
        <f>U9</f>
        <v>0</v>
      </c>
      <c r="AE310" s="558"/>
    </row>
    <row r="311" spans="1:31" hidden="1">
      <c r="A311" s="1335"/>
      <c r="B311" s="733">
        <v>2</v>
      </c>
      <c r="C311" s="733">
        <f>C20</f>
        <v>35</v>
      </c>
      <c r="D311" s="733">
        <f t="shared" ref="D311:F311" si="141">D20</f>
        <v>-0.1</v>
      </c>
      <c r="E311" s="733">
        <f t="shared" si="141"/>
        <v>-0.3</v>
      </c>
      <c r="F311" s="733">
        <f t="shared" si="141"/>
        <v>0</v>
      </c>
      <c r="G311" s="733">
        <f>G20</f>
        <v>9.9999999999999992E-2</v>
      </c>
      <c r="I311" s="1335"/>
      <c r="J311" s="733">
        <v>2</v>
      </c>
      <c r="K311" s="733">
        <f>J20</f>
        <v>70</v>
      </c>
      <c r="L311" s="733">
        <f>K20</f>
        <v>-2.4</v>
      </c>
      <c r="M311" s="733">
        <f>L20</f>
        <v>-1.1000000000000001</v>
      </c>
      <c r="N311" s="733">
        <f>M20</f>
        <v>0</v>
      </c>
      <c r="O311" s="733">
        <f>N20</f>
        <v>0.64999999999999991</v>
      </c>
      <c r="Q311" s="1335"/>
      <c r="R311" s="733">
        <v>2</v>
      </c>
      <c r="S311" s="733">
        <f>Q20</f>
        <v>1000</v>
      </c>
      <c r="T311" s="733" t="str">
        <f>R20</f>
        <v>-</v>
      </c>
      <c r="U311" s="733" t="str">
        <f>S20</f>
        <v>-</v>
      </c>
      <c r="V311" s="733">
        <f>T20</f>
        <v>9.9999999999999995E-7</v>
      </c>
      <c r="W311" s="543">
        <f>U20</f>
        <v>0</v>
      </c>
      <c r="AE311" s="500"/>
    </row>
    <row r="312" spans="1:31" hidden="1">
      <c r="A312" s="1335"/>
      <c r="B312" s="733">
        <v>3</v>
      </c>
      <c r="C312" s="733">
        <f>C31</f>
        <v>35</v>
      </c>
      <c r="D312" s="733">
        <f t="shared" ref="D312:F312" si="142">D31</f>
        <v>-0.3</v>
      </c>
      <c r="E312" s="733">
        <f t="shared" si="142"/>
        <v>-0.5</v>
      </c>
      <c r="F312" s="733">
        <f t="shared" si="142"/>
        <v>0</v>
      </c>
      <c r="G312" s="733">
        <f>G31</f>
        <v>0.1</v>
      </c>
      <c r="I312" s="1335"/>
      <c r="J312" s="733">
        <v>3</v>
      </c>
      <c r="K312" s="733">
        <f>J31</f>
        <v>70</v>
      </c>
      <c r="L312" s="733">
        <f>K31</f>
        <v>-2</v>
      </c>
      <c r="M312" s="733">
        <f>L31</f>
        <v>-3.6</v>
      </c>
      <c r="N312" s="733">
        <f>M31</f>
        <v>0</v>
      </c>
      <c r="O312" s="733">
        <f>N31</f>
        <v>0.8</v>
      </c>
      <c r="Q312" s="1335"/>
      <c r="R312" s="733">
        <v>3</v>
      </c>
      <c r="S312" s="733">
        <f>Q31</f>
        <v>1000</v>
      </c>
      <c r="T312" s="733" t="str">
        <f>R31</f>
        <v>-</v>
      </c>
      <c r="U312" s="733" t="str">
        <f>S31</f>
        <v>-</v>
      </c>
      <c r="V312" s="733">
        <f>T31</f>
        <v>9.9999999999999995E-7</v>
      </c>
      <c r="W312" s="543">
        <f>U31</f>
        <v>4.9999999999999998E-7</v>
      </c>
      <c r="AE312" s="500"/>
    </row>
    <row r="313" spans="1:31" hidden="1">
      <c r="A313" s="1335"/>
      <c r="B313" s="733">
        <v>4</v>
      </c>
      <c r="C313" s="733">
        <f>C42</f>
        <v>35</v>
      </c>
      <c r="D313" s="733">
        <f t="shared" ref="D313:F313" si="143">D42</f>
        <v>-0.3</v>
      </c>
      <c r="E313" s="733">
        <f t="shared" si="143"/>
        <v>-0.6</v>
      </c>
      <c r="F313" s="733">
        <f t="shared" si="143"/>
        <v>0</v>
      </c>
      <c r="G313" s="733">
        <f>G42</f>
        <v>0.15</v>
      </c>
      <c r="I313" s="1335"/>
      <c r="J313" s="733">
        <v>4</v>
      </c>
      <c r="K313" s="733">
        <f>J42</f>
        <v>70</v>
      </c>
      <c r="L313" s="733">
        <f>K42</f>
        <v>-4</v>
      </c>
      <c r="M313" s="733">
        <f>L42</f>
        <v>0.7</v>
      </c>
      <c r="N313" s="733">
        <f>M42</f>
        <v>0</v>
      </c>
      <c r="O313" s="733">
        <f>N42</f>
        <v>2.35</v>
      </c>
      <c r="Q313" s="1335"/>
      <c r="R313" s="733">
        <v>4</v>
      </c>
      <c r="S313" s="733">
        <f>Q42</f>
        <v>1000</v>
      </c>
      <c r="T313" s="733" t="str">
        <f>R42</f>
        <v>-</v>
      </c>
      <c r="U313" s="733" t="str">
        <f>S42</f>
        <v>-</v>
      </c>
      <c r="V313" s="733">
        <f>T42</f>
        <v>9.9999999999999995E-7</v>
      </c>
      <c r="W313" s="543">
        <f>U42</f>
        <v>0</v>
      </c>
      <c r="AE313" s="500"/>
    </row>
    <row r="314" spans="1:31" hidden="1">
      <c r="A314" s="1335"/>
      <c r="B314" s="733">
        <v>5</v>
      </c>
      <c r="C314" s="733">
        <f>C53</f>
        <v>35</v>
      </c>
      <c r="D314" s="733">
        <f t="shared" ref="D314:F314" si="144">D53</f>
        <v>0.7</v>
      </c>
      <c r="E314" s="733">
        <f t="shared" si="144"/>
        <v>9.9999999999999995E-7</v>
      </c>
      <c r="F314" s="733">
        <f t="shared" si="144"/>
        <v>0</v>
      </c>
      <c r="G314" s="733">
        <f>G53</f>
        <v>0.34999949999999996</v>
      </c>
      <c r="I314" s="1335"/>
      <c r="J314" s="733">
        <v>5</v>
      </c>
      <c r="K314" s="733">
        <f>J53</f>
        <v>70</v>
      </c>
      <c r="L314" s="733">
        <f>K53</f>
        <v>-4.0999999999999996</v>
      </c>
      <c r="M314" s="733">
        <f>L53</f>
        <v>-2.1</v>
      </c>
      <c r="N314" s="733">
        <f>M53</f>
        <v>0</v>
      </c>
      <c r="O314" s="733">
        <f>N53</f>
        <v>0.99999999999999978</v>
      </c>
      <c r="Q314" s="1335"/>
      <c r="R314" s="733">
        <v>5</v>
      </c>
      <c r="S314" s="733">
        <f>Q53</f>
        <v>1000</v>
      </c>
      <c r="T314" s="733" t="str">
        <f>R53</f>
        <v>-</v>
      </c>
      <c r="U314" s="733" t="str">
        <f>S53</f>
        <v>-</v>
      </c>
      <c r="V314" s="733">
        <f>T53</f>
        <v>9.9999999999999995E-7</v>
      </c>
      <c r="W314" s="543">
        <f>U53</f>
        <v>0</v>
      </c>
      <c r="AE314" s="500"/>
    </row>
    <row r="315" spans="1:31" hidden="1">
      <c r="A315" s="1335"/>
      <c r="B315" s="733">
        <v>6</v>
      </c>
      <c r="C315" s="733">
        <f>C64</f>
        <v>35</v>
      </c>
      <c r="D315" s="733">
        <f t="shared" ref="D315:F315" si="145">D64</f>
        <v>0.1</v>
      </c>
      <c r="E315" s="733">
        <f t="shared" si="145"/>
        <v>-0.9</v>
      </c>
      <c r="F315" s="733">
        <f t="shared" si="145"/>
        <v>0</v>
      </c>
      <c r="G315" s="733">
        <f>G64</f>
        <v>0.5</v>
      </c>
      <c r="I315" s="1335"/>
      <c r="J315" s="733">
        <v>6</v>
      </c>
      <c r="K315" s="733">
        <f>J64</f>
        <v>70</v>
      </c>
      <c r="L315" s="733">
        <f>K64</f>
        <v>-6.7</v>
      </c>
      <c r="M315" s="733">
        <f>L64</f>
        <v>0.9</v>
      </c>
      <c r="N315" s="733">
        <f>M64</f>
        <v>0</v>
      </c>
      <c r="O315" s="733">
        <f>N64</f>
        <v>3.8000000000000003</v>
      </c>
      <c r="Q315" s="1335"/>
      <c r="R315" s="733">
        <v>6</v>
      </c>
      <c r="S315" s="733">
        <f>Q64</f>
        <v>1000</v>
      </c>
      <c r="T315" s="733">
        <f>R64</f>
        <v>0.9</v>
      </c>
      <c r="U315" s="733">
        <f>S64</f>
        <v>-0.3</v>
      </c>
      <c r="V315" s="733">
        <f>T64</f>
        <v>9.9999999999999995E-7</v>
      </c>
      <c r="W315" s="543">
        <f>U64</f>
        <v>0.6</v>
      </c>
      <c r="AE315" s="500"/>
    </row>
    <row r="316" spans="1:31" hidden="1">
      <c r="A316" s="1335"/>
      <c r="B316" s="733">
        <v>7</v>
      </c>
      <c r="C316" s="733">
        <f>C75</f>
        <v>35</v>
      </c>
      <c r="D316" s="733">
        <f t="shared" ref="D316:F316" si="146">D75</f>
        <v>9.9999999999999995E-7</v>
      </c>
      <c r="E316" s="733">
        <f t="shared" si="146"/>
        <v>-1.1000000000000001</v>
      </c>
      <c r="F316" s="733">
        <f t="shared" si="146"/>
        <v>0</v>
      </c>
      <c r="G316" s="733">
        <f>G75</f>
        <v>0.5500005</v>
      </c>
      <c r="I316" s="1335"/>
      <c r="J316" s="733">
        <v>7</v>
      </c>
      <c r="K316" s="733">
        <f>J75</f>
        <v>70</v>
      </c>
      <c r="L316" s="733">
        <f>K75</f>
        <v>-2.2999999999999998</v>
      </c>
      <c r="M316" s="733">
        <f>L75</f>
        <v>0.9</v>
      </c>
      <c r="N316" s="733">
        <f>M75</f>
        <v>0</v>
      </c>
      <c r="O316" s="733">
        <f>N75</f>
        <v>1.5999999999999999</v>
      </c>
      <c r="Q316" s="1335"/>
      <c r="R316" s="733">
        <v>7</v>
      </c>
      <c r="S316" s="733">
        <f>Q75</f>
        <v>1000</v>
      </c>
      <c r="T316" s="733">
        <f>R75</f>
        <v>-3.9</v>
      </c>
      <c r="U316" s="733">
        <f>S75</f>
        <v>-0.4</v>
      </c>
      <c r="V316" s="733">
        <f>T75</f>
        <v>9.9999999999999995E-7</v>
      </c>
      <c r="W316" s="543">
        <f>U75</f>
        <v>1.9500005</v>
      </c>
      <c r="AE316" s="500"/>
    </row>
    <row r="317" spans="1:31" hidden="1">
      <c r="A317" s="1335"/>
      <c r="B317" s="733">
        <v>8</v>
      </c>
      <c r="C317" s="733">
        <f>C86</f>
        <v>35</v>
      </c>
      <c r="D317" s="733">
        <f t="shared" ref="D317:F317" si="147">D86</f>
        <v>-0.1</v>
      </c>
      <c r="E317" s="733">
        <f t="shared" si="147"/>
        <v>-0.5</v>
      </c>
      <c r="F317" s="733">
        <f t="shared" si="147"/>
        <v>0</v>
      </c>
      <c r="G317" s="733">
        <f>G86</f>
        <v>0.2</v>
      </c>
      <c r="I317" s="1335"/>
      <c r="J317" s="733">
        <v>8</v>
      </c>
      <c r="K317" s="733">
        <f>J86</f>
        <v>70</v>
      </c>
      <c r="L317" s="733">
        <f>K86</f>
        <v>-4.0999999999999996</v>
      </c>
      <c r="M317" s="733">
        <f>L86</f>
        <v>-1.2</v>
      </c>
      <c r="N317" s="733">
        <f>M86</f>
        <v>0</v>
      </c>
      <c r="O317" s="733">
        <f>N86</f>
        <v>1.4499999999999997</v>
      </c>
      <c r="Q317" s="1335"/>
      <c r="R317" s="733">
        <v>8</v>
      </c>
      <c r="S317" s="733">
        <f>Q86</f>
        <v>1000</v>
      </c>
      <c r="T317" s="733">
        <f>R86</f>
        <v>-3.5</v>
      </c>
      <c r="U317" s="733">
        <f>S86</f>
        <v>0.2</v>
      </c>
      <c r="V317" s="733">
        <f>T86</f>
        <v>9.9999999999999995E-7</v>
      </c>
      <c r="W317" s="543">
        <f>U86</f>
        <v>1.85</v>
      </c>
      <c r="AE317" s="500"/>
    </row>
    <row r="318" spans="1:31" hidden="1">
      <c r="A318" s="1335"/>
      <c r="B318" s="733">
        <v>9</v>
      </c>
      <c r="C318" s="733">
        <f>C97</f>
        <v>35</v>
      </c>
      <c r="D318" s="733">
        <f t="shared" ref="D318:F318" si="148">D97</f>
        <v>-0.5</v>
      </c>
      <c r="E318" s="733" t="str">
        <f t="shared" si="148"/>
        <v>-</v>
      </c>
      <c r="F318" s="733">
        <f t="shared" si="148"/>
        <v>0</v>
      </c>
      <c r="G318" s="733">
        <f>G97</f>
        <v>0</v>
      </c>
      <c r="I318" s="1335"/>
      <c r="J318" s="733">
        <v>9</v>
      </c>
      <c r="K318" s="733">
        <f>J97</f>
        <v>70</v>
      </c>
      <c r="L318" s="733">
        <f>K97</f>
        <v>-0.6</v>
      </c>
      <c r="M318" s="733" t="str">
        <f>L97</f>
        <v>-</v>
      </c>
      <c r="N318" s="733">
        <f>M97</f>
        <v>0</v>
      </c>
      <c r="O318" s="733">
        <f>N97</f>
        <v>0</v>
      </c>
      <c r="Q318" s="1335"/>
      <c r="R318" s="733">
        <v>9</v>
      </c>
      <c r="S318" s="733">
        <f>Q97</f>
        <v>1000</v>
      </c>
      <c r="T318" s="733">
        <f>R97</f>
        <v>0.2</v>
      </c>
      <c r="U318" s="733" t="str">
        <f>S97</f>
        <v>-</v>
      </c>
      <c r="V318" s="733">
        <f>T97</f>
        <v>9.9999999999999995E-7</v>
      </c>
      <c r="W318" s="543">
        <f>U97</f>
        <v>9.9999500000000005E-2</v>
      </c>
      <c r="AE318" s="500"/>
    </row>
    <row r="319" spans="1:31" hidden="1">
      <c r="A319" s="1335"/>
      <c r="B319" s="733">
        <v>10</v>
      </c>
      <c r="C319" s="733">
        <f>C108</f>
        <v>35</v>
      </c>
      <c r="D319" s="733">
        <f t="shared" ref="D319:F319" si="149">D108</f>
        <v>0.2</v>
      </c>
      <c r="E319" s="733">
        <f t="shared" si="149"/>
        <v>0.8</v>
      </c>
      <c r="F319" s="733">
        <f t="shared" si="149"/>
        <v>0</v>
      </c>
      <c r="G319" s="733">
        <f>G108</f>
        <v>0.30000000000000004</v>
      </c>
      <c r="I319" s="1335"/>
      <c r="J319" s="733">
        <v>10</v>
      </c>
      <c r="K319" s="733">
        <f>J108</f>
        <v>70</v>
      </c>
      <c r="L319" s="733">
        <f>K108</f>
        <v>-0.3</v>
      </c>
      <c r="M319" s="733">
        <f>L108</f>
        <v>-5.0999999999999996</v>
      </c>
      <c r="N319" s="733">
        <f>M108</f>
        <v>0</v>
      </c>
      <c r="O319" s="733">
        <f>N108</f>
        <v>2.4</v>
      </c>
      <c r="Q319" s="1335"/>
      <c r="R319" s="733">
        <v>10</v>
      </c>
      <c r="S319" s="733">
        <f>Q108</f>
        <v>1000</v>
      </c>
      <c r="T319" s="733" t="str">
        <f>R108</f>
        <v>-</v>
      </c>
      <c r="U319" s="733" t="str">
        <f>S108</f>
        <v>-</v>
      </c>
      <c r="V319" s="733">
        <f>T108</f>
        <v>9.9999999999999995E-7</v>
      </c>
      <c r="W319" s="543">
        <f>U108</f>
        <v>0</v>
      </c>
      <c r="AE319" s="500"/>
    </row>
    <row r="320" spans="1:31" hidden="1">
      <c r="A320" s="1335"/>
      <c r="B320" s="733">
        <v>11</v>
      </c>
      <c r="C320" s="733">
        <f>C119</f>
        <v>35</v>
      </c>
      <c r="D320" s="733">
        <f t="shared" ref="D320:F320" si="150">D119</f>
        <v>0.5</v>
      </c>
      <c r="E320" s="733">
        <f t="shared" si="150"/>
        <v>0.4</v>
      </c>
      <c r="F320" s="733">
        <f t="shared" si="150"/>
        <v>0</v>
      </c>
      <c r="G320" s="733">
        <f>G119</f>
        <v>4.9999999999999989E-2</v>
      </c>
      <c r="I320" s="1335"/>
      <c r="J320" s="733">
        <v>11</v>
      </c>
      <c r="K320" s="733">
        <f>J119</f>
        <v>70</v>
      </c>
      <c r="L320" s="733">
        <f>K119</f>
        <v>-3.4</v>
      </c>
      <c r="M320" s="733">
        <f>L119</f>
        <v>-1.7</v>
      </c>
      <c r="N320" s="733">
        <f>M119</f>
        <v>0</v>
      </c>
      <c r="O320" s="733">
        <f>N119</f>
        <v>0.85</v>
      </c>
      <c r="Q320" s="1335"/>
      <c r="R320" s="733">
        <v>11</v>
      </c>
      <c r="S320" s="733">
        <f>Q119</f>
        <v>1000</v>
      </c>
      <c r="T320" s="733" t="str">
        <f>R119</f>
        <v>-</v>
      </c>
      <c r="U320" s="733" t="str">
        <f>S119</f>
        <v>-</v>
      </c>
      <c r="V320" s="733">
        <f>T119</f>
        <v>9.9999999999999995E-7</v>
      </c>
      <c r="W320" s="543">
        <f>U119</f>
        <v>0</v>
      </c>
      <c r="AE320" s="500"/>
    </row>
    <row r="321" spans="1:31" hidden="1">
      <c r="A321" s="1335"/>
      <c r="B321" s="733">
        <v>12</v>
      </c>
      <c r="C321" s="733">
        <f>C130</f>
        <v>35</v>
      </c>
      <c r="D321" s="733">
        <f t="shared" ref="D321:F321" si="151">D130</f>
        <v>-0.2</v>
      </c>
      <c r="E321" s="733" t="str">
        <f t="shared" si="151"/>
        <v>-</v>
      </c>
      <c r="F321" s="733">
        <f t="shared" si="151"/>
        <v>0</v>
      </c>
      <c r="G321" s="733">
        <f>G130</f>
        <v>0</v>
      </c>
      <c r="I321" s="1335"/>
      <c r="J321" s="733">
        <v>12</v>
      </c>
      <c r="K321" s="733">
        <f>J130</f>
        <v>70</v>
      </c>
      <c r="L321" s="733">
        <f>K130</f>
        <v>-0.1</v>
      </c>
      <c r="M321" s="733" t="str">
        <f>L130</f>
        <v>-</v>
      </c>
      <c r="N321" s="733">
        <f>M130</f>
        <v>0</v>
      </c>
      <c r="O321" s="733">
        <f>N130</f>
        <v>0</v>
      </c>
      <c r="Q321" s="1335"/>
      <c r="R321" s="733">
        <v>12</v>
      </c>
      <c r="S321" s="733">
        <f>Q130</f>
        <v>1000</v>
      </c>
      <c r="T321" s="733">
        <f>R130</f>
        <v>-0.8</v>
      </c>
      <c r="U321" s="733" t="str">
        <f>S130</f>
        <v>-</v>
      </c>
      <c r="V321" s="733">
        <f>T130</f>
        <v>0</v>
      </c>
      <c r="W321" s="543">
        <f>U130</f>
        <v>0</v>
      </c>
      <c r="AE321" s="500"/>
    </row>
    <row r="322" spans="1:31" hidden="1">
      <c r="A322" s="1335"/>
      <c r="B322" s="733">
        <v>13</v>
      </c>
      <c r="C322" s="733">
        <f>C141</f>
        <v>35</v>
      </c>
      <c r="D322" s="733">
        <f t="shared" ref="D322:F322" si="152">D141</f>
        <v>-0.2</v>
      </c>
      <c r="E322" s="733">
        <f t="shared" si="152"/>
        <v>0.3</v>
      </c>
      <c r="F322" s="733">
        <f t="shared" si="152"/>
        <v>0</v>
      </c>
      <c r="G322" s="733">
        <f>G141</f>
        <v>0.25</v>
      </c>
      <c r="I322" s="1335"/>
      <c r="J322" s="733">
        <v>13</v>
      </c>
      <c r="K322" s="733">
        <f>J141</f>
        <v>70</v>
      </c>
      <c r="L322" s="733">
        <f>K141</f>
        <v>-1.4</v>
      </c>
      <c r="M322" s="733">
        <f>L141</f>
        <v>-1.9</v>
      </c>
      <c r="N322" s="733">
        <f>M141</f>
        <v>0</v>
      </c>
      <c r="O322" s="733">
        <f>N141</f>
        <v>0.25</v>
      </c>
      <c r="Q322" s="1335"/>
      <c r="R322" s="733">
        <v>13</v>
      </c>
      <c r="S322" s="733">
        <f>Q141</f>
        <v>1005</v>
      </c>
      <c r="T322" s="733">
        <f>R141</f>
        <v>3.6</v>
      </c>
      <c r="U322" s="733">
        <f>S141</f>
        <v>1.1000000000000001</v>
      </c>
      <c r="V322" s="733">
        <f>T141</f>
        <v>0</v>
      </c>
      <c r="W322" s="543">
        <f>U141</f>
        <v>1.25</v>
      </c>
      <c r="AE322" s="500"/>
    </row>
    <row r="323" spans="1:31" hidden="1">
      <c r="A323" s="1335"/>
      <c r="B323" s="733">
        <v>14</v>
      </c>
      <c r="C323" s="733">
        <f>C152</f>
        <v>35</v>
      </c>
      <c r="D323" s="733">
        <f t="shared" ref="D323:F323" si="153">D152</f>
        <v>-0.6</v>
      </c>
      <c r="E323" s="733">
        <f t="shared" si="153"/>
        <v>-0.6</v>
      </c>
      <c r="F323" s="733">
        <f t="shared" si="153"/>
        <v>0</v>
      </c>
      <c r="G323" s="733">
        <f>G152</f>
        <v>0</v>
      </c>
      <c r="I323" s="1335"/>
      <c r="J323" s="733">
        <v>14</v>
      </c>
      <c r="K323" s="733">
        <f>J152</f>
        <v>70</v>
      </c>
      <c r="L323" s="733">
        <f>K152</f>
        <v>0.7</v>
      </c>
      <c r="M323" s="733">
        <f>L152</f>
        <v>-0.8</v>
      </c>
      <c r="N323" s="733">
        <f>M152</f>
        <v>0</v>
      </c>
      <c r="O323" s="733">
        <f>N152</f>
        <v>0.75</v>
      </c>
      <c r="Q323" s="1335"/>
      <c r="R323" s="733">
        <v>14</v>
      </c>
      <c r="S323" s="733">
        <f>Q152</f>
        <v>1005</v>
      </c>
      <c r="T323" s="733">
        <f>R152</f>
        <v>3.8</v>
      </c>
      <c r="U323" s="733">
        <f>S152</f>
        <v>1.1000000000000001</v>
      </c>
      <c r="V323" s="733">
        <f>T152</f>
        <v>0</v>
      </c>
      <c r="W323" s="543">
        <f>U152</f>
        <v>1.3499999999999999</v>
      </c>
      <c r="AE323" s="500"/>
    </row>
    <row r="324" spans="1:31" hidden="1">
      <c r="A324" s="1335"/>
      <c r="B324" s="733">
        <v>15</v>
      </c>
      <c r="C324" s="733">
        <f>C163</f>
        <v>35</v>
      </c>
      <c r="D324" s="733">
        <f t="shared" ref="D324:F324" si="154">D163</f>
        <v>0.8</v>
      </c>
      <c r="E324" s="733">
        <f t="shared" si="154"/>
        <v>-0.1</v>
      </c>
      <c r="F324" s="733">
        <f t="shared" si="154"/>
        <v>0</v>
      </c>
      <c r="G324" s="733">
        <f>G163</f>
        <v>0.45</v>
      </c>
      <c r="I324" s="1335"/>
      <c r="J324" s="733">
        <v>15</v>
      </c>
      <c r="K324" s="733">
        <f>J163</f>
        <v>70</v>
      </c>
      <c r="L324" s="733">
        <f>K163</f>
        <v>-0.7</v>
      </c>
      <c r="M324" s="733">
        <f>L163</f>
        <v>-0.8</v>
      </c>
      <c r="N324" s="733">
        <f>M163</f>
        <v>0</v>
      </c>
      <c r="O324" s="733">
        <f>N163</f>
        <v>5.0000000000000044E-2</v>
      </c>
      <c r="Q324" s="1335"/>
      <c r="R324" s="733">
        <v>15</v>
      </c>
      <c r="S324" s="733">
        <f>Q163</f>
        <v>1005</v>
      </c>
      <c r="T324" s="733">
        <f>R163</f>
        <v>4</v>
      </c>
      <c r="U324" s="733">
        <f>S163</f>
        <v>1.1000000000000001</v>
      </c>
      <c r="V324" s="733">
        <f>T163</f>
        <v>0</v>
      </c>
      <c r="W324" s="543">
        <f>U163</f>
        <v>1.45</v>
      </c>
      <c r="AE324" s="500"/>
    </row>
    <row r="325" spans="1:31" hidden="1">
      <c r="A325" s="1335"/>
      <c r="B325" s="733">
        <v>16</v>
      </c>
      <c r="C325" s="733">
        <f>C174</f>
        <v>35</v>
      </c>
      <c r="D325" s="733">
        <f t="shared" ref="D325:F325" si="155">D174</f>
        <v>0.1</v>
      </c>
      <c r="E325" s="733" t="str">
        <f t="shared" si="155"/>
        <v>-</v>
      </c>
      <c r="F325" s="733">
        <f t="shared" si="155"/>
        <v>0</v>
      </c>
      <c r="G325" s="733">
        <f>G174</f>
        <v>0</v>
      </c>
      <c r="I325" s="1335"/>
      <c r="J325" s="733">
        <v>16</v>
      </c>
      <c r="K325" s="733">
        <f>J174</f>
        <v>70</v>
      </c>
      <c r="L325" s="733">
        <f>K174</f>
        <v>-1.8</v>
      </c>
      <c r="M325" s="733" t="str">
        <f>L174</f>
        <v>-</v>
      </c>
      <c r="N325" s="733">
        <f>M174</f>
        <v>0</v>
      </c>
      <c r="O325" s="733">
        <f>N174</f>
        <v>0</v>
      </c>
      <c r="Q325" s="1335"/>
      <c r="R325" s="733">
        <v>16</v>
      </c>
      <c r="S325" s="733">
        <f>Q174</f>
        <v>1000</v>
      </c>
      <c r="T325" s="733">
        <f>R174</f>
        <v>-0.4</v>
      </c>
      <c r="U325" s="733" t="str">
        <f>S174</f>
        <v>-</v>
      </c>
      <c r="V325" s="733">
        <f>T174</f>
        <v>0</v>
      </c>
      <c r="W325" s="543">
        <f>U174</f>
        <v>0</v>
      </c>
      <c r="AE325" s="500"/>
    </row>
    <row r="326" spans="1:31" hidden="1">
      <c r="A326" s="1335"/>
      <c r="B326" s="733">
        <v>17</v>
      </c>
      <c r="C326" s="733">
        <f>C185</f>
        <v>35</v>
      </c>
      <c r="D326" s="733">
        <f t="shared" ref="D326:F326" si="156">D185</f>
        <v>-0.5</v>
      </c>
      <c r="E326" s="733" t="str">
        <f t="shared" si="156"/>
        <v>-</v>
      </c>
      <c r="F326" s="733">
        <f t="shared" si="156"/>
        <v>0</v>
      </c>
      <c r="G326" s="733">
        <f>G185</f>
        <v>0</v>
      </c>
      <c r="I326" s="1335"/>
      <c r="J326" s="733">
        <v>17</v>
      </c>
      <c r="K326" s="733">
        <f>J185</f>
        <v>70</v>
      </c>
      <c r="L326" s="733">
        <f>K185</f>
        <v>-0.3</v>
      </c>
      <c r="M326" s="733" t="str">
        <f>L185</f>
        <v>-</v>
      </c>
      <c r="N326" s="733">
        <f>M185</f>
        <v>0</v>
      </c>
      <c r="O326" s="733">
        <f>N185</f>
        <v>0</v>
      </c>
      <c r="Q326" s="1335"/>
      <c r="R326" s="733">
        <v>17</v>
      </c>
      <c r="S326" s="733">
        <f>Q185</f>
        <v>1000</v>
      </c>
      <c r="T326" s="733">
        <f>R185</f>
        <v>-0.6</v>
      </c>
      <c r="U326" s="733" t="str">
        <f>S185</f>
        <v>-</v>
      </c>
      <c r="V326" s="733">
        <f>T185</f>
        <v>0</v>
      </c>
      <c r="W326" s="543">
        <f>U185</f>
        <v>0</v>
      </c>
      <c r="AE326" s="500"/>
    </row>
    <row r="327" spans="1:31" hidden="1">
      <c r="A327" s="1335"/>
      <c r="B327" s="733">
        <v>18</v>
      </c>
      <c r="C327" s="733">
        <f>C196</f>
        <v>35</v>
      </c>
      <c r="D327" s="733">
        <f t="shared" ref="D327:F327" si="157">D196</f>
        <v>-0.3</v>
      </c>
      <c r="E327" s="733" t="str">
        <f t="shared" si="157"/>
        <v>-</v>
      </c>
      <c r="F327" s="733">
        <f t="shared" si="157"/>
        <v>0</v>
      </c>
      <c r="G327" s="733">
        <f>G196</f>
        <v>0</v>
      </c>
      <c r="I327" s="1335"/>
      <c r="J327" s="733">
        <v>18</v>
      </c>
      <c r="K327" s="733">
        <f>J196</f>
        <v>70</v>
      </c>
      <c r="L327" s="733">
        <f>K196</f>
        <v>-0.3</v>
      </c>
      <c r="M327" s="733" t="str">
        <f>L196</f>
        <v>-</v>
      </c>
      <c r="N327" s="733">
        <f>M196</f>
        <v>0</v>
      </c>
      <c r="O327" s="733">
        <f>N196</f>
        <v>0</v>
      </c>
      <c r="Q327" s="1335"/>
      <c r="R327" s="733">
        <v>18</v>
      </c>
      <c r="S327" s="733">
        <f>Q196</f>
        <v>1000</v>
      </c>
      <c r="T327" s="733">
        <f>R196</f>
        <v>-0.8</v>
      </c>
      <c r="U327" s="733" t="str">
        <f>S196</f>
        <v>-</v>
      </c>
      <c r="V327" s="733">
        <f>T196</f>
        <v>0</v>
      </c>
      <c r="W327" s="543">
        <f>U196</f>
        <v>0</v>
      </c>
      <c r="AE327" s="500"/>
    </row>
    <row r="328" spans="1:31" hidden="1">
      <c r="A328" s="1335"/>
      <c r="B328" s="733">
        <v>19</v>
      </c>
      <c r="C328" s="733">
        <f>C207</f>
        <v>35</v>
      </c>
      <c r="D328" s="733">
        <f t="shared" ref="D328:F328" si="158">D207</f>
        <v>-0.1</v>
      </c>
      <c r="E328" s="733" t="str">
        <f t="shared" si="158"/>
        <v>-</v>
      </c>
      <c r="F328" s="733">
        <f t="shared" si="158"/>
        <v>0</v>
      </c>
      <c r="G328" s="733">
        <f>G207</f>
        <v>0</v>
      </c>
      <c r="I328" s="1335"/>
      <c r="J328" s="733">
        <v>19</v>
      </c>
      <c r="K328" s="733">
        <f>J207</f>
        <v>70</v>
      </c>
      <c r="L328" s="733">
        <f>K207</f>
        <v>-0.7</v>
      </c>
      <c r="M328" s="733" t="str">
        <f>L207</f>
        <v>-</v>
      </c>
      <c r="N328" s="733">
        <f>M207</f>
        <v>0</v>
      </c>
      <c r="O328" s="733">
        <f>N207</f>
        <v>0</v>
      </c>
      <c r="Q328" s="1335"/>
      <c r="R328" s="733">
        <v>19</v>
      </c>
      <c r="S328" s="733">
        <f>Q207</f>
        <v>1000</v>
      </c>
      <c r="T328" s="733">
        <f>R207</f>
        <v>2.2000000000000002</v>
      </c>
      <c r="U328" s="733" t="str">
        <f>S207</f>
        <v>-</v>
      </c>
      <c r="V328" s="733">
        <f>T207</f>
        <v>0</v>
      </c>
      <c r="W328" s="543">
        <f>U207</f>
        <v>0</v>
      </c>
      <c r="AE328" s="500"/>
    </row>
    <row r="329" spans="1:31" ht="13.8" hidden="1" thickBot="1">
      <c r="A329" s="1335"/>
      <c r="B329" s="733">
        <v>20</v>
      </c>
      <c r="C329" s="733">
        <f>C218</f>
        <v>34.5</v>
      </c>
      <c r="D329" s="733">
        <f t="shared" ref="D329:F329" si="159">D218</f>
        <v>9.9999999999999995E-7</v>
      </c>
      <c r="E329" s="733" t="str">
        <f t="shared" si="159"/>
        <v>-</v>
      </c>
      <c r="F329" s="733">
        <f t="shared" si="159"/>
        <v>9.9999999999999995E-7</v>
      </c>
      <c r="G329" s="733">
        <f>G218</f>
        <v>0</v>
      </c>
      <c r="I329" s="1335"/>
      <c r="J329" s="733">
        <v>20</v>
      </c>
      <c r="K329" s="733">
        <f>J218</f>
        <v>80.8</v>
      </c>
      <c r="L329" s="733">
        <f>K218</f>
        <v>9.9999999999999995E-7</v>
      </c>
      <c r="M329" s="733" t="str">
        <f>L218</f>
        <v>-</v>
      </c>
      <c r="N329" s="733">
        <f>M218</f>
        <v>0</v>
      </c>
      <c r="O329" s="733">
        <f>N218</f>
        <v>0</v>
      </c>
      <c r="Q329" s="1337"/>
      <c r="R329" s="735">
        <v>20</v>
      </c>
      <c r="S329" s="735">
        <f>Q218</f>
        <v>1000</v>
      </c>
      <c r="T329" s="735">
        <f>R218</f>
        <v>9.9999999999999995E-7</v>
      </c>
      <c r="U329" s="735" t="str">
        <f>S218</f>
        <v>-</v>
      </c>
      <c r="V329" s="735">
        <f>T218</f>
        <v>9.9999999999999995E-7</v>
      </c>
      <c r="W329" s="560">
        <f>U218</f>
        <v>0</v>
      </c>
      <c r="AE329" s="553"/>
    </row>
    <row r="330" spans="1:31" hidden="1">
      <c r="A330" s="506"/>
      <c r="B330" s="506"/>
      <c r="C330" s="506"/>
      <c r="D330" s="506"/>
      <c r="E330" s="506"/>
      <c r="F330" s="494"/>
      <c r="G330" s="506"/>
      <c r="I330" s="506"/>
      <c r="J330" s="506"/>
      <c r="K330" s="506"/>
      <c r="L330" s="506"/>
      <c r="M330" s="506"/>
      <c r="N330" s="494"/>
      <c r="O330" s="506"/>
      <c r="Q330" s="503"/>
      <c r="R330" s="504"/>
      <c r="S330" s="439"/>
      <c r="T330" s="439"/>
      <c r="U330" s="439"/>
      <c r="W330" s="440"/>
      <c r="AE330" s="500"/>
    </row>
    <row r="331" spans="1:31" hidden="1">
      <c r="A331" s="1335">
        <v>6</v>
      </c>
      <c r="B331" s="733">
        <v>1</v>
      </c>
      <c r="C331" s="733">
        <f>C10</f>
        <v>37</v>
      </c>
      <c r="D331" s="733">
        <f t="shared" ref="D331:F331" si="160">D10</f>
        <v>-0.2</v>
      </c>
      <c r="E331" s="733">
        <f t="shared" si="160"/>
        <v>-0.6</v>
      </c>
      <c r="F331" s="733">
        <f t="shared" si="160"/>
        <v>9.9999999999999995E-7</v>
      </c>
      <c r="G331" s="733">
        <f>G10</f>
        <v>0.3000005</v>
      </c>
      <c r="I331" s="1335">
        <v>6</v>
      </c>
      <c r="J331" s="733">
        <v>1</v>
      </c>
      <c r="K331" s="733">
        <f>J10</f>
        <v>80</v>
      </c>
      <c r="L331" s="733">
        <f>K10</f>
        <v>-3.2</v>
      </c>
      <c r="M331" s="733">
        <f>L10</f>
        <v>0.7</v>
      </c>
      <c r="N331" s="733">
        <f>M10</f>
        <v>0</v>
      </c>
      <c r="O331" s="733">
        <f>N10</f>
        <v>1.9500000000000002</v>
      </c>
      <c r="Q331" s="1336">
        <v>6</v>
      </c>
      <c r="R331" s="734">
        <v>1</v>
      </c>
      <c r="S331" s="734">
        <f>Q10</f>
        <v>1005</v>
      </c>
      <c r="T331" s="734" t="str">
        <f>R10</f>
        <v>-</v>
      </c>
      <c r="U331" s="734" t="str">
        <f>S10</f>
        <v>-</v>
      </c>
      <c r="V331" s="734">
        <f>T10</f>
        <v>9.9999999999999995E-7</v>
      </c>
      <c r="W331" s="561">
        <f>U10</f>
        <v>0</v>
      </c>
      <c r="AE331" s="558"/>
    </row>
    <row r="332" spans="1:31" hidden="1">
      <c r="A332" s="1335"/>
      <c r="B332" s="733">
        <v>2</v>
      </c>
      <c r="C332" s="733">
        <f>C21</f>
        <v>37</v>
      </c>
      <c r="D332" s="733">
        <f t="shared" ref="D332:F332" si="161">D21</f>
        <v>-0.2</v>
      </c>
      <c r="E332" s="733">
        <f t="shared" si="161"/>
        <v>-0.3</v>
      </c>
      <c r="F332" s="733">
        <f t="shared" si="161"/>
        <v>0</v>
      </c>
      <c r="G332" s="733">
        <f>G21</f>
        <v>4.9999999999999989E-2</v>
      </c>
      <c r="I332" s="1335"/>
      <c r="J332" s="733">
        <v>2</v>
      </c>
      <c r="K332" s="733">
        <f>J21</f>
        <v>80</v>
      </c>
      <c r="L332" s="733">
        <f>K21</f>
        <v>-0.5</v>
      </c>
      <c r="M332" s="733">
        <f>L21</f>
        <v>-0.7</v>
      </c>
      <c r="N332" s="733">
        <f>M21</f>
        <v>0</v>
      </c>
      <c r="O332" s="733">
        <f>N21</f>
        <v>9.9999999999999978E-2</v>
      </c>
      <c r="Q332" s="1335"/>
      <c r="R332" s="733">
        <v>2</v>
      </c>
      <c r="S332" s="733">
        <f>Q21</f>
        <v>1005</v>
      </c>
      <c r="T332" s="733" t="str">
        <f>R21</f>
        <v>-</v>
      </c>
      <c r="U332" s="733" t="str">
        <f>S21</f>
        <v>-</v>
      </c>
      <c r="V332" s="733">
        <f>T21</f>
        <v>9.9999999999999995E-7</v>
      </c>
      <c r="W332" s="543">
        <f>U21</f>
        <v>0</v>
      </c>
      <c r="AE332" s="500"/>
    </row>
    <row r="333" spans="1:31" hidden="1">
      <c r="A333" s="1335"/>
      <c r="B333" s="733">
        <v>3</v>
      </c>
      <c r="C333" s="733">
        <f>C32</f>
        <v>37</v>
      </c>
      <c r="D333" s="733">
        <f t="shared" ref="D333:F333" si="162">D32</f>
        <v>-0.2</v>
      </c>
      <c r="E333" s="733">
        <f t="shared" si="162"/>
        <v>-0.6</v>
      </c>
      <c r="F333" s="733">
        <f t="shared" si="162"/>
        <v>0</v>
      </c>
      <c r="G333" s="733">
        <f>G32</f>
        <v>0.19999999999999998</v>
      </c>
      <c r="I333" s="1335"/>
      <c r="J333" s="733">
        <v>3</v>
      </c>
      <c r="K333" s="733">
        <f>J32</f>
        <v>80</v>
      </c>
      <c r="L333" s="733">
        <f>K32</f>
        <v>-0.8</v>
      </c>
      <c r="M333" s="733">
        <f>L32</f>
        <v>-2.9</v>
      </c>
      <c r="N333" s="733">
        <f>M32</f>
        <v>0</v>
      </c>
      <c r="O333" s="733">
        <f>N32</f>
        <v>1.0499999999999998</v>
      </c>
      <c r="Q333" s="1335"/>
      <c r="R333" s="733">
        <v>3</v>
      </c>
      <c r="S333" s="733">
        <f>Q32</f>
        <v>1005</v>
      </c>
      <c r="T333" s="733" t="str">
        <f>R32</f>
        <v>-</v>
      </c>
      <c r="U333" s="733" t="str">
        <f>S32</f>
        <v>-</v>
      </c>
      <c r="V333" s="733">
        <f>T32</f>
        <v>9.9999999999999995E-7</v>
      </c>
      <c r="W333" s="543">
        <f>U32</f>
        <v>4.9999999999999998E-7</v>
      </c>
      <c r="AE333" s="500"/>
    </row>
    <row r="334" spans="1:31" hidden="1">
      <c r="A334" s="1335"/>
      <c r="B334" s="733">
        <v>4</v>
      </c>
      <c r="C334" s="733">
        <f>C43</f>
        <v>37</v>
      </c>
      <c r="D334" s="733">
        <f t="shared" ref="D334:F334" si="163">D43</f>
        <v>-0.4</v>
      </c>
      <c r="E334" s="733">
        <f t="shared" si="163"/>
        <v>-0.6</v>
      </c>
      <c r="F334" s="733">
        <f t="shared" si="163"/>
        <v>0</v>
      </c>
      <c r="G334" s="733">
        <f>G43</f>
        <v>9.9999999999999978E-2</v>
      </c>
      <c r="I334" s="1335"/>
      <c r="J334" s="733">
        <v>4</v>
      </c>
      <c r="K334" s="733">
        <f>J43</f>
        <v>80</v>
      </c>
      <c r="L334" s="733">
        <f>K43</f>
        <v>-3.8</v>
      </c>
      <c r="M334" s="733">
        <f>L43</f>
        <v>1.9</v>
      </c>
      <c r="N334" s="733">
        <f>M43</f>
        <v>0</v>
      </c>
      <c r="O334" s="733">
        <f>N43</f>
        <v>2.8499999999999996</v>
      </c>
      <c r="Q334" s="1335"/>
      <c r="R334" s="733">
        <v>4</v>
      </c>
      <c r="S334" s="733">
        <f>Q43</f>
        <v>1005</v>
      </c>
      <c r="T334" s="733" t="str">
        <f>R43</f>
        <v>-</v>
      </c>
      <c r="U334" s="733" t="str">
        <f>S43</f>
        <v>-</v>
      </c>
      <c r="V334" s="733">
        <f>T43</f>
        <v>9.9999999999999995E-7</v>
      </c>
      <c r="W334" s="543">
        <f>U43</f>
        <v>0</v>
      </c>
      <c r="AE334" s="500"/>
    </row>
    <row r="335" spans="1:31" hidden="1">
      <c r="A335" s="1335"/>
      <c r="B335" s="733">
        <v>5</v>
      </c>
      <c r="C335" s="733">
        <f>C54</f>
        <v>37</v>
      </c>
      <c r="D335" s="733">
        <f t="shared" ref="D335:F335" si="164">D54</f>
        <v>0.7</v>
      </c>
      <c r="E335" s="733">
        <f t="shared" si="164"/>
        <v>9.9999999999999995E-7</v>
      </c>
      <c r="F335" s="733">
        <f t="shared" si="164"/>
        <v>0</v>
      </c>
      <c r="G335" s="733">
        <f>G54</f>
        <v>0.34999949999999996</v>
      </c>
      <c r="I335" s="1335"/>
      <c r="J335" s="733">
        <v>5</v>
      </c>
      <c r="K335" s="733">
        <f>J54</f>
        <v>80</v>
      </c>
      <c r="L335" s="733">
        <f>K54</f>
        <v>-3</v>
      </c>
      <c r="M335" s="733">
        <f>L54</f>
        <v>0.2</v>
      </c>
      <c r="N335" s="733">
        <f>M54</f>
        <v>0</v>
      </c>
      <c r="O335" s="733">
        <f>N54</f>
        <v>1.6</v>
      </c>
      <c r="Q335" s="1335"/>
      <c r="R335" s="733">
        <v>5</v>
      </c>
      <c r="S335" s="733">
        <f>Q54</f>
        <v>1005</v>
      </c>
      <c r="T335" s="733" t="str">
        <f>R54</f>
        <v>-</v>
      </c>
      <c r="U335" s="733" t="str">
        <f>S54</f>
        <v>-</v>
      </c>
      <c r="V335" s="733">
        <f>T54</f>
        <v>9.9999999999999995E-7</v>
      </c>
      <c r="W335" s="543">
        <f>U54</f>
        <v>0</v>
      </c>
      <c r="AE335" s="500"/>
    </row>
    <row r="336" spans="1:31" hidden="1">
      <c r="A336" s="1335"/>
      <c r="B336" s="733">
        <v>6</v>
      </c>
      <c r="C336" s="733">
        <f>C65</f>
        <v>37</v>
      </c>
      <c r="D336" s="733">
        <f t="shared" ref="D336:F336" si="165">D65</f>
        <v>0.1</v>
      </c>
      <c r="E336" s="733">
        <f t="shared" si="165"/>
        <v>-1.1000000000000001</v>
      </c>
      <c r="F336" s="733">
        <f t="shared" si="165"/>
        <v>0</v>
      </c>
      <c r="G336" s="733">
        <f>G65</f>
        <v>0.60000000000000009</v>
      </c>
      <c r="I336" s="1335"/>
      <c r="J336" s="733">
        <v>6</v>
      </c>
      <c r="K336" s="733">
        <f>J65</f>
        <v>80</v>
      </c>
      <c r="L336" s="733">
        <f>K65</f>
        <v>-6.3</v>
      </c>
      <c r="M336" s="733">
        <f>L65</f>
        <v>0.8</v>
      </c>
      <c r="N336" s="733">
        <f>M65</f>
        <v>0</v>
      </c>
      <c r="O336" s="733">
        <f>N65</f>
        <v>3.55</v>
      </c>
      <c r="Q336" s="1335"/>
      <c r="R336" s="733">
        <v>6</v>
      </c>
      <c r="S336" s="733">
        <f>Q65</f>
        <v>1005</v>
      </c>
      <c r="T336" s="733">
        <f>R65</f>
        <v>0.9</v>
      </c>
      <c r="U336" s="733">
        <f>S65</f>
        <v>-0.3</v>
      </c>
      <c r="V336" s="733">
        <f>T65</f>
        <v>9.9999999999999995E-7</v>
      </c>
      <c r="W336" s="543">
        <f>U65</f>
        <v>0.6</v>
      </c>
      <c r="AE336" s="500"/>
    </row>
    <row r="337" spans="1:31" hidden="1">
      <c r="A337" s="1335"/>
      <c r="B337" s="733">
        <v>7</v>
      </c>
      <c r="C337" s="733">
        <f>C76</f>
        <v>37</v>
      </c>
      <c r="D337" s="733">
        <f t="shared" ref="D337:F337" si="166">D76</f>
        <v>9.9999999999999995E-7</v>
      </c>
      <c r="E337" s="733">
        <f t="shared" si="166"/>
        <v>-1.4</v>
      </c>
      <c r="F337" s="733">
        <f t="shared" si="166"/>
        <v>0</v>
      </c>
      <c r="G337" s="733">
        <f>G76</f>
        <v>0.70000049999999991</v>
      </c>
      <c r="I337" s="1335"/>
      <c r="J337" s="733">
        <v>7</v>
      </c>
      <c r="K337" s="733">
        <f>J76</f>
        <v>80</v>
      </c>
      <c r="L337" s="733">
        <f>K76</f>
        <v>-2.6</v>
      </c>
      <c r="M337" s="733">
        <f>L76</f>
        <v>1.2</v>
      </c>
      <c r="N337" s="733">
        <f>M76</f>
        <v>0</v>
      </c>
      <c r="O337" s="733">
        <f>N76</f>
        <v>1.9</v>
      </c>
      <c r="Q337" s="1335"/>
      <c r="R337" s="733">
        <v>7</v>
      </c>
      <c r="S337" s="733">
        <f>Q76</f>
        <v>1005</v>
      </c>
      <c r="T337" s="733">
        <f>R76</f>
        <v>-3.8</v>
      </c>
      <c r="U337" s="733">
        <f>S76</f>
        <v>-0.5</v>
      </c>
      <c r="V337" s="733">
        <f>T76</f>
        <v>9.9999999999999995E-7</v>
      </c>
      <c r="W337" s="543">
        <f>U76</f>
        <v>1.9000005</v>
      </c>
      <c r="AE337" s="500"/>
    </row>
    <row r="338" spans="1:31" hidden="1">
      <c r="A338" s="1335"/>
      <c r="B338" s="733">
        <v>8</v>
      </c>
      <c r="C338" s="733">
        <f>C87</f>
        <v>37</v>
      </c>
      <c r="D338" s="733">
        <f t="shared" ref="D338:F338" si="167">D87</f>
        <v>-0.1</v>
      </c>
      <c r="E338" s="733">
        <f t="shared" si="167"/>
        <v>-0.5</v>
      </c>
      <c r="F338" s="733">
        <f t="shared" si="167"/>
        <v>0</v>
      </c>
      <c r="G338" s="733">
        <f>G87</f>
        <v>0.2</v>
      </c>
      <c r="I338" s="1335"/>
      <c r="J338" s="733">
        <v>8</v>
      </c>
      <c r="K338" s="733">
        <f>J87</f>
        <v>80</v>
      </c>
      <c r="L338" s="733">
        <f>K87</f>
        <v>-4.5</v>
      </c>
      <c r="M338" s="733">
        <f>L87</f>
        <v>-1.2</v>
      </c>
      <c r="N338" s="733">
        <f>M87</f>
        <v>0</v>
      </c>
      <c r="O338" s="733">
        <f>N87</f>
        <v>1.65</v>
      </c>
      <c r="Q338" s="1335"/>
      <c r="R338" s="733">
        <v>8</v>
      </c>
      <c r="S338" s="733">
        <f>Q87</f>
        <v>1005</v>
      </c>
      <c r="T338" s="733">
        <f>R87</f>
        <v>-3.4</v>
      </c>
      <c r="U338" s="733">
        <f>S87</f>
        <v>0.2</v>
      </c>
      <c r="V338" s="733">
        <f>T87</f>
        <v>9.9999999999999995E-7</v>
      </c>
      <c r="W338" s="543">
        <f>U87</f>
        <v>1.8</v>
      </c>
      <c r="AE338" s="500"/>
    </row>
    <row r="339" spans="1:31" hidden="1">
      <c r="A339" s="1335"/>
      <c r="B339" s="733">
        <v>9</v>
      </c>
      <c r="C339" s="733">
        <f>C98</f>
        <v>37</v>
      </c>
      <c r="D339" s="733">
        <f t="shared" ref="D339:F339" si="168">D98</f>
        <v>-0.5</v>
      </c>
      <c r="E339" s="733" t="str">
        <f t="shared" si="168"/>
        <v>-</v>
      </c>
      <c r="F339" s="733">
        <f t="shared" si="168"/>
        <v>0</v>
      </c>
      <c r="G339" s="733">
        <f>G98</f>
        <v>0</v>
      </c>
      <c r="I339" s="1335"/>
      <c r="J339" s="733">
        <v>9</v>
      </c>
      <c r="K339" s="733">
        <f>J98</f>
        <v>80</v>
      </c>
      <c r="L339" s="733">
        <f>K98</f>
        <v>-0.5</v>
      </c>
      <c r="M339" s="733" t="str">
        <f>L98</f>
        <v>-</v>
      </c>
      <c r="N339" s="733">
        <f>M98</f>
        <v>0</v>
      </c>
      <c r="O339" s="733">
        <f>N98</f>
        <v>0</v>
      </c>
      <c r="Q339" s="1335"/>
      <c r="R339" s="733">
        <v>9</v>
      </c>
      <c r="S339" s="733">
        <f>Q98</f>
        <v>1005</v>
      </c>
      <c r="T339" s="733">
        <f>R98</f>
        <v>0.2</v>
      </c>
      <c r="U339" s="733" t="str">
        <f>S98</f>
        <v>-</v>
      </c>
      <c r="V339" s="733">
        <f>T98</f>
        <v>9.9999999999999995E-7</v>
      </c>
      <c r="W339" s="543">
        <f>U98</f>
        <v>9.9999500000000005E-2</v>
      </c>
      <c r="AE339" s="500"/>
    </row>
    <row r="340" spans="1:31" hidden="1">
      <c r="A340" s="1335"/>
      <c r="B340" s="733">
        <v>10</v>
      </c>
      <c r="C340" s="733">
        <f>C109</f>
        <v>37</v>
      </c>
      <c r="D340" s="733">
        <f t="shared" ref="D340:F340" si="169">D109</f>
        <v>0.2</v>
      </c>
      <c r="E340" s="733">
        <f t="shared" si="169"/>
        <v>0.4</v>
      </c>
      <c r="F340" s="733">
        <f t="shared" si="169"/>
        <v>0</v>
      </c>
      <c r="G340" s="733">
        <f>G109</f>
        <v>0.1</v>
      </c>
      <c r="I340" s="1335"/>
      <c r="J340" s="733">
        <v>10</v>
      </c>
      <c r="K340" s="733">
        <f>J109</f>
        <v>80</v>
      </c>
      <c r="L340" s="733">
        <f>K109</f>
        <v>2.2000000000000002</v>
      </c>
      <c r="M340" s="733">
        <f>L109</f>
        <v>-4.7</v>
      </c>
      <c r="N340" s="733">
        <f>M109</f>
        <v>0</v>
      </c>
      <c r="O340" s="733">
        <f>N109</f>
        <v>3.45</v>
      </c>
      <c r="Q340" s="1335"/>
      <c r="R340" s="733">
        <v>10</v>
      </c>
      <c r="S340" s="733">
        <f>Q109</f>
        <v>1005</v>
      </c>
      <c r="T340" s="733" t="str">
        <f>R109</f>
        <v>-</v>
      </c>
      <c r="U340" s="733" t="str">
        <f>S109</f>
        <v>-</v>
      </c>
      <c r="V340" s="733">
        <f>T109</f>
        <v>9.9999999999999995E-7</v>
      </c>
      <c r="W340" s="543">
        <f>U109</f>
        <v>0</v>
      </c>
      <c r="AE340" s="500"/>
    </row>
    <row r="341" spans="1:31" hidden="1">
      <c r="A341" s="1335"/>
      <c r="B341" s="733">
        <v>11</v>
      </c>
      <c r="C341" s="733">
        <f>C120</f>
        <v>37</v>
      </c>
      <c r="D341" s="733">
        <f t="shared" ref="D341:F341" si="170">D120</f>
        <v>0.5</v>
      </c>
      <c r="E341" s="733">
        <f t="shared" si="170"/>
        <v>0.5</v>
      </c>
      <c r="F341" s="733">
        <f t="shared" si="170"/>
        <v>0</v>
      </c>
      <c r="G341" s="733">
        <f>G120</f>
        <v>0</v>
      </c>
      <c r="I341" s="1335"/>
      <c r="J341" s="733">
        <v>11</v>
      </c>
      <c r="K341" s="733">
        <f>J120</f>
        <v>80</v>
      </c>
      <c r="L341" s="733">
        <f>K120</f>
        <v>-1.4</v>
      </c>
      <c r="M341" s="733">
        <f>L120</f>
        <v>2.6</v>
      </c>
      <c r="N341" s="733">
        <f>M120</f>
        <v>0</v>
      </c>
      <c r="O341" s="733">
        <f>N120</f>
        <v>2</v>
      </c>
      <c r="Q341" s="1335"/>
      <c r="R341" s="733">
        <v>11</v>
      </c>
      <c r="S341" s="733">
        <f>Q120</f>
        <v>1005</v>
      </c>
      <c r="T341" s="733" t="str">
        <f>R120</f>
        <v>-</v>
      </c>
      <c r="U341" s="733" t="str">
        <f>S120</f>
        <v>-</v>
      </c>
      <c r="V341" s="733">
        <f>T120</f>
        <v>9.9999999999999995E-7</v>
      </c>
      <c r="W341" s="543">
        <f>U120</f>
        <v>0</v>
      </c>
      <c r="AE341" s="500"/>
    </row>
    <row r="342" spans="1:31" hidden="1">
      <c r="A342" s="1335"/>
      <c r="B342" s="733">
        <v>12</v>
      </c>
      <c r="C342" s="733">
        <f>C131</f>
        <v>37</v>
      </c>
      <c r="D342" s="733">
        <f t="shared" ref="D342:F342" si="171">D131</f>
        <v>-0.3</v>
      </c>
      <c r="E342" s="733" t="str">
        <f t="shared" si="171"/>
        <v>-</v>
      </c>
      <c r="F342" s="733">
        <f t="shared" si="171"/>
        <v>0</v>
      </c>
      <c r="G342" s="733">
        <f>G131</f>
        <v>0</v>
      </c>
      <c r="I342" s="1335"/>
      <c r="J342" s="733">
        <v>12</v>
      </c>
      <c r="K342" s="733">
        <f>J131</f>
        <v>80</v>
      </c>
      <c r="L342" s="733">
        <f>K131</f>
        <v>-0.5</v>
      </c>
      <c r="M342" s="733" t="str">
        <f>L131</f>
        <v>-</v>
      </c>
      <c r="N342" s="733">
        <f>M131</f>
        <v>0</v>
      </c>
      <c r="O342" s="733">
        <f>N131</f>
        <v>0</v>
      </c>
      <c r="Q342" s="1335"/>
      <c r="R342" s="733">
        <v>12</v>
      </c>
      <c r="S342" s="733">
        <f>Q131</f>
        <v>1005</v>
      </c>
      <c r="T342" s="733">
        <f>R131</f>
        <v>-0.8</v>
      </c>
      <c r="U342" s="733" t="str">
        <f>S131</f>
        <v>-</v>
      </c>
      <c r="V342" s="733">
        <f>T131</f>
        <v>0</v>
      </c>
      <c r="W342" s="543">
        <f>U131</f>
        <v>0</v>
      </c>
      <c r="AE342" s="500"/>
    </row>
    <row r="343" spans="1:31" hidden="1">
      <c r="A343" s="1335"/>
      <c r="B343" s="733">
        <v>13</v>
      </c>
      <c r="C343" s="733">
        <f>C142</f>
        <v>37</v>
      </c>
      <c r="D343" s="733">
        <f t="shared" ref="D343:F343" si="172">D142</f>
        <v>-0.2</v>
      </c>
      <c r="E343" s="733">
        <f t="shared" si="172"/>
        <v>0.4</v>
      </c>
      <c r="F343" s="733">
        <f t="shared" si="172"/>
        <v>0</v>
      </c>
      <c r="G343" s="733">
        <f>G142</f>
        <v>0.30000000000000004</v>
      </c>
      <c r="I343" s="1335"/>
      <c r="J343" s="733">
        <v>13</v>
      </c>
      <c r="K343" s="733">
        <f>J142</f>
        <v>80</v>
      </c>
      <c r="L343" s="733">
        <f>K142</f>
        <v>-1.2</v>
      </c>
      <c r="M343" s="733">
        <f>L142</f>
        <v>-2.5</v>
      </c>
      <c r="N343" s="733">
        <f>M142</f>
        <v>0</v>
      </c>
      <c r="O343" s="733">
        <f>N142</f>
        <v>0.65</v>
      </c>
      <c r="Q343" s="1335"/>
      <c r="R343" s="733">
        <v>13</v>
      </c>
      <c r="S343" s="733">
        <f>Q142</f>
        <v>1010</v>
      </c>
      <c r="T343" s="733">
        <f>R142</f>
        <v>3.5</v>
      </c>
      <c r="U343" s="733">
        <f>S142</f>
        <v>1.1000000000000001</v>
      </c>
      <c r="V343" s="733">
        <f>T142</f>
        <v>0</v>
      </c>
      <c r="W343" s="543">
        <f>U142</f>
        <v>1.2</v>
      </c>
      <c r="AE343" s="500"/>
    </row>
    <row r="344" spans="1:31" hidden="1">
      <c r="A344" s="1335"/>
      <c r="B344" s="733">
        <v>14</v>
      </c>
      <c r="C344" s="733">
        <f>C153</f>
        <v>37</v>
      </c>
      <c r="D344" s="733">
        <f t="shared" ref="D344:F344" si="173">D153</f>
        <v>-0.7</v>
      </c>
      <c r="E344" s="733">
        <f t="shared" si="173"/>
        <v>-0.8</v>
      </c>
      <c r="F344" s="733">
        <f t="shared" si="173"/>
        <v>0</v>
      </c>
      <c r="G344" s="733">
        <f>G153</f>
        <v>5.0000000000000044E-2</v>
      </c>
      <c r="I344" s="1335"/>
      <c r="J344" s="733">
        <v>14</v>
      </c>
      <c r="K344" s="733">
        <f>J153</f>
        <v>80</v>
      </c>
      <c r="L344" s="733">
        <f>K153</f>
        <v>1.1000000000000001</v>
      </c>
      <c r="M344" s="733">
        <f>L153</f>
        <v>-0.9</v>
      </c>
      <c r="N344" s="733">
        <f>M153</f>
        <v>0</v>
      </c>
      <c r="O344" s="733">
        <f>N153</f>
        <v>1</v>
      </c>
      <c r="Q344" s="1335"/>
      <c r="R344" s="733">
        <v>14</v>
      </c>
      <c r="S344" s="733">
        <f>Q153</f>
        <v>1010</v>
      </c>
      <c r="T344" s="733">
        <f>R153</f>
        <v>3.7</v>
      </c>
      <c r="U344" s="733">
        <f>S153</f>
        <v>1.1000000000000001</v>
      </c>
      <c r="V344" s="733">
        <f>T153</f>
        <v>0</v>
      </c>
      <c r="W344" s="543">
        <f>U153</f>
        <v>1.3</v>
      </c>
      <c r="AE344" s="500"/>
    </row>
    <row r="345" spans="1:31" hidden="1">
      <c r="A345" s="1335"/>
      <c r="B345" s="733">
        <v>15</v>
      </c>
      <c r="C345" s="733">
        <f>C164</f>
        <v>37</v>
      </c>
      <c r="D345" s="733">
        <f t="shared" ref="D345:F345" si="174">D164</f>
        <v>1</v>
      </c>
      <c r="E345" s="733">
        <f t="shared" si="174"/>
        <v>-0.1</v>
      </c>
      <c r="F345" s="733">
        <f t="shared" si="174"/>
        <v>0</v>
      </c>
      <c r="G345" s="733">
        <f>G164</f>
        <v>0.55000000000000004</v>
      </c>
      <c r="I345" s="1335"/>
      <c r="J345" s="733">
        <v>15</v>
      </c>
      <c r="K345" s="733">
        <f>J164</f>
        <v>80</v>
      </c>
      <c r="L345" s="733">
        <f>K164</f>
        <v>-0.4</v>
      </c>
      <c r="M345" s="733">
        <f>L164</f>
        <v>-1.3</v>
      </c>
      <c r="N345" s="733">
        <f>M164</f>
        <v>0</v>
      </c>
      <c r="O345" s="733">
        <f>N164</f>
        <v>0.45</v>
      </c>
      <c r="Q345" s="1335"/>
      <c r="R345" s="733">
        <v>15</v>
      </c>
      <c r="S345" s="733">
        <f>Q164</f>
        <v>1010</v>
      </c>
      <c r="T345" s="733">
        <f>R164</f>
        <v>3.9</v>
      </c>
      <c r="U345" s="733">
        <f>S164</f>
        <v>1.1000000000000001</v>
      </c>
      <c r="V345" s="733">
        <f>T164</f>
        <v>0</v>
      </c>
      <c r="W345" s="543">
        <f>U164</f>
        <v>1.4</v>
      </c>
      <c r="AE345" s="500"/>
    </row>
    <row r="346" spans="1:31" hidden="1">
      <c r="A346" s="1335"/>
      <c r="B346" s="733">
        <v>16</v>
      </c>
      <c r="C346" s="733">
        <f>C175</f>
        <v>37</v>
      </c>
      <c r="D346" s="733">
        <f t="shared" ref="D346:F346" si="175">D175</f>
        <v>9.9999999999999995E-7</v>
      </c>
      <c r="E346" s="733" t="str">
        <f t="shared" si="175"/>
        <v>-</v>
      </c>
      <c r="F346" s="733">
        <f t="shared" si="175"/>
        <v>0</v>
      </c>
      <c r="G346" s="733">
        <f>G175</f>
        <v>0</v>
      </c>
      <c r="I346" s="1335"/>
      <c r="J346" s="733">
        <v>16</v>
      </c>
      <c r="K346" s="733">
        <f>J175</f>
        <v>80</v>
      </c>
      <c r="L346" s="733">
        <f>K175</f>
        <v>-2.2999999999999998</v>
      </c>
      <c r="M346" s="733" t="str">
        <f>L175</f>
        <v>-</v>
      </c>
      <c r="N346" s="733">
        <f>M175</f>
        <v>0</v>
      </c>
      <c r="O346" s="733">
        <f>N175</f>
        <v>0</v>
      </c>
      <c r="Q346" s="1335"/>
      <c r="R346" s="733">
        <v>16</v>
      </c>
      <c r="S346" s="733">
        <f>Q175</f>
        <v>1005</v>
      </c>
      <c r="T346" s="733">
        <f>R175</f>
        <v>-0.4</v>
      </c>
      <c r="U346" s="733" t="str">
        <f>S175</f>
        <v>-</v>
      </c>
      <c r="V346" s="733">
        <f>T175</f>
        <v>0</v>
      </c>
      <c r="W346" s="543">
        <f>U175</f>
        <v>0</v>
      </c>
      <c r="AE346" s="500"/>
    </row>
    <row r="347" spans="1:31" hidden="1">
      <c r="A347" s="1335"/>
      <c r="B347" s="733">
        <v>17</v>
      </c>
      <c r="C347" s="733">
        <f>C186</f>
        <v>37</v>
      </c>
      <c r="D347" s="733">
        <f t="shared" ref="D347:F347" si="176">D186</f>
        <v>-0.6</v>
      </c>
      <c r="E347" s="733" t="str">
        <f t="shared" si="176"/>
        <v>-</v>
      </c>
      <c r="F347" s="733">
        <f t="shared" si="176"/>
        <v>0</v>
      </c>
      <c r="G347" s="733">
        <f>G186</f>
        <v>0</v>
      </c>
      <c r="I347" s="1335"/>
      <c r="J347" s="733">
        <v>17</v>
      </c>
      <c r="K347" s="733">
        <f>J186</f>
        <v>80</v>
      </c>
      <c r="L347" s="733">
        <f>K186</f>
        <v>-0.8</v>
      </c>
      <c r="M347" s="733" t="str">
        <f>L186</f>
        <v>-</v>
      </c>
      <c r="N347" s="733">
        <f>M186</f>
        <v>0</v>
      </c>
      <c r="O347" s="733">
        <f>N186</f>
        <v>0</v>
      </c>
      <c r="Q347" s="1335"/>
      <c r="R347" s="733">
        <v>17</v>
      </c>
      <c r="S347" s="733">
        <f>Q186</f>
        <v>1005</v>
      </c>
      <c r="T347" s="733">
        <f>R186</f>
        <v>-0.6</v>
      </c>
      <c r="U347" s="733" t="str">
        <f>S186</f>
        <v>-</v>
      </c>
      <c r="V347" s="733">
        <f>T186</f>
        <v>0</v>
      </c>
      <c r="W347" s="543">
        <f>U186</f>
        <v>0</v>
      </c>
      <c r="AE347" s="500"/>
    </row>
    <row r="348" spans="1:31" hidden="1">
      <c r="A348" s="1335"/>
      <c r="B348" s="733">
        <v>18</v>
      </c>
      <c r="C348" s="733">
        <f>C197</f>
        <v>37</v>
      </c>
      <c r="D348" s="733">
        <f t="shared" ref="D348:F348" si="177">D197</f>
        <v>-0.3</v>
      </c>
      <c r="E348" s="733" t="str">
        <f t="shared" si="177"/>
        <v>-</v>
      </c>
      <c r="F348" s="733">
        <f t="shared" si="177"/>
        <v>0</v>
      </c>
      <c r="G348" s="733">
        <f>G197</f>
        <v>0</v>
      </c>
      <c r="I348" s="1335"/>
      <c r="J348" s="733">
        <v>18</v>
      </c>
      <c r="K348" s="733">
        <f>J197</f>
        <v>80</v>
      </c>
      <c r="L348" s="733">
        <f>K197</f>
        <v>-0.5</v>
      </c>
      <c r="M348" s="733" t="str">
        <f>L197</f>
        <v>-</v>
      </c>
      <c r="N348" s="733">
        <f>M197</f>
        <v>0</v>
      </c>
      <c r="O348" s="733">
        <f>N197</f>
        <v>0</v>
      </c>
      <c r="Q348" s="1335"/>
      <c r="R348" s="733">
        <v>18</v>
      </c>
      <c r="S348" s="733">
        <f>Q197</f>
        <v>1005</v>
      </c>
      <c r="T348" s="733">
        <f>R197</f>
        <v>-0.7</v>
      </c>
      <c r="U348" s="733" t="str">
        <f>S197</f>
        <v>-</v>
      </c>
      <c r="V348" s="733">
        <f>T197</f>
        <v>0</v>
      </c>
      <c r="W348" s="543">
        <f>U197</f>
        <v>0</v>
      </c>
      <c r="AE348" s="500"/>
    </row>
    <row r="349" spans="1:31" hidden="1">
      <c r="A349" s="1335"/>
      <c r="B349" s="733">
        <v>19</v>
      </c>
      <c r="C349" s="733">
        <f>C208</f>
        <v>37</v>
      </c>
      <c r="D349" s="733">
        <f t="shared" ref="D349:F349" si="178">D208</f>
        <v>9.9999999999999995E-7</v>
      </c>
      <c r="E349" s="733" t="str">
        <f t="shared" si="178"/>
        <v>-</v>
      </c>
      <c r="F349" s="733">
        <f t="shared" si="178"/>
        <v>0</v>
      </c>
      <c r="G349" s="733">
        <f>G208</f>
        <v>0</v>
      </c>
      <c r="I349" s="1335"/>
      <c r="J349" s="733">
        <v>19</v>
      </c>
      <c r="K349" s="733">
        <f>J208</f>
        <v>80</v>
      </c>
      <c r="L349" s="733">
        <f>K208</f>
        <v>-0.9</v>
      </c>
      <c r="M349" s="733" t="str">
        <f>L208</f>
        <v>-</v>
      </c>
      <c r="N349" s="733">
        <f>M208</f>
        <v>0</v>
      </c>
      <c r="O349" s="733">
        <f>N208</f>
        <v>0</v>
      </c>
      <c r="Q349" s="1335"/>
      <c r="R349" s="733">
        <v>19</v>
      </c>
      <c r="S349" s="733">
        <f>Q208</f>
        <v>1005</v>
      </c>
      <c r="T349" s="733">
        <f>R208</f>
        <v>2.2000000000000002</v>
      </c>
      <c r="U349" s="733" t="str">
        <f>S208</f>
        <v>-</v>
      </c>
      <c r="V349" s="733">
        <f>T208</f>
        <v>0</v>
      </c>
      <c r="W349" s="543">
        <f>U208</f>
        <v>0</v>
      </c>
      <c r="AE349" s="500"/>
    </row>
    <row r="350" spans="1:31" ht="13.8" hidden="1" thickBot="1">
      <c r="A350" s="1335"/>
      <c r="B350" s="733">
        <v>20</v>
      </c>
      <c r="C350" s="733">
        <f>C219</f>
        <v>39.5</v>
      </c>
      <c r="D350" s="733">
        <f t="shared" ref="D350:F350" si="179">D219</f>
        <v>9.9999999999999995E-7</v>
      </c>
      <c r="E350" s="733" t="str">
        <f t="shared" si="179"/>
        <v>-</v>
      </c>
      <c r="F350" s="733">
        <f t="shared" si="179"/>
        <v>9.9999999999999995E-7</v>
      </c>
      <c r="G350" s="733">
        <f>G219</f>
        <v>0</v>
      </c>
      <c r="I350" s="1335"/>
      <c r="J350" s="733">
        <v>20</v>
      </c>
      <c r="K350" s="733">
        <f>J219</f>
        <v>88.7</v>
      </c>
      <c r="L350" s="733">
        <f>K219</f>
        <v>9.9999999999999995E-7</v>
      </c>
      <c r="M350" s="733" t="str">
        <f>L219</f>
        <v>-</v>
      </c>
      <c r="N350" s="733">
        <f>M219</f>
        <v>0</v>
      </c>
      <c r="O350" s="733">
        <f>N219</f>
        <v>0</v>
      </c>
      <c r="Q350" s="1337"/>
      <c r="R350" s="735">
        <v>20</v>
      </c>
      <c r="S350" s="735">
        <f>Q219</f>
        <v>1005</v>
      </c>
      <c r="T350" s="735">
        <f>R219</f>
        <v>9.9999999999999995E-7</v>
      </c>
      <c r="U350" s="735" t="str">
        <f>S219</f>
        <v>-</v>
      </c>
      <c r="V350" s="735">
        <f>T219</f>
        <v>9.9999999999999995E-7</v>
      </c>
      <c r="W350" s="560">
        <f>U219</f>
        <v>0</v>
      </c>
      <c r="AE350" s="553"/>
    </row>
    <row r="351" spans="1:31" hidden="1">
      <c r="A351" s="506"/>
      <c r="B351" s="506"/>
      <c r="C351" s="506"/>
      <c r="D351" s="506"/>
      <c r="E351" s="506"/>
      <c r="F351" s="494"/>
      <c r="G351" s="506"/>
      <c r="I351" s="506"/>
      <c r="J351" s="506"/>
      <c r="K351" s="506"/>
      <c r="L351" s="506"/>
      <c r="M351" s="506"/>
      <c r="N351" s="494"/>
      <c r="O351" s="506"/>
      <c r="Q351" s="508"/>
      <c r="R351" s="504"/>
      <c r="S351" s="439"/>
      <c r="T351" s="439"/>
      <c r="U351" s="439"/>
      <c r="W351" s="440"/>
      <c r="AE351" s="500"/>
    </row>
    <row r="352" spans="1:31" hidden="1">
      <c r="A352" s="1335">
        <v>7</v>
      </c>
      <c r="B352" s="733">
        <v>1</v>
      </c>
      <c r="C352" s="733">
        <f>C11</f>
        <v>40</v>
      </c>
      <c r="D352" s="733">
        <f t="shared" ref="D352:F352" si="180">D11</f>
        <v>-0.3</v>
      </c>
      <c r="E352" s="733">
        <f t="shared" si="180"/>
        <v>-0.8</v>
      </c>
      <c r="F352" s="733">
        <f t="shared" si="180"/>
        <v>9.9999999999999995E-7</v>
      </c>
      <c r="G352" s="733">
        <f>G11</f>
        <v>0.40000050000000004</v>
      </c>
      <c r="I352" s="1335">
        <v>7</v>
      </c>
      <c r="J352" s="733">
        <v>1</v>
      </c>
      <c r="K352" s="733">
        <f>J11</f>
        <v>90</v>
      </c>
      <c r="L352" s="733">
        <f>K11</f>
        <v>-1.6</v>
      </c>
      <c r="M352" s="733">
        <f>L11</f>
        <v>4.5</v>
      </c>
      <c r="N352" s="733">
        <f>M11</f>
        <v>0</v>
      </c>
      <c r="O352" s="733">
        <f>N11</f>
        <v>3.05</v>
      </c>
      <c r="Q352" s="1338">
        <v>7</v>
      </c>
      <c r="R352" s="734">
        <v>1</v>
      </c>
      <c r="S352" s="734">
        <f>Q11</f>
        <v>1020</v>
      </c>
      <c r="T352" s="734" t="str">
        <f>R11</f>
        <v>-</v>
      </c>
      <c r="U352" s="734" t="str">
        <f>S11</f>
        <v>-</v>
      </c>
      <c r="V352" s="734">
        <f>T11</f>
        <v>9.9999999999999995E-7</v>
      </c>
      <c r="W352" s="561">
        <f>U11</f>
        <v>0</v>
      </c>
      <c r="AE352" s="558"/>
    </row>
    <row r="353" spans="1:31" hidden="1">
      <c r="A353" s="1335"/>
      <c r="B353" s="733">
        <v>2</v>
      </c>
      <c r="C353" s="733">
        <f>C22</f>
        <v>40</v>
      </c>
      <c r="D353" s="733">
        <f t="shared" ref="D353:F353" si="181">D22</f>
        <v>-0.1</v>
      </c>
      <c r="E353" s="733">
        <f t="shared" si="181"/>
        <v>-0.3</v>
      </c>
      <c r="F353" s="733">
        <f t="shared" si="181"/>
        <v>0</v>
      </c>
      <c r="G353" s="733">
        <f>G22</f>
        <v>9.9999999999999992E-2</v>
      </c>
      <c r="I353" s="1335"/>
      <c r="J353" s="733">
        <v>2</v>
      </c>
      <c r="K353" s="733">
        <f>J22</f>
        <v>90</v>
      </c>
      <c r="L353" s="733">
        <f>K22</f>
        <v>1.7</v>
      </c>
      <c r="M353" s="733">
        <f>L22</f>
        <v>-0.3</v>
      </c>
      <c r="N353" s="733">
        <f>M22</f>
        <v>0</v>
      </c>
      <c r="O353" s="733">
        <f>N22</f>
        <v>1</v>
      </c>
      <c r="Q353" s="1339"/>
      <c r="R353" s="733">
        <v>2</v>
      </c>
      <c r="S353" s="733">
        <f>Q22</f>
        <v>1020</v>
      </c>
      <c r="T353" s="733" t="str">
        <f>R22</f>
        <v>-</v>
      </c>
      <c r="U353" s="733" t="str">
        <f>S22</f>
        <v>-</v>
      </c>
      <c r="V353" s="733">
        <f>T22</f>
        <v>9.9999999999999995E-7</v>
      </c>
      <c r="W353" s="543">
        <f>U22</f>
        <v>0</v>
      </c>
      <c r="AE353" s="500"/>
    </row>
    <row r="354" spans="1:31" hidden="1">
      <c r="A354" s="1335"/>
      <c r="B354" s="733">
        <v>3</v>
      </c>
      <c r="C354" s="733">
        <f>C33</f>
        <v>40</v>
      </c>
      <c r="D354" s="733">
        <f t="shared" ref="D354:F354" si="182">D33</f>
        <v>0.2</v>
      </c>
      <c r="E354" s="733">
        <f t="shared" si="182"/>
        <v>-0.7</v>
      </c>
      <c r="F354" s="733">
        <f t="shared" si="182"/>
        <v>0</v>
      </c>
      <c r="G354" s="733">
        <f>G33</f>
        <v>0.44999999999999996</v>
      </c>
      <c r="I354" s="1335"/>
      <c r="J354" s="733">
        <v>3</v>
      </c>
      <c r="K354" s="733">
        <f>J33</f>
        <v>90</v>
      </c>
      <c r="L354" s="733">
        <f>K33</f>
        <v>0.3</v>
      </c>
      <c r="M354" s="733">
        <f>L33</f>
        <v>-2</v>
      </c>
      <c r="N354" s="733">
        <f>M33</f>
        <v>0</v>
      </c>
      <c r="O354" s="733">
        <f>N33</f>
        <v>1.1499999999999999</v>
      </c>
      <c r="Q354" s="1339"/>
      <c r="R354" s="733">
        <v>3</v>
      </c>
      <c r="S354" s="733">
        <f>Q33</f>
        <v>1020</v>
      </c>
      <c r="T354" s="733" t="str">
        <f>R33</f>
        <v>-</v>
      </c>
      <c r="U354" s="733" t="str">
        <f>S33</f>
        <v>-</v>
      </c>
      <c r="V354" s="733">
        <f>T33</f>
        <v>9.9999999999999995E-7</v>
      </c>
      <c r="W354" s="543">
        <f>U33</f>
        <v>4.9999999999999998E-7</v>
      </c>
      <c r="AE354" s="500"/>
    </row>
    <row r="355" spans="1:31" hidden="1">
      <c r="A355" s="1335"/>
      <c r="B355" s="733">
        <v>4</v>
      </c>
      <c r="C355" s="733">
        <f>C44</f>
        <v>40</v>
      </c>
      <c r="D355" s="733">
        <f t="shared" ref="D355:F355" si="183">D44</f>
        <v>-0.5</v>
      </c>
      <c r="E355" s="733">
        <f t="shared" si="183"/>
        <v>-0.6</v>
      </c>
      <c r="F355" s="733">
        <f t="shared" si="183"/>
        <v>0</v>
      </c>
      <c r="G355" s="733">
        <f>G44</f>
        <v>4.9999999999999989E-2</v>
      </c>
      <c r="I355" s="1335"/>
      <c r="J355" s="733">
        <v>4</v>
      </c>
      <c r="K355" s="733">
        <f>J44</f>
        <v>90</v>
      </c>
      <c r="L355" s="733">
        <f>K44</f>
        <v>-3.5</v>
      </c>
      <c r="M355" s="733">
        <f>L44</f>
        <v>3.3</v>
      </c>
      <c r="N355" s="733">
        <f>M44</f>
        <v>0</v>
      </c>
      <c r="O355" s="733">
        <f>N44</f>
        <v>3.4</v>
      </c>
      <c r="Q355" s="1339"/>
      <c r="R355" s="733">
        <v>4</v>
      </c>
      <c r="S355" s="733">
        <f>Q44</f>
        <v>1020</v>
      </c>
      <c r="T355" s="733" t="str">
        <f>R44</f>
        <v>-</v>
      </c>
      <c r="U355" s="733" t="str">
        <f>S44</f>
        <v>-</v>
      </c>
      <c r="V355" s="733">
        <f>T44</f>
        <v>9.9999999999999995E-7</v>
      </c>
      <c r="W355" s="543">
        <f>U44</f>
        <v>0</v>
      </c>
      <c r="AE355" s="500"/>
    </row>
    <row r="356" spans="1:31" hidden="1">
      <c r="A356" s="1335"/>
      <c r="B356" s="733">
        <v>5</v>
      </c>
      <c r="C356" s="733">
        <f>C55</f>
        <v>40</v>
      </c>
      <c r="D356" s="733">
        <f t="shared" ref="D356:F356" si="184">D55</f>
        <v>0.7</v>
      </c>
      <c r="E356" s="733">
        <f t="shared" si="184"/>
        <v>-0.1</v>
      </c>
      <c r="F356" s="733">
        <f t="shared" si="184"/>
        <v>0</v>
      </c>
      <c r="G356" s="733">
        <f>G55</f>
        <v>0.39999999999999997</v>
      </c>
      <c r="I356" s="1335"/>
      <c r="J356" s="733">
        <v>5</v>
      </c>
      <c r="K356" s="733">
        <f>J55</f>
        <v>90</v>
      </c>
      <c r="L356" s="733">
        <f>K55</f>
        <v>-1.8</v>
      </c>
      <c r="M356" s="733">
        <f>L55</f>
        <v>2.7</v>
      </c>
      <c r="N356" s="733">
        <f>M55</f>
        <v>0</v>
      </c>
      <c r="O356" s="733">
        <f>N55</f>
        <v>2.25</v>
      </c>
      <c r="Q356" s="1339"/>
      <c r="R356" s="733">
        <v>5</v>
      </c>
      <c r="S356" s="733">
        <f>Q55</f>
        <v>1020</v>
      </c>
      <c r="T356" s="733" t="str">
        <f>R55</f>
        <v>-</v>
      </c>
      <c r="U356" s="733" t="str">
        <f>S55</f>
        <v>-</v>
      </c>
      <c r="V356" s="733">
        <f>T55</f>
        <v>9.9999999999999995E-7</v>
      </c>
      <c r="W356" s="543">
        <f>U55</f>
        <v>0</v>
      </c>
      <c r="AE356" s="500"/>
    </row>
    <row r="357" spans="1:31" hidden="1">
      <c r="A357" s="1335"/>
      <c r="B357" s="733">
        <v>6</v>
      </c>
      <c r="C357" s="733">
        <f>C66</f>
        <v>40</v>
      </c>
      <c r="D357" s="733">
        <f t="shared" ref="D357:F357" si="185">D66</f>
        <v>0.1</v>
      </c>
      <c r="E357" s="733">
        <f t="shared" si="185"/>
        <v>-1.4</v>
      </c>
      <c r="F357" s="733">
        <f t="shared" si="185"/>
        <v>0</v>
      </c>
      <c r="G357" s="733">
        <f>G66</f>
        <v>0.75</v>
      </c>
      <c r="I357" s="1335"/>
      <c r="J357" s="733">
        <v>6</v>
      </c>
      <c r="K357" s="733">
        <f>J66</f>
        <v>90</v>
      </c>
      <c r="L357" s="733">
        <f>K66</f>
        <v>-5.2</v>
      </c>
      <c r="M357" s="733">
        <f>L66</f>
        <v>0.7</v>
      </c>
      <c r="N357" s="733">
        <f>M66</f>
        <v>0</v>
      </c>
      <c r="O357" s="733">
        <f>N66</f>
        <v>2.95</v>
      </c>
      <c r="Q357" s="1339"/>
      <c r="R357" s="733">
        <v>6</v>
      </c>
      <c r="S357" s="733">
        <f>Q66</f>
        <v>1020</v>
      </c>
      <c r="T357" s="733">
        <f>R66</f>
        <v>0.9</v>
      </c>
      <c r="U357" s="733">
        <f>S66</f>
        <v>9.9999999999999995E-7</v>
      </c>
      <c r="V357" s="733">
        <f>T66</f>
        <v>9.9999999999999995E-7</v>
      </c>
      <c r="W357" s="543">
        <f>U66</f>
        <v>0.4499995</v>
      </c>
      <c r="AE357" s="500"/>
    </row>
    <row r="358" spans="1:31" hidden="1">
      <c r="A358" s="1335"/>
      <c r="B358" s="733">
        <v>7</v>
      </c>
      <c r="C358" s="733">
        <f>C77</f>
        <v>40</v>
      </c>
      <c r="D358" s="733">
        <f t="shared" ref="D358:F358" si="186">D77</f>
        <v>0.1</v>
      </c>
      <c r="E358" s="733">
        <f t="shared" si="186"/>
        <v>-1.7</v>
      </c>
      <c r="F358" s="733">
        <f t="shared" si="186"/>
        <v>0</v>
      </c>
      <c r="G358" s="733">
        <f>G77</f>
        <v>0.9</v>
      </c>
      <c r="I358" s="1335"/>
      <c r="J358" s="733">
        <v>7</v>
      </c>
      <c r="K358" s="733">
        <f>J77</f>
        <v>90</v>
      </c>
      <c r="L358" s="733">
        <f>K77</f>
        <v>-3</v>
      </c>
      <c r="M358" s="733">
        <f>L77</f>
        <v>1.8</v>
      </c>
      <c r="N358" s="733">
        <f>M77</f>
        <v>0</v>
      </c>
      <c r="O358" s="733">
        <f>N77</f>
        <v>2.4</v>
      </c>
      <c r="Q358" s="1339"/>
      <c r="R358" s="733">
        <v>7</v>
      </c>
      <c r="S358" s="733">
        <f>Q77</f>
        <v>1020</v>
      </c>
      <c r="T358" s="733">
        <f>R77</f>
        <v>-3.8</v>
      </c>
      <c r="U358" s="733">
        <f>S77</f>
        <v>9.9999999999999995E-7</v>
      </c>
      <c r="V358" s="733">
        <f>T77</f>
        <v>9.9999999999999995E-7</v>
      </c>
      <c r="W358" s="543">
        <f>U77</f>
        <v>1.9000005</v>
      </c>
      <c r="AE358" s="500"/>
    </row>
    <row r="359" spans="1:31" hidden="1">
      <c r="A359" s="1335"/>
      <c r="B359" s="733">
        <v>8</v>
      </c>
      <c r="C359" s="733">
        <f>C88</f>
        <v>40</v>
      </c>
      <c r="D359" s="733">
        <f t="shared" ref="D359:F359" si="187">D88</f>
        <v>9.9999999999999995E-7</v>
      </c>
      <c r="E359" s="733">
        <f t="shared" si="187"/>
        <v>-0.4</v>
      </c>
      <c r="F359" s="733">
        <f t="shared" si="187"/>
        <v>0</v>
      </c>
      <c r="G359" s="733">
        <f>G88</f>
        <v>0.2000005</v>
      </c>
      <c r="I359" s="1335"/>
      <c r="J359" s="733">
        <v>8</v>
      </c>
      <c r="K359" s="733">
        <f>J88</f>
        <v>90</v>
      </c>
      <c r="L359" s="733">
        <f>K88</f>
        <v>-4.9000000000000004</v>
      </c>
      <c r="M359" s="733">
        <f>L88</f>
        <v>-1.3</v>
      </c>
      <c r="N359" s="733">
        <f>M88</f>
        <v>0</v>
      </c>
      <c r="O359" s="733">
        <f>N88</f>
        <v>1.8000000000000003</v>
      </c>
      <c r="Q359" s="1339"/>
      <c r="R359" s="733">
        <v>8</v>
      </c>
      <c r="S359" s="733">
        <f>Q88</f>
        <v>1020</v>
      </c>
      <c r="T359" s="733">
        <f>R88</f>
        <v>-3.4</v>
      </c>
      <c r="U359" s="733">
        <f>S88</f>
        <v>9.9999999999999995E-7</v>
      </c>
      <c r="V359" s="733">
        <f>T88</f>
        <v>9.9999999999999995E-7</v>
      </c>
      <c r="W359" s="543">
        <f>U88</f>
        <v>1.7000005</v>
      </c>
      <c r="AE359" s="500"/>
    </row>
    <row r="360" spans="1:31" hidden="1">
      <c r="A360" s="1335"/>
      <c r="B360" s="733">
        <v>9</v>
      </c>
      <c r="C360" s="733">
        <f>C99</f>
        <v>40</v>
      </c>
      <c r="D360" s="733">
        <f t="shared" ref="D360:F360" si="188">D99</f>
        <v>-0.4</v>
      </c>
      <c r="E360" s="733" t="str">
        <f t="shared" si="188"/>
        <v>-</v>
      </c>
      <c r="F360" s="733">
        <f t="shared" si="188"/>
        <v>0</v>
      </c>
      <c r="G360" s="733">
        <f>G99</f>
        <v>0</v>
      </c>
      <c r="I360" s="1335"/>
      <c r="J360" s="733">
        <v>9</v>
      </c>
      <c r="K360" s="733">
        <f>J99</f>
        <v>90</v>
      </c>
      <c r="L360" s="733">
        <f>K99</f>
        <v>-0.2</v>
      </c>
      <c r="M360" s="733" t="str">
        <f>L99</f>
        <v>-</v>
      </c>
      <c r="N360" s="733">
        <f>M99</f>
        <v>0</v>
      </c>
      <c r="O360" s="733">
        <f>N99</f>
        <v>0</v>
      </c>
      <c r="Q360" s="1339"/>
      <c r="R360" s="733">
        <v>9</v>
      </c>
      <c r="S360" s="733">
        <f>Q99</f>
        <v>1020</v>
      </c>
      <c r="T360" s="733">
        <f>R99</f>
        <v>9.9999999999999995E-7</v>
      </c>
      <c r="U360" s="733" t="str">
        <f>S99</f>
        <v>-</v>
      </c>
      <c r="V360" s="733">
        <f>T99</f>
        <v>9.9999999999999995E-7</v>
      </c>
      <c r="W360" s="543">
        <f>U99</f>
        <v>0</v>
      </c>
      <c r="AE360" s="500"/>
    </row>
    <row r="361" spans="1:31" hidden="1">
      <c r="A361" s="1335"/>
      <c r="B361" s="733">
        <v>10</v>
      </c>
      <c r="C361" s="733">
        <f>C110</f>
        <v>40</v>
      </c>
      <c r="D361" s="733">
        <f t="shared" ref="D361:F361" si="189">D110</f>
        <v>0.2</v>
      </c>
      <c r="E361" s="733">
        <f t="shared" si="189"/>
        <v>9.9999999999999995E-7</v>
      </c>
      <c r="F361" s="733">
        <f t="shared" si="189"/>
        <v>0</v>
      </c>
      <c r="G361" s="733">
        <f>G110</f>
        <v>9.9999500000000005E-2</v>
      </c>
      <c r="I361" s="1335"/>
      <c r="J361" s="733">
        <v>10</v>
      </c>
      <c r="K361" s="733">
        <f>J110</f>
        <v>90</v>
      </c>
      <c r="L361" s="733">
        <f>K110</f>
        <v>5.4</v>
      </c>
      <c r="M361" s="733">
        <f>L110</f>
        <v>9.9999999999999995E-7</v>
      </c>
      <c r="N361" s="733">
        <f>M110</f>
        <v>0</v>
      </c>
      <c r="O361" s="733">
        <f>N110</f>
        <v>2.6999995000000001</v>
      </c>
      <c r="Q361" s="1339"/>
      <c r="R361" s="733">
        <v>10</v>
      </c>
      <c r="S361" s="733">
        <f>Q110</f>
        <v>1020</v>
      </c>
      <c r="T361" s="733" t="str">
        <f>R110</f>
        <v>-</v>
      </c>
      <c r="U361" s="733" t="str">
        <f>S110</f>
        <v>-</v>
      </c>
      <c r="V361" s="733">
        <f>T110</f>
        <v>9.9999999999999995E-7</v>
      </c>
      <c r="W361" s="543">
        <f>U110</f>
        <v>0</v>
      </c>
      <c r="AE361" s="500"/>
    </row>
    <row r="362" spans="1:31" hidden="1">
      <c r="A362" s="1335"/>
      <c r="B362" s="733">
        <v>11</v>
      </c>
      <c r="C362" s="733">
        <f>C121</f>
        <v>40</v>
      </c>
      <c r="D362" s="733">
        <f t="shared" ref="D362:F362" si="190">D121</f>
        <v>0.5</v>
      </c>
      <c r="E362" s="733">
        <f t="shared" si="190"/>
        <v>9.9999999999999995E-7</v>
      </c>
      <c r="F362" s="733">
        <f t="shared" si="190"/>
        <v>0</v>
      </c>
      <c r="G362" s="733">
        <f>G121</f>
        <v>0.24999950000000001</v>
      </c>
      <c r="I362" s="1335"/>
      <c r="J362" s="733">
        <v>11</v>
      </c>
      <c r="K362" s="733">
        <f>J121</f>
        <v>90</v>
      </c>
      <c r="L362" s="733">
        <f>K121</f>
        <v>1.3</v>
      </c>
      <c r="M362" s="733">
        <f>L121</f>
        <v>9.9999999999999995E-7</v>
      </c>
      <c r="N362" s="733">
        <f>M121</f>
        <v>0</v>
      </c>
      <c r="O362" s="733">
        <f>N121</f>
        <v>0.64999950000000006</v>
      </c>
      <c r="Q362" s="1339"/>
      <c r="R362" s="733">
        <v>11</v>
      </c>
      <c r="S362" s="733">
        <f>Q121</f>
        <v>1020</v>
      </c>
      <c r="T362" s="733" t="str">
        <f>R121</f>
        <v>-</v>
      </c>
      <c r="U362" s="733" t="str">
        <f>S121</f>
        <v>-</v>
      </c>
      <c r="V362" s="733">
        <f>T121</f>
        <v>9.9999999999999995E-7</v>
      </c>
      <c r="W362" s="543">
        <f>U121</f>
        <v>0</v>
      </c>
      <c r="AE362" s="500"/>
    </row>
    <row r="363" spans="1:31" hidden="1">
      <c r="A363" s="1335"/>
      <c r="B363" s="733">
        <v>12</v>
      </c>
      <c r="C363" s="733">
        <f>C132</f>
        <v>40</v>
      </c>
      <c r="D363" s="733">
        <f t="shared" ref="D363:F363" si="191">D132</f>
        <v>-0.4</v>
      </c>
      <c r="E363" s="733" t="str">
        <f t="shared" si="191"/>
        <v>-</v>
      </c>
      <c r="F363" s="733">
        <f t="shared" si="191"/>
        <v>0</v>
      </c>
      <c r="G363" s="733">
        <f>G132</f>
        <v>0</v>
      </c>
      <c r="I363" s="1335"/>
      <c r="J363" s="733">
        <v>12</v>
      </c>
      <c r="K363" s="733">
        <f>J132</f>
        <v>90</v>
      </c>
      <c r="L363" s="733">
        <f>K132</f>
        <v>-0.9</v>
      </c>
      <c r="M363" s="733" t="str">
        <f>L132</f>
        <v>-</v>
      </c>
      <c r="N363" s="733">
        <f>M132</f>
        <v>0</v>
      </c>
      <c r="O363" s="733">
        <f>N132</f>
        <v>0</v>
      </c>
      <c r="Q363" s="1339"/>
      <c r="R363" s="733">
        <v>12</v>
      </c>
      <c r="S363" s="733">
        <f>Q132</f>
        <v>1020</v>
      </c>
      <c r="T363" s="733">
        <f>R132</f>
        <v>9.9999999999999995E-7</v>
      </c>
      <c r="U363" s="733" t="str">
        <f>S132</f>
        <v>-</v>
      </c>
      <c r="V363" s="733">
        <f>T132</f>
        <v>0</v>
      </c>
      <c r="W363" s="543">
        <f>U132</f>
        <v>0</v>
      </c>
      <c r="AE363" s="500"/>
    </row>
    <row r="364" spans="1:31" hidden="1">
      <c r="A364" s="1335"/>
      <c r="B364" s="733">
        <v>13</v>
      </c>
      <c r="C364" s="733">
        <f>C143</f>
        <v>40</v>
      </c>
      <c r="D364" s="733">
        <f t="shared" ref="D364:F364" si="192">D143</f>
        <v>-0.2</v>
      </c>
      <c r="E364" s="733">
        <f t="shared" si="192"/>
        <v>0.5</v>
      </c>
      <c r="F364" s="733">
        <f t="shared" si="192"/>
        <v>0</v>
      </c>
      <c r="G364" s="733">
        <f>G143</f>
        <v>0.35</v>
      </c>
      <c r="I364" s="1335"/>
      <c r="J364" s="733">
        <v>13</v>
      </c>
      <c r="K364" s="733">
        <f>J143</f>
        <v>90</v>
      </c>
      <c r="L364" s="733">
        <f>K143</f>
        <v>-1</v>
      </c>
      <c r="M364" s="733">
        <f>L143</f>
        <v>-3.2</v>
      </c>
      <c r="N364" s="733">
        <f>M143</f>
        <v>0</v>
      </c>
      <c r="O364" s="733">
        <f>N143</f>
        <v>1.1000000000000001</v>
      </c>
      <c r="Q364" s="1339"/>
      <c r="R364" s="733">
        <v>13</v>
      </c>
      <c r="S364" s="733">
        <f>Q143</f>
        <v>1020</v>
      </c>
      <c r="T364" s="733">
        <f>R143</f>
        <v>9.9999999999999995E-7</v>
      </c>
      <c r="U364" s="733">
        <f>S143</f>
        <v>9.9999999999999995E-7</v>
      </c>
      <c r="V364" s="733">
        <f>T143</f>
        <v>0</v>
      </c>
      <c r="W364" s="543">
        <f>U143</f>
        <v>0</v>
      </c>
      <c r="AE364" s="500"/>
    </row>
    <row r="365" spans="1:31" hidden="1">
      <c r="A365" s="1335"/>
      <c r="B365" s="733">
        <v>14</v>
      </c>
      <c r="C365" s="733">
        <f>C154</f>
        <v>40</v>
      </c>
      <c r="D365" s="733">
        <f t="shared" ref="D365:F365" si="193">D154</f>
        <v>-0.8</v>
      </c>
      <c r="E365" s="733">
        <f t="shared" si="193"/>
        <v>-1.1000000000000001</v>
      </c>
      <c r="F365" s="733">
        <f t="shared" si="193"/>
        <v>0</v>
      </c>
      <c r="G365" s="733">
        <f>G154</f>
        <v>0.15000000000000002</v>
      </c>
      <c r="I365" s="1335"/>
      <c r="J365" s="733">
        <v>14</v>
      </c>
      <c r="K365" s="733">
        <f>J154</f>
        <v>90</v>
      </c>
      <c r="L365" s="733">
        <f>K154</f>
        <v>1.5</v>
      </c>
      <c r="M365" s="733">
        <f>L154</f>
        <v>-0.8</v>
      </c>
      <c r="N365" s="733">
        <f>M154</f>
        <v>0</v>
      </c>
      <c r="O365" s="733">
        <f>N154</f>
        <v>1.1499999999999999</v>
      </c>
      <c r="Q365" s="1339"/>
      <c r="R365" s="733">
        <v>14</v>
      </c>
      <c r="S365" s="733">
        <f>Q154</f>
        <v>1020</v>
      </c>
      <c r="T365" s="733">
        <f>R154</f>
        <v>9.9999999999999995E-7</v>
      </c>
      <c r="U365" s="733">
        <f>S154</f>
        <v>9.9999999999999995E-7</v>
      </c>
      <c r="V365" s="733">
        <f>T154</f>
        <v>0</v>
      </c>
      <c r="W365" s="543">
        <f>U154</f>
        <v>0</v>
      </c>
      <c r="AE365" s="500"/>
    </row>
    <row r="366" spans="1:31" hidden="1">
      <c r="A366" s="1335"/>
      <c r="B366" s="733">
        <v>15</v>
      </c>
      <c r="C366" s="733">
        <f>C165</f>
        <v>40</v>
      </c>
      <c r="D366" s="733">
        <f t="shared" ref="D366:F366" si="194">D165</f>
        <v>1.4</v>
      </c>
      <c r="E366" s="733">
        <f t="shared" si="194"/>
        <v>9.9999999999999995E-7</v>
      </c>
      <c r="F366" s="733">
        <f t="shared" si="194"/>
        <v>0</v>
      </c>
      <c r="G366" s="733">
        <f>G165</f>
        <v>0.6999995</v>
      </c>
      <c r="I366" s="1335"/>
      <c r="J366" s="733">
        <v>15</v>
      </c>
      <c r="K366" s="733">
        <f>J165</f>
        <v>90</v>
      </c>
      <c r="L366" s="733">
        <f>K165</f>
        <v>-0.1</v>
      </c>
      <c r="M366" s="733">
        <f>L165</f>
        <v>-2</v>
      </c>
      <c r="N366" s="733">
        <f>M165</f>
        <v>0</v>
      </c>
      <c r="O366" s="733">
        <f>N165</f>
        <v>0.95</v>
      </c>
      <c r="Q366" s="1339"/>
      <c r="R366" s="733">
        <v>15</v>
      </c>
      <c r="S366" s="733">
        <f>Q165</f>
        <v>1020</v>
      </c>
      <c r="T366" s="733">
        <f>R165</f>
        <v>9.9999999999999995E-7</v>
      </c>
      <c r="U366" s="733">
        <f>S165</f>
        <v>9.9999999999999995E-7</v>
      </c>
      <c r="V366" s="733">
        <f>T165</f>
        <v>0</v>
      </c>
      <c r="W366" s="543">
        <f>U165</f>
        <v>0</v>
      </c>
      <c r="AE366" s="500"/>
    </row>
    <row r="367" spans="1:31" hidden="1">
      <c r="A367" s="1335"/>
      <c r="B367" s="733">
        <v>16</v>
      </c>
      <c r="C367" s="733">
        <f>C176</f>
        <v>40</v>
      </c>
      <c r="D367" s="733">
        <f t="shared" ref="D367:F367" si="195">D176</f>
        <v>9.9999999999999995E-7</v>
      </c>
      <c r="E367" s="733" t="str">
        <f t="shared" si="195"/>
        <v>-</v>
      </c>
      <c r="F367" s="733">
        <f t="shared" si="195"/>
        <v>0</v>
      </c>
      <c r="G367" s="733">
        <f>G176</f>
        <v>0</v>
      </c>
      <c r="I367" s="1335"/>
      <c r="J367" s="733">
        <v>16</v>
      </c>
      <c r="K367" s="733">
        <f>J176</f>
        <v>90</v>
      </c>
      <c r="L367" s="733">
        <f>K176</f>
        <v>-3</v>
      </c>
      <c r="M367" s="733" t="str">
        <f>L176</f>
        <v>-</v>
      </c>
      <c r="N367" s="733">
        <f>M176</f>
        <v>0</v>
      </c>
      <c r="O367" s="733">
        <f>N176</f>
        <v>0</v>
      </c>
      <c r="Q367" s="1339"/>
      <c r="R367" s="733">
        <v>16</v>
      </c>
      <c r="S367" s="733">
        <f>Q176</f>
        <v>1020</v>
      </c>
      <c r="T367" s="733">
        <f>R176</f>
        <v>9.9999999999999995E-7</v>
      </c>
      <c r="U367" s="733" t="str">
        <f>S176</f>
        <v>-</v>
      </c>
      <c r="V367" s="733">
        <f>T176</f>
        <v>0</v>
      </c>
      <c r="W367" s="543">
        <f>U176</f>
        <v>0</v>
      </c>
      <c r="AE367" s="500"/>
    </row>
    <row r="368" spans="1:31" hidden="1">
      <c r="A368" s="1335"/>
      <c r="B368" s="733">
        <v>17</v>
      </c>
      <c r="C368" s="733">
        <f>C187</f>
        <v>40</v>
      </c>
      <c r="D368" s="733">
        <f t="shared" ref="D368:F368" si="196">D187</f>
        <v>-0.8</v>
      </c>
      <c r="E368" s="733" t="str">
        <f t="shared" si="196"/>
        <v>-</v>
      </c>
      <c r="F368" s="733">
        <f t="shared" si="196"/>
        <v>0</v>
      </c>
      <c r="G368" s="733">
        <f>G187</f>
        <v>0</v>
      </c>
      <c r="I368" s="1335"/>
      <c r="J368" s="733">
        <v>17</v>
      </c>
      <c r="K368" s="733">
        <f>J187</f>
        <v>90</v>
      </c>
      <c r="L368" s="733">
        <f>K187</f>
        <v>-1.4</v>
      </c>
      <c r="M368" s="733" t="str">
        <f>L187</f>
        <v>-</v>
      </c>
      <c r="N368" s="733">
        <f>M187</f>
        <v>0</v>
      </c>
      <c r="O368" s="733">
        <f>N187</f>
        <v>0</v>
      </c>
      <c r="Q368" s="1339"/>
      <c r="R368" s="733">
        <v>17</v>
      </c>
      <c r="S368" s="733">
        <f>Q187</f>
        <v>1020</v>
      </c>
      <c r="T368" s="733">
        <f>R187</f>
        <v>9.9999999999999995E-7</v>
      </c>
      <c r="U368" s="733" t="str">
        <f>S187</f>
        <v>-</v>
      </c>
      <c r="V368" s="733">
        <f>T187</f>
        <v>0</v>
      </c>
      <c r="W368" s="543">
        <f>U187</f>
        <v>0</v>
      </c>
      <c r="AE368" s="500"/>
    </row>
    <row r="369" spans="1:31" hidden="1">
      <c r="A369" s="1335"/>
      <c r="B369" s="733">
        <v>18</v>
      </c>
      <c r="C369" s="733">
        <f>C198</f>
        <v>40</v>
      </c>
      <c r="D369" s="733">
        <f t="shared" ref="D369:F369" si="197">D198</f>
        <v>-0.4</v>
      </c>
      <c r="E369" s="733" t="str">
        <f t="shared" si="197"/>
        <v>-</v>
      </c>
      <c r="F369" s="733">
        <f t="shared" si="197"/>
        <v>0</v>
      </c>
      <c r="G369" s="733">
        <f>G198</f>
        <v>0</v>
      </c>
      <c r="I369" s="1335"/>
      <c r="J369" s="733">
        <v>18</v>
      </c>
      <c r="K369" s="733">
        <f>J198</f>
        <v>90</v>
      </c>
      <c r="L369" s="733">
        <f>K198</f>
        <v>-0.8</v>
      </c>
      <c r="M369" s="733" t="str">
        <f>L198</f>
        <v>-</v>
      </c>
      <c r="N369" s="733">
        <f>M198</f>
        <v>0</v>
      </c>
      <c r="O369" s="733">
        <f>N198</f>
        <v>0</v>
      </c>
      <c r="Q369" s="1339"/>
      <c r="R369" s="733">
        <v>18</v>
      </c>
      <c r="S369" s="733">
        <f>Q198</f>
        <v>1020</v>
      </c>
      <c r="T369" s="733">
        <f>R198</f>
        <v>9.9999999999999995E-7</v>
      </c>
      <c r="U369" s="733" t="str">
        <f>S198</f>
        <v>-</v>
      </c>
      <c r="V369" s="733">
        <f>T198</f>
        <v>0</v>
      </c>
      <c r="W369" s="543">
        <f>U198</f>
        <v>0</v>
      </c>
      <c r="AE369" s="500"/>
    </row>
    <row r="370" spans="1:31" hidden="1">
      <c r="A370" s="1335"/>
      <c r="B370" s="733">
        <v>19</v>
      </c>
      <c r="C370" s="733">
        <f>C209</f>
        <v>40</v>
      </c>
      <c r="D370" s="733">
        <f t="shared" ref="D370:F370" si="198">D209</f>
        <v>0.2</v>
      </c>
      <c r="E370" s="733" t="str">
        <f t="shared" si="198"/>
        <v>-</v>
      </c>
      <c r="F370" s="733">
        <f t="shared" si="198"/>
        <v>0</v>
      </c>
      <c r="G370" s="733">
        <f>G209</f>
        <v>0</v>
      </c>
      <c r="I370" s="1335"/>
      <c r="J370" s="733">
        <v>19</v>
      </c>
      <c r="K370" s="733">
        <f>J209</f>
        <v>90</v>
      </c>
      <c r="L370" s="733">
        <f>K209</f>
        <v>-0.6</v>
      </c>
      <c r="M370" s="733" t="str">
        <f>L209</f>
        <v>-</v>
      </c>
      <c r="N370" s="733">
        <f>M209</f>
        <v>0</v>
      </c>
      <c r="O370" s="733">
        <f>N209</f>
        <v>0</v>
      </c>
      <c r="Q370" s="1339"/>
      <c r="R370" s="733">
        <v>19</v>
      </c>
      <c r="S370" s="733">
        <f>Q209</f>
        <v>1020</v>
      </c>
      <c r="T370" s="733">
        <f>R209</f>
        <v>2.2999999999999998</v>
      </c>
      <c r="U370" s="733" t="str">
        <f>S209</f>
        <v>-</v>
      </c>
      <c r="V370" s="733">
        <f>T209</f>
        <v>0</v>
      </c>
      <c r="W370" s="543">
        <f>U209</f>
        <v>0</v>
      </c>
      <c r="AE370" s="500"/>
    </row>
    <row r="371" spans="1:31" ht="13.8" hidden="1" thickBot="1">
      <c r="A371" s="1335"/>
      <c r="B371" s="733">
        <v>20</v>
      </c>
      <c r="C371" s="733">
        <f>C220</f>
        <v>40</v>
      </c>
      <c r="D371" s="733">
        <f t="shared" ref="D371:F371" si="199">D220</f>
        <v>9.9999999999999995E-7</v>
      </c>
      <c r="E371" s="733" t="str">
        <f t="shared" si="199"/>
        <v>-</v>
      </c>
      <c r="F371" s="733">
        <f t="shared" si="199"/>
        <v>9.9999999999999995E-7</v>
      </c>
      <c r="G371" s="733">
        <f>G220</f>
        <v>0</v>
      </c>
      <c r="I371" s="1335"/>
      <c r="J371" s="733">
        <v>20</v>
      </c>
      <c r="K371" s="733">
        <f>J220</f>
        <v>90</v>
      </c>
      <c r="L371" s="733">
        <f>K220</f>
        <v>9.9999999999999995E-7</v>
      </c>
      <c r="M371" s="733" t="str">
        <f>L220</f>
        <v>-</v>
      </c>
      <c r="N371" s="733">
        <f>M220</f>
        <v>0</v>
      </c>
      <c r="O371" s="733">
        <f>N220</f>
        <v>0</v>
      </c>
      <c r="Q371" s="1340"/>
      <c r="R371" s="735">
        <v>20</v>
      </c>
      <c r="S371" s="735">
        <f>Q220</f>
        <v>1020</v>
      </c>
      <c r="T371" s="735">
        <f>R220</f>
        <v>9.9999999999999995E-7</v>
      </c>
      <c r="U371" s="735" t="str">
        <f>S220</f>
        <v>-</v>
      </c>
      <c r="V371" s="735">
        <f>T220</f>
        <v>9.9999999999999995E-7</v>
      </c>
      <c r="W371" s="560">
        <f>U220</f>
        <v>0</v>
      </c>
      <c r="AE371" s="553"/>
    </row>
    <row r="372" spans="1:31" ht="13.8" thickBot="1">
      <c r="A372" s="509"/>
      <c r="B372" s="510"/>
      <c r="C372" s="505"/>
      <c r="D372" s="505"/>
      <c r="E372" s="505"/>
      <c r="F372" s="505"/>
      <c r="G372" s="505"/>
      <c r="H372" s="500"/>
      <c r="I372" s="511"/>
      <c r="J372" s="510"/>
      <c r="K372" s="505"/>
      <c r="L372" s="505"/>
      <c r="M372" s="505"/>
      <c r="N372" s="505"/>
      <c r="O372" s="505"/>
      <c r="P372" s="500"/>
    </row>
    <row r="373" spans="1:31" ht="29.25" customHeight="1">
      <c r="A373" s="895">
        <f>A410</f>
        <v>6</v>
      </c>
      <c r="B373" s="1331" t="str">
        <f>A389</f>
        <v>Thermohygrolight, Merek : Greisinger, Model : GFTB 200, SN : 34903046</v>
      </c>
      <c r="C373" s="1331"/>
      <c r="D373" s="1331"/>
      <c r="E373" s="1331"/>
      <c r="G373" s="895">
        <f>A373</f>
        <v>6</v>
      </c>
      <c r="H373" s="1331" t="str">
        <f>B373</f>
        <v>Thermohygrolight, Merek : Greisinger, Model : GFTB 200, SN : 34903046</v>
      </c>
      <c r="I373" s="1331"/>
      <c r="J373" s="1331"/>
      <c r="K373" s="1331"/>
      <c r="M373" s="895">
        <f>G373</f>
        <v>6</v>
      </c>
      <c r="N373" s="1331" t="str">
        <f>H373</f>
        <v>Thermohygrolight, Merek : Greisinger, Model : GFTB 200, SN : 34903046</v>
      </c>
      <c r="O373" s="1331"/>
      <c r="P373" s="1331"/>
      <c r="Q373" s="1331"/>
      <c r="S373" s="896">
        <f>A373</f>
        <v>6</v>
      </c>
      <c r="T373" s="1332" t="str">
        <f>H373</f>
        <v>Thermohygrolight, Merek : Greisinger, Model : GFTB 200, SN : 34903046</v>
      </c>
      <c r="U373" s="1332"/>
      <c r="V373" s="1332"/>
      <c r="W373" s="1333"/>
      <c r="Z373" s="897"/>
      <c r="AE373" s="492"/>
    </row>
    <row r="374" spans="1:31" ht="13.8">
      <c r="A374" s="736" t="s">
        <v>258</v>
      </c>
      <c r="B374" s="1334" t="s">
        <v>259</v>
      </c>
      <c r="C374" s="1334"/>
      <c r="D374" s="1334"/>
      <c r="E374" s="1334" t="s">
        <v>215</v>
      </c>
      <c r="G374" s="736" t="s">
        <v>260</v>
      </c>
      <c r="H374" s="1334" t="s">
        <v>259</v>
      </c>
      <c r="I374" s="1334"/>
      <c r="J374" s="1334"/>
      <c r="K374" s="1334" t="s">
        <v>215</v>
      </c>
      <c r="M374" s="736" t="s">
        <v>488</v>
      </c>
      <c r="N374" s="1334" t="s">
        <v>259</v>
      </c>
      <c r="O374" s="1334"/>
      <c r="P374" s="1334"/>
      <c r="Q374" s="1334" t="s">
        <v>215</v>
      </c>
      <c r="S374" s="1325"/>
      <c r="T374" s="1326" t="s">
        <v>281</v>
      </c>
      <c r="U374" s="1326" t="s">
        <v>282</v>
      </c>
      <c r="V374" s="1326" t="s">
        <v>283</v>
      </c>
      <c r="W374" s="1327" t="s">
        <v>237</v>
      </c>
      <c r="Z374" s="505"/>
    </row>
    <row r="375" spans="1:31" ht="14.4">
      <c r="A375" s="898" t="s">
        <v>274</v>
      </c>
      <c r="B375" s="562">
        <f>VLOOKUP(B373,A390:L409,9,FALSE)</f>
        <v>2019</v>
      </c>
      <c r="C375" s="562">
        <f>VLOOKUP(B373,A390:L409,10,FALSE)</f>
        <v>2018</v>
      </c>
      <c r="D375" s="562">
        <f>VLOOKUP(B373,A390:L409,11,FALSE)</f>
        <v>2016</v>
      </c>
      <c r="E375" s="1334"/>
      <c r="G375" s="899" t="s">
        <v>14</v>
      </c>
      <c r="H375" s="562">
        <f>B375</f>
        <v>2019</v>
      </c>
      <c r="I375" s="562">
        <f>C375</f>
        <v>2018</v>
      </c>
      <c r="J375" s="562">
        <f>D375</f>
        <v>2016</v>
      </c>
      <c r="K375" s="1334"/>
      <c r="M375" s="899" t="s">
        <v>489</v>
      </c>
      <c r="N375" s="562">
        <f>H375</f>
        <v>2019</v>
      </c>
      <c r="O375" s="562">
        <f>I375</f>
        <v>2018</v>
      </c>
      <c r="P375" s="562">
        <f>J375</f>
        <v>2016</v>
      </c>
      <c r="Q375" s="1334"/>
      <c r="S375" s="1325"/>
      <c r="T375" s="1326"/>
      <c r="U375" s="1326"/>
      <c r="V375" s="1326"/>
      <c r="W375" s="1327"/>
      <c r="Z375" s="505"/>
    </row>
    <row r="376" spans="1:31">
      <c r="A376" s="506">
        <f>VLOOKUP($A$373,$B$226:$G$245,2,FALSE)</f>
        <v>15</v>
      </c>
      <c r="B376" s="506">
        <f>VLOOKUP($A$373,$B$226:$G$245,3,FALSE)</f>
        <v>0.4</v>
      </c>
      <c r="C376" s="506">
        <f>VLOOKUP($A$373,$B$226:$G$245,4,FALSE)</f>
        <v>0.4</v>
      </c>
      <c r="D376" s="506">
        <f>VLOOKUP($A$373,$B$226:$G$245,5,FALSE)</f>
        <v>0</v>
      </c>
      <c r="E376" s="506">
        <f>VLOOKUP($A$373,$B$226:$G$245,6,FALSE)</f>
        <v>0</v>
      </c>
      <c r="G376" s="506">
        <f>VLOOKUP($G$373,$J$226:$O$245,2,FALSE)</f>
        <v>30</v>
      </c>
      <c r="H376" s="506">
        <f>VLOOKUP($G$373,$J$226:$O$245,3,FALSE)</f>
        <v>-1.5</v>
      </c>
      <c r="I376" s="506">
        <f>VLOOKUP($G$373,$J$226:$O$245,4,FALSE)</f>
        <v>1.7</v>
      </c>
      <c r="J376" s="928">
        <f>VLOOKUP($G$373,$J$226:$O$245,5,FALSE)</f>
        <v>0</v>
      </c>
      <c r="K376" s="506">
        <f>VLOOKUP($G$373,$J$226:$O$245,6,FALSE)</f>
        <v>1.6</v>
      </c>
      <c r="M376" s="506">
        <f>VLOOKUP($M$373,$R$226:$W$245,2,FALSE)</f>
        <v>750</v>
      </c>
      <c r="N376" s="506">
        <f>VLOOKUP($M$373,$R$226:$W$245,3,FALSE)</f>
        <v>0.9</v>
      </c>
      <c r="O376" s="506">
        <f>VLOOKUP($M$373,$R$226:$W$245,4,FALSE)</f>
        <v>2.1</v>
      </c>
      <c r="P376" s="927">
        <f>VLOOKUP($M$373,$R$226:$W$245,5,FALSE)</f>
        <v>9.9999999999999995E-7</v>
      </c>
      <c r="Q376" s="506">
        <f>VLOOKUP($M$373,$R$226:$W$245,6,FALSE)</f>
        <v>1.0499995</v>
      </c>
      <c r="S376" s="1325"/>
      <c r="T376" s="1326"/>
      <c r="U376" s="1326"/>
      <c r="V376" s="1326"/>
      <c r="W376" s="1327"/>
      <c r="Z376" s="505"/>
    </row>
    <row r="377" spans="1:31">
      <c r="A377" s="506">
        <f>VLOOKUP($A$373,$B$247:$G$266,2,FALSE)</f>
        <v>20</v>
      </c>
      <c r="B377" s="506">
        <f>VLOOKUP($A$373,$B$247:$G$266,3,FALSE)</f>
        <v>0.3</v>
      </c>
      <c r="C377" s="506">
        <f>VLOOKUP($A$373,$B$247:$G$266,4,FALSE)</f>
        <v>0.2</v>
      </c>
      <c r="D377" s="506">
        <f>VLOOKUP($A$373,$B$247:$G$266,5,FALSE)</f>
        <v>0</v>
      </c>
      <c r="E377" s="506">
        <f>VLOOKUP($A$373,$B$247:$G$266,6,FALSE)</f>
        <v>4.9999999999999989E-2</v>
      </c>
      <c r="G377" s="506">
        <f>VLOOKUP($G$373,$J$247:$O$266,2,FALSE)</f>
        <v>40</v>
      </c>
      <c r="H377" s="506">
        <f>VLOOKUP($G$373,$J$247:$O$266,3,FALSE)</f>
        <v>-3.8</v>
      </c>
      <c r="I377" s="506">
        <f>VLOOKUP($G$373,$J$247:$O$266,4,FALSE)</f>
        <v>1.5</v>
      </c>
      <c r="J377" s="928">
        <f>VLOOKUP($G$373,$J$247:$O$266,5,FALSE)</f>
        <v>0</v>
      </c>
      <c r="K377" s="506">
        <f>VLOOKUP($G$373,$J$247:$O$266,6,FALSE)</f>
        <v>2.65</v>
      </c>
      <c r="M377" s="506">
        <f>VLOOKUP($M$373,$R$247:$W$266,2,FALSE)</f>
        <v>800</v>
      </c>
      <c r="N377" s="506">
        <f>VLOOKUP($M$373,$R$247:$W$266,3,FALSE)</f>
        <v>0.9</v>
      </c>
      <c r="O377" s="506">
        <f>VLOOKUP($M$373,$R$247:$W$266,4,FALSE)</f>
        <v>1.6</v>
      </c>
      <c r="P377" s="927">
        <f>VLOOKUP($M$373,$R$247:$W$266,5,FALSE)</f>
        <v>9.9999999999999995E-7</v>
      </c>
      <c r="Q377" s="506">
        <f>VLOOKUP($M$373,$R$247:$W$266,6,FALSE)</f>
        <v>0.79999950000000009</v>
      </c>
      <c r="S377" s="512" t="s">
        <v>258</v>
      </c>
      <c r="T377" s="513">
        <f>ID!E17</f>
        <v>26.25</v>
      </c>
      <c r="U377" s="438">
        <f>T377+S386</f>
        <v>26.467688679245285</v>
      </c>
      <c r="V377" s="513">
        <f>STDEV(ID!C17:D17)</f>
        <v>7.0710678118655765E-2</v>
      </c>
      <c r="W377" s="900">
        <f>VLOOKUP(S373,Y225:Z244,2,(FALSE))</f>
        <v>0.8</v>
      </c>
      <c r="Z377" s="505"/>
    </row>
    <row r="378" spans="1:31">
      <c r="A378" s="506">
        <f>VLOOKUP($A$373,$B$268:$G$287,2,FALSE)</f>
        <v>25</v>
      </c>
      <c r="B378" s="506">
        <f>VLOOKUP($A$373,$B$268:$G$287,3,FALSE)</f>
        <v>0.2</v>
      </c>
      <c r="C378" s="506">
        <f>VLOOKUP($A$373,$B$268:$G$287,4,FALSE)</f>
        <v>-0.1</v>
      </c>
      <c r="D378" s="506">
        <f>VLOOKUP($A$373,$B$268:$G$287,5,FALSE)</f>
        <v>0</v>
      </c>
      <c r="E378" s="506">
        <f>VLOOKUP($A$373,$B$268:$G$287,6,FALSE)</f>
        <v>0.15000000000000002</v>
      </c>
      <c r="G378" s="506">
        <f>VLOOKUP($G$373,$J$268:$O$287,2,FALSE)</f>
        <v>50</v>
      </c>
      <c r="H378" s="506">
        <f>VLOOKUP($G$373,$J$268:$O$287,3,FALSE)</f>
        <v>-5.4</v>
      </c>
      <c r="I378" s="506">
        <f>VLOOKUP($G$373,$J$268:$O$287,4,FALSE)</f>
        <v>1.2</v>
      </c>
      <c r="J378" s="928">
        <f>VLOOKUP($G$373,$J$268:$O$287,5,FALSE)</f>
        <v>0</v>
      </c>
      <c r="K378" s="506">
        <f>VLOOKUP($G$373,$J$268:$O$287,6,FALSE)</f>
        <v>3.3000000000000003</v>
      </c>
      <c r="M378" s="506">
        <f>VLOOKUP($M$373,$R$268:$W$287,2,FALSE)</f>
        <v>850</v>
      </c>
      <c r="N378" s="506">
        <f>VLOOKUP($M$373,$R$268:$W$287,3,FALSE)</f>
        <v>0.9</v>
      </c>
      <c r="O378" s="506">
        <f>VLOOKUP($M$373,$R$268:$W$287,4,FALSE)</f>
        <v>1.1000000000000001</v>
      </c>
      <c r="P378" s="927">
        <f>VLOOKUP($M$373,$R$268:$W$287,5,FALSE)</f>
        <v>9.9999999999999995E-7</v>
      </c>
      <c r="Q378" s="506">
        <f>VLOOKUP($M$373,$R$268:$W$287,6,FALSE)</f>
        <v>0.54999950000000009</v>
      </c>
      <c r="S378" s="512" t="s">
        <v>14</v>
      </c>
      <c r="T378" s="513">
        <f>ID!E18</f>
        <v>63.25</v>
      </c>
      <c r="U378" s="438">
        <f>T378+T386</f>
        <v>58.005178571428573</v>
      </c>
      <c r="V378" s="513">
        <f>STDEV(ID!C18:D18)</f>
        <v>0.21213203435596223</v>
      </c>
      <c r="W378" s="900">
        <f>VLOOKUP(S373,Y249:Z268,2,(FALSE))</f>
        <v>2.6</v>
      </c>
      <c r="Z378" s="505"/>
    </row>
    <row r="379" spans="1:31" ht="13.8" thickBot="1">
      <c r="A379" s="506">
        <f>VLOOKUP($A$373,$B$289:$G$308,2,FALSE)</f>
        <v>30</v>
      </c>
      <c r="B379" s="506">
        <f>VLOOKUP($A$373,$B$289:$G$308,3,FALSE)</f>
        <v>0.1</v>
      </c>
      <c r="C379" s="506">
        <f>VLOOKUP($A$373,$B$289:$G$308,4,FALSE)</f>
        <v>-0.5</v>
      </c>
      <c r="D379" s="506">
        <f>VLOOKUP($A$373,$B$289:$G$308,5,FALSE)</f>
        <v>0</v>
      </c>
      <c r="E379" s="506">
        <f>VLOOKUP($A$373,$B$289:$G$308,6,FALSE)</f>
        <v>0.3</v>
      </c>
      <c r="G379" s="506">
        <f>VLOOKUP($G$373,$J$289:$O$308,2,FALSE)</f>
        <v>60</v>
      </c>
      <c r="H379" s="506">
        <f>VLOOKUP($G$373,$J$289:$O$308,3,FALSE)</f>
        <v>-6.4</v>
      </c>
      <c r="I379" s="506">
        <f>VLOOKUP($G$373,$J$289:$O$308,4,FALSE)</f>
        <v>1.1000000000000001</v>
      </c>
      <c r="J379" s="928">
        <f>VLOOKUP($G$373,$J$289:$O$308,5,FALSE)</f>
        <v>0</v>
      </c>
      <c r="K379" s="506">
        <f>VLOOKUP($G$373,$J$289:$O$308,6,FALSE)</f>
        <v>3.75</v>
      </c>
      <c r="M379" s="506">
        <f>VLOOKUP($M$373,$R$289:$W$308,2,FALSE)</f>
        <v>900</v>
      </c>
      <c r="N379" s="506">
        <f>VLOOKUP($M$373,$R$289:$W$308,3,FALSE)</f>
        <v>0.9</v>
      </c>
      <c r="O379" s="506">
        <f>VLOOKUP($M$373,$R$289:$W$308,4,FALSE)</f>
        <v>0.7</v>
      </c>
      <c r="P379" s="927">
        <f>VLOOKUP($M$373,$R$289:$W$308,5,FALSE)</f>
        <v>9.9999999999999995E-7</v>
      </c>
      <c r="Q379" s="506">
        <f>VLOOKUP($M$373,$R$289:$W$308,6,FALSE)</f>
        <v>0.4499995</v>
      </c>
      <c r="S379" s="563" t="s">
        <v>489</v>
      </c>
      <c r="T379" s="564">
        <v>1011.55</v>
      </c>
      <c r="U379" s="565">
        <f>T379+U386</f>
        <v>1012.4499999999999</v>
      </c>
      <c r="V379" s="564">
        <v>2.0506096654409718</v>
      </c>
      <c r="W379" s="901">
        <f>VLOOKUP(S373,Y273:Z292,2,(FALSE))</f>
        <v>1.6</v>
      </c>
      <c r="Z379" s="505"/>
      <c r="AE379" s="902"/>
    </row>
    <row r="380" spans="1:31" ht="13.8" thickBot="1">
      <c r="A380" s="506">
        <f>VLOOKUP($A$373,$B$310:$G$329,2,FALSE)</f>
        <v>35</v>
      </c>
      <c r="B380" s="506">
        <f>VLOOKUP($A$373,$B$310:$G$329,3,FALSE)</f>
        <v>0.1</v>
      </c>
      <c r="C380" s="506">
        <f>VLOOKUP($A$373,$B$310:$G$329,4,FALSE)</f>
        <v>-0.9</v>
      </c>
      <c r="D380" s="506">
        <f>VLOOKUP($A$373,$B$310:$G$329,5,FALSE)</f>
        <v>0</v>
      </c>
      <c r="E380" s="506">
        <f>VLOOKUP($A$373,$B$310:$G$329,6,FALSE)</f>
        <v>0.5</v>
      </c>
      <c r="G380" s="506">
        <f>VLOOKUP($G$373,$J$310:$O$329,2,FALSE)</f>
        <v>70</v>
      </c>
      <c r="H380" s="506">
        <f>VLOOKUP($G$373,$J$310:$O$329,3,FALSE)</f>
        <v>-6.7</v>
      </c>
      <c r="I380" s="506">
        <f>VLOOKUP($G$373,$J$310:$O$329,4,FALSE)</f>
        <v>0.9</v>
      </c>
      <c r="J380" s="928">
        <f>VLOOKUP($G$373,$J$310:$O$329,5,FALSE)</f>
        <v>0</v>
      </c>
      <c r="K380" s="506">
        <f>VLOOKUP($G$373,$J$310:$O$329,6,FALSE)</f>
        <v>3.8000000000000003</v>
      </c>
      <c r="M380" s="506">
        <f>VLOOKUP($M$373,$R$310:$W$329,2,FALSE)</f>
        <v>1000</v>
      </c>
      <c r="N380" s="506">
        <f>VLOOKUP($M$373,$R$310:$W$329,3,FALSE)</f>
        <v>0.9</v>
      </c>
      <c r="O380" s="506">
        <f>VLOOKUP($M$373,$R$310:$W$329,4,FALSE)</f>
        <v>-0.3</v>
      </c>
      <c r="P380" s="927">
        <f>VLOOKUP($M$373,$R$310:$W$329,5,FALSE)</f>
        <v>9.9999999999999995E-7</v>
      </c>
      <c r="Q380" s="506">
        <f>VLOOKUP($M$373,$R$310:$W$329,6,FALSE)</f>
        <v>0.6</v>
      </c>
      <c r="S380" s="492"/>
      <c r="W380" s="496"/>
      <c r="Z380" s="505"/>
      <c r="AE380" s="903"/>
    </row>
    <row r="381" spans="1:31" ht="13.8">
      <c r="A381" s="506">
        <f>VLOOKUP($A$373,$B$331:$G$350,2,FALSE)</f>
        <v>37</v>
      </c>
      <c r="B381" s="506">
        <f>VLOOKUP($A$373,$B$331:$G$350,3,FALSE)</f>
        <v>0.1</v>
      </c>
      <c r="C381" s="506">
        <f>VLOOKUP($A$373,$B$331:$G$350,4,FALSE)</f>
        <v>-1.1000000000000001</v>
      </c>
      <c r="D381" s="506">
        <f>VLOOKUP($A$373,$B$331:$G$350,5,FALSE)</f>
        <v>0</v>
      </c>
      <c r="E381" s="506">
        <f>VLOOKUP($A$373,$B$331:$G$350,6,FALSE)</f>
        <v>0.60000000000000009</v>
      </c>
      <c r="G381" s="506">
        <f>VLOOKUP($G$373,$J$331:$O$350,2,FALSE)</f>
        <v>80</v>
      </c>
      <c r="H381" s="506">
        <f>VLOOKUP($G$373,$J$331:$O$350,3,FALSE)</f>
        <v>-6.3</v>
      </c>
      <c r="I381" s="506">
        <f>VLOOKUP($G$373,$J$331:$O$350,4,FALSE)</f>
        <v>0.8</v>
      </c>
      <c r="J381" s="928">
        <f>VLOOKUP($G$373,$J$331:$O$350,5,FALSE)</f>
        <v>0</v>
      </c>
      <c r="K381" s="506">
        <f>VLOOKUP($G$373,$J$331:$O$350,6,FALSE)</f>
        <v>3.55</v>
      </c>
      <c r="M381" s="506">
        <f>VLOOKUP($M$373,$R$331:$W$350,2,FALSE)</f>
        <v>1005</v>
      </c>
      <c r="N381" s="506">
        <f>VLOOKUP($M$373,$R$331:$W$350,3,FALSE)</f>
        <v>0.9</v>
      </c>
      <c r="O381" s="506">
        <f>VLOOKUP($M$373,$R$331:$W$350,4,FALSE)</f>
        <v>-0.3</v>
      </c>
      <c r="P381" s="927">
        <f>VLOOKUP($M$373,$R$331:$W$350,5,FALSE)</f>
        <v>9.9999999999999995E-7</v>
      </c>
      <c r="Q381" s="506">
        <f>VLOOKUP($M$373,$R$331:$W$350,6,FALSE)</f>
        <v>0.6</v>
      </c>
      <c r="S381" s="1328" t="s">
        <v>284</v>
      </c>
      <c r="T381" s="566" t="str">
        <f>N393&amp;N390&amp;O393&amp;O390&amp;P393&amp;P390</f>
        <v>( 26.5 ± 0.8 ) °C</v>
      </c>
      <c r="U381" s="567"/>
      <c r="W381" s="496"/>
      <c r="Z381" s="505"/>
      <c r="AE381" s="904"/>
    </row>
    <row r="382" spans="1:31" ht="13.8">
      <c r="A382" s="506">
        <f>VLOOKUP($A$373,$B$352:$G$371,2,FALSE)</f>
        <v>40</v>
      </c>
      <c r="B382" s="506">
        <f>VLOOKUP($A$373,$B$352:$G$371,3,FALSE)</f>
        <v>0.1</v>
      </c>
      <c r="C382" s="506">
        <f>VLOOKUP($A$373,$B$352:$G$371,4,FALSE)</f>
        <v>-1.4</v>
      </c>
      <c r="D382" s="506">
        <f>VLOOKUP($A$373,$B$352:$G$371,5,FALSE)</f>
        <v>0</v>
      </c>
      <c r="E382" s="506">
        <f>VLOOKUP($A$373,$B$352:$G$371,6,FALSE)</f>
        <v>0.75</v>
      </c>
      <c r="G382" s="506">
        <f>VLOOKUP($G$373,$J$352:$O$371,2,FALSE)</f>
        <v>90</v>
      </c>
      <c r="H382" s="506">
        <f>VLOOKUP($G$373,$J$352:$O$371,3,FALSE)</f>
        <v>-5.2</v>
      </c>
      <c r="I382" s="506">
        <f>VLOOKUP($G$373,$J$352:$O$371,4,FALSE)</f>
        <v>0.7</v>
      </c>
      <c r="J382" s="928">
        <f>VLOOKUP($G$373,$J$352:$O$371,5,FALSE)</f>
        <v>0</v>
      </c>
      <c r="K382" s="506">
        <f>VLOOKUP($G$373,$J$352:$O$371,6,FALSE)</f>
        <v>2.95</v>
      </c>
      <c r="M382" s="506">
        <f>VLOOKUP($M$373,$R$352:$W$371,2,FALSE)</f>
        <v>1020</v>
      </c>
      <c r="N382" s="506">
        <f>VLOOKUP($M$373,$R$352:$W$371,3,FALSE)</f>
        <v>0.9</v>
      </c>
      <c r="O382" s="506">
        <f>VLOOKUP($M$373,$R$352:$W$371,4,FALSE)</f>
        <v>9.9999999999999995E-7</v>
      </c>
      <c r="P382" s="927">
        <f>VLOOKUP($M$373,$R$352:$W$371,5,FALSE)</f>
        <v>9.9999999999999995E-7</v>
      </c>
      <c r="Q382" s="506">
        <f>VLOOKUP($M$373,$R$352:$W$371,6,FALSE)</f>
        <v>0.4499995</v>
      </c>
      <c r="S382" s="1329"/>
      <c r="T382" s="532" t="str">
        <f>N393&amp;N391&amp;O393&amp;O391&amp;P393&amp;P391</f>
        <v>( 58.0 ± 2.6 ) %RH</v>
      </c>
      <c r="U382" s="568"/>
      <c r="W382" s="496"/>
      <c r="Z382" s="505"/>
      <c r="AE382" s="904"/>
    </row>
    <row r="383" spans="1:31" ht="14.4" thickBot="1">
      <c r="A383" s="514"/>
      <c r="B383" s="505"/>
      <c r="C383" s="505"/>
      <c r="D383" s="505"/>
      <c r="E383" s="505"/>
      <c r="G383" s="505"/>
      <c r="H383" s="505"/>
      <c r="I383" s="505"/>
      <c r="J383" s="505"/>
      <c r="M383" s="505"/>
      <c r="N383" s="505"/>
      <c r="O383" s="505"/>
      <c r="P383" s="505"/>
      <c r="S383" s="1330"/>
      <c r="T383" s="569" t="str">
        <f>N393&amp;N392&amp;O393&amp;O392&amp;P393&amp;P392</f>
        <v>( 1012.5 ± 1.6 ) hPa</v>
      </c>
      <c r="U383" s="570"/>
      <c r="W383" s="496"/>
      <c r="Z383" s="505"/>
      <c r="AE383" s="904"/>
    </row>
    <row r="385" spans="1:21" ht="39.6">
      <c r="S385" s="571" t="s">
        <v>498</v>
      </c>
      <c r="T385" s="571" t="s">
        <v>499</v>
      </c>
      <c r="U385" s="572" t="s">
        <v>500</v>
      </c>
    </row>
    <row r="386" spans="1:21">
      <c r="S386" s="572">
        <f>FORECAST(T377,B376:B382,A376:A382)</f>
        <v>0.21768867924528312</v>
      </c>
      <c r="T386" s="572">
        <f>FORECAST(T378,H376:H382,G376:G382)</f>
        <v>-5.244821428571429</v>
      </c>
      <c r="U386" s="572">
        <f>FORECAST(T379,N376:N382,M376:M382)</f>
        <v>0.90000000000000013</v>
      </c>
    </row>
    <row r="388" spans="1:21" ht="13.8" thickBot="1"/>
    <row r="389" spans="1:21">
      <c r="A389" s="573" t="str">
        <f>ID!A115</f>
        <v>Thermohygrolight, Merek : Greisinger, Model : GFTB 200, SN : 34903046</v>
      </c>
      <c r="B389" s="573"/>
      <c r="C389" s="573"/>
      <c r="D389" s="573"/>
      <c r="E389" s="573"/>
      <c r="F389" s="573"/>
      <c r="G389" s="573"/>
      <c r="H389" s="573"/>
      <c r="I389" s="573"/>
      <c r="J389" s="573"/>
      <c r="K389" s="573"/>
      <c r="L389" s="573"/>
      <c r="N389" s="1321" t="s">
        <v>285</v>
      </c>
      <c r="O389" s="1322"/>
      <c r="P389" s="1323"/>
    </row>
    <row r="390" spans="1:21" ht="15.6">
      <c r="A390" s="573" t="s">
        <v>470</v>
      </c>
      <c r="B390" s="733"/>
      <c r="C390" s="733"/>
      <c r="D390" s="573"/>
      <c r="E390" s="573"/>
      <c r="F390" s="573"/>
      <c r="G390" s="573"/>
      <c r="H390" s="573"/>
      <c r="I390" s="574">
        <f>D4</f>
        <v>2020</v>
      </c>
      <c r="J390" s="574">
        <f>E4</f>
        <v>2017</v>
      </c>
      <c r="K390" s="574">
        <f>F4</f>
        <v>2016</v>
      </c>
      <c r="L390" s="574">
        <v>1</v>
      </c>
      <c r="N390" s="905" t="str">
        <f>TEXT(U377,"0.0")</f>
        <v>26.5</v>
      </c>
      <c r="O390" s="906" t="str">
        <f>TEXT(W377,"0.0")</f>
        <v>0.8</v>
      </c>
      <c r="P390" s="575" t="s">
        <v>114</v>
      </c>
    </row>
    <row r="391" spans="1:21" ht="15.6">
      <c r="A391" s="573" t="s">
        <v>471</v>
      </c>
      <c r="B391" s="733"/>
      <c r="C391" s="733"/>
      <c r="D391" s="573"/>
      <c r="E391" s="573"/>
      <c r="F391" s="573"/>
      <c r="G391" s="573"/>
      <c r="H391" s="573"/>
      <c r="I391" s="574">
        <f>D15</f>
        <v>2021</v>
      </c>
      <c r="J391" s="574">
        <f>E15</f>
        <v>2018</v>
      </c>
      <c r="K391" s="574">
        <f>F15</f>
        <v>2016</v>
      </c>
      <c r="L391" s="574">
        <v>2</v>
      </c>
      <c r="N391" s="907" t="str">
        <f>TEXT(U378,"0.0")</f>
        <v>58.0</v>
      </c>
      <c r="O391" s="906" t="str">
        <f>TEXT(W378,"0.0")</f>
        <v>2.6</v>
      </c>
      <c r="P391" s="575" t="s">
        <v>286</v>
      </c>
    </row>
    <row r="392" spans="1:21" ht="15">
      <c r="A392" s="573" t="s">
        <v>287</v>
      </c>
      <c r="B392" s="733"/>
      <c r="C392" s="733"/>
      <c r="D392" s="573"/>
      <c r="E392" s="573"/>
      <c r="F392" s="573"/>
      <c r="G392" s="573"/>
      <c r="H392" s="573"/>
      <c r="I392" s="574">
        <f>D26</f>
        <v>2021</v>
      </c>
      <c r="J392" s="574">
        <f>E26</f>
        <v>2018</v>
      </c>
      <c r="K392" s="574">
        <f>F26</f>
        <v>2016</v>
      </c>
      <c r="L392" s="574">
        <v>3</v>
      </c>
      <c r="N392" s="907" t="str">
        <f>TEXT(U379,"0.0")</f>
        <v>1012.5</v>
      </c>
      <c r="O392" s="906" t="str">
        <f>TEXT(W379,"0.0")</f>
        <v>1.6</v>
      </c>
      <c r="P392" s="576" t="s">
        <v>501</v>
      </c>
    </row>
    <row r="393" spans="1:21" ht="16.2" thickBot="1">
      <c r="A393" s="573" t="s">
        <v>472</v>
      </c>
      <c r="B393" s="733"/>
      <c r="C393" s="733"/>
      <c r="D393" s="573"/>
      <c r="E393" s="573"/>
      <c r="F393" s="573"/>
      <c r="G393" s="573"/>
      <c r="H393" s="573"/>
      <c r="I393" s="574">
        <f>D37</f>
        <v>2019</v>
      </c>
      <c r="J393" s="574">
        <f>E37</f>
        <v>2017</v>
      </c>
      <c r="K393" s="574">
        <f>F37</f>
        <v>2016</v>
      </c>
      <c r="L393" s="574">
        <v>4</v>
      </c>
      <c r="N393" s="577" t="s">
        <v>288</v>
      </c>
      <c r="O393" s="578" t="s">
        <v>289</v>
      </c>
      <c r="P393" s="579" t="s">
        <v>290</v>
      </c>
    </row>
    <row r="394" spans="1:21">
      <c r="A394" s="573" t="s">
        <v>473</v>
      </c>
      <c r="B394" s="733"/>
      <c r="C394" s="733"/>
      <c r="D394" s="573"/>
      <c r="E394" s="573"/>
      <c r="F394" s="573"/>
      <c r="G394" s="573"/>
      <c r="H394" s="573"/>
      <c r="I394" s="574">
        <f>D48</f>
        <v>2020</v>
      </c>
      <c r="J394" s="574">
        <f>E48</f>
        <v>2017</v>
      </c>
      <c r="K394" s="574">
        <f>F48</f>
        <v>2016</v>
      </c>
      <c r="L394" s="574">
        <v>5</v>
      </c>
    </row>
    <row r="395" spans="1:21">
      <c r="A395" s="573" t="s">
        <v>291</v>
      </c>
      <c r="B395" s="733"/>
      <c r="C395" s="733"/>
      <c r="D395" s="573"/>
      <c r="E395" s="573"/>
      <c r="F395" s="573"/>
      <c r="G395" s="573"/>
      <c r="H395" s="573"/>
      <c r="I395" s="574">
        <f>D59</f>
        <v>2019</v>
      </c>
      <c r="J395" s="574">
        <f>E59</f>
        <v>2018</v>
      </c>
      <c r="K395" s="574">
        <f>F59</f>
        <v>2016</v>
      </c>
      <c r="L395" s="574">
        <v>6</v>
      </c>
    </row>
    <row r="396" spans="1:21">
      <c r="A396" s="573" t="s">
        <v>292</v>
      </c>
      <c r="B396" s="733"/>
      <c r="C396" s="733"/>
      <c r="D396" s="573"/>
      <c r="E396" s="573"/>
      <c r="F396" s="573"/>
      <c r="G396" s="573"/>
      <c r="H396" s="573"/>
      <c r="I396" s="574">
        <f>D70</f>
        <v>2021</v>
      </c>
      <c r="J396" s="574">
        <f>E70</f>
        <v>2018</v>
      </c>
      <c r="K396" s="574">
        <f>F70</f>
        <v>2016</v>
      </c>
      <c r="L396" s="574">
        <v>7</v>
      </c>
    </row>
    <row r="397" spans="1:21">
      <c r="A397" s="573" t="s">
        <v>293</v>
      </c>
      <c r="B397" s="733"/>
      <c r="C397" s="733"/>
      <c r="D397" s="573"/>
      <c r="E397" s="573"/>
      <c r="F397" s="573"/>
      <c r="G397" s="573"/>
      <c r="H397" s="573"/>
      <c r="I397" s="574">
        <f>D81</f>
        <v>2021</v>
      </c>
      <c r="J397" s="574">
        <f>E81</f>
        <v>2019</v>
      </c>
      <c r="K397" s="574">
        <f>F81</f>
        <v>2016</v>
      </c>
      <c r="L397" s="574">
        <v>8</v>
      </c>
    </row>
    <row r="398" spans="1:21">
      <c r="A398" s="573" t="s">
        <v>294</v>
      </c>
      <c r="B398" s="733"/>
      <c r="C398" s="733"/>
      <c r="D398" s="573"/>
      <c r="E398" s="573"/>
      <c r="F398" s="573"/>
      <c r="G398" s="573"/>
      <c r="H398" s="573"/>
      <c r="I398" s="574">
        <f>D92</f>
        <v>2019</v>
      </c>
      <c r="J398" s="574" t="str">
        <f>E92</f>
        <v>-</v>
      </c>
      <c r="K398" s="574">
        <f>F92</f>
        <v>2016</v>
      </c>
      <c r="L398" s="574">
        <v>9</v>
      </c>
    </row>
    <row r="399" spans="1:21">
      <c r="A399" s="573" t="s">
        <v>295</v>
      </c>
      <c r="B399" s="733"/>
      <c r="C399" s="733"/>
      <c r="D399" s="573"/>
      <c r="E399" s="573"/>
      <c r="F399" s="573"/>
      <c r="G399" s="573"/>
      <c r="H399" s="573"/>
      <c r="I399" s="574">
        <f>D103</f>
        <v>2019</v>
      </c>
      <c r="J399" s="574">
        <f>E103</f>
        <v>2016</v>
      </c>
      <c r="K399" s="574">
        <f>F103</f>
        <v>2016</v>
      </c>
      <c r="L399" s="574">
        <v>10</v>
      </c>
    </row>
    <row r="400" spans="1:21">
      <c r="A400" s="573" t="s">
        <v>296</v>
      </c>
      <c r="B400" s="733"/>
      <c r="C400" s="733"/>
      <c r="D400" s="573"/>
      <c r="E400" s="573"/>
      <c r="F400" s="573"/>
      <c r="G400" s="573"/>
      <c r="H400" s="573"/>
      <c r="I400" s="574">
        <f>D114</f>
        <v>2020</v>
      </c>
      <c r="J400" s="574">
        <f>E114</f>
        <v>2016</v>
      </c>
      <c r="K400" s="574">
        <f>F114</f>
        <v>2016</v>
      </c>
      <c r="L400" s="574">
        <v>11</v>
      </c>
    </row>
    <row r="401" spans="1:12">
      <c r="A401" s="573" t="s">
        <v>502</v>
      </c>
      <c r="B401" s="733"/>
      <c r="C401" s="733"/>
      <c r="D401" s="573"/>
      <c r="E401" s="573"/>
      <c r="F401" s="573"/>
      <c r="G401" s="573"/>
      <c r="H401" s="573"/>
      <c r="I401" s="574">
        <f>D125</f>
        <v>2020</v>
      </c>
      <c r="J401" s="574" t="str">
        <f>E125</f>
        <v>-</v>
      </c>
      <c r="K401" s="574">
        <f>F125</f>
        <v>2016</v>
      </c>
      <c r="L401" s="574">
        <v>12</v>
      </c>
    </row>
    <row r="402" spans="1:12">
      <c r="A402" s="573" t="s">
        <v>503</v>
      </c>
      <c r="B402" s="733"/>
      <c r="C402" s="733"/>
      <c r="D402" s="573"/>
      <c r="E402" s="573"/>
      <c r="F402" s="573"/>
      <c r="G402" s="573"/>
      <c r="H402" s="573"/>
      <c r="I402" s="574">
        <f>D136</f>
        <v>2022</v>
      </c>
      <c r="J402" s="574">
        <f>E136</f>
        <v>2020</v>
      </c>
      <c r="K402" s="574">
        <f>F136</f>
        <v>2016</v>
      </c>
      <c r="L402" s="574">
        <v>13</v>
      </c>
    </row>
    <row r="403" spans="1:12">
      <c r="A403" s="573" t="s">
        <v>504</v>
      </c>
      <c r="B403" s="733"/>
      <c r="C403" s="733"/>
      <c r="D403" s="573"/>
      <c r="E403" s="573"/>
      <c r="F403" s="573"/>
      <c r="G403" s="573"/>
      <c r="H403" s="573"/>
      <c r="I403" s="574">
        <f>D147</f>
        <v>2022</v>
      </c>
      <c r="J403" s="574">
        <f>E147</f>
        <v>2020</v>
      </c>
      <c r="K403" s="574">
        <f>F147</f>
        <v>2016</v>
      </c>
      <c r="L403" s="574">
        <v>14</v>
      </c>
    </row>
    <row r="404" spans="1:12">
      <c r="A404" s="573" t="s">
        <v>505</v>
      </c>
      <c r="B404" s="733"/>
      <c r="C404" s="733"/>
      <c r="D404" s="573"/>
      <c r="E404" s="573"/>
      <c r="F404" s="573"/>
      <c r="G404" s="573"/>
      <c r="H404" s="573"/>
      <c r="I404" s="574">
        <f>D158</f>
        <v>2022</v>
      </c>
      <c r="J404" s="574">
        <f>E158</f>
        <v>2020</v>
      </c>
      <c r="K404" s="574">
        <f>F158</f>
        <v>2016</v>
      </c>
      <c r="L404" s="574">
        <v>15</v>
      </c>
    </row>
    <row r="405" spans="1:12">
      <c r="A405" s="573" t="s">
        <v>506</v>
      </c>
      <c r="B405" s="733"/>
      <c r="C405" s="733"/>
      <c r="D405" s="573"/>
      <c r="E405" s="573"/>
      <c r="F405" s="573"/>
      <c r="G405" s="573"/>
      <c r="H405" s="573"/>
      <c r="I405" s="574">
        <f>D169</f>
        <v>2020</v>
      </c>
      <c r="J405" s="574" t="str">
        <f>E169</f>
        <v>-</v>
      </c>
      <c r="K405" s="574">
        <f>F169</f>
        <v>2016</v>
      </c>
      <c r="L405" s="574">
        <v>16</v>
      </c>
    </row>
    <row r="406" spans="1:12">
      <c r="A406" s="573" t="s">
        <v>507</v>
      </c>
      <c r="B406" s="733"/>
      <c r="C406" s="733"/>
      <c r="D406" s="573"/>
      <c r="E406" s="573"/>
      <c r="F406" s="573"/>
      <c r="G406" s="573"/>
      <c r="H406" s="573"/>
      <c r="I406" s="574">
        <f>D180</f>
        <v>2020</v>
      </c>
      <c r="J406" s="574" t="str">
        <f>E180</f>
        <v>-</v>
      </c>
      <c r="K406" s="574">
        <f>F180</f>
        <v>2016</v>
      </c>
      <c r="L406" s="574">
        <v>17</v>
      </c>
    </row>
    <row r="407" spans="1:12">
      <c r="A407" s="573" t="s">
        <v>508</v>
      </c>
      <c r="B407" s="733"/>
      <c r="C407" s="733"/>
      <c r="D407" s="573"/>
      <c r="E407" s="573"/>
      <c r="F407" s="573"/>
      <c r="G407" s="573"/>
      <c r="H407" s="573"/>
      <c r="I407" s="574">
        <f>D191</f>
        <v>2020</v>
      </c>
      <c r="J407" s="574" t="str">
        <f>E191</f>
        <v>-</v>
      </c>
      <c r="K407" s="574">
        <f>F191</f>
        <v>2016</v>
      </c>
      <c r="L407" s="574">
        <v>18</v>
      </c>
    </row>
    <row r="408" spans="1:12">
      <c r="A408" s="573" t="s">
        <v>509</v>
      </c>
      <c r="B408" s="733"/>
      <c r="C408" s="733"/>
      <c r="D408" s="573"/>
      <c r="E408" s="573"/>
      <c r="F408" s="573"/>
      <c r="G408" s="573"/>
      <c r="H408" s="573"/>
      <c r="I408" s="574">
        <v>2021</v>
      </c>
      <c r="J408" s="574" t="str">
        <f>E202</f>
        <v>-</v>
      </c>
      <c r="K408" s="574">
        <f>F202</f>
        <v>2016</v>
      </c>
      <c r="L408" s="574">
        <v>19</v>
      </c>
    </row>
    <row r="409" spans="1:12">
      <c r="A409" s="580">
        <v>20</v>
      </c>
      <c r="B409" s="733"/>
      <c r="C409" s="733"/>
      <c r="D409" s="573"/>
      <c r="E409" s="573"/>
      <c r="F409" s="573"/>
      <c r="G409" s="573"/>
      <c r="H409" s="573"/>
      <c r="I409" s="574">
        <f>D213</f>
        <v>2017</v>
      </c>
      <c r="J409" s="574" t="str">
        <f>E213</f>
        <v>-</v>
      </c>
      <c r="K409" s="574">
        <f>F213</f>
        <v>2016</v>
      </c>
      <c r="L409" s="574">
        <v>20</v>
      </c>
    </row>
    <row r="410" spans="1:12">
      <c r="A410" s="1324">
        <f>VLOOKUP(A389,A390:L409,12,(FALSE))</f>
        <v>6</v>
      </c>
      <c r="B410" s="1324"/>
      <c r="C410" s="1324"/>
      <c r="D410" s="1324"/>
      <c r="E410" s="1324"/>
      <c r="F410" s="1324"/>
      <c r="G410" s="1324"/>
      <c r="H410" s="1324"/>
      <c r="I410" s="1324"/>
      <c r="J410" s="1324"/>
      <c r="K410" s="1324"/>
      <c r="L410" s="1324"/>
    </row>
  </sheetData>
  <mergeCells count="402"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B94F-A76B-4BAB-AA5D-4099B03BDB3D}">
  <dimension ref="A1:AB311"/>
  <sheetViews>
    <sheetView showFormulas="1" tabSelected="1" topLeftCell="H53" zoomScale="80" zoomScaleNormal="80" workbookViewId="0">
      <selection activeCell="O64" sqref="O64:O93"/>
    </sheetView>
  </sheetViews>
  <sheetFormatPr defaultColWidth="8.6640625" defaultRowHeight="13.2"/>
  <cols>
    <col min="1" max="1" width="10.33203125" style="441" bestFit="1" customWidth="1"/>
    <col min="2" max="2" width="9.5546875" style="441" bestFit="1" customWidth="1"/>
    <col min="3" max="9" width="8.6640625" style="441"/>
    <col min="10" max="10" width="9.109375" style="441" bestFit="1" customWidth="1"/>
    <col min="11" max="11" width="8.6640625" style="441"/>
    <col min="12" max="12" width="8.5546875" style="441" customWidth="1"/>
    <col min="13" max="13" width="12.33203125" style="441" customWidth="1"/>
    <col min="14" max="16384" width="8.6640625" style="441"/>
  </cols>
  <sheetData>
    <row r="1" spans="1:24" ht="17.399999999999999">
      <c r="A1" s="1418" t="s">
        <v>297</v>
      </c>
      <c r="B1" s="1419"/>
      <c r="C1" s="1419"/>
      <c r="D1" s="1419"/>
      <c r="E1" s="1419"/>
      <c r="F1" s="1419"/>
      <c r="G1" s="1419"/>
      <c r="H1" s="1419"/>
      <c r="I1" s="1419"/>
      <c r="J1" s="1419"/>
      <c r="K1" s="1419"/>
      <c r="L1" s="1419"/>
      <c r="M1" s="1419"/>
      <c r="N1" s="1419"/>
      <c r="O1" s="1419"/>
      <c r="P1" s="1419"/>
      <c r="Q1" s="1419"/>
      <c r="R1" s="1419"/>
      <c r="S1" s="1419"/>
      <c r="T1" s="1419"/>
      <c r="U1" s="1419"/>
      <c r="V1" s="441" t="s">
        <v>34</v>
      </c>
    </row>
    <row r="2" spans="1:24" ht="14.4">
      <c r="A2" s="1415" t="s">
        <v>275</v>
      </c>
      <c r="B2" s="1413" t="s">
        <v>298</v>
      </c>
      <c r="C2" s="1413"/>
      <c r="D2" s="1413"/>
      <c r="E2" s="1413"/>
      <c r="F2" s="1413"/>
      <c r="G2" s="1413"/>
      <c r="H2" s="1412" t="s">
        <v>276</v>
      </c>
      <c r="I2" s="1413" t="s">
        <v>299</v>
      </c>
      <c r="J2" s="1413"/>
      <c r="K2" s="1413"/>
      <c r="L2" s="1413"/>
      <c r="M2" s="1413"/>
      <c r="N2" s="1413"/>
      <c r="O2" s="1412" t="s">
        <v>277</v>
      </c>
      <c r="P2" s="1413" t="s">
        <v>300</v>
      </c>
      <c r="Q2" s="1413"/>
      <c r="R2" s="1413"/>
      <c r="S2" s="1413"/>
      <c r="T2" s="1413"/>
      <c r="U2" s="1413"/>
    </row>
    <row r="3" spans="1:24" ht="14.4">
      <c r="A3" s="1415"/>
      <c r="B3" s="1417" t="s">
        <v>301</v>
      </c>
      <c r="C3" s="1417"/>
      <c r="D3" s="1417"/>
      <c r="E3" s="1417"/>
      <c r="F3" s="1417"/>
      <c r="G3" s="1417"/>
      <c r="H3" s="1412"/>
      <c r="I3" s="1417" t="s">
        <v>301</v>
      </c>
      <c r="J3" s="1417"/>
      <c r="K3" s="1417"/>
      <c r="L3" s="1417"/>
      <c r="M3" s="1417"/>
      <c r="N3" s="1417"/>
      <c r="O3" s="1412"/>
      <c r="P3" s="1414" t="s">
        <v>301</v>
      </c>
      <c r="Q3" s="1414"/>
      <c r="R3" s="1414"/>
      <c r="S3" s="1414"/>
      <c r="T3" s="1414"/>
      <c r="U3" s="1414"/>
    </row>
    <row r="4" spans="1:24">
      <c r="A4" s="1415"/>
      <c r="B4" s="1404" t="s">
        <v>302</v>
      </c>
      <c r="C4" s="1404"/>
      <c r="D4" s="1404"/>
      <c r="E4" s="1404"/>
      <c r="F4" s="1404" t="s">
        <v>303</v>
      </c>
      <c r="G4" s="1404" t="s">
        <v>237</v>
      </c>
      <c r="H4" s="1412"/>
      <c r="I4" s="1404" t="str">
        <f>B4</f>
        <v>Setting VAC</v>
      </c>
      <c r="J4" s="1404"/>
      <c r="K4" s="1404"/>
      <c r="L4" s="1404"/>
      <c r="M4" s="1404" t="s">
        <v>303</v>
      </c>
      <c r="N4" s="1404" t="s">
        <v>237</v>
      </c>
      <c r="O4" s="1412"/>
      <c r="P4" s="1404" t="str">
        <f>B4</f>
        <v>Setting VAC</v>
      </c>
      <c r="Q4" s="1404"/>
      <c r="R4" s="1404"/>
      <c r="S4" s="1404"/>
      <c r="T4" s="1404" t="s">
        <v>303</v>
      </c>
      <c r="U4" s="1404" t="s">
        <v>237</v>
      </c>
    </row>
    <row r="5" spans="1:24" ht="14.4">
      <c r="A5" s="1415"/>
      <c r="B5" s="908" t="s">
        <v>304</v>
      </c>
      <c r="C5" s="738">
        <v>2020</v>
      </c>
      <c r="D5" s="738">
        <v>2019</v>
      </c>
      <c r="E5" s="738">
        <v>2016</v>
      </c>
      <c r="F5" s="1404"/>
      <c r="G5" s="1404"/>
      <c r="H5" s="1412"/>
      <c r="I5" s="908" t="s">
        <v>304</v>
      </c>
      <c r="J5" s="738">
        <v>2019</v>
      </c>
      <c r="K5" s="581">
        <v>2017</v>
      </c>
      <c r="L5" s="738">
        <v>2016</v>
      </c>
      <c r="M5" s="1404"/>
      <c r="N5" s="1404"/>
      <c r="O5" s="1412"/>
      <c r="P5" s="908" t="s">
        <v>304</v>
      </c>
      <c r="Q5" s="738">
        <v>2022</v>
      </c>
      <c r="R5" s="738">
        <v>2021</v>
      </c>
      <c r="S5" s="738">
        <v>2018</v>
      </c>
      <c r="T5" s="1404"/>
      <c r="U5" s="1404"/>
      <c r="V5" s="582"/>
      <c r="W5" s="582"/>
      <c r="X5" s="501"/>
    </row>
    <row r="6" spans="1:24">
      <c r="A6" s="1415"/>
      <c r="B6" s="909">
        <v>150</v>
      </c>
      <c r="C6" s="435">
        <v>0.31</v>
      </c>
      <c r="D6" s="435">
        <v>0.76</v>
      </c>
      <c r="E6" s="494"/>
      <c r="F6" s="583">
        <f>0.5*(MAX(C6:E6)-MIN(C6:E6))</f>
        <v>0.22500000000000001</v>
      </c>
      <c r="G6" s="584">
        <f t="shared" ref="G6:G11" si="0">(1.2/100)*B6</f>
        <v>1.8</v>
      </c>
      <c r="H6" s="1412"/>
      <c r="I6" s="909">
        <v>150</v>
      </c>
      <c r="J6" s="585">
        <v>0.15</v>
      </c>
      <c r="K6" s="585">
        <v>0.23</v>
      </c>
      <c r="L6" s="494"/>
      <c r="M6" s="583">
        <f>0.5*(MAX(J6:L6)-MIN(J6:L6))</f>
        <v>4.0000000000000008E-2</v>
      </c>
      <c r="N6" s="584">
        <f>(1.2/100)*I6</f>
        <v>1.8</v>
      </c>
      <c r="O6" s="1412"/>
      <c r="P6" s="909">
        <v>150</v>
      </c>
      <c r="Q6" s="585">
        <v>-1.43</v>
      </c>
      <c r="R6" s="585">
        <v>-1.6</v>
      </c>
      <c r="S6" s="585">
        <v>-7.0000000000000007E-2</v>
      </c>
      <c r="T6" s="583">
        <f>0.5*(MAX(Q6:S6)-MIN(Q6:S6))</f>
        <v>0.76500000000000001</v>
      </c>
      <c r="U6" s="584">
        <f t="shared" ref="U6:U11" si="1">(1.2/100)*P6</f>
        <v>1.8</v>
      </c>
      <c r="V6" s="586"/>
      <c r="W6" s="587"/>
      <c r="X6" s="501"/>
    </row>
    <row r="7" spans="1:24">
      <c r="A7" s="1415"/>
      <c r="B7" s="909">
        <v>180</v>
      </c>
      <c r="C7" s="435">
        <v>0.1</v>
      </c>
      <c r="D7" s="435">
        <v>-0.03</v>
      </c>
      <c r="E7" s="494"/>
      <c r="F7" s="583">
        <f t="shared" ref="F7:F11" si="2">0.5*(MAX(C7:E7)-MIN(C7:E7))</f>
        <v>6.5000000000000002E-2</v>
      </c>
      <c r="G7" s="584">
        <f t="shared" si="0"/>
        <v>2.16</v>
      </c>
      <c r="H7" s="1412"/>
      <c r="I7" s="909">
        <v>180</v>
      </c>
      <c r="J7" s="585">
        <v>0.12</v>
      </c>
      <c r="K7" s="585">
        <v>-0.06</v>
      </c>
      <c r="L7" s="494"/>
      <c r="M7" s="583">
        <f t="shared" ref="M7:M11" si="3">0.5*(MAX(J7:L7)-MIN(J7:L7))</f>
        <v>0.09</v>
      </c>
      <c r="N7" s="584">
        <f>(1.2/100)*I7</f>
        <v>2.16</v>
      </c>
      <c r="O7" s="1412"/>
      <c r="P7" s="909">
        <v>180</v>
      </c>
      <c r="Q7" s="585">
        <v>-1.81</v>
      </c>
      <c r="R7" s="585">
        <v>-1.9</v>
      </c>
      <c r="S7" s="585">
        <v>-0.13</v>
      </c>
      <c r="T7" s="583">
        <f t="shared" ref="T7:T11" si="4">0.5*(MAX(Q7:S7)-MIN(Q7:S7))</f>
        <v>0.88500000000000001</v>
      </c>
      <c r="U7" s="584">
        <f t="shared" si="1"/>
        <v>2.16</v>
      </c>
      <c r="V7" s="586"/>
      <c r="W7" s="587"/>
      <c r="X7" s="501"/>
    </row>
    <row r="8" spans="1:24">
      <c r="A8" s="1415"/>
      <c r="B8" s="435">
        <v>200</v>
      </c>
      <c r="C8" s="435">
        <v>-0.04</v>
      </c>
      <c r="D8" s="435">
        <v>-0.16</v>
      </c>
      <c r="E8" s="494"/>
      <c r="F8" s="583">
        <f t="shared" si="2"/>
        <v>0.06</v>
      </c>
      <c r="G8" s="584">
        <f t="shared" si="0"/>
        <v>2.4</v>
      </c>
      <c r="H8" s="1412"/>
      <c r="I8" s="435">
        <v>200</v>
      </c>
      <c r="J8" s="585">
        <v>0.06</v>
      </c>
      <c r="K8" s="585">
        <v>-0.18</v>
      </c>
      <c r="L8" s="494"/>
      <c r="M8" s="583">
        <f t="shared" si="3"/>
        <v>0.12</v>
      </c>
      <c r="N8" s="584">
        <f>(1.2/100)*I8</f>
        <v>2.4</v>
      </c>
      <c r="O8" s="1412"/>
      <c r="P8" s="909">
        <v>200</v>
      </c>
      <c r="Q8" s="585">
        <v>-2.0499999999999998</v>
      </c>
      <c r="R8" s="585">
        <v>-2.14</v>
      </c>
      <c r="S8" s="585">
        <v>-0.26</v>
      </c>
      <c r="T8" s="583">
        <f t="shared" si="4"/>
        <v>0.94000000000000006</v>
      </c>
      <c r="U8" s="584">
        <f t="shared" si="1"/>
        <v>2.4</v>
      </c>
      <c r="V8" s="586"/>
      <c r="W8" s="587"/>
      <c r="X8" s="501"/>
    </row>
    <row r="9" spans="1:24">
      <c r="A9" s="1415"/>
      <c r="B9" s="435">
        <v>220</v>
      </c>
      <c r="C9" s="435">
        <v>-0.28000000000000003</v>
      </c>
      <c r="D9" s="435">
        <v>-0.18</v>
      </c>
      <c r="E9" s="494"/>
      <c r="F9" s="583">
        <f t="shared" si="2"/>
        <v>5.0000000000000017E-2</v>
      </c>
      <c r="G9" s="584">
        <f t="shared" si="0"/>
        <v>2.64</v>
      </c>
      <c r="H9" s="1412"/>
      <c r="I9" s="435">
        <v>220</v>
      </c>
      <c r="J9" s="585">
        <v>0.05</v>
      </c>
      <c r="K9" s="585">
        <v>-0.03</v>
      </c>
      <c r="L9" s="494"/>
      <c r="M9" s="583">
        <f t="shared" si="3"/>
        <v>0.04</v>
      </c>
      <c r="N9" s="584">
        <f>(1.2/100)*I9</f>
        <v>2.64</v>
      </c>
      <c r="O9" s="1412"/>
      <c r="P9" s="435">
        <v>220</v>
      </c>
      <c r="Q9" s="585">
        <v>-2.29</v>
      </c>
      <c r="R9" s="585">
        <v>-3.44</v>
      </c>
      <c r="S9" s="585">
        <v>-0.28999999999999998</v>
      </c>
      <c r="T9" s="583">
        <f t="shared" si="4"/>
        <v>1.575</v>
      </c>
      <c r="U9" s="584">
        <f t="shared" si="1"/>
        <v>2.64</v>
      </c>
      <c r="V9" s="586"/>
      <c r="W9" s="587"/>
      <c r="X9" s="501"/>
    </row>
    <row r="10" spans="1:24">
      <c r="A10" s="1415"/>
      <c r="B10" s="435">
        <v>230</v>
      </c>
      <c r="C10" s="435">
        <v>-0.2</v>
      </c>
      <c r="D10" s="435">
        <v>-0.26</v>
      </c>
      <c r="E10" s="494"/>
      <c r="F10" s="583">
        <f t="shared" si="2"/>
        <v>0.03</v>
      </c>
      <c r="G10" s="584">
        <f t="shared" si="0"/>
        <v>2.7600000000000002</v>
      </c>
      <c r="H10" s="1412"/>
      <c r="I10" s="435">
        <v>230</v>
      </c>
      <c r="J10" s="435">
        <v>9.9999999999999995E-7</v>
      </c>
      <c r="K10" s="435">
        <v>0.05</v>
      </c>
      <c r="L10" s="494"/>
      <c r="M10" s="583">
        <f t="shared" si="3"/>
        <v>2.4999500000000001E-2</v>
      </c>
      <c r="N10" s="584">
        <f>(1.2/100)*I10</f>
        <v>2.7600000000000002</v>
      </c>
      <c r="O10" s="1412"/>
      <c r="P10" s="435">
        <v>230</v>
      </c>
      <c r="Q10" s="585">
        <v>-11.79</v>
      </c>
      <c r="R10" s="585">
        <v>-2.52</v>
      </c>
      <c r="S10" s="585">
        <v>-0.23</v>
      </c>
      <c r="T10" s="583">
        <f t="shared" si="4"/>
        <v>5.7799999999999994</v>
      </c>
      <c r="U10" s="584">
        <f t="shared" si="1"/>
        <v>2.7600000000000002</v>
      </c>
      <c r="V10" s="586"/>
      <c r="W10" s="587"/>
      <c r="X10" s="501"/>
    </row>
    <row r="11" spans="1:24">
      <c r="A11" s="1415"/>
      <c r="B11" s="435">
        <v>250</v>
      </c>
      <c r="C11" s="435">
        <v>-0.32</v>
      </c>
      <c r="D11" s="435">
        <v>9.9999999999999995E-7</v>
      </c>
      <c r="E11" s="494"/>
      <c r="F11" s="583">
        <f t="shared" si="2"/>
        <v>0.16000049999999999</v>
      </c>
      <c r="G11" s="584">
        <f t="shared" si="0"/>
        <v>3</v>
      </c>
      <c r="H11" s="1412"/>
      <c r="I11" s="435">
        <v>250</v>
      </c>
      <c r="J11" s="435">
        <v>9.9999999999999995E-7</v>
      </c>
      <c r="K11" s="435">
        <v>9.9999999999999995E-7</v>
      </c>
      <c r="L11" s="494"/>
      <c r="M11" s="583">
        <f t="shared" si="3"/>
        <v>0</v>
      </c>
      <c r="N11" s="584">
        <v>2.76</v>
      </c>
      <c r="O11" s="1412"/>
      <c r="P11" s="435">
        <v>250</v>
      </c>
      <c r="Q11" s="585">
        <v>9.9999999999999995E-7</v>
      </c>
      <c r="R11" s="585">
        <v>9.9999999999999995E-7</v>
      </c>
      <c r="S11" s="585">
        <v>9.9999999999999995E-7</v>
      </c>
      <c r="T11" s="583">
        <f t="shared" si="4"/>
        <v>0</v>
      </c>
      <c r="U11" s="584">
        <f t="shared" si="1"/>
        <v>3</v>
      </c>
      <c r="V11" s="586"/>
      <c r="W11" s="587"/>
      <c r="X11" s="501"/>
    </row>
    <row r="12" spans="1:24" ht="12.9" customHeight="1">
      <c r="A12" s="1415"/>
      <c r="B12" s="1411" t="s">
        <v>211</v>
      </c>
      <c r="C12" s="1411"/>
      <c r="D12" s="1411"/>
      <c r="E12" s="1411"/>
      <c r="F12" s="1404" t="s">
        <v>303</v>
      </c>
      <c r="G12" s="1404" t="s">
        <v>237</v>
      </c>
      <c r="H12" s="1412"/>
      <c r="I12" s="1411" t="str">
        <f>B12</f>
        <v>Current Leakage</v>
      </c>
      <c r="J12" s="1411"/>
      <c r="K12" s="1411"/>
      <c r="L12" s="1411"/>
      <c r="M12" s="1404" t="s">
        <v>303</v>
      </c>
      <c r="N12" s="1404" t="s">
        <v>237</v>
      </c>
      <c r="O12" s="1412"/>
      <c r="P12" s="1411" t="str">
        <f>B12</f>
        <v>Current Leakage</v>
      </c>
      <c r="Q12" s="1411"/>
      <c r="R12" s="1411"/>
      <c r="S12" s="1411"/>
      <c r="T12" s="1404" t="s">
        <v>303</v>
      </c>
      <c r="U12" s="1404" t="s">
        <v>237</v>
      </c>
      <c r="V12" s="501"/>
      <c r="W12" s="501"/>
      <c r="X12" s="501"/>
    </row>
    <row r="13" spans="1:24" ht="14.4">
      <c r="A13" s="1415"/>
      <c r="B13" s="908" t="s">
        <v>305</v>
      </c>
      <c r="C13" s="738">
        <f>C5</f>
        <v>2020</v>
      </c>
      <c r="D13" s="738">
        <f>D5</f>
        <v>2019</v>
      </c>
      <c r="E13" s="738">
        <f>E5</f>
        <v>2016</v>
      </c>
      <c r="F13" s="1404"/>
      <c r="G13" s="1404"/>
      <c r="H13" s="1412"/>
      <c r="I13" s="908" t="s">
        <v>305</v>
      </c>
      <c r="J13" s="738">
        <f>J5</f>
        <v>2019</v>
      </c>
      <c r="K13" s="738">
        <f>K5</f>
        <v>2017</v>
      </c>
      <c r="L13" s="738">
        <f>L5</f>
        <v>2016</v>
      </c>
      <c r="M13" s="1404"/>
      <c r="N13" s="1404"/>
      <c r="O13" s="1412"/>
      <c r="P13" s="908" t="s">
        <v>305</v>
      </c>
      <c r="Q13" s="738">
        <f>Q5</f>
        <v>2022</v>
      </c>
      <c r="R13" s="738">
        <f>R5</f>
        <v>2021</v>
      </c>
      <c r="S13" s="738">
        <f>S5</f>
        <v>2018</v>
      </c>
      <c r="T13" s="1404"/>
      <c r="U13" s="1404"/>
      <c r="V13" s="501"/>
      <c r="W13" s="501"/>
      <c r="X13" s="501"/>
    </row>
    <row r="14" spans="1:24">
      <c r="A14" s="1415"/>
      <c r="B14" s="435">
        <v>0</v>
      </c>
      <c r="C14" s="435">
        <v>9.9999999999999995E-7</v>
      </c>
      <c r="D14" s="435">
        <v>9.9999999999999995E-7</v>
      </c>
      <c r="E14" s="494"/>
      <c r="F14" s="583">
        <f>0.5*(MAX(C14:E14)-MIN(C14:E14))</f>
        <v>0</v>
      </c>
      <c r="G14" s="584">
        <v>0.3</v>
      </c>
      <c r="H14" s="1412"/>
      <c r="I14" s="435">
        <v>0</v>
      </c>
      <c r="J14" s="435">
        <v>9.9999999999999995E-7</v>
      </c>
      <c r="K14" s="435">
        <v>9.9999999999999995E-7</v>
      </c>
      <c r="L14" s="494"/>
      <c r="M14" s="583">
        <f>0.5*(MAX(J14:L14)-MIN(J14:L14))</f>
        <v>0</v>
      </c>
      <c r="N14" s="584">
        <v>0.3</v>
      </c>
      <c r="O14" s="1412"/>
      <c r="P14" s="435">
        <v>9.9999999999999995E-7</v>
      </c>
      <c r="Q14" s="435">
        <v>9.9999999999999995E-7</v>
      </c>
      <c r="R14" s="435">
        <v>9.9999999999999995E-7</v>
      </c>
      <c r="S14" s="435">
        <v>9.9999999999999995E-7</v>
      </c>
      <c r="T14" s="583">
        <f>0.5*(MAX(Q14:S14)-MIN(Q14:S14))</f>
        <v>0</v>
      </c>
      <c r="U14" s="584">
        <f t="shared" ref="U14:U19" si="5">(0.59/100)*P14</f>
        <v>5.8999999999999999E-9</v>
      </c>
      <c r="V14" s="501"/>
      <c r="W14" s="501"/>
      <c r="X14" s="501"/>
    </row>
    <row r="15" spans="1:24">
      <c r="A15" s="1415"/>
      <c r="B15" s="435">
        <v>50</v>
      </c>
      <c r="C15" s="435">
        <v>0.1</v>
      </c>
      <c r="D15" s="435">
        <v>-0.06</v>
      </c>
      <c r="E15" s="494"/>
      <c r="F15" s="583">
        <f t="shared" ref="F15:F19" si="6">0.5*(MAX(C15:E15)-MIN(C15:E15))</f>
        <v>0.08</v>
      </c>
      <c r="G15" s="584">
        <f>(0.59/100)*B15</f>
        <v>0.29499999999999998</v>
      </c>
      <c r="H15" s="1412"/>
      <c r="I15" s="435">
        <v>50</v>
      </c>
      <c r="J15" s="585">
        <v>-0.08</v>
      </c>
      <c r="K15" s="585">
        <v>0.1</v>
      </c>
      <c r="L15" s="494"/>
      <c r="M15" s="583">
        <f t="shared" ref="M15:M19" si="7">0.5*(MAX(J15:L15)-MIN(J15:L15))</f>
        <v>0.09</v>
      </c>
      <c r="N15" s="584">
        <f>(0.59/100)*I15</f>
        <v>0.29499999999999998</v>
      </c>
      <c r="O15" s="1412"/>
      <c r="P15" s="435">
        <v>50</v>
      </c>
      <c r="Q15" s="585">
        <v>9.1</v>
      </c>
      <c r="R15" s="585">
        <v>-0.62</v>
      </c>
      <c r="S15" s="585">
        <v>2</v>
      </c>
      <c r="T15" s="583">
        <f t="shared" ref="T15:T19" si="8">0.5*(MAX(Q15:S15)-MIN(Q15:S15))</f>
        <v>4.8599999999999994</v>
      </c>
      <c r="U15" s="584">
        <f t="shared" si="5"/>
        <v>0.29499999999999998</v>
      </c>
      <c r="V15" s="501"/>
      <c r="W15" s="501"/>
      <c r="X15" s="501"/>
    </row>
    <row r="16" spans="1:24">
      <c r="A16" s="1415"/>
      <c r="B16" s="435">
        <v>100</v>
      </c>
      <c r="C16" s="435">
        <v>0.2</v>
      </c>
      <c r="D16" s="435">
        <v>-0.06</v>
      </c>
      <c r="E16" s="494"/>
      <c r="F16" s="583">
        <f t="shared" si="6"/>
        <v>0.13</v>
      </c>
      <c r="G16" s="584">
        <f>(0.59/100)*B16</f>
        <v>0.59</v>
      </c>
      <c r="H16" s="1412"/>
      <c r="I16" s="435">
        <v>100</v>
      </c>
      <c r="J16" s="435">
        <v>-7.0000000000000007E-2</v>
      </c>
      <c r="K16" s="435">
        <v>2.2000000000000002</v>
      </c>
      <c r="L16" s="494"/>
      <c r="M16" s="583">
        <f t="shared" si="7"/>
        <v>1.135</v>
      </c>
      <c r="N16" s="584">
        <f>(0.59/100)*I16</f>
        <v>0.59</v>
      </c>
      <c r="O16" s="1412"/>
      <c r="P16" s="435">
        <v>100</v>
      </c>
      <c r="Q16" s="585">
        <v>6</v>
      </c>
      <c r="R16" s="585">
        <v>-0.22</v>
      </c>
      <c r="S16" s="585">
        <v>2</v>
      </c>
      <c r="T16" s="583">
        <f t="shared" si="8"/>
        <v>3.11</v>
      </c>
      <c r="U16" s="584">
        <f t="shared" si="5"/>
        <v>0.59</v>
      </c>
      <c r="V16" s="501"/>
      <c r="W16" s="501"/>
      <c r="X16" s="501"/>
    </row>
    <row r="17" spans="1:28">
      <c r="A17" s="1415"/>
      <c r="B17" s="435">
        <v>200</v>
      </c>
      <c r="C17" s="435">
        <v>0.4</v>
      </c>
      <c r="D17" s="435">
        <v>9.9999999999999995E-7</v>
      </c>
      <c r="E17" s="494"/>
      <c r="F17" s="583">
        <f t="shared" si="6"/>
        <v>0.19999950000000002</v>
      </c>
      <c r="G17" s="584">
        <f>(0.59/100)*B17</f>
        <v>1.18</v>
      </c>
      <c r="H17" s="1412"/>
      <c r="I17" s="435">
        <v>200</v>
      </c>
      <c r="J17" s="585">
        <v>-0.1</v>
      </c>
      <c r="K17" s="585">
        <v>3.3</v>
      </c>
      <c r="L17" s="494"/>
      <c r="M17" s="583">
        <f t="shared" si="7"/>
        <v>1.7</v>
      </c>
      <c r="N17" s="584">
        <f>(0.59/100)*I17</f>
        <v>1.18</v>
      </c>
      <c r="O17" s="1412"/>
      <c r="P17" s="435">
        <v>200</v>
      </c>
      <c r="Q17" s="585">
        <v>-3.6</v>
      </c>
      <c r="R17" s="585">
        <v>-0.1</v>
      </c>
      <c r="S17" s="585">
        <v>3.6</v>
      </c>
      <c r="T17" s="583">
        <f t="shared" si="8"/>
        <v>3.6</v>
      </c>
      <c r="U17" s="584">
        <f t="shared" si="5"/>
        <v>1.18</v>
      </c>
      <c r="V17" s="501"/>
      <c r="W17" s="501"/>
      <c r="X17" s="501"/>
    </row>
    <row r="18" spans="1:28">
      <c r="A18" s="1415"/>
      <c r="B18" s="435">
        <v>500</v>
      </c>
      <c r="C18" s="435">
        <v>3.8</v>
      </c>
      <c r="D18" s="435">
        <v>-0.9</v>
      </c>
      <c r="E18" s="494"/>
      <c r="F18" s="583">
        <f t="shared" si="6"/>
        <v>2.35</v>
      </c>
      <c r="G18" s="584">
        <f>(0.59/100)*B18</f>
        <v>2.9499999999999997</v>
      </c>
      <c r="H18" s="1412"/>
      <c r="I18" s="435">
        <v>500</v>
      </c>
      <c r="J18" s="585">
        <v>0.8</v>
      </c>
      <c r="K18" s="585">
        <v>2</v>
      </c>
      <c r="L18" s="494"/>
      <c r="M18" s="583">
        <f t="shared" si="7"/>
        <v>0.6</v>
      </c>
      <c r="N18" s="584">
        <f>(0.59/100)*I18</f>
        <v>2.9499999999999997</v>
      </c>
      <c r="O18" s="1412"/>
      <c r="P18" s="435">
        <v>500</v>
      </c>
      <c r="Q18" s="585">
        <v>-18.8</v>
      </c>
      <c r="R18" s="585">
        <v>-1.1000000000000001</v>
      </c>
      <c r="S18" s="585">
        <v>2.9</v>
      </c>
      <c r="T18" s="583">
        <f t="shared" si="8"/>
        <v>10.85</v>
      </c>
      <c r="U18" s="584">
        <f t="shared" si="5"/>
        <v>2.9499999999999997</v>
      </c>
      <c r="V18" s="501"/>
      <c r="W18" s="501"/>
      <c r="X18" s="501"/>
      <c r="AB18" s="588"/>
    </row>
    <row r="19" spans="1:28">
      <c r="A19" s="1415"/>
      <c r="B19" s="435">
        <v>1000</v>
      </c>
      <c r="C19" s="435">
        <v>9.9999999999999995E-7</v>
      </c>
      <c r="D19" s="435">
        <v>9.9999999999999995E-7</v>
      </c>
      <c r="E19" s="494"/>
      <c r="F19" s="583">
        <f t="shared" si="6"/>
        <v>0</v>
      </c>
      <c r="G19" s="584">
        <v>2.95</v>
      </c>
      <c r="H19" s="1412"/>
      <c r="I19" s="435">
        <v>1000</v>
      </c>
      <c r="J19" s="435">
        <v>9.9999999999999995E-7</v>
      </c>
      <c r="K19" s="435">
        <v>9.9999999999999995E-7</v>
      </c>
      <c r="L19" s="494"/>
      <c r="M19" s="583">
        <f t="shared" si="7"/>
        <v>0</v>
      </c>
      <c r="N19" s="584">
        <v>2.95</v>
      </c>
      <c r="O19" s="1412"/>
      <c r="P19" s="435">
        <v>1000</v>
      </c>
      <c r="Q19" s="585">
        <v>-47</v>
      </c>
      <c r="R19" s="585">
        <v>3</v>
      </c>
      <c r="S19" s="585">
        <v>3</v>
      </c>
      <c r="T19" s="583">
        <f t="shared" si="8"/>
        <v>25</v>
      </c>
      <c r="U19" s="584">
        <f t="shared" si="5"/>
        <v>5.8999999999999995</v>
      </c>
      <c r="V19" s="501"/>
      <c r="W19" s="501"/>
      <c r="X19" s="501"/>
    </row>
    <row r="20" spans="1:28">
      <c r="A20" s="1415"/>
      <c r="B20" s="1411" t="s">
        <v>306</v>
      </c>
      <c r="C20" s="1411"/>
      <c r="D20" s="1411"/>
      <c r="E20" s="1411"/>
      <c r="F20" s="1404" t="s">
        <v>303</v>
      </c>
      <c r="G20" s="1404" t="s">
        <v>237</v>
      </c>
      <c r="H20" s="1412"/>
      <c r="I20" s="1411" t="str">
        <f>B20</f>
        <v>Main-PE</v>
      </c>
      <c r="J20" s="1411"/>
      <c r="K20" s="1411"/>
      <c r="L20" s="1411"/>
      <c r="M20" s="1404" t="s">
        <v>303</v>
      </c>
      <c r="N20" s="1404" t="s">
        <v>237</v>
      </c>
      <c r="O20" s="1412"/>
      <c r="P20" s="1411" t="str">
        <f>B20</f>
        <v>Main-PE</v>
      </c>
      <c r="Q20" s="1411"/>
      <c r="R20" s="1411"/>
      <c r="S20" s="1411"/>
      <c r="T20" s="1404" t="s">
        <v>303</v>
      </c>
      <c r="U20" s="1404" t="s">
        <v>237</v>
      </c>
      <c r="V20" s="501"/>
      <c r="W20" s="501"/>
      <c r="X20" s="501"/>
    </row>
    <row r="21" spans="1:28" ht="14.4">
      <c r="A21" s="1415"/>
      <c r="B21" s="908" t="s">
        <v>510</v>
      </c>
      <c r="C21" s="738">
        <f>C5</f>
        <v>2020</v>
      </c>
      <c r="D21" s="738">
        <f>D5</f>
        <v>2019</v>
      </c>
      <c r="E21" s="738">
        <f>E5</f>
        <v>2016</v>
      </c>
      <c r="F21" s="1404"/>
      <c r="G21" s="1404"/>
      <c r="H21" s="1412"/>
      <c r="I21" s="908" t="s">
        <v>510</v>
      </c>
      <c r="J21" s="738">
        <f>J5</f>
        <v>2019</v>
      </c>
      <c r="K21" s="738">
        <f>K5</f>
        <v>2017</v>
      </c>
      <c r="L21" s="738">
        <f>L5</f>
        <v>2016</v>
      </c>
      <c r="M21" s="1404"/>
      <c r="N21" s="1404"/>
      <c r="O21" s="1412"/>
      <c r="P21" s="908" t="s">
        <v>510</v>
      </c>
      <c r="Q21" s="738">
        <f>Q5</f>
        <v>2022</v>
      </c>
      <c r="R21" s="738">
        <f>R5</f>
        <v>2021</v>
      </c>
      <c r="S21" s="738">
        <f>S5</f>
        <v>2018</v>
      </c>
      <c r="T21" s="1404"/>
      <c r="U21" s="1404"/>
      <c r="V21" s="501"/>
      <c r="W21" s="501"/>
      <c r="X21" s="501"/>
    </row>
    <row r="22" spans="1:28">
      <c r="A22" s="1415"/>
      <c r="B22" s="435">
        <v>10</v>
      </c>
      <c r="C22" s="435">
        <v>-1E-3</v>
      </c>
      <c r="D22" s="435">
        <v>9.9999999999999995E-7</v>
      </c>
      <c r="E22" s="494"/>
      <c r="F22" s="583">
        <f>0.5*(MAX(C22:E22)-MIN(C22:E22))</f>
        <v>5.0049999999999997E-4</v>
      </c>
      <c r="G22" s="584">
        <v>0</v>
      </c>
      <c r="H22" s="1412"/>
      <c r="I22" s="435">
        <v>10</v>
      </c>
      <c r="J22" s="435">
        <v>0.1</v>
      </c>
      <c r="K22" s="435">
        <v>9.9999999999999995E-7</v>
      </c>
      <c r="L22" s="494"/>
      <c r="M22" s="583">
        <f>0.5*(MAX(J22:L22)-MIN(J22:L22))</f>
        <v>4.9999500000000002E-2</v>
      </c>
      <c r="N22" s="584">
        <f>(0.59/100)*I22</f>
        <v>5.8999999999999997E-2</v>
      </c>
      <c r="O22" s="1412"/>
      <c r="P22" s="435">
        <v>5</v>
      </c>
      <c r="Q22" s="585">
        <v>9.9999999999999995E-7</v>
      </c>
      <c r="R22" s="585">
        <v>9.9999999999999995E-7</v>
      </c>
      <c r="S22" s="585">
        <v>9.9999999999999995E-7</v>
      </c>
      <c r="T22" s="583">
        <f>0.5*(MAX(Q22:S22)-MIN(Q22:S22))</f>
        <v>0</v>
      </c>
      <c r="U22" s="584">
        <f>(1.7/100)*P22</f>
        <v>8.5000000000000006E-2</v>
      </c>
      <c r="V22" s="501"/>
      <c r="W22" s="501"/>
      <c r="X22" s="501"/>
    </row>
    <row r="23" spans="1:28">
      <c r="A23" s="1415"/>
      <c r="B23" s="435">
        <v>20</v>
      </c>
      <c r="C23" s="435">
        <v>9.9999999999999995E-7</v>
      </c>
      <c r="D23" s="435">
        <v>9.9999999999999995E-7</v>
      </c>
      <c r="E23" s="494"/>
      <c r="F23" s="583">
        <f t="shared" ref="F23:F25" si="9">0.5*(MAX(C23:E23)-MIN(C23:E23))</f>
        <v>0</v>
      </c>
      <c r="G23" s="584">
        <v>0</v>
      </c>
      <c r="H23" s="1412"/>
      <c r="I23" s="435">
        <v>20</v>
      </c>
      <c r="J23" s="435">
        <v>0.2</v>
      </c>
      <c r="K23" s="435">
        <v>0.1</v>
      </c>
      <c r="L23" s="494"/>
      <c r="M23" s="583">
        <f t="shared" ref="M23:M25" si="10">0.5*(MAX(J23:L23)-MIN(J23:L23))</f>
        <v>0.05</v>
      </c>
      <c r="N23" s="584">
        <f>(0.59/100)*I23</f>
        <v>0.11799999999999999</v>
      </c>
      <c r="O23" s="1412"/>
      <c r="P23" s="435">
        <v>10</v>
      </c>
      <c r="Q23" s="585">
        <v>9.9999999999999995E-7</v>
      </c>
      <c r="R23" s="585">
        <v>9.9999999999999995E-7</v>
      </c>
      <c r="S23" s="585">
        <v>9.9999999999999995E-7</v>
      </c>
      <c r="T23" s="583">
        <f t="shared" ref="T23:T25" si="11">0.5*(MAX(Q23:S23)-MIN(Q23:S23))</f>
        <v>0</v>
      </c>
      <c r="U23" s="584">
        <f>(1.7/100)*P23</f>
        <v>0.17</v>
      </c>
      <c r="V23" s="501"/>
      <c r="W23" s="501"/>
      <c r="X23" s="501"/>
    </row>
    <row r="24" spans="1:28">
      <c r="A24" s="1415"/>
      <c r="B24" s="435">
        <v>50</v>
      </c>
      <c r="C24" s="435">
        <v>9.9999999999999995E-7</v>
      </c>
      <c r="D24" s="435">
        <v>9.9999999999999995E-7</v>
      </c>
      <c r="E24" s="494"/>
      <c r="F24" s="583">
        <f t="shared" si="9"/>
        <v>0</v>
      </c>
      <c r="G24" s="584">
        <v>0</v>
      </c>
      <c r="H24" s="1412"/>
      <c r="I24" s="435">
        <v>50</v>
      </c>
      <c r="J24" s="435">
        <v>0.3</v>
      </c>
      <c r="K24" s="435">
        <v>0.1</v>
      </c>
      <c r="L24" s="494"/>
      <c r="M24" s="583">
        <f t="shared" si="10"/>
        <v>9.9999999999999992E-2</v>
      </c>
      <c r="N24" s="584">
        <f>(0.59/100)*I24</f>
        <v>0.29499999999999998</v>
      </c>
      <c r="O24" s="1412"/>
      <c r="P24" s="435">
        <v>20</v>
      </c>
      <c r="Q24" s="589">
        <v>9.9999999999999995E-7</v>
      </c>
      <c r="R24" s="589">
        <v>0.4</v>
      </c>
      <c r="S24" s="589">
        <v>0.3</v>
      </c>
      <c r="T24" s="583">
        <f t="shared" si="11"/>
        <v>0.19999950000000002</v>
      </c>
      <c r="U24" s="584">
        <f>(1.7/100)*P24</f>
        <v>0.34</v>
      </c>
      <c r="V24" s="501"/>
      <c r="W24" s="501"/>
      <c r="X24" s="501"/>
    </row>
    <row r="25" spans="1:28">
      <c r="A25" s="1415"/>
      <c r="B25" s="435">
        <v>100</v>
      </c>
      <c r="C25" s="435">
        <v>9.9999999999999995E-7</v>
      </c>
      <c r="D25" s="435">
        <v>9.9999999999999995E-7</v>
      </c>
      <c r="E25" s="494"/>
      <c r="F25" s="583">
        <f t="shared" si="9"/>
        <v>0</v>
      </c>
      <c r="G25" s="584">
        <v>0</v>
      </c>
      <c r="H25" s="1412"/>
      <c r="I25" s="435">
        <v>100</v>
      </c>
      <c r="J25" s="435">
        <v>0.3</v>
      </c>
      <c r="K25" s="435">
        <v>9.9999999999999995E-7</v>
      </c>
      <c r="L25" s="494"/>
      <c r="M25" s="583">
        <f t="shared" si="10"/>
        <v>0.14999950000000001</v>
      </c>
      <c r="N25" s="584">
        <f>(0.59/100)*I25</f>
        <v>0.59</v>
      </c>
      <c r="O25" s="1412"/>
      <c r="P25" s="435">
        <v>50</v>
      </c>
      <c r="Q25" s="589">
        <v>0.1</v>
      </c>
      <c r="R25" s="589">
        <v>1.1000000000000001</v>
      </c>
      <c r="S25" s="589">
        <v>0.6</v>
      </c>
      <c r="T25" s="583">
        <f t="shared" si="11"/>
        <v>0.5</v>
      </c>
      <c r="U25" s="584">
        <f>(1.7/100)*P25</f>
        <v>0.85000000000000009</v>
      </c>
      <c r="V25" s="501"/>
      <c r="W25" s="501"/>
      <c r="X25" s="501"/>
    </row>
    <row r="26" spans="1:28" ht="12.9" customHeight="1">
      <c r="A26" s="1415"/>
      <c r="B26" s="1411" t="s">
        <v>212</v>
      </c>
      <c r="C26" s="1411"/>
      <c r="D26" s="1411"/>
      <c r="E26" s="1411"/>
      <c r="F26" s="1404" t="s">
        <v>303</v>
      </c>
      <c r="G26" s="1404" t="s">
        <v>237</v>
      </c>
      <c r="H26" s="1412"/>
      <c r="I26" s="1411" t="str">
        <f>B26</f>
        <v>Resistance</v>
      </c>
      <c r="J26" s="1411"/>
      <c r="K26" s="1411"/>
      <c r="L26" s="1411"/>
      <c r="M26" s="1404" t="s">
        <v>303</v>
      </c>
      <c r="N26" s="1404" t="s">
        <v>237</v>
      </c>
      <c r="O26" s="1412"/>
      <c r="P26" s="1411" t="str">
        <f>B26</f>
        <v>Resistance</v>
      </c>
      <c r="Q26" s="1411"/>
      <c r="R26" s="1411"/>
      <c r="S26" s="1411"/>
      <c r="T26" s="1404" t="s">
        <v>303</v>
      </c>
      <c r="U26" s="1404" t="s">
        <v>237</v>
      </c>
      <c r="V26" s="501"/>
      <c r="W26" s="501"/>
      <c r="X26" s="501"/>
    </row>
    <row r="27" spans="1:28" ht="14.4">
      <c r="A27" s="1415"/>
      <c r="B27" s="908" t="s">
        <v>511</v>
      </c>
      <c r="C27" s="738">
        <f>C5</f>
        <v>2020</v>
      </c>
      <c r="D27" s="738">
        <f>D5</f>
        <v>2019</v>
      </c>
      <c r="E27" s="738">
        <f>E5</f>
        <v>2016</v>
      </c>
      <c r="F27" s="1404"/>
      <c r="G27" s="1404"/>
      <c r="H27" s="1412"/>
      <c r="I27" s="908" t="s">
        <v>511</v>
      </c>
      <c r="J27" s="738">
        <f>J5</f>
        <v>2019</v>
      </c>
      <c r="K27" s="738">
        <f>K5</f>
        <v>2017</v>
      </c>
      <c r="L27" s="738">
        <f>L5</f>
        <v>2016</v>
      </c>
      <c r="M27" s="1404"/>
      <c r="N27" s="1404"/>
      <c r="O27" s="1412"/>
      <c r="P27" s="908" t="s">
        <v>511</v>
      </c>
      <c r="Q27" s="738">
        <f>Q5</f>
        <v>2022</v>
      </c>
      <c r="R27" s="738">
        <f>R5</f>
        <v>2021</v>
      </c>
      <c r="S27" s="738">
        <f>S5</f>
        <v>2018</v>
      </c>
      <c r="T27" s="1404"/>
      <c r="U27" s="1404"/>
      <c r="V27" s="501"/>
      <c r="W27" s="501"/>
      <c r="X27" s="501"/>
    </row>
    <row r="28" spans="1:28">
      <c r="A28" s="1415"/>
      <c r="B28" s="435">
        <v>0</v>
      </c>
      <c r="C28" s="435">
        <v>9.9999999999999995E-7</v>
      </c>
      <c r="D28" s="435">
        <v>9.9999999999999995E-7</v>
      </c>
      <c r="E28" s="494"/>
      <c r="F28" s="583">
        <f>0.5*(MAX(C28:E28)-MIN(C28:E28))</f>
        <v>0</v>
      </c>
      <c r="G28" s="584">
        <f>(1.2/100)*B28</f>
        <v>0</v>
      </c>
      <c r="H28" s="1412"/>
      <c r="I28" s="435">
        <v>0.01</v>
      </c>
      <c r="J28" s="435">
        <v>9.9999999999999995E-7</v>
      </c>
      <c r="K28" s="435">
        <v>9.9999999999999995E-7</v>
      </c>
      <c r="L28" s="494"/>
      <c r="M28" s="583">
        <f>0.5*(MAX(J28:L28)-MIN(J28:L28))</f>
        <v>0</v>
      </c>
      <c r="N28" s="584">
        <f>(1.2/100)*I28</f>
        <v>1.2E-4</v>
      </c>
      <c r="O28" s="1412"/>
      <c r="P28" s="435">
        <v>0</v>
      </c>
      <c r="Q28" s="590">
        <v>-1E-3</v>
      </c>
      <c r="R28" s="590">
        <v>9.9999999999999995E-7</v>
      </c>
      <c r="S28" s="590">
        <v>9.9999999999999995E-7</v>
      </c>
      <c r="T28" s="583">
        <f>0.5*(MAX(Q28:S28)-MIN(Q28:S28))</f>
        <v>5.0049999999999997E-4</v>
      </c>
      <c r="U28" s="584">
        <f>(1.2/100)*P28</f>
        <v>0</v>
      </c>
      <c r="V28" s="501"/>
      <c r="W28" s="501"/>
      <c r="X28" s="501"/>
    </row>
    <row r="29" spans="1:28">
      <c r="A29" s="1415"/>
      <c r="B29" s="435">
        <v>0.1</v>
      </c>
      <c r="C29" s="435">
        <v>-1E-3</v>
      </c>
      <c r="D29" s="435">
        <v>2E-3</v>
      </c>
      <c r="E29" s="494"/>
      <c r="F29" s="583">
        <f t="shared" ref="F29:F31" si="12">0.5*(MAX(C29:E29)-MIN(C29:E29))</f>
        <v>1.5E-3</v>
      </c>
      <c r="G29" s="584">
        <f>(1.2/100)*B29</f>
        <v>1.2000000000000001E-3</v>
      </c>
      <c r="H29" s="1412"/>
      <c r="I29" s="435">
        <v>0.1</v>
      </c>
      <c r="J29" s="435">
        <v>6.0000000000000001E-3</v>
      </c>
      <c r="K29" s="435">
        <v>5.0000000000000001E-3</v>
      </c>
      <c r="L29" s="494"/>
      <c r="M29" s="583">
        <f t="shared" ref="M29:M31" si="13">0.5*(MAX(J29:L29)-MIN(J29:L29))</f>
        <v>5.0000000000000001E-4</v>
      </c>
      <c r="N29" s="584">
        <f>(1.2/100)*I29</f>
        <v>1.2000000000000001E-3</v>
      </c>
      <c r="O29" s="1412"/>
      <c r="P29" s="435">
        <v>0.5</v>
      </c>
      <c r="Q29" s="590">
        <v>-2E-3</v>
      </c>
      <c r="R29" s="590">
        <v>-1E-3</v>
      </c>
      <c r="S29" s="590">
        <v>9.9999999999999995E-7</v>
      </c>
      <c r="T29" s="583">
        <f t="shared" ref="T29:T31" si="14">0.5*(MAX(Q29:S29)-MIN(Q29:S29))</f>
        <v>1.0005000000000001E-3</v>
      </c>
      <c r="U29" s="584">
        <f>(1.2/100)*P29</f>
        <v>6.0000000000000001E-3</v>
      </c>
      <c r="V29" s="501"/>
      <c r="W29" s="501"/>
      <c r="X29" s="501"/>
    </row>
    <row r="30" spans="1:28">
      <c r="A30" s="1415"/>
      <c r="B30" s="435">
        <v>1</v>
      </c>
      <c r="C30" s="435">
        <v>4.0000000000000001E-3</v>
      </c>
      <c r="D30" s="435">
        <v>1.2E-2</v>
      </c>
      <c r="E30" s="494"/>
      <c r="F30" s="583">
        <f t="shared" si="12"/>
        <v>4.0000000000000001E-3</v>
      </c>
      <c r="G30" s="584">
        <f>(1.2/100)*B30</f>
        <v>1.2E-2</v>
      </c>
      <c r="H30" s="1412"/>
      <c r="I30" s="435">
        <v>1</v>
      </c>
      <c r="J30" s="435">
        <v>4.4999999999999998E-2</v>
      </c>
      <c r="K30" s="435">
        <v>5.5E-2</v>
      </c>
      <c r="L30" s="494"/>
      <c r="M30" s="583">
        <f t="shared" si="13"/>
        <v>5.000000000000001E-3</v>
      </c>
      <c r="N30" s="584">
        <f>(1.2/100)*I30</f>
        <v>1.2E-2</v>
      </c>
      <c r="O30" s="1412"/>
      <c r="P30" s="435">
        <v>1</v>
      </c>
      <c r="Q30" s="590">
        <v>-1.2E-2</v>
      </c>
      <c r="R30" s="590">
        <v>5.0000000000000001E-3</v>
      </c>
      <c r="S30" s="590">
        <v>9.9999999999999995E-7</v>
      </c>
      <c r="T30" s="583">
        <f t="shared" si="14"/>
        <v>8.5000000000000006E-3</v>
      </c>
      <c r="U30" s="584">
        <f>(1.2/100)*P30</f>
        <v>1.2E-2</v>
      </c>
      <c r="V30" s="501"/>
      <c r="W30" s="501"/>
      <c r="X30" s="501"/>
    </row>
    <row r="31" spans="1:28">
      <c r="A31" s="1415"/>
      <c r="B31" s="435">
        <v>2</v>
      </c>
      <c r="C31" s="435">
        <v>7.0000000000000001E-3</v>
      </c>
      <c r="D31" s="435">
        <v>9.9999999999999995E-7</v>
      </c>
      <c r="E31" s="494"/>
      <c r="F31" s="583">
        <f t="shared" si="12"/>
        <v>3.4995E-3</v>
      </c>
      <c r="G31" s="584">
        <f>(1.2/100)*B31</f>
        <v>2.4E-2</v>
      </c>
      <c r="H31" s="1412"/>
      <c r="I31" s="435">
        <v>2</v>
      </c>
      <c r="J31" s="435">
        <v>9.9999999999999995E-7</v>
      </c>
      <c r="K31" s="435">
        <v>9.9999999999999995E-7</v>
      </c>
      <c r="L31" s="494"/>
      <c r="M31" s="583">
        <f t="shared" si="13"/>
        <v>0</v>
      </c>
      <c r="N31" s="584">
        <f>(0/100)*I31</f>
        <v>0</v>
      </c>
      <c r="O31" s="1412"/>
      <c r="P31" s="435">
        <v>2</v>
      </c>
      <c r="Q31" s="590">
        <v>-8.0000000000000002E-3</v>
      </c>
      <c r="R31" s="590">
        <v>1.4E-2</v>
      </c>
      <c r="S31" s="590">
        <v>9.9999999999999995E-7</v>
      </c>
      <c r="T31" s="583">
        <f t="shared" si="14"/>
        <v>1.0999999999999999E-2</v>
      </c>
      <c r="U31" s="584">
        <f>(1.2/100)*P31</f>
        <v>2.4E-2</v>
      </c>
      <c r="V31" s="501"/>
      <c r="W31" s="501"/>
      <c r="X31" s="501"/>
    </row>
    <row r="32" spans="1:28">
      <c r="A32" s="591"/>
      <c r="T32" s="496"/>
      <c r="V32" s="501"/>
      <c r="W32" s="501"/>
      <c r="X32" s="501"/>
    </row>
    <row r="33" spans="1:24" ht="14.4">
      <c r="A33" s="1415" t="s">
        <v>278</v>
      </c>
      <c r="B33" s="1416" t="s">
        <v>307</v>
      </c>
      <c r="C33" s="1416"/>
      <c r="D33" s="1416"/>
      <c r="E33" s="1416"/>
      <c r="F33" s="1416"/>
      <c r="G33" s="1416"/>
      <c r="H33" s="1412" t="s">
        <v>279</v>
      </c>
      <c r="I33" s="1413" t="s">
        <v>308</v>
      </c>
      <c r="J33" s="1413"/>
      <c r="K33" s="1413"/>
      <c r="L33" s="1413"/>
      <c r="M33" s="1413"/>
      <c r="N33" s="1413"/>
      <c r="O33" s="1412" t="s">
        <v>280</v>
      </c>
      <c r="P33" s="1416" t="s">
        <v>309</v>
      </c>
      <c r="Q33" s="1416"/>
      <c r="R33" s="1416"/>
      <c r="S33" s="1416"/>
      <c r="T33" s="1416"/>
      <c r="U33" s="1416"/>
      <c r="V33" s="501"/>
      <c r="W33" s="501"/>
      <c r="X33" s="501"/>
    </row>
    <row r="34" spans="1:24" ht="14.4">
      <c r="A34" s="1415"/>
      <c r="B34" s="1417" t="s">
        <v>301</v>
      </c>
      <c r="C34" s="1417"/>
      <c r="D34" s="1417"/>
      <c r="E34" s="1417"/>
      <c r="F34" s="1417"/>
      <c r="G34" s="1417"/>
      <c r="H34" s="1412"/>
      <c r="I34" s="1417" t="s">
        <v>301</v>
      </c>
      <c r="J34" s="1417"/>
      <c r="K34" s="1417"/>
      <c r="L34" s="1417"/>
      <c r="M34" s="1417"/>
      <c r="N34" s="1417"/>
      <c r="O34" s="1412"/>
      <c r="P34" s="1417" t="s">
        <v>301</v>
      </c>
      <c r="Q34" s="1417"/>
      <c r="R34" s="1417"/>
      <c r="S34" s="1417"/>
      <c r="T34" s="1417"/>
      <c r="U34" s="1417"/>
      <c r="V34" s="501"/>
      <c r="W34" s="501"/>
      <c r="X34" s="501"/>
    </row>
    <row r="35" spans="1:24">
      <c r="A35" s="1415"/>
      <c r="B35" s="1404" t="str">
        <f>B4</f>
        <v>Setting VAC</v>
      </c>
      <c r="C35" s="1404"/>
      <c r="D35" s="1404"/>
      <c r="E35" s="1404"/>
      <c r="F35" s="1404" t="s">
        <v>303</v>
      </c>
      <c r="G35" s="1404" t="s">
        <v>237</v>
      </c>
      <c r="H35" s="1412"/>
      <c r="I35" s="1404" t="str">
        <f>B35</f>
        <v>Setting VAC</v>
      </c>
      <c r="J35" s="1404"/>
      <c r="K35" s="1404"/>
      <c r="L35" s="1404"/>
      <c r="M35" s="1404" t="s">
        <v>303</v>
      </c>
      <c r="N35" s="1404" t="s">
        <v>237</v>
      </c>
      <c r="O35" s="1412"/>
      <c r="P35" s="1404" t="str">
        <f>I35</f>
        <v>Setting VAC</v>
      </c>
      <c r="Q35" s="1404"/>
      <c r="R35" s="1404"/>
      <c r="S35" s="1404"/>
      <c r="T35" s="1404" t="s">
        <v>303</v>
      </c>
      <c r="U35" s="1404" t="s">
        <v>237</v>
      </c>
      <c r="V35" s="501"/>
      <c r="W35" s="501"/>
      <c r="X35" s="501"/>
    </row>
    <row r="36" spans="1:24" ht="14.4">
      <c r="A36" s="1415"/>
      <c r="B36" s="908" t="s">
        <v>304</v>
      </c>
      <c r="C36" s="738">
        <v>2021</v>
      </c>
      <c r="D36" s="738">
        <v>2019</v>
      </c>
      <c r="E36" s="738">
        <v>2016</v>
      </c>
      <c r="F36" s="1404"/>
      <c r="G36" s="1404"/>
      <c r="H36" s="1412"/>
      <c r="I36" s="908" t="s">
        <v>304</v>
      </c>
      <c r="J36" s="738">
        <v>2021</v>
      </c>
      <c r="K36" s="738">
        <v>2019</v>
      </c>
      <c r="L36" s="738">
        <v>2016</v>
      </c>
      <c r="M36" s="1404"/>
      <c r="N36" s="1404"/>
      <c r="O36" s="1412"/>
      <c r="P36" s="908" t="s">
        <v>304</v>
      </c>
      <c r="Q36" s="738">
        <v>2019</v>
      </c>
      <c r="R36" s="738">
        <v>2018</v>
      </c>
      <c r="S36" s="738">
        <v>2016</v>
      </c>
      <c r="T36" s="1404"/>
      <c r="U36" s="1404"/>
      <c r="V36" s="582"/>
      <c r="W36" s="582"/>
      <c r="X36" s="501"/>
    </row>
    <row r="37" spans="1:24">
      <c r="A37" s="1415"/>
      <c r="B37" s="909">
        <v>150</v>
      </c>
      <c r="C37" s="585">
        <v>-0.05</v>
      </c>
      <c r="D37" s="585">
        <v>0.11</v>
      </c>
      <c r="E37" s="494"/>
      <c r="F37" s="583">
        <f>0.5*(MAX(C37:E37)-MIN(C37:E37))</f>
        <v>0.08</v>
      </c>
      <c r="G37" s="584">
        <f>(1.2/100)*B37</f>
        <v>1.8</v>
      </c>
      <c r="H37" s="1412"/>
      <c r="I37" s="909">
        <v>150</v>
      </c>
      <c r="J37" s="585">
        <v>0.25</v>
      </c>
      <c r="K37" s="585">
        <v>0.02</v>
      </c>
      <c r="L37" s="494"/>
      <c r="M37" s="583">
        <f>0.5*(MAX(J37:L37)-MIN(J37:L37))</f>
        <v>0.115</v>
      </c>
      <c r="N37" s="584">
        <f>(1.2/100)*I37</f>
        <v>1.8</v>
      </c>
      <c r="O37" s="1412"/>
      <c r="P37" s="909">
        <v>150</v>
      </c>
      <c r="Q37" s="585">
        <v>-0.15</v>
      </c>
      <c r="R37" s="585">
        <v>0.03</v>
      </c>
      <c r="S37" s="494"/>
      <c r="T37" s="583">
        <f>0.5*(MAX(Q37:S37)-MIN(Q37:S37))</f>
        <v>0.09</v>
      </c>
      <c r="U37" s="584">
        <f>(1.2/100)*P37</f>
        <v>1.8</v>
      </c>
      <c r="V37" s="586"/>
      <c r="W37" s="587"/>
      <c r="X37" s="501"/>
    </row>
    <row r="38" spans="1:24">
      <c r="A38" s="1415"/>
      <c r="B38" s="909">
        <v>180</v>
      </c>
      <c r="C38" s="585">
        <v>-0.04</v>
      </c>
      <c r="D38" s="585">
        <v>0.03</v>
      </c>
      <c r="E38" s="494"/>
      <c r="F38" s="583">
        <f t="shared" ref="F38:F42" si="15">0.5*(MAX(C38:E38)-MIN(C38:E38))</f>
        <v>3.5000000000000003E-2</v>
      </c>
      <c r="G38" s="584">
        <f>(1.2/100)*B38</f>
        <v>2.16</v>
      </c>
      <c r="H38" s="1412"/>
      <c r="I38" s="909">
        <v>180</v>
      </c>
      <c r="J38" s="585">
        <v>0.09</v>
      </c>
      <c r="K38" s="585">
        <v>0.1</v>
      </c>
      <c r="L38" s="494"/>
      <c r="M38" s="583">
        <f t="shared" ref="M38:M42" si="16">0.5*(MAX(J38:L38)-MIN(J38:L38))</f>
        <v>5.0000000000000044E-3</v>
      </c>
      <c r="N38" s="584">
        <f>(1.2/100)*I38</f>
        <v>2.16</v>
      </c>
      <c r="O38" s="1412"/>
      <c r="P38" s="909">
        <v>180</v>
      </c>
      <c r="Q38" s="585">
        <v>-0.11</v>
      </c>
      <c r="R38" s="585">
        <v>9.9999999999999995E-7</v>
      </c>
      <c r="S38" s="494"/>
      <c r="T38" s="583">
        <f t="shared" ref="T38:T42" si="17">0.5*(MAX(Q38:S38)-MIN(Q38:S38))</f>
        <v>5.5000500000000001E-2</v>
      </c>
      <c r="U38" s="584">
        <f>(1.2/100)*P38</f>
        <v>2.16</v>
      </c>
      <c r="V38" s="586"/>
      <c r="W38" s="587"/>
      <c r="X38" s="501"/>
    </row>
    <row r="39" spans="1:24">
      <c r="A39" s="1415"/>
      <c r="B39" s="909">
        <v>200</v>
      </c>
      <c r="C39" s="585">
        <v>-0.67</v>
      </c>
      <c r="D39" s="585">
        <v>0.05</v>
      </c>
      <c r="E39" s="494"/>
      <c r="F39" s="583">
        <f t="shared" si="15"/>
        <v>0.36000000000000004</v>
      </c>
      <c r="G39" s="584">
        <f>(1.2/100)*B39</f>
        <v>2.4</v>
      </c>
      <c r="H39" s="1412"/>
      <c r="I39" s="909">
        <v>200</v>
      </c>
      <c r="J39" s="585">
        <v>0.18</v>
      </c>
      <c r="K39" s="585">
        <v>-0.03</v>
      </c>
      <c r="L39" s="494"/>
      <c r="M39" s="583">
        <f t="shared" si="16"/>
        <v>0.105</v>
      </c>
      <c r="N39" s="584">
        <f>(1.2/100)*I39</f>
        <v>2.4</v>
      </c>
      <c r="O39" s="1412"/>
      <c r="P39" s="435">
        <v>200</v>
      </c>
      <c r="Q39" s="585">
        <v>-0.1</v>
      </c>
      <c r="R39" s="585">
        <v>0.05</v>
      </c>
      <c r="S39" s="494"/>
      <c r="T39" s="583">
        <f t="shared" si="17"/>
        <v>7.5000000000000011E-2</v>
      </c>
      <c r="U39" s="584">
        <f>(1.2/100)*P39</f>
        <v>2.4</v>
      </c>
      <c r="V39" s="586"/>
      <c r="W39" s="587"/>
      <c r="X39" s="501"/>
    </row>
    <row r="40" spans="1:24">
      <c r="A40" s="1415"/>
      <c r="B40" s="435">
        <v>220</v>
      </c>
      <c r="C40" s="585">
        <v>9.9999999999999995E-7</v>
      </c>
      <c r="D40" s="585">
        <v>0.1</v>
      </c>
      <c r="E40" s="494"/>
      <c r="F40" s="583">
        <f t="shared" si="15"/>
        <v>4.9999500000000002E-2</v>
      </c>
      <c r="G40" s="584">
        <f>(1.2/100)*B40</f>
        <v>2.64</v>
      </c>
      <c r="H40" s="1412"/>
      <c r="I40" s="435">
        <v>220</v>
      </c>
      <c r="J40" s="585">
        <v>0.56000000000000005</v>
      </c>
      <c r="K40" s="585">
        <v>0.38</v>
      </c>
      <c r="L40" s="494"/>
      <c r="M40" s="583">
        <f t="shared" si="16"/>
        <v>9.0000000000000024E-2</v>
      </c>
      <c r="N40" s="584">
        <f>(1.2/100)*I40</f>
        <v>2.64</v>
      </c>
      <c r="O40" s="1412"/>
      <c r="P40" s="435">
        <v>220</v>
      </c>
      <c r="Q40" s="585">
        <v>-0.13</v>
      </c>
      <c r="R40" s="585">
        <v>0.05</v>
      </c>
      <c r="S40" s="494"/>
      <c r="T40" s="583">
        <f t="shared" si="17"/>
        <v>0.09</v>
      </c>
      <c r="U40" s="584">
        <f>(1.2/100)*P40</f>
        <v>2.64</v>
      </c>
      <c r="V40" s="586"/>
      <c r="W40" s="587"/>
      <c r="X40" s="501"/>
    </row>
    <row r="41" spans="1:24">
      <c r="A41" s="1415"/>
      <c r="B41" s="435">
        <v>230</v>
      </c>
      <c r="C41" s="585">
        <v>-0.11</v>
      </c>
      <c r="D41" s="585">
        <v>1.1100000000000001</v>
      </c>
      <c r="E41" s="494"/>
      <c r="F41" s="583">
        <f t="shared" si="15"/>
        <v>0.6100000000000001</v>
      </c>
      <c r="G41" s="584">
        <f>(1.2/100)*B41</f>
        <v>2.7600000000000002</v>
      </c>
      <c r="H41" s="1412"/>
      <c r="I41" s="435">
        <v>230</v>
      </c>
      <c r="J41" s="585">
        <v>0.73</v>
      </c>
      <c r="K41" s="585">
        <v>-0.16</v>
      </c>
      <c r="L41" s="494"/>
      <c r="M41" s="583">
        <f t="shared" si="16"/>
        <v>0.44500000000000001</v>
      </c>
      <c r="N41" s="584">
        <f>(1.2/100)*I41</f>
        <v>2.7600000000000002</v>
      </c>
      <c r="O41" s="1412"/>
      <c r="P41" s="435">
        <v>230</v>
      </c>
      <c r="Q41" s="585">
        <v>-0.15</v>
      </c>
      <c r="R41" s="585">
        <v>-0.05</v>
      </c>
      <c r="S41" s="494"/>
      <c r="T41" s="583">
        <f t="shared" si="17"/>
        <v>4.9999999999999996E-2</v>
      </c>
      <c r="U41" s="584">
        <f>(1.2/100)*P41</f>
        <v>2.7600000000000002</v>
      </c>
      <c r="V41" s="586"/>
      <c r="W41" s="587"/>
      <c r="X41" s="501"/>
    </row>
    <row r="42" spans="1:24">
      <c r="A42" s="1415"/>
      <c r="B42" s="435">
        <v>250</v>
      </c>
      <c r="C42" s="585">
        <v>9.9999999999999995E-7</v>
      </c>
      <c r="D42" s="585">
        <v>9.9999999999999995E-7</v>
      </c>
      <c r="E42" s="494"/>
      <c r="F42" s="583">
        <f t="shared" si="15"/>
        <v>0</v>
      </c>
      <c r="G42" s="584">
        <v>2.76</v>
      </c>
      <c r="H42" s="1412"/>
      <c r="I42" s="435">
        <v>250</v>
      </c>
      <c r="J42" s="585">
        <v>9.9999999999999995E-7</v>
      </c>
      <c r="K42" s="585">
        <v>9.9999999999999995E-7</v>
      </c>
      <c r="L42" s="494"/>
      <c r="M42" s="583">
        <f t="shared" si="16"/>
        <v>0</v>
      </c>
      <c r="N42" s="584">
        <v>2.76</v>
      </c>
      <c r="O42" s="1412"/>
      <c r="P42" s="435">
        <v>250</v>
      </c>
      <c r="Q42" s="585">
        <v>9.9999999999999995E-7</v>
      </c>
      <c r="R42" s="585">
        <v>9.9999999999999995E-7</v>
      </c>
      <c r="S42" s="494"/>
      <c r="T42" s="583">
        <f t="shared" si="17"/>
        <v>0</v>
      </c>
      <c r="U42" s="584">
        <f>(0/100)*P42</f>
        <v>0</v>
      </c>
      <c r="V42" s="586"/>
      <c r="W42" s="587"/>
      <c r="X42" s="501"/>
    </row>
    <row r="43" spans="1:24" ht="12.75" customHeight="1">
      <c r="A43" s="1415"/>
      <c r="B43" s="1411" t="str">
        <f>B12</f>
        <v>Current Leakage</v>
      </c>
      <c r="C43" s="1411"/>
      <c r="D43" s="1411"/>
      <c r="E43" s="1411"/>
      <c r="F43" s="1404" t="s">
        <v>303</v>
      </c>
      <c r="G43" s="1404" t="s">
        <v>237</v>
      </c>
      <c r="H43" s="1412"/>
      <c r="I43" s="1411" t="str">
        <f>B43</f>
        <v>Current Leakage</v>
      </c>
      <c r="J43" s="1411"/>
      <c r="K43" s="1411"/>
      <c r="L43" s="1411"/>
      <c r="M43" s="1404" t="s">
        <v>303</v>
      </c>
      <c r="N43" s="1404" t="s">
        <v>237</v>
      </c>
      <c r="O43" s="1412"/>
      <c r="P43" s="1411" t="str">
        <f>I43</f>
        <v>Current Leakage</v>
      </c>
      <c r="Q43" s="1411"/>
      <c r="R43" s="1411"/>
      <c r="S43" s="1411"/>
      <c r="T43" s="1404" t="s">
        <v>303</v>
      </c>
      <c r="U43" s="1404" t="s">
        <v>237</v>
      </c>
      <c r="V43" s="501"/>
      <c r="W43" s="501"/>
      <c r="X43" s="501"/>
    </row>
    <row r="44" spans="1:24" ht="14.4">
      <c r="A44" s="1415"/>
      <c r="B44" s="908" t="s">
        <v>305</v>
      </c>
      <c r="C44" s="738">
        <f>C36</f>
        <v>2021</v>
      </c>
      <c r="D44" s="738">
        <f>D36</f>
        <v>2019</v>
      </c>
      <c r="E44" s="738">
        <f>E36</f>
        <v>2016</v>
      </c>
      <c r="F44" s="1404"/>
      <c r="G44" s="1404"/>
      <c r="H44" s="1412"/>
      <c r="I44" s="908" t="s">
        <v>305</v>
      </c>
      <c r="J44" s="738">
        <f>J36</f>
        <v>2021</v>
      </c>
      <c r="K44" s="738">
        <f>K36</f>
        <v>2019</v>
      </c>
      <c r="L44" s="738">
        <f>L36</f>
        <v>2016</v>
      </c>
      <c r="M44" s="1404"/>
      <c r="N44" s="1404"/>
      <c r="O44" s="1412"/>
      <c r="P44" s="908" t="s">
        <v>305</v>
      </c>
      <c r="Q44" s="738">
        <f>Q36</f>
        <v>2019</v>
      </c>
      <c r="R44" s="738">
        <f>R36</f>
        <v>2018</v>
      </c>
      <c r="S44" s="738">
        <f>S36</f>
        <v>2016</v>
      </c>
      <c r="T44" s="1404"/>
      <c r="U44" s="1404"/>
      <c r="V44" s="501"/>
      <c r="W44" s="501"/>
      <c r="X44" s="501"/>
    </row>
    <row r="45" spans="1:24">
      <c r="A45" s="1415"/>
      <c r="B45" s="435">
        <v>0</v>
      </c>
      <c r="C45" s="589">
        <v>9.9999999999999995E-7</v>
      </c>
      <c r="D45" s="435">
        <v>9.9999999999999995E-7</v>
      </c>
      <c r="E45" s="494"/>
      <c r="F45" s="583">
        <f>0.5*(MAX(C45:E45)-MIN(C45:E45))</f>
        <v>0</v>
      </c>
      <c r="G45" s="584">
        <v>0.3</v>
      </c>
      <c r="H45" s="1412"/>
      <c r="I45" s="435">
        <v>0</v>
      </c>
      <c r="J45" s="589">
        <v>9.9999999999999995E-7</v>
      </c>
      <c r="K45" s="589">
        <v>9.9999999999999995E-7</v>
      </c>
      <c r="L45" s="494"/>
      <c r="M45" s="583">
        <f>0.5*(MAX(J45:L45)-MIN(J45:L45))</f>
        <v>0</v>
      </c>
      <c r="N45" s="584">
        <f>(0.58/100)*I45</f>
        <v>0</v>
      </c>
      <c r="O45" s="1412"/>
      <c r="P45" s="435">
        <v>0</v>
      </c>
      <c r="Q45" s="589">
        <v>9.9999999999999995E-7</v>
      </c>
      <c r="R45" s="435">
        <v>9.9999999999999995E-7</v>
      </c>
      <c r="S45" s="494"/>
      <c r="T45" s="583">
        <f>0.5*(MAX(Q45:S45)-MIN(Q45:S45))</f>
        <v>0</v>
      </c>
      <c r="U45" s="584">
        <v>0.28999999999999998</v>
      </c>
    </row>
    <row r="46" spans="1:24">
      <c r="A46" s="1415"/>
      <c r="B46" s="435">
        <v>50</v>
      </c>
      <c r="C46" s="585">
        <v>-0.3</v>
      </c>
      <c r="D46" s="585">
        <v>-0.28999999999999998</v>
      </c>
      <c r="E46" s="494"/>
      <c r="F46" s="583">
        <f t="shared" ref="F46:F50" si="18">0.5*(MAX(C46:E46)-MIN(C46:E46))</f>
        <v>5.0000000000000044E-3</v>
      </c>
      <c r="G46" s="584">
        <f>(0.59/100)*B46</f>
        <v>0.29499999999999998</v>
      </c>
      <c r="H46" s="1412"/>
      <c r="I46" s="435">
        <v>50</v>
      </c>
      <c r="J46" s="585">
        <v>0.3</v>
      </c>
      <c r="K46" s="585">
        <v>-0.33</v>
      </c>
      <c r="L46" s="494"/>
      <c r="M46" s="583">
        <f t="shared" ref="M46:M50" si="19">0.5*(MAX(J46:L46)-MIN(J46:L46))</f>
        <v>0.315</v>
      </c>
      <c r="N46" s="584">
        <f>(0.58/100)*I46</f>
        <v>0.28999999999999998</v>
      </c>
      <c r="O46" s="1412"/>
      <c r="P46" s="435">
        <v>50</v>
      </c>
      <c r="Q46" s="585">
        <v>0.02</v>
      </c>
      <c r="R46" s="585">
        <v>-0.1</v>
      </c>
      <c r="S46" s="494"/>
      <c r="T46" s="583">
        <f t="shared" ref="T46:T50" si="20">0.5*(MAX(Q46:S46)-MIN(Q46:S46))</f>
        <v>6.0000000000000005E-2</v>
      </c>
      <c r="U46" s="584">
        <f>(0.58/100)*P46</f>
        <v>0.28999999999999998</v>
      </c>
    </row>
    <row r="47" spans="1:24">
      <c r="A47" s="1415"/>
      <c r="B47" s="435">
        <v>100</v>
      </c>
      <c r="C47" s="585">
        <v>-0.4</v>
      </c>
      <c r="D47" s="585">
        <v>-0.35</v>
      </c>
      <c r="E47" s="494"/>
      <c r="F47" s="583">
        <f t="shared" si="18"/>
        <v>2.5000000000000022E-2</v>
      </c>
      <c r="G47" s="584">
        <f>(0.59/100)*B47</f>
        <v>0.59</v>
      </c>
      <c r="H47" s="1412"/>
      <c r="I47" s="435">
        <v>100</v>
      </c>
      <c r="J47" s="585">
        <v>-0.1</v>
      </c>
      <c r="K47" s="585">
        <v>-0.42</v>
      </c>
      <c r="L47" s="494"/>
      <c r="M47" s="583">
        <f t="shared" si="19"/>
        <v>0.15999999999999998</v>
      </c>
      <c r="N47" s="584">
        <f>(0.58/100)*I47</f>
        <v>0.57999999999999996</v>
      </c>
      <c r="O47" s="1412"/>
      <c r="P47" s="435">
        <v>100</v>
      </c>
      <c r="Q47" s="585">
        <v>0.22</v>
      </c>
      <c r="R47" s="435">
        <v>-0.2</v>
      </c>
      <c r="S47" s="494"/>
      <c r="T47" s="583">
        <f t="shared" si="20"/>
        <v>0.21000000000000002</v>
      </c>
      <c r="U47" s="584">
        <f>(0.58/100)*P47</f>
        <v>0.57999999999999996</v>
      </c>
    </row>
    <row r="48" spans="1:24">
      <c r="A48" s="1415"/>
      <c r="B48" s="435">
        <v>200</v>
      </c>
      <c r="C48" s="585">
        <v>0.3</v>
      </c>
      <c r="D48" s="585">
        <v>0.8</v>
      </c>
      <c r="E48" s="494"/>
      <c r="F48" s="583">
        <f t="shared" si="18"/>
        <v>0.25</v>
      </c>
      <c r="G48" s="584">
        <f>(0.59/100)*B48</f>
        <v>1.18</v>
      </c>
      <c r="H48" s="1412"/>
      <c r="I48" s="435">
        <v>200</v>
      </c>
      <c r="J48" s="585">
        <v>1.3</v>
      </c>
      <c r="K48" s="585">
        <v>1.3</v>
      </c>
      <c r="L48" s="494"/>
      <c r="M48" s="583">
        <f t="shared" si="19"/>
        <v>0</v>
      </c>
      <c r="N48" s="584">
        <f>(0.58/100)*I48</f>
        <v>1.1599999999999999</v>
      </c>
      <c r="O48" s="1412"/>
      <c r="P48" s="435">
        <v>200</v>
      </c>
      <c r="Q48" s="585">
        <v>0.8</v>
      </c>
      <c r="R48" s="585">
        <v>0.8</v>
      </c>
      <c r="S48" s="494"/>
      <c r="T48" s="583">
        <f t="shared" si="20"/>
        <v>0</v>
      </c>
      <c r="U48" s="584">
        <f>(0.58/100)*P48</f>
        <v>1.1599999999999999</v>
      </c>
    </row>
    <row r="49" spans="1:21">
      <c r="A49" s="1415"/>
      <c r="B49" s="435">
        <v>500</v>
      </c>
      <c r="C49" s="585">
        <v>0.2</v>
      </c>
      <c r="D49" s="585">
        <v>1.2</v>
      </c>
      <c r="E49" s="494"/>
      <c r="F49" s="583">
        <f t="shared" si="18"/>
        <v>0.5</v>
      </c>
      <c r="G49" s="584">
        <f>(0.59/100)*B49</f>
        <v>2.9499999999999997</v>
      </c>
      <c r="H49" s="1412"/>
      <c r="I49" s="435">
        <v>500</v>
      </c>
      <c r="J49" s="585">
        <v>0.7</v>
      </c>
      <c r="K49" s="585">
        <v>0.7</v>
      </c>
      <c r="L49" s="494"/>
      <c r="M49" s="583">
        <f t="shared" si="19"/>
        <v>0</v>
      </c>
      <c r="N49" s="584">
        <f>(0.58/100)*I49</f>
        <v>2.9</v>
      </c>
      <c r="O49" s="1412"/>
      <c r="P49" s="435">
        <v>500</v>
      </c>
      <c r="Q49" s="585">
        <v>1.1000000000000001</v>
      </c>
      <c r="R49" s="585">
        <v>0.6</v>
      </c>
      <c r="S49" s="494"/>
      <c r="T49" s="583">
        <f t="shared" si="20"/>
        <v>0.25000000000000006</v>
      </c>
      <c r="U49" s="584">
        <f>(0.58/100)*P49</f>
        <v>2.9</v>
      </c>
    </row>
    <row r="50" spans="1:21">
      <c r="A50" s="1415"/>
      <c r="B50" s="435">
        <v>1000</v>
      </c>
      <c r="C50" s="585">
        <v>2</v>
      </c>
      <c r="D50" s="585">
        <v>2</v>
      </c>
      <c r="E50" s="494"/>
      <c r="F50" s="583">
        <f t="shared" si="18"/>
        <v>0</v>
      </c>
      <c r="G50" s="584">
        <f>(0/100)*B50</f>
        <v>0</v>
      </c>
      <c r="H50" s="1412"/>
      <c r="I50" s="435">
        <v>850</v>
      </c>
      <c r="J50" s="585">
        <v>9.9999999999999995E-7</v>
      </c>
      <c r="K50" s="585">
        <v>9.9999999999999995E-7</v>
      </c>
      <c r="L50" s="494"/>
      <c r="M50" s="583">
        <f t="shared" si="19"/>
        <v>0</v>
      </c>
      <c r="N50" s="584">
        <v>2.9</v>
      </c>
      <c r="O50" s="1412"/>
      <c r="P50" s="435">
        <v>1000</v>
      </c>
      <c r="Q50" s="585">
        <v>9.9999999999999995E-7</v>
      </c>
      <c r="R50" s="435">
        <v>9.9999999999999995E-7</v>
      </c>
      <c r="S50" s="494"/>
      <c r="T50" s="583">
        <f t="shared" si="20"/>
        <v>0</v>
      </c>
      <c r="U50" s="584">
        <v>2.9</v>
      </c>
    </row>
    <row r="51" spans="1:21">
      <c r="A51" s="1415"/>
      <c r="B51" s="1411" t="str">
        <f>B20</f>
        <v>Main-PE</v>
      </c>
      <c r="C51" s="1411"/>
      <c r="D51" s="1411"/>
      <c r="E51" s="1411"/>
      <c r="F51" s="1404" t="s">
        <v>303</v>
      </c>
      <c r="G51" s="1404" t="s">
        <v>237</v>
      </c>
      <c r="H51" s="1412"/>
      <c r="I51" s="1411" t="str">
        <f>B51</f>
        <v>Main-PE</v>
      </c>
      <c r="J51" s="1411"/>
      <c r="K51" s="1411"/>
      <c r="L51" s="1411"/>
      <c r="M51" s="1404" t="s">
        <v>303</v>
      </c>
      <c r="N51" s="1404" t="s">
        <v>237</v>
      </c>
      <c r="O51" s="1412"/>
      <c r="P51" s="1411" t="str">
        <f>I51</f>
        <v>Main-PE</v>
      </c>
      <c r="Q51" s="1411"/>
      <c r="R51" s="1411"/>
      <c r="S51" s="1411"/>
      <c r="T51" s="1404" t="s">
        <v>303</v>
      </c>
      <c r="U51" s="1404" t="s">
        <v>237</v>
      </c>
    </row>
    <row r="52" spans="1:21" ht="14.4">
      <c r="A52" s="1415"/>
      <c r="B52" s="908" t="s">
        <v>510</v>
      </c>
      <c r="C52" s="738">
        <f>C36</f>
        <v>2021</v>
      </c>
      <c r="D52" s="738">
        <f>D36</f>
        <v>2019</v>
      </c>
      <c r="E52" s="738">
        <f>E36</f>
        <v>2016</v>
      </c>
      <c r="F52" s="1404"/>
      <c r="G52" s="1404"/>
      <c r="H52" s="1412"/>
      <c r="I52" s="908" t="s">
        <v>510</v>
      </c>
      <c r="J52" s="738">
        <f>J36</f>
        <v>2021</v>
      </c>
      <c r="K52" s="738">
        <f>K36</f>
        <v>2019</v>
      </c>
      <c r="L52" s="738">
        <f>L36</f>
        <v>2016</v>
      </c>
      <c r="M52" s="1404"/>
      <c r="N52" s="1404"/>
      <c r="O52" s="1412"/>
      <c r="P52" s="908" t="s">
        <v>510</v>
      </c>
      <c r="Q52" s="738">
        <f>Q36</f>
        <v>2019</v>
      </c>
      <c r="R52" s="738">
        <f>R36</f>
        <v>2018</v>
      </c>
      <c r="S52" s="738">
        <f>S36</f>
        <v>2016</v>
      </c>
      <c r="T52" s="1404"/>
      <c r="U52" s="1404"/>
    </row>
    <row r="53" spans="1:21">
      <c r="A53" s="1415"/>
      <c r="B53" s="435">
        <v>10</v>
      </c>
      <c r="C53" s="585">
        <v>9.9999999999999995E-7</v>
      </c>
      <c r="D53" s="585">
        <v>0.1</v>
      </c>
      <c r="E53" s="494"/>
      <c r="F53" s="583">
        <f>0.5*(MAX(C53:E53)-MIN(C53:E53))</f>
        <v>4.9999500000000002E-2</v>
      </c>
      <c r="G53" s="584">
        <f>(1.7/100)*B53</f>
        <v>0.17</v>
      </c>
      <c r="H53" s="1412"/>
      <c r="I53" s="435">
        <v>10</v>
      </c>
      <c r="J53" s="585">
        <v>9.9999999999999995E-7</v>
      </c>
      <c r="K53" s="585">
        <v>0.1</v>
      </c>
      <c r="L53" s="494"/>
      <c r="M53" s="583">
        <f>0.5*(MAX(J53:L53)-MIN(J53:L53))</f>
        <v>4.9999500000000002E-2</v>
      </c>
      <c r="N53" s="584">
        <f>(1.7/100)*I53</f>
        <v>0.17</v>
      </c>
      <c r="O53" s="1412"/>
      <c r="P53" s="435">
        <v>10</v>
      </c>
      <c r="Q53" s="585">
        <v>0.1</v>
      </c>
      <c r="R53" s="435">
        <v>9.9999999999999995E-7</v>
      </c>
      <c r="S53" s="494"/>
      <c r="T53" s="583">
        <f>0.5*(MAX(Q53:S53)-MIN(Q53:S53))</f>
        <v>4.9999500000000002E-2</v>
      </c>
      <c r="U53" s="584">
        <f>(1.7/100)*P53</f>
        <v>0.17</v>
      </c>
    </row>
    <row r="54" spans="1:21">
      <c r="A54" s="1415"/>
      <c r="B54" s="435">
        <v>20</v>
      </c>
      <c r="C54" s="585">
        <v>0.1</v>
      </c>
      <c r="D54" s="585">
        <v>0.2</v>
      </c>
      <c r="E54" s="494"/>
      <c r="F54" s="583">
        <f t="shared" ref="F54:F56" si="21">0.5*(MAX(C54:E54)-MIN(C54:E54))</f>
        <v>0.05</v>
      </c>
      <c r="G54" s="584">
        <f>(1.7/100)*B54</f>
        <v>0.34</v>
      </c>
      <c r="H54" s="1412"/>
      <c r="I54" s="435">
        <v>20</v>
      </c>
      <c r="J54" s="585">
        <v>0.1</v>
      </c>
      <c r="K54" s="585">
        <v>0.1</v>
      </c>
      <c r="L54" s="494"/>
      <c r="M54" s="583">
        <f t="shared" ref="M54:M56" si="22">0.5*(MAX(J54:L54)-MIN(J54:L54))</f>
        <v>0</v>
      </c>
      <c r="N54" s="584">
        <f>(1.7/100)*I54</f>
        <v>0.34</v>
      </c>
      <c r="O54" s="1412"/>
      <c r="P54" s="435">
        <v>20</v>
      </c>
      <c r="Q54" s="585">
        <v>0.1</v>
      </c>
      <c r="R54" s="435">
        <v>9.9999999999999995E-7</v>
      </c>
      <c r="S54" s="494"/>
      <c r="T54" s="583">
        <f t="shared" ref="T54:T56" si="23">0.5*(MAX(Q54:S54)-MIN(Q54:S54))</f>
        <v>4.9999500000000002E-2</v>
      </c>
      <c r="U54" s="584">
        <f>(1.7/100)*P54</f>
        <v>0.34</v>
      </c>
    </row>
    <row r="55" spans="1:21">
      <c r="A55" s="1415"/>
      <c r="B55" s="435">
        <v>50</v>
      </c>
      <c r="C55" s="589">
        <v>0.4</v>
      </c>
      <c r="D55" s="589">
        <v>0.5</v>
      </c>
      <c r="E55" s="494"/>
      <c r="F55" s="583">
        <f t="shared" si="21"/>
        <v>4.9999999999999989E-2</v>
      </c>
      <c r="G55" s="584">
        <f>(1.7/100)*B55</f>
        <v>0.85000000000000009</v>
      </c>
      <c r="H55" s="1412"/>
      <c r="I55" s="435">
        <v>50</v>
      </c>
      <c r="J55" s="589">
        <v>0.6</v>
      </c>
      <c r="K55" s="589">
        <v>0.4</v>
      </c>
      <c r="L55" s="494"/>
      <c r="M55" s="583">
        <f t="shared" si="22"/>
        <v>9.9999999999999978E-2</v>
      </c>
      <c r="N55" s="584">
        <f>(1.7/100)*I55</f>
        <v>0.85000000000000009</v>
      </c>
      <c r="O55" s="1412"/>
      <c r="P55" s="435">
        <v>50</v>
      </c>
      <c r="Q55" s="589">
        <v>0.3</v>
      </c>
      <c r="R55" s="435">
        <v>0.2</v>
      </c>
      <c r="S55" s="494"/>
      <c r="T55" s="583">
        <f t="shared" si="23"/>
        <v>4.9999999999999989E-2</v>
      </c>
      <c r="U55" s="584">
        <f>(1.7/100)*P55</f>
        <v>0.85000000000000009</v>
      </c>
    </row>
    <row r="56" spans="1:21">
      <c r="A56" s="1415"/>
      <c r="B56" s="435">
        <v>100</v>
      </c>
      <c r="C56" s="589">
        <v>1.4</v>
      </c>
      <c r="D56" s="589">
        <v>1</v>
      </c>
      <c r="E56" s="494"/>
      <c r="F56" s="583">
        <f t="shared" si="21"/>
        <v>0.19999999999999996</v>
      </c>
      <c r="G56" s="584">
        <f>(1.7/100)*B56</f>
        <v>1.7000000000000002</v>
      </c>
      <c r="H56" s="1412"/>
      <c r="I56" s="435">
        <v>100</v>
      </c>
      <c r="J56" s="589">
        <v>1.5</v>
      </c>
      <c r="K56" s="589">
        <v>0.8</v>
      </c>
      <c r="L56" s="494"/>
      <c r="M56" s="583">
        <f t="shared" si="22"/>
        <v>0.35</v>
      </c>
      <c r="N56" s="584">
        <f>(1.7/100)*I56</f>
        <v>1.7000000000000002</v>
      </c>
      <c r="O56" s="1412"/>
      <c r="P56" s="435">
        <v>100</v>
      </c>
      <c r="Q56" s="589">
        <v>0.6</v>
      </c>
      <c r="R56" s="435">
        <v>0.7</v>
      </c>
      <c r="S56" s="494"/>
      <c r="T56" s="583">
        <f t="shared" si="23"/>
        <v>4.9999999999999989E-2</v>
      </c>
      <c r="U56" s="584">
        <f>(1.7/100)*P56</f>
        <v>1.7000000000000002</v>
      </c>
    </row>
    <row r="57" spans="1:21" ht="12.75" customHeight="1">
      <c r="A57" s="1415"/>
      <c r="B57" s="1411" t="str">
        <f>B26</f>
        <v>Resistance</v>
      </c>
      <c r="C57" s="1411"/>
      <c r="D57" s="1411"/>
      <c r="E57" s="1411"/>
      <c r="F57" s="1404" t="s">
        <v>303</v>
      </c>
      <c r="G57" s="1404" t="s">
        <v>237</v>
      </c>
      <c r="H57" s="1412"/>
      <c r="I57" s="1411" t="str">
        <f>B57</f>
        <v>Resistance</v>
      </c>
      <c r="J57" s="1411"/>
      <c r="K57" s="1411"/>
      <c r="L57" s="1411"/>
      <c r="M57" s="1404" t="s">
        <v>303</v>
      </c>
      <c r="N57" s="1404" t="s">
        <v>237</v>
      </c>
      <c r="O57" s="1412"/>
      <c r="P57" s="1411" t="str">
        <f>I57</f>
        <v>Resistance</v>
      </c>
      <c r="Q57" s="1411"/>
      <c r="R57" s="1411"/>
      <c r="S57" s="1411"/>
      <c r="T57" s="1404" t="s">
        <v>303</v>
      </c>
      <c r="U57" s="1404" t="s">
        <v>237</v>
      </c>
    </row>
    <row r="58" spans="1:21" ht="14.4">
      <c r="A58" s="1415"/>
      <c r="B58" s="908" t="s">
        <v>511</v>
      </c>
      <c r="C58" s="738">
        <f>C36</f>
        <v>2021</v>
      </c>
      <c r="D58" s="738">
        <f>D36</f>
        <v>2019</v>
      </c>
      <c r="E58" s="738">
        <f>E36</f>
        <v>2016</v>
      </c>
      <c r="F58" s="1404"/>
      <c r="G58" s="1404"/>
      <c r="H58" s="1412"/>
      <c r="I58" s="908" t="s">
        <v>511</v>
      </c>
      <c r="J58" s="738">
        <f>J36</f>
        <v>2021</v>
      </c>
      <c r="K58" s="738">
        <f>K36</f>
        <v>2019</v>
      </c>
      <c r="L58" s="738">
        <f>L36</f>
        <v>2016</v>
      </c>
      <c r="M58" s="1404"/>
      <c r="N58" s="1404"/>
      <c r="O58" s="1412"/>
      <c r="P58" s="908" t="s">
        <v>511</v>
      </c>
      <c r="Q58" s="738">
        <f>Q36</f>
        <v>2019</v>
      </c>
      <c r="R58" s="738">
        <f>R36</f>
        <v>2018</v>
      </c>
      <c r="S58" s="738">
        <f>S36</f>
        <v>2016</v>
      </c>
      <c r="T58" s="1404"/>
      <c r="U58" s="1404"/>
    </row>
    <row r="59" spans="1:21">
      <c r="A59" s="1415"/>
      <c r="B59" s="435">
        <v>0.01</v>
      </c>
      <c r="C59" s="585">
        <v>9.9999999999999995E-7</v>
      </c>
      <c r="D59" s="585">
        <v>9.9999999999999995E-7</v>
      </c>
      <c r="E59" s="494"/>
      <c r="F59" s="583">
        <f>0.5*(MAX(C59:E59)-MIN(C59:E59))</f>
        <v>0</v>
      </c>
      <c r="G59" s="584">
        <f>(0/100)*B59</f>
        <v>0</v>
      </c>
      <c r="H59" s="1412"/>
      <c r="I59" s="435">
        <v>0.01</v>
      </c>
      <c r="J59" s="585">
        <v>9.9999999999999995E-7</v>
      </c>
      <c r="K59" s="585">
        <v>9.9999999999999995E-7</v>
      </c>
      <c r="L59" s="494"/>
      <c r="M59" s="583">
        <f>0.5*(MAX(J59:L59)-MIN(J59:L59))</f>
        <v>0</v>
      </c>
      <c r="N59" s="584">
        <f>(1.2/100)*I59</f>
        <v>1.2E-4</v>
      </c>
      <c r="O59" s="1412"/>
      <c r="P59" s="435">
        <v>0.01</v>
      </c>
      <c r="Q59" s="585">
        <v>9.9999999999999995E-7</v>
      </c>
      <c r="R59" s="435">
        <v>9.9999999999999995E-7</v>
      </c>
      <c r="S59" s="494"/>
      <c r="T59" s="583">
        <f>0.5*(MAX(Q59:S59)-MIN(Q59:S59))</f>
        <v>0</v>
      </c>
      <c r="U59" s="584">
        <f>(1.2/100)*P59</f>
        <v>1.2E-4</v>
      </c>
    </row>
    <row r="60" spans="1:21">
      <c r="A60" s="1415"/>
      <c r="B60" s="435">
        <v>0.1</v>
      </c>
      <c r="C60" s="585">
        <v>-2E-3</v>
      </c>
      <c r="D60" s="585">
        <v>9.9999999999999995E-7</v>
      </c>
      <c r="E60" s="494"/>
      <c r="F60" s="583">
        <f t="shared" ref="F60:F62" si="24">0.5*(MAX(C60:E60)-MIN(C60:E60))</f>
        <v>1.0005000000000001E-3</v>
      </c>
      <c r="G60" s="584">
        <f>(1.2/100)*B60</f>
        <v>1.2000000000000001E-3</v>
      </c>
      <c r="H60" s="1412"/>
      <c r="I60" s="435">
        <v>0.1</v>
      </c>
      <c r="J60" s="585">
        <v>5.0000000000000001E-3</v>
      </c>
      <c r="K60" s="585">
        <v>2E-3</v>
      </c>
      <c r="L60" s="494"/>
      <c r="M60" s="583">
        <f t="shared" ref="M60:M62" si="25">0.5*(MAX(J60:L60)-MIN(J60:L60))</f>
        <v>1.5E-3</v>
      </c>
      <c r="N60" s="584">
        <f>(1.2/100)*I60</f>
        <v>1.2000000000000001E-3</v>
      </c>
      <c r="O60" s="1412"/>
      <c r="P60" s="435">
        <v>0.1</v>
      </c>
      <c r="Q60" s="585">
        <v>-2E-3</v>
      </c>
      <c r="R60" s="435">
        <v>6.0000000000000001E-3</v>
      </c>
      <c r="S60" s="494"/>
      <c r="T60" s="583">
        <f t="shared" ref="T60:T62" si="26">0.5*(MAX(Q60:S60)-MIN(Q60:S60))</f>
        <v>4.0000000000000001E-3</v>
      </c>
      <c r="U60" s="584">
        <f>(1.2/100)*P60</f>
        <v>1.2000000000000001E-3</v>
      </c>
    </row>
    <row r="61" spans="1:21">
      <c r="A61" s="1415"/>
      <c r="B61" s="435">
        <v>1</v>
      </c>
      <c r="C61" s="585">
        <v>-8.0000000000000002E-3</v>
      </c>
      <c r="D61" s="585">
        <v>-1E-3</v>
      </c>
      <c r="E61" s="494"/>
      <c r="F61" s="583">
        <f t="shared" si="24"/>
        <v>3.5000000000000001E-3</v>
      </c>
      <c r="G61" s="584">
        <f>(1.2/100)*B61</f>
        <v>1.2E-2</v>
      </c>
      <c r="H61" s="1412"/>
      <c r="I61" s="435">
        <v>1</v>
      </c>
      <c r="J61" s="585">
        <v>1.7999999999999999E-2</v>
      </c>
      <c r="K61" s="585">
        <v>1.2E-2</v>
      </c>
      <c r="L61" s="494"/>
      <c r="M61" s="583">
        <f t="shared" si="25"/>
        <v>2.9999999999999992E-3</v>
      </c>
      <c r="N61" s="584">
        <f>(1.2/100)*I61</f>
        <v>1.2E-2</v>
      </c>
      <c r="O61" s="1412"/>
      <c r="P61" s="435">
        <v>1</v>
      </c>
      <c r="Q61" s="585">
        <v>-1E-3</v>
      </c>
      <c r="R61" s="435">
        <v>8.0000000000000002E-3</v>
      </c>
      <c r="S61" s="494"/>
      <c r="T61" s="583">
        <f t="shared" si="26"/>
        <v>4.5000000000000005E-3</v>
      </c>
      <c r="U61" s="584">
        <f>(1.2/100)*P61</f>
        <v>1.2E-2</v>
      </c>
    </row>
    <row r="62" spans="1:21">
      <c r="A62" s="1415"/>
      <c r="B62" s="435">
        <v>2</v>
      </c>
      <c r="C62" s="585">
        <v>-7.0000000000000001E-3</v>
      </c>
      <c r="D62" s="585">
        <v>9.9999999999999995E-7</v>
      </c>
      <c r="E62" s="494"/>
      <c r="F62" s="583">
        <f t="shared" si="24"/>
        <v>3.5005000000000001E-3</v>
      </c>
      <c r="G62" s="584">
        <f>(1.2/100)*B62</f>
        <v>2.4E-2</v>
      </c>
      <c r="H62" s="1412"/>
      <c r="I62" s="592">
        <v>2</v>
      </c>
      <c r="J62" s="593">
        <v>0.113</v>
      </c>
      <c r="K62" s="593">
        <v>9.9999999999999995E-7</v>
      </c>
      <c r="L62" s="494"/>
      <c r="M62" s="594">
        <f t="shared" si="25"/>
        <v>5.6499500000000001E-2</v>
      </c>
      <c r="N62" s="595">
        <f>(1.2/100)*I62</f>
        <v>2.4E-2</v>
      </c>
      <c r="O62" s="1412"/>
      <c r="P62" s="435">
        <v>2</v>
      </c>
      <c r="Q62" s="585">
        <v>9.9999999999999995E-7</v>
      </c>
      <c r="R62" s="435">
        <v>9.9999999999999995E-7</v>
      </c>
      <c r="S62" s="494"/>
      <c r="T62" s="583">
        <f t="shared" si="26"/>
        <v>0</v>
      </c>
      <c r="U62" s="584">
        <f>(0/100)*P62</f>
        <v>0</v>
      </c>
    </row>
    <row r="63" spans="1:21" ht="15.6">
      <c r="A63" s="596"/>
      <c r="B63" s="434"/>
      <c r="C63" s="434"/>
      <c r="D63" s="597"/>
      <c r="E63" s="597"/>
      <c r="F63" s="597"/>
      <c r="H63" s="598"/>
      <c r="I63" s="599"/>
      <c r="J63" s="434"/>
      <c r="K63" s="597"/>
      <c r="L63" s="597"/>
      <c r="M63" s="597"/>
      <c r="O63" s="598"/>
      <c r="P63" s="434"/>
      <c r="Q63" s="434"/>
      <c r="T63" s="496"/>
    </row>
    <row r="64" spans="1:21" ht="14.4" customHeight="1">
      <c r="A64" s="1415" t="s">
        <v>90</v>
      </c>
      <c r="B64" s="1416" t="s">
        <v>310</v>
      </c>
      <c r="C64" s="1416"/>
      <c r="D64" s="1416"/>
      <c r="E64" s="1416"/>
      <c r="F64" s="1416"/>
      <c r="G64" s="1416"/>
      <c r="H64" s="1412" t="s">
        <v>311</v>
      </c>
      <c r="I64" s="1416" t="s">
        <v>512</v>
      </c>
      <c r="J64" s="1416"/>
      <c r="K64" s="1416"/>
      <c r="L64" s="1416"/>
      <c r="M64" s="1416"/>
      <c r="N64" s="1416"/>
      <c r="O64" s="1412" t="s">
        <v>312</v>
      </c>
      <c r="P64" s="1416" t="s">
        <v>434</v>
      </c>
      <c r="Q64" s="1416"/>
      <c r="R64" s="1416"/>
      <c r="S64" s="1416"/>
      <c r="T64" s="1416"/>
      <c r="U64" s="1416"/>
    </row>
    <row r="65" spans="1:21" ht="14.4">
      <c r="A65" s="1415"/>
      <c r="B65" s="1417" t="s">
        <v>301</v>
      </c>
      <c r="C65" s="1417"/>
      <c r="D65" s="1417"/>
      <c r="E65" s="1417"/>
      <c r="F65" s="1417"/>
      <c r="G65" s="1417"/>
      <c r="H65" s="1412"/>
      <c r="I65" s="1414" t="s">
        <v>301</v>
      </c>
      <c r="J65" s="1414"/>
      <c r="K65" s="1414"/>
      <c r="L65" s="1414"/>
      <c r="M65" s="1414"/>
      <c r="N65" s="1414"/>
      <c r="O65" s="1412"/>
      <c r="P65" s="1414" t="s">
        <v>301</v>
      </c>
      <c r="Q65" s="1414"/>
      <c r="R65" s="1414"/>
      <c r="S65" s="1414"/>
      <c r="T65" s="1414"/>
      <c r="U65" s="1414"/>
    </row>
    <row r="66" spans="1:21">
      <c r="A66" s="1415"/>
      <c r="B66" s="1404" t="s">
        <v>302</v>
      </c>
      <c r="C66" s="1404"/>
      <c r="D66" s="1404"/>
      <c r="E66" s="1404"/>
      <c r="F66" s="1404" t="s">
        <v>303</v>
      </c>
      <c r="G66" s="1404" t="s">
        <v>237</v>
      </c>
      <c r="H66" s="1412"/>
      <c r="I66" s="1404" t="str">
        <f>B66</f>
        <v>Setting VAC</v>
      </c>
      <c r="J66" s="1404"/>
      <c r="K66" s="1404"/>
      <c r="L66" s="1404"/>
      <c r="M66" s="1404" t="s">
        <v>303</v>
      </c>
      <c r="N66" s="1404" t="s">
        <v>237</v>
      </c>
      <c r="O66" s="1412"/>
      <c r="P66" s="1404" t="str">
        <f>B66</f>
        <v>Setting VAC</v>
      </c>
      <c r="Q66" s="1404"/>
      <c r="R66" s="1404"/>
      <c r="S66" s="1404"/>
      <c r="T66" s="1404" t="s">
        <v>303</v>
      </c>
      <c r="U66" s="1404" t="s">
        <v>237</v>
      </c>
    </row>
    <row r="67" spans="1:21" ht="14.4">
      <c r="A67" s="1415"/>
      <c r="B67" s="908" t="s">
        <v>304</v>
      </c>
      <c r="C67" s="738">
        <v>2020</v>
      </c>
      <c r="D67" s="738">
        <v>2018</v>
      </c>
      <c r="E67" s="738">
        <v>2016</v>
      </c>
      <c r="F67" s="1404"/>
      <c r="G67" s="1404"/>
      <c r="H67" s="1412"/>
      <c r="I67" s="908" t="s">
        <v>304</v>
      </c>
      <c r="J67" s="738">
        <v>2022</v>
      </c>
      <c r="K67" s="738">
        <v>2020</v>
      </c>
      <c r="L67" s="738">
        <v>2016</v>
      </c>
      <c r="M67" s="1404"/>
      <c r="N67" s="1404"/>
      <c r="O67" s="1412"/>
      <c r="P67" s="908" t="s">
        <v>304</v>
      </c>
      <c r="Q67" s="738">
        <v>2020</v>
      </c>
      <c r="R67" s="581" t="s">
        <v>213</v>
      </c>
      <c r="S67" s="738">
        <v>2016</v>
      </c>
      <c r="T67" s="1404"/>
      <c r="U67" s="1404"/>
    </row>
    <row r="68" spans="1:21">
      <c r="A68" s="1415"/>
      <c r="B68" s="909">
        <v>150.21</v>
      </c>
      <c r="C68" s="435">
        <v>0.21</v>
      </c>
      <c r="D68" s="435">
        <v>0.27</v>
      </c>
      <c r="E68" s="494"/>
      <c r="F68" s="583">
        <f>0.5*(MAX(C68:E68)-MIN(C68:E68))</f>
        <v>3.0000000000000013E-2</v>
      </c>
      <c r="G68" s="584">
        <f t="shared" ref="G68:G73" si="27">(1.2/100)*B68</f>
        <v>1.8025200000000001</v>
      </c>
      <c r="H68" s="1412"/>
      <c r="I68" s="909">
        <v>150</v>
      </c>
      <c r="J68" s="600">
        <v>-0.17</v>
      </c>
      <c r="K68" s="600">
        <v>-0.24</v>
      </c>
      <c r="L68" s="494"/>
      <c r="M68" s="583">
        <f>0.5*(MAX(J68:L68)-MIN(J68:L68))</f>
        <v>3.4999999999999989E-2</v>
      </c>
      <c r="N68" s="600">
        <f>(1.2/100)*I68</f>
        <v>1.8</v>
      </c>
      <c r="O68" s="1412"/>
      <c r="P68" s="909">
        <v>149.83000000000001</v>
      </c>
      <c r="Q68" s="600">
        <v>-0.17</v>
      </c>
      <c r="R68" s="584" t="s">
        <v>213</v>
      </c>
      <c r="S68" s="494"/>
      <c r="T68" s="583">
        <f>0.5*(MAX(Q68:S68)-MIN(Q68:S68))</f>
        <v>0</v>
      </c>
      <c r="U68" s="584">
        <f t="shared" ref="U68:U73" si="28">(1.2/100)*P68</f>
        <v>1.7979600000000002</v>
      </c>
    </row>
    <row r="69" spans="1:21">
      <c r="A69" s="1415"/>
      <c r="B69" s="909">
        <v>180.33</v>
      </c>
      <c r="C69" s="435">
        <v>0.33</v>
      </c>
      <c r="D69" s="435">
        <v>0.37</v>
      </c>
      <c r="E69" s="494"/>
      <c r="F69" s="583">
        <f t="shared" ref="F69:F73" si="29">0.5*(MAX(C69:E69)-MIN(C69:E69))</f>
        <v>1.999999999999999E-2</v>
      </c>
      <c r="G69" s="584">
        <f t="shared" si="27"/>
        <v>2.1639600000000003</v>
      </c>
      <c r="H69" s="1412"/>
      <c r="I69" s="909">
        <v>180</v>
      </c>
      <c r="J69" s="600">
        <v>-0.39</v>
      </c>
      <c r="K69" s="600">
        <v>-0.14000000000000001</v>
      </c>
      <c r="L69" s="494"/>
      <c r="M69" s="583">
        <f t="shared" ref="M69:M73" si="30">0.5*(MAX(J69:L69)-MIN(J69:L69))</f>
        <v>0.125</v>
      </c>
      <c r="N69" s="600">
        <f t="shared" ref="N68:N73" si="31">(1.2/100)*I69</f>
        <v>2.16</v>
      </c>
      <c r="O69" s="1412"/>
      <c r="P69" s="909">
        <v>179.78</v>
      </c>
      <c r="Q69" s="600">
        <v>-0.22</v>
      </c>
      <c r="R69" s="585" t="s">
        <v>213</v>
      </c>
      <c r="S69" s="494"/>
      <c r="T69" s="583">
        <f t="shared" ref="T69:T73" si="32">0.5*(MAX(Q69:S69)-MIN(Q69:S69))</f>
        <v>0</v>
      </c>
      <c r="U69" s="584">
        <f t="shared" si="28"/>
        <v>2.1573600000000002</v>
      </c>
    </row>
    <row r="70" spans="1:21">
      <c r="A70" s="1415"/>
      <c r="B70" s="435">
        <v>200.35</v>
      </c>
      <c r="C70" s="435">
        <v>0.34</v>
      </c>
      <c r="D70" s="435">
        <v>0.4</v>
      </c>
      <c r="E70" s="494"/>
      <c r="F70" s="583">
        <f t="shared" si="29"/>
        <v>0.03</v>
      </c>
      <c r="G70" s="584">
        <f t="shared" si="27"/>
        <v>2.4041999999999999</v>
      </c>
      <c r="H70" s="1412"/>
      <c r="I70" s="435">
        <v>200</v>
      </c>
      <c r="J70" s="435">
        <v>-0.23</v>
      </c>
      <c r="K70" s="435">
        <v>-0.33</v>
      </c>
      <c r="L70" s="494"/>
      <c r="M70" s="583">
        <f t="shared" si="30"/>
        <v>0.05</v>
      </c>
      <c r="N70" s="600">
        <f t="shared" si="31"/>
        <v>2.4</v>
      </c>
      <c r="O70" s="1412"/>
      <c r="P70" s="435">
        <v>199.67</v>
      </c>
      <c r="Q70" s="435">
        <v>-0.33</v>
      </c>
      <c r="R70" s="585" t="s">
        <v>213</v>
      </c>
      <c r="S70" s="494"/>
      <c r="T70" s="583">
        <f t="shared" si="32"/>
        <v>0</v>
      </c>
      <c r="U70" s="584">
        <f t="shared" si="28"/>
        <v>2.3960399999999997</v>
      </c>
    </row>
    <row r="71" spans="1:21">
      <c r="A71" s="1415"/>
      <c r="B71" s="435">
        <v>220.37</v>
      </c>
      <c r="C71" s="435">
        <v>0.37</v>
      </c>
      <c r="D71" s="435">
        <v>0.38</v>
      </c>
      <c r="E71" s="494"/>
      <c r="F71" s="583">
        <f t="shared" si="29"/>
        <v>5.0000000000000044E-3</v>
      </c>
      <c r="G71" s="584">
        <f t="shared" si="27"/>
        <v>2.6444399999999999</v>
      </c>
      <c r="H71" s="1412"/>
      <c r="I71" s="435">
        <v>220</v>
      </c>
      <c r="J71" s="435">
        <v>-0.16</v>
      </c>
      <c r="K71" s="435">
        <v>-0.45</v>
      </c>
      <c r="L71" s="494"/>
      <c r="M71" s="583">
        <f t="shared" si="30"/>
        <v>0.14500000000000002</v>
      </c>
      <c r="N71" s="600">
        <f t="shared" si="31"/>
        <v>2.64</v>
      </c>
      <c r="O71" s="1412"/>
      <c r="P71" s="435">
        <v>219.61</v>
      </c>
      <c r="Q71" s="435">
        <v>-0.39</v>
      </c>
      <c r="R71" s="585" t="s">
        <v>213</v>
      </c>
      <c r="S71" s="494"/>
      <c r="T71" s="583">
        <f t="shared" si="32"/>
        <v>0</v>
      </c>
      <c r="U71" s="584">
        <f t="shared" si="28"/>
        <v>2.6353200000000001</v>
      </c>
    </row>
    <row r="72" spans="1:21">
      <c r="A72" s="1415"/>
      <c r="B72" s="435">
        <v>230.47</v>
      </c>
      <c r="C72" s="435">
        <v>0.47</v>
      </c>
      <c r="D72" s="435">
        <v>0.4</v>
      </c>
      <c r="E72" s="494"/>
      <c r="F72" s="583">
        <f t="shared" si="29"/>
        <v>3.4999999999999976E-2</v>
      </c>
      <c r="G72" s="584">
        <f t="shared" si="27"/>
        <v>2.7656399999999999</v>
      </c>
      <c r="H72" s="1412"/>
      <c r="I72" s="435">
        <v>230</v>
      </c>
      <c r="J72" s="435">
        <v>-0.15</v>
      </c>
      <c r="K72" s="435">
        <v>-0.54</v>
      </c>
      <c r="L72" s="494"/>
      <c r="M72" s="583">
        <f t="shared" si="30"/>
        <v>0.19500000000000001</v>
      </c>
      <c r="N72" s="600">
        <f t="shared" si="31"/>
        <v>2.7600000000000002</v>
      </c>
      <c r="O72" s="1412"/>
      <c r="P72" s="435">
        <v>229.61</v>
      </c>
      <c r="Q72" s="435">
        <v>-0.39</v>
      </c>
      <c r="R72" s="585" t="s">
        <v>213</v>
      </c>
      <c r="S72" s="494"/>
      <c r="T72" s="583">
        <f t="shared" si="32"/>
        <v>0</v>
      </c>
      <c r="U72" s="584">
        <f t="shared" si="28"/>
        <v>2.7553200000000002</v>
      </c>
    </row>
    <row r="73" spans="1:21">
      <c r="A73" s="1415"/>
      <c r="B73" s="435">
        <v>240.38</v>
      </c>
      <c r="C73" s="435">
        <v>0.38</v>
      </c>
      <c r="D73" s="435">
        <v>9.9999999999999995E-7</v>
      </c>
      <c r="E73" s="494"/>
      <c r="F73" s="583">
        <f t="shared" si="29"/>
        <v>0.18999950000000002</v>
      </c>
      <c r="G73" s="584">
        <f t="shared" si="27"/>
        <v>2.88456</v>
      </c>
      <c r="H73" s="1412"/>
      <c r="I73" s="435">
        <v>250</v>
      </c>
      <c r="J73" s="435">
        <v>9.9999999999999995E-7</v>
      </c>
      <c r="K73" s="435">
        <v>-0.49</v>
      </c>
      <c r="L73" s="494"/>
      <c r="M73" s="583">
        <f t="shared" si="30"/>
        <v>0.24500049999999998</v>
      </c>
      <c r="N73" s="600">
        <f t="shared" si="31"/>
        <v>3</v>
      </c>
      <c r="O73" s="1412"/>
      <c r="P73" s="435">
        <v>239.61</v>
      </c>
      <c r="Q73" s="435">
        <v>-0.39</v>
      </c>
      <c r="R73" s="585" t="s">
        <v>213</v>
      </c>
      <c r="S73" s="494"/>
      <c r="T73" s="583">
        <f t="shared" si="32"/>
        <v>0</v>
      </c>
      <c r="U73" s="584">
        <f t="shared" si="28"/>
        <v>2.8753200000000003</v>
      </c>
    </row>
    <row r="74" spans="1:21" ht="12.75" customHeight="1">
      <c r="A74" s="1415"/>
      <c r="B74" s="1411" t="s">
        <v>211</v>
      </c>
      <c r="C74" s="1411"/>
      <c r="D74" s="1411"/>
      <c r="E74" s="1411"/>
      <c r="F74" s="1404" t="s">
        <v>303</v>
      </c>
      <c r="G74" s="1404" t="s">
        <v>237</v>
      </c>
      <c r="H74" s="1412"/>
      <c r="I74" s="1411" t="str">
        <f>B74</f>
        <v>Current Leakage</v>
      </c>
      <c r="J74" s="1411"/>
      <c r="K74" s="1411"/>
      <c r="L74" s="1411"/>
      <c r="M74" s="1404" t="s">
        <v>303</v>
      </c>
      <c r="N74" s="1404" t="s">
        <v>237</v>
      </c>
      <c r="O74" s="1412"/>
      <c r="P74" s="1411" t="str">
        <f>B74</f>
        <v>Current Leakage</v>
      </c>
      <c r="Q74" s="1411"/>
      <c r="R74" s="1411"/>
      <c r="S74" s="1411"/>
      <c r="T74" s="1404" t="s">
        <v>303</v>
      </c>
      <c r="U74" s="1404" t="s">
        <v>237</v>
      </c>
    </row>
    <row r="75" spans="1:21" ht="14.4">
      <c r="A75" s="1415"/>
      <c r="B75" s="908" t="s">
        <v>305</v>
      </c>
      <c r="C75" s="738">
        <f>C67</f>
        <v>2020</v>
      </c>
      <c r="D75" s="738">
        <f>D67</f>
        <v>2018</v>
      </c>
      <c r="E75" s="738">
        <f>E67</f>
        <v>2016</v>
      </c>
      <c r="F75" s="1404"/>
      <c r="G75" s="1404"/>
      <c r="H75" s="1412"/>
      <c r="I75" s="908" t="s">
        <v>305</v>
      </c>
      <c r="J75" s="738">
        <f>J67</f>
        <v>2022</v>
      </c>
      <c r="K75" s="738">
        <f>K67</f>
        <v>2020</v>
      </c>
      <c r="L75" s="738">
        <f>L67</f>
        <v>2016</v>
      </c>
      <c r="M75" s="1404"/>
      <c r="N75" s="1404"/>
      <c r="O75" s="1412"/>
      <c r="P75" s="908" t="s">
        <v>305</v>
      </c>
      <c r="Q75" s="738">
        <f>Q67</f>
        <v>2020</v>
      </c>
      <c r="R75" s="738" t="str">
        <f>R67</f>
        <v>-</v>
      </c>
      <c r="S75" s="738">
        <f>S67</f>
        <v>2016</v>
      </c>
      <c r="T75" s="1404"/>
      <c r="U75" s="1404"/>
    </row>
    <row r="76" spans="1:21">
      <c r="A76" s="1415"/>
      <c r="B76" s="435">
        <v>0</v>
      </c>
      <c r="C76" s="435">
        <v>9.9999999999999995E-7</v>
      </c>
      <c r="D76" s="435">
        <v>9.9999999999999995E-7</v>
      </c>
      <c r="E76" s="494"/>
      <c r="F76" s="583">
        <f>0.5*(MAX(C76:E76)-MIN(C76:E76))</f>
        <v>0</v>
      </c>
      <c r="G76" s="584">
        <v>0.3</v>
      </c>
      <c r="H76" s="1412"/>
      <c r="I76" s="435">
        <v>0</v>
      </c>
      <c r="J76" s="435">
        <v>9.9999999999999995E-7</v>
      </c>
      <c r="K76" s="435">
        <v>9.9999999999999995E-7</v>
      </c>
      <c r="L76" s="494"/>
      <c r="M76" s="583">
        <f>0.5*(MAX(J76:L76)-MIN(J76:L76))</f>
        <v>0</v>
      </c>
      <c r="N76" s="584">
        <f t="shared" ref="N76:N81" si="33">(0.59/100)*I76</f>
        <v>0</v>
      </c>
      <c r="O76" s="1412"/>
      <c r="P76" s="435">
        <v>0</v>
      </c>
      <c r="Q76" s="435">
        <v>9.9999999999999995E-7</v>
      </c>
      <c r="R76" s="584" t="s">
        <v>213</v>
      </c>
      <c r="S76" s="494"/>
      <c r="T76" s="583">
        <f>0.5*(MAX(Q76:S76)-MIN(Q76:S76))</f>
        <v>0</v>
      </c>
      <c r="U76" s="584">
        <v>0.12</v>
      </c>
    </row>
    <row r="77" spans="1:21">
      <c r="A77" s="1415"/>
      <c r="B77" s="435">
        <v>50</v>
      </c>
      <c r="C77" s="435">
        <v>1.7</v>
      </c>
      <c r="D77" s="435">
        <v>2.1</v>
      </c>
      <c r="E77" s="494"/>
      <c r="F77" s="583">
        <f t="shared" ref="F77:F81" si="34">0.5*(MAX(C77:E77)-MIN(C77:E77))</f>
        <v>0.20000000000000007</v>
      </c>
      <c r="G77" s="584">
        <f>(0.59/100)*B77</f>
        <v>0.29499999999999998</v>
      </c>
      <c r="H77" s="1412"/>
      <c r="I77" s="435">
        <v>20</v>
      </c>
      <c r="J77" s="601">
        <v>6.6</v>
      </c>
      <c r="K77" s="435">
        <v>0.9</v>
      </c>
      <c r="L77" s="494"/>
      <c r="M77" s="583">
        <f t="shared" ref="M77:M81" si="35">0.5*(MAX(J77:L77)-MIN(J77:L77))</f>
        <v>2.8499999999999996</v>
      </c>
      <c r="N77" s="584">
        <f t="shared" si="33"/>
        <v>0.11799999999999999</v>
      </c>
      <c r="O77" s="1412"/>
      <c r="P77" s="435">
        <v>20.8</v>
      </c>
      <c r="Q77" s="435">
        <v>0.8</v>
      </c>
      <c r="R77" s="585" t="s">
        <v>213</v>
      </c>
      <c r="S77" s="494"/>
      <c r="T77" s="583">
        <f t="shared" ref="T77:T81" si="36">0.5*(MAX(Q77:S77)-MIN(Q77:S77))</f>
        <v>0</v>
      </c>
      <c r="U77" s="584">
        <f>(0.59/100)*P77</f>
        <v>0.12272</v>
      </c>
    </row>
    <row r="78" spans="1:21">
      <c r="A78" s="1415"/>
      <c r="B78" s="435">
        <v>100</v>
      </c>
      <c r="C78" s="435">
        <v>1.7</v>
      </c>
      <c r="D78" s="435">
        <v>2.2000000000000002</v>
      </c>
      <c r="E78" s="494"/>
      <c r="F78" s="583">
        <f t="shared" si="34"/>
        <v>0.25000000000000011</v>
      </c>
      <c r="G78" s="584">
        <f>(0.59/100)*B78</f>
        <v>0.59</v>
      </c>
      <c r="H78" s="1412"/>
      <c r="I78" s="435">
        <v>50</v>
      </c>
      <c r="J78" s="601">
        <v>5</v>
      </c>
      <c r="K78" s="601">
        <v>2.1</v>
      </c>
      <c r="L78" s="494"/>
      <c r="M78" s="583">
        <f t="shared" si="35"/>
        <v>1.45</v>
      </c>
      <c r="N78" s="584">
        <f t="shared" si="33"/>
        <v>0.29499999999999998</v>
      </c>
      <c r="O78" s="1412"/>
      <c r="P78" s="435">
        <v>51.7</v>
      </c>
      <c r="Q78" s="601">
        <v>1.7</v>
      </c>
      <c r="R78" s="585" t="s">
        <v>213</v>
      </c>
      <c r="S78" s="494"/>
      <c r="T78" s="583">
        <f t="shared" si="36"/>
        <v>0</v>
      </c>
      <c r="U78" s="584">
        <f>(0.59/100)*P78</f>
        <v>0.30503000000000002</v>
      </c>
    </row>
    <row r="79" spans="1:21">
      <c r="A79" s="1415"/>
      <c r="B79" s="435">
        <v>200.4</v>
      </c>
      <c r="C79" s="435">
        <v>0.4</v>
      </c>
      <c r="D79" s="435">
        <v>2.4</v>
      </c>
      <c r="E79" s="494"/>
      <c r="F79" s="583">
        <f t="shared" si="34"/>
        <v>1</v>
      </c>
      <c r="G79" s="584">
        <f>(0.59/100)*B79</f>
        <v>1.1823600000000001</v>
      </c>
      <c r="H79" s="1412"/>
      <c r="I79" s="435">
        <v>200</v>
      </c>
      <c r="J79" s="435">
        <v>-8.1999999999999993</v>
      </c>
      <c r="K79" s="435">
        <v>3.7</v>
      </c>
      <c r="L79" s="494"/>
      <c r="M79" s="583">
        <f t="shared" si="35"/>
        <v>5.9499999999999993</v>
      </c>
      <c r="N79" s="584">
        <f t="shared" si="33"/>
        <v>1.18</v>
      </c>
      <c r="O79" s="1412"/>
      <c r="P79" s="435">
        <v>103.4</v>
      </c>
      <c r="Q79" s="435">
        <v>3.4</v>
      </c>
      <c r="R79" s="585" t="s">
        <v>213</v>
      </c>
      <c r="S79" s="494"/>
      <c r="T79" s="583">
        <f t="shared" si="36"/>
        <v>0</v>
      </c>
      <c r="U79" s="584">
        <f>(0.59/100)*P79</f>
        <v>0.61006000000000005</v>
      </c>
    </row>
    <row r="80" spans="1:21">
      <c r="A80" s="1415"/>
      <c r="B80" s="435">
        <v>500</v>
      </c>
      <c r="C80" s="435">
        <v>3</v>
      </c>
      <c r="D80" s="435">
        <v>3.3</v>
      </c>
      <c r="E80" s="494"/>
      <c r="F80" s="583">
        <f t="shared" si="34"/>
        <v>0.14999999999999991</v>
      </c>
      <c r="G80" s="584">
        <f>(0.59/100)*B80</f>
        <v>2.9499999999999997</v>
      </c>
      <c r="H80" s="1412"/>
      <c r="I80" s="435">
        <v>500</v>
      </c>
      <c r="J80" s="435">
        <v>-31.8</v>
      </c>
      <c r="K80" s="435">
        <v>8.3000000000000007</v>
      </c>
      <c r="L80" s="494"/>
      <c r="M80" s="583">
        <f t="shared" si="35"/>
        <v>20.05</v>
      </c>
      <c r="N80" s="584">
        <f t="shared" si="33"/>
        <v>2.9499999999999997</v>
      </c>
      <c r="O80" s="1412"/>
      <c r="P80" s="435">
        <v>507.2</v>
      </c>
      <c r="Q80" s="435">
        <v>7.2</v>
      </c>
      <c r="R80" s="585" t="s">
        <v>213</v>
      </c>
      <c r="S80" s="494"/>
      <c r="T80" s="583">
        <f t="shared" si="36"/>
        <v>0</v>
      </c>
      <c r="U80" s="584">
        <f>(0.59/100)*P80</f>
        <v>2.99248</v>
      </c>
    </row>
    <row r="81" spans="1:21">
      <c r="A81" s="1415"/>
      <c r="B81" s="435">
        <v>1000</v>
      </c>
      <c r="C81" s="435">
        <v>9.9999999999999995E-7</v>
      </c>
      <c r="D81" s="435">
        <v>9.9999999999999995E-7</v>
      </c>
      <c r="E81" s="494"/>
      <c r="F81" s="583">
        <f t="shared" si="34"/>
        <v>0</v>
      </c>
      <c r="G81" s="584">
        <v>2.95</v>
      </c>
      <c r="H81" s="1412"/>
      <c r="I81" s="435">
        <v>1000</v>
      </c>
      <c r="J81" s="435">
        <v>-74</v>
      </c>
      <c r="K81" s="435">
        <v>9.9999999999999995E-7</v>
      </c>
      <c r="L81" s="494"/>
      <c r="M81" s="583">
        <f t="shared" si="35"/>
        <v>37.000000499999999</v>
      </c>
      <c r="N81" s="584">
        <f t="shared" si="33"/>
        <v>5.8999999999999995</v>
      </c>
      <c r="O81" s="1412"/>
      <c r="P81" s="435">
        <v>920</v>
      </c>
      <c r="Q81" s="435">
        <v>9.9999999999999995E-7</v>
      </c>
      <c r="R81" s="585" t="s">
        <v>213</v>
      </c>
      <c r="S81" s="494"/>
      <c r="T81" s="583">
        <f t="shared" si="36"/>
        <v>0</v>
      </c>
      <c r="U81" s="584">
        <v>2.99</v>
      </c>
    </row>
    <row r="82" spans="1:21">
      <c r="A82" s="1415"/>
      <c r="B82" s="1411" t="s">
        <v>306</v>
      </c>
      <c r="C82" s="1411"/>
      <c r="D82" s="1411"/>
      <c r="E82" s="1411"/>
      <c r="F82" s="1404" t="s">
        <v>303</v>
      </c>
      <c r="G82" s="1404" t="s">
        <v>237</v>
      </c>
      <c r="H82" s="1412"/>
      <c r="I82" s="1411" t="s">
        <v>306</v>
      </c>
      <c r="J82" s="1411"/>
      <c r="K82" s="1411"/>
      <c r="L82" s="1411"/>
      <c r="M82" s="1404" t="s">
        <v>303</v>
      </c>
      <c r="N82" s="1404" t="s">
        <v>237</v>
      </c>
      <c r="O82" s="1412"/>
      <c r="P82" s="1411" t="str">
        <f>B82</f>
        <v>Main-PE</v>
      </c>
      <c r="Q82" s="1411"/>
      <c r="R82" s="1411"/>
      <c r="S82" s="1411"/>
      <c r="T82" s="1404" t="s">
        <v>303</v>
      </c>
      <c r="U82" s="1404" t="s">
        <v>237</v>
      </c>
    </row>
    <row r="83" spans="1:21" ht="14.4">
      <c r="A83" s="1415"/>
      <c r="B83" s="908" t="s">
        <v>510</v>
      </c>
      <c r="C83" s="738">
        <f>C67</f>
        <v>2020</v>
      </c>
      <c r="D83" s="738">
        <f>D67</f>
        <v>2018</v>
      </c>
      <c r="E83" s="738">
        <f>E67</f>
        <v>2016</v>
      </c>
      <c r="F83" s="1404"/>
      <c r="G83" s="1404"/>
      <c r="H83" s="1412"/>
      <c r="I83" s="908" t="s">
        <v>510</v>
      </c>
      <c r="J83" s="738">
        <f>J67</f>
        <v>2022</v>
      </c>
      <c r="K83" s="738">
        <f>K67</f>
        <v>2020</v>
      </c>
      <c r="L83" s="738">
        <f>L67</f>
        <v>2016</v>
      </c>
      <c r="M83" s="1404"/>
      <c r="N83" s="1404"/>
      <c r="O83" s="1412"/>
      <c r="P83" s="908" t="s">
        <v>510</v>
      </c>
      <c r="Q83" s="738">
        <f>Q67</f>
        <v>2020</v>
      </c>
      <c r="R83" s="738" t="str">
        <f>R67</f>
        <v>-</v>
      </c>
      <c r="S83" s="738">
        <f>S67</f>
        <v>2016</v>
      </c>
      <c r="T83" s="1404"/>
      <c r="U83" s="1404"/>
    </row>
    <row r="84" spans="1:21">
      <c r="A84" s="1415"/>
      <c r="B84" s="435">
        <v>10</v>
      </c>
      <c r="C84" s="435">
        <v>9.9999999999999995E-7</v>
      </c>
      <c r="D84" s="435">
        <v>9.9999999999999995E-7</v>
      </c>
      <c r="E84" s="494"/>
      <c r="F84" s="583">
        <f>0.5*(MAX(C84:E84)-MIN(C84:E84))</f>
        <v>0</v>
      </c>
      <c r="G84" s="584">
        <f>(1.7/100)*B84</f>
        <v>0.17</v>
      </c>
      <c r="H84" s="1412"/>
      <c r="I84" s="435">
        <v>10</v>
      </c>
      <c r="J84" s="435">
        <v>9.9999999999999995E-7</v>
      </c>
      <c r="K84" s="435">
        <v>9.9999999999999995E-7</v>
      </c>
      <c r="L84" s="494"/>
      <c r="M84" s="583">
        <f>0.5*(MAX(J84:L84)-MIN(J84:L84))</f>
        <v>0</v>
      </c>
      <c r="N84" s="585">
        <f>(1.7/100)*I84</f>
        <v>0.17</v>
      </c>
      <c r="O84" s="1412"/>
      <c r="P84" s="435">
        <v>10</v>
      </c>
      <c r="Q84" s="435">
        <v>9.9999999999999995E-7</v>
      </c>
      <c r="R84" s="585" t="s">
        <v>213</v>
      </c>
      <c r="S84" s="494"/>
      <c r="T84" s="583">
        <f>0.5*(MAX(Q84:S84)-MIN(Q84:S84))</f>
        <v>0</v>
      </c>
      <c r="U84" s="585">
        <v>0</v>
      </c>
    </row>
    <row r="85" spans="1:21">
      <c r="A85" s="1415"/>
      <c r="B85" s="435">
        <v>20</v>
      </c>
      <c r="C85" s="435">
        <v>9.9999999999999995E-7</v>
      </c>
      <c r="D85" s="435">
        <v>0.1</v>
      </c>
      <c r="E85" s="494"/>
      <c r="F85" s="583">
        <f t="shared" ref="F85:F87" si="37">0.5*(MAX(C85:E85)-MIN(C85:E85))</f>
        <v>4.9999500000000002E-2</v>
      </c>
      <c r="G85" s="584">
        <f>(1.7/100)*B85</f>
        <v>0.34</v>
      </c>
      <c r="H85" s="1412"/>
      <c r="I85" s="435">
        <v>20</v>
      </c>
      <c r="J85" s="435">
        <v>9.9999999999999995E-7</v>
      </c>
      <c r="K85" s="435">
        <v>9.9999999999999995E-7</v>
      </c>
      <c r="L85" s="494"/>
      <c r="M85" s="583">
        <f t="shared" ref="M85:M87" si="38">0.5*(MAX(J85:L85)-MIN(J85:L85))</f>
        <v>0</v>
      </c>
      <c r="N85" s="585">
        <f t="shared" ref="N85:N87" si="39">(1.7/100)*I85</f>
        <v>0.34</v>
      </c>
      <c r="O85" s="1412"/>
      <c r="P85" s="435">
        <v>20</v>
      </c>
      <c r="Q85" s="435">
        <v>9.9999999999999995E-7</v>
      </c>
      <c r="R85" s="585" t="s">
        <v>213</v>
      </c>
      <c r="S85" s="494"/>
      <c r="T85" s="583">
        <f t="shared" ref="T85:T87" si="40">0.5*(MAX(Q85:S85)-MIN(Q85:S85))</f>
        <v>0</v>
      </c>
      <c r="U85" s="585">
        <v>0</v>
      </c>
    </row>
    <row r="86" spans="1:21">
      <c r="A86" s="1415"/>
      <c r="B86" s="435">
        <v>50</v>
      </c>
      <c r="C86" s="435">
        <v>9.9999999999999995E-7</v>
      </c>
      <c r="D86" s="435">
        <v>0.4</v>
      </c>
      <c r="E86" s="494"/>
      <c r="F86" s="583">
        <f t="shared" si="37"/>
        <v>0.19999950000000002</v>
      </c>
      <c r="G86" s="584">
        <f>(1.7/100)*B86</f>
        <v>0.85000000000000009</v>
      </c>
      <c r="H86" s="1412"/>
      <c r="I86" s="435">
        <v>50</v>
      </c>
      <c r="J86" s="435">
        <v>0.2</v>
      </c>
      <c r="K86" s="435">
        <v>9.9999999999999995E-7</v>
      </c>
      <c r="L86" s="494"/>
      <c r="M86" s="583">
        <f t="shared" si="38"/>
        <v>9.9999500000000005E-2</v>
      </c>
      <c r="N86" s="585">
        <f t="shared" si="39"/>
        <v>0.85000000000000009</v>
      </c>
      <c r="O86" s="1412"/>
      <c r="P86" s="435">
        <v>50</v>
      </c>
      <c r="Q86" s="435">
        <v>9.9999999999999995E-7</v>
      </c>
      <c r="R86" s="589" t="s">
        <v>213</v>
      </c>
      <c r="S86" s="494"/>
      <c r="T86" s="583">
        <f t="shared" si="40"/>
        <v>0</v>
      </c>
      <c r="U86" s="589">
        <v>0</v>
      </c>
    </row>
    <row r="87" spans="1:21">
      <c r="A87" s="1415"/>
      <c r="B87" s="435">
        <v>100</v>
      </c>
      <c r="C87" s="435">
        <v>9.9999999999999995E-7</v>
      </c>
      <c r="D87" s="435">
        <v>1.4</v>
      </c>
      <c r="E87" s="494"/>
      <c r="F87" s="583">
        <f t="shared" si="37"/>
        <v>0.6999995</v>
      </c>
      <c r="G87" s="584">
        <f>(1.7/100)*B87</f>
        <v>1.7000000000000002</v>
      </c>
      <c r="H87" s="1412"/>
      <c r="I87" s="435">
        <v>100</v>
      </c>
      <c r="J87" s="435">
        <v>0.4</v>
      </c>
      <c r="K87" s="435">
        <v>9.9999999999999995E-7</v>
      </c>
      <c r="L87" s="494"/>
      <c r="M87" s="583">
        <f t="shared" si="38"/>
        <v>0.19999950000000002</v>
      </c>
      <c r="N87" s="585">
        <f t="shared" si="39"/>
        <v>1.7000000000000002</v>
      </c>
      <c r="O87" s="1412"/>
      <c r="P87" s="435">
        <v>100</v>
      </c>
      <c r="Q87" s="435">
        <v>9.9999999999999995E-7</v>
      </c>
      <c r="R87" s="589" t="s">
        <v>213</v>
      </c>
      <c r="S87" s="494"/>
      <c r="T87" s="583">
        <f t="shared" si="40"/>
        <v>0</v>
      </c>
      <c r="U87" s="589">
        <v>0</v>
      </c>
    </row>
    <row r="88" spans="1:21" ht="12.75" customHeight="1">
      <c r="A88" s="1415"/>
      <c r="B88" s="1411" t="s">
        <v>212</v>
      </c>
      <c r="C88" s="1411"/>
      <c r="D88" s="1411"/>
      <c r="E88" s="1411"/>
      <c r="F88" s="1404" t="s">
        <v>303</v>
      </c>
      <c r="G88" s="1404" t="s">
        <v>237</v>
      </c>
      <c r="H88" s="1412"/>
      <c r="I88" s="1411" t="s">
        <v>212</v>
      </c>
      <c r="J88" s="1411"/>
      <c r="K88" s="1411"/>
      <c r="L88" s="1411"/>
      <c r="M88" s="1404" t="s">
        <v>303</v>
      </c>
      <c r="N88" s="1404" t="s">
        <v>237</v>
      </c>
      <c r="O88" s="1412"/>
      <c r="P88" s="1411" t="str">
        <f>B88</f>
        <v>Resistance</v>
      </c>
      <c r="Q88" s="1411"/>
      <c r="R88" s="1411"/>
      <c r="S88" s="1411"/>
      <c r="T88" s="1404" t="s">
        <v>303</v>
      </c>
      <c r="U88" s="1404" t="s">
        <v>237</v>
      </c>
    </row>
    <row r="89" spans="1:21" ht="14.4">
      <c r="A89" s="1415"/>
      <c r="B89" s="908" t="s">
        <v>511</v>
      </c>
      <c r="C89" s="738">
        <f>C67</f>
        <v>2020</v>
      </c>
      <c r="D89" s="738">
        <f>D67</f>
        <v>2018</v>
      </c>
      <c r="E89" s="738">
        <f>E67</f>
        <v>2016</v>
      </c>
      <c r="F89" s="1404"/>
      <c r="G89" s="1404"/>
      <c r="H89" s="1412"/>
      <c r="I89" s="908" t="s">
        <v>511</v>
      </c>
      <c r="J89" s="738">
        <f>J67</f>
        <v>2022</v>
      </c>
      <c r="K89" s="738">
        <f>K67</f>
        <v>2020</v>
      </c>
      <c r="L89" s="738">
        <f>L67</f>
        <v>2016</v>
      </c>
      <c r="M89" s="1404"/>
      <c r="N89" s="1404"/>
      <c r="O89" s="1412"/>
      <c r="P89" s="908" t="s">
        <v>511</v>
      </c>
      <c r="Q89" s="738">
        <f>Q67</f>
        <v>2020</v>
      </c>
      <c r="R89" s="738" t="str">
        <f>R67</f>
        <v>-</v>
      </c>
      <c r="S89" s="738">
        <f>S67</f>
        <v>2016</v>
      </c>
      <c r="T89" s="1404"/>
      <c r="U89" s="1404"/>
    </row>
    <row r="90" spans="1:21">
      <c r="A90" s="1415"/>
      <c r="B90" s="435">
        <v>0.01</v>
      </c>
      <c r="C90" s="435">
        <v>9.9999999999999995E-7</v>
      </c>
      <c r="D90" s="435">
        <v>9.9999999999999995E-7</v>
      </c>
      <c r="E90" s="494"/>
      <c r="F90" s="583">
        <f>0.5*(MAX(C90:E90)-MIN(C90:E90))</f>
        <v>0</v>
      </c>
      <c r="G90" s="584">
        <v>0.01</v>
      </c>
      <c r="H90" s="1412"/>
      <c r="I90" s="435">
        <v>0.1</v>
      </c>
      <c r="J90" s="602">
        <v>-1E-3</v>
      </c>
      <c r="K90" s="602">
        <v>-1E-3</v>
      </c>
      <c r="L90" s="494"/>
      <c r="M90" s="603">
        <f>0.5*(MAX(J90:L90)-MIN(J90:L90))</f>
        <v>0</v>
      </c>
      <c r="N90" s="604">
        <f>(1.2/100)*I90</f>
        <v>1.2000000000000001E-3</v>
      </c>
      <c r="O90" s="1412"/>
      <c r="P90" s="435">
        <v>1E-3</v>
      </c>
      <c r="Q90" s="601">
        <v>-1E-3</v>
      </c>
      <c r="R90" s="589" t="s">
        <v>213</v>
      </c>
      <c r="S90" s="494"/>
      <c r="T90" s="583">
        <f>0.5*(MAX(Q90:S90)-MIN(Q90:S90))</f>
        <v>0</v>
      </c>
      <c r="U90" s="584">
        <f>(1.2/100)*P90</f>
        <v>1.2E-5</v>
      </c>
    </row>
    <row r="91" spans="1:21">
      <c r="A91" s="1415"/>
      <c r="B91" s="435">
        <v>0.5</v>
      </c>
      <c r="C91" s="435">
        <v>9.9999999999999995E-7</v>
      </c>
      <c r="D91" s="435">
        <v>1E-3</v>
      </c>
      <c r="E91" s="494"/>
      <c r="F91" s="583">
        <f t="shared" ref="F91:F93" si="41">0.5*(MAX(C91:E91)-MIN(C91:E91))</f>
        <v>4.9950000000000005E-4</v>
      </c>
      <c r="G91" s="584">
        <f>(1.2/100)*B91</f>
        <v>6.0000000000000001E-3</v>
      </c>
      <c r="H91" s="1412"/>
      <c r="I91" s="435">
        <v>0.5</v>
      </c>
      <c r="J91" s="605">
        <v>4.0000000000000001E-3</v>
      </c>
      <c r="K91" s="605">
        <v>-3.0000000000000001E-3</v>
      </c>
      <c r="L91" s="494"/>
      <c r="M91" s="603">
        <f t="shared" ref="M91:M93" si="42">0.5*(MAX(J91:L91)-MIN(J91:L91))</f>
        <v>3.5000000000000001E-3</v>
      </c>
      <c r="N91" s="604">
        <f>(1.2/100)*I91</f>
        <v>6.0000000000000001E-3</v>
      </c>
      <c r="O91" s="1412"/>
      <c r="P91" s="435">
        <v>0.10199999999999999</v>
      </c>
      <c r="Q91" s="435">
        <v>-2E-3</v>
      </c>
      <c r="R91" s="585" t="s">
        <v>213</v>
      </c>
      <c r="S91" s="494"/>
      <c r="T91" s="583">
        <f t="shared" ref="T91:T93" si="43">0.5*(MAX(Q91:S91)-MIN(Q91:S91))</f>
        <v>0</v>
      </c>
      <c r="U91" s="584">
        <f>(1.2/100)*P91</f>
        <v>1.224E-3</v>
      </c>
    </row>
    <row r="92" spans="1:21">
      <c r="A92" s="1415"/>
      <c r="B92" s="435">
        <v>1</v>
      </c>
      <c r="C92" s="435">
        <v>-2E-3</v>
      </c>
      <c r="D92" s="435">
        <v>1E-3</v>
      </c>
      <c r="E92" s="494"/>
      <c r="F92" s="583">
        <f t="shared" si="41"/>
        <v>1.5E-3</v>
      </c>
      <c r="G92" s="584">
        <f>(1.2/100)*B92</f>
        <v>1.2E-2</v>
      </c>
      <c r="H92" s="1412"/>
      <c r="I92" s="435">
        <v>1</v>
      </c>
      <c r="J92" s="605">
        <v>5.0000000000000001E-3</v>
      </c>
      <c r="K92" s="605">
        <v>1E-3</v>
      </c>
      <c r="L92" s="494"/>
      <c r="M92" s="603">
        <f t="shared" si="42"/>
        <v>2E-3</v>
      </c>
      <c r="N92" s="604">
        <f>(1.2/100)*I92</f>
        <v>1.2E-2</v>
      </c>
      <c r="O92" s="1412"/>
      <c r="P92" s="435">
        <v>0.5</v>
      </c>
      <c r="Q92" s="435">
        <v>9.9999999999999995E-7</v>
      </c>
      <c r="R92" s="585" t="s">
        <v>213</v>
      </c>
      <c r="S92" s="494"/>
      <c r="T92" s="583">
        <f t="shared" si="43"/>
        <v>0</v>
      </c>
      <c r="U92" s="584">
        <f>(1.2/100)*P92</f>
        <v>6.0000000000000001E-3</v>
      </c>
    </row>
    <row r="93" spans="1:21">
      <c r="A93" s="1415"/>
      <c r="B93" s="435">
        <v>2</v>
      </c>
      <c r="C93" s="435">
        <v>9.9999999999999995E-7</v>
      </c>
      <c r="D93" s="435">
        <v>9.9999999999999995E-7</v>
      </c>
      <c r="E93" s="494"/>
      <c r="F93" s="583">
        <f t="shared" si="41"/>
        <v>0</v>
      </c>
      <c r="G93" s="584">
        <f>(1.2/100)*B93</f>
        <v>2.4E-2</v>
      </c>
      <c r="H93" s="1412"/>
      <c r="I93" s="435">
        <v>2</v>
      </c>
      <c r="J93" s="605">
        <v>5.0000000000000001E-3</v>
      </c>
      <c r="K93" s="605">
        <v>-1E-3</v>
      </c>
      <c r="L93" s="494"/>
      <c r="M93" s="603">
        <f t="shared" si="42"/>
        <v>3.0000000000000001E-3</v>
      </c>
      <c r="N93" s="604">
        <f>(1.2/100)*I93</f>
        <v>2.4E-2</v>
      </c>
      <c r="O93" s="1412"/>
      <c r="P93" s="592">
        <v>1</v>
      </c>
      <c r="Q93" s="592">
        <v>-1E-3</v>
      </c>
      <c r="R93" s="593" t="s">
        <v>213</v>
      </c>
      <c r="S93" s="494"/>
      <c r="T93" s="594">
        <f t="shared" si="43"/>
        <v>0</v>
      </c>
      <c r="U93" s="595">
        <f>(1.2/100)*P93</f>
        <v>1.2E-2</v>
      </c>
    </row>
    <row r="94" spans="1:21" ht="15.6">
      <c r="A94" s="606"/>
      <c r="B94" s="434"/>
      <c r="C94" s="434"/>
      <c r="D94" s="597"/>
      <c r="E94" s="540"/>
      <c r="F94" s="607"/>
      <c r="H94" s="598"/>
      <c r="I94" s="434"/>
      <c r="J94" s="434"/>
      <c r="K94" s="597"/>
      <c r="L94" s="597"/>
      <c r="M94" s="597"/>
      <c r="O94" s="598"/>
      <c r="P94" s="434"/>
      <c r="Q94" s="434"/>
      <c r="R94" s="597"/>
      <c r="S94" s="597"/>
      <c r="T94" s="597"/>
    </row>
    <row r="95" spans="1:21" ht="14.4">
      <c r="A95" s="1415" t="s">
        <v>513</v>
      </c>
      <c r="B95" s="1416">
        <v>10</v>
      </c>
      <c r="C95" s="1416"/>
      <c r="D95" s="1416"/>
      <c r="E95" s="1416"/>
      <c r="F95" s="1416"/>
      <c r="G95" s="1416"/>
      <c r="H95" s="1412" t="s">
        <v>514</v>
      </c>
      <c r="I95" s="1413">
        <v>11</v>
      </c>
      <c r="J95" s="1413"/>
      <c r="K95" s="1413"/>
      <c r="L95" s="1413"/>
      <c r="M95" s="1413"/>
      <c r="N95" s="1413"/>
      <c r="O95" s="1412" t="s">
        <v>515</v>
      </c>
      <c r="P95" s="1413">
        <v>12</v>
      </c>
      <c r="Q95" s="1413"/>
      <c r="R95" s="1413"/>
      <c r="S95" s="1413"/>
      <c r="T95" s="1413"/>
      <c r="U95" s="1413"/>
    </row>
    <row r="96" spans="1:21" ht="14.4">
      <c r="A96" s="1415"/>
      <c r="B96" s="1417" t="s">
        <v>301</v>
      </c>
      <c r="C96" s="1417"/>
      <c r="D96" s="1417"/>
      <c r="E96" s="1417"/>
      <c r="F96" s="1417"/>
      <c r="G96" s="1417"/>
      <c r="H96" s="1412"/>
      <c r="I96" s="1414" t="s">
        <v>301</v>
      </c>
      <c r="J96" s="1414"/>
      <c r="K96" s="1414"/>
      <c r="L96" s="1414"/>
      <c r="M96" s="1414"/>
      <c r="N96" s="1414"/>
      <c r="O96" s="1412"/>
      <c r="P96" s="1414" t="s">
        <v>301</v>
      </c>
      <c r="Q96" s="1414"/>
      <c r="R96" s="1414"/>
      <c r="S96" s="1414"/>
      <c r="T96" s="1414"/>
      <c r="U96" s="1414"/>
    </row>
    <row r="97" spans="1:21">
      <c r="A97" s="1415"/>
      <c r="B97" s="1404" t="s">
        <v>302</v>
      </c>
      <c r="C97" s="1404"/>
      <c r="D97" s="1404"/>
      <c r="E97" s="1404"/>
      <c r="F97" s="1404" t="s">
        <v>303</v>
      </c>
      <c r="G97" s="1404" t="s">
        <v>237</v>
      </c>
      <c r="H97" s="1412"/>
      <c r="I97" s="1404" t="str">
        <f>B97</f>
        <v>Setting VAC</v>
      </c>
      <c r="J97" s="1404"/>
      <c r="K97" s="1404"/>
      <c r="L97" s="1404"/>
      <c r="M97" s="1404" t="s">
        <v>303</v>
      </c>
      <c r="N97" s="1404" t="s">
        <v>237</v>
      </c>
      <c r="O97" s="1412"/>
      <c r="P97" s="1404" t="str">
        <f>B97</f>
        <v>Setting VAC</v>
      </c>
      <c r="Q97" s="1404"/>
      <c r="R97" s="1404"/>
      <c r="S97" s="1404"/>
      <c r="T97" s="1404" t="s">
        <v>303</v>
      </c>
      <c r="U97" s="1404" t="s">
        <v>237</v>
      </c>
    </row>
    <row r="98" spans="1:21" ht="14.4">
      <c r="A98" s="1415"/>
      <c r="B98" s="908" t="s">
        <v>304</v>
      </c>
      <c r="C98" s="581">
        <v>2021</v>
      </c>
      <c r="D98" s="581" t="s">
        <v>213</v>
      </c>
      <c r="E98" s="738">
        <v>2016</v>
      </c>
      <c r="F98" s="1404"/>
      <c r="G98" s="1404"/>
      <c r="H98" s="1412"/>
      <c r="I98" s="908" t="s">
        <v>304</v>
      </c>
      <c r="J98" s="581" t="s">
        <v>213</v>
      </c>
      <c r="K98" s="581" t="s">
        <v>213</v>
      </c>
      <c r="L98" s="738">
        <v>2016</v>
      </c>
      <c r="M98" s="1404"/>
      <c r="N98" s="1404"/>
      <c r="O98" s="1412"/>
      <c r="P98" s="908" t="s">
        <v>304</v>
      </c>
      <c r="Q98" s="581" t="s">
        <v>213</v>
      </c>
      <c r="R98" s="581" t="s">
        <v>213</v>
      </c>
      <c r="S98" s="738">
        <v>2016</v>
      </c>
      <c r="T98" s="1404"/>
      <c r="U98" s="1404"/>
    </row>
    <row r="99" spans="1:21">
      <c r="A99" s="1415"/>
      <c r="B99" s="909">
        <v>150</v>
      </c>
      <c r="C99" s="435">
        <v>-0.05</v>
      </c>
      <c r="D99" s="584" t="s">
        <v>213</v>
      </c>
      <c r="E99" s="494"/>
      <c r="F99" s="583">
        <f>0.5*(MAX(C99:E99)-MIN(C99:E99))</f>
        <v>0</v>
      </c>
      <c r="G99" s="584" t="s">
        <v>213</v>
      </c>
      <c r="H99" s="1412"/>
      <c r="I99" s="909">
        <v>150</v>
      </c>
      <c r="J99" s="601">
        <v>9.9999999999999995E-7</v>
      </c>
      <c r="K99" s="584" t="s">
        <v>213</v>
      </c>
      <c r="L99" s="494"/>
      <c r="M99" s="583">
        <f>0.5*(MAX(J99:L99)-MIN(J99:L99))</f>
        <v>0</v>
      </c>
      <c r="N99" s="584" t="s">
        <v>213</v>
      </c>
      <c r="O99" s="1412"/>
      <c r="P99" s="909">
        <v>150</v>
      </c>
      <c r="Q99" s="601">
        <v>9.9999999999999995E-7</v>
      </c>
      <c r="R99" s="584" t="s">
        <v>213</v>
      </c>
      <c r="S99" s="494"/>
      <c r="T99" s="583">
        <f>0.5*(MAX(Q99:S99)-MIN(Q99:S99))</f>
        <v>0</v>
      </c>
      <c r="U99" s="584" t="s">
        <v>213</v>
      </c>
    </row>
    <row r="100" spans="1:21">
      <c r="A100" s="1415"/>
      <c r="B100" s="909">
        <v>180</v>
      </c>
      <c r="C100" s="435">
        <v>-0.04</v>
      </c>
      <c r="D100" s="585" t="s">
        <v>213</v>
      </c>
      <c r="E100" s="494"/>
      <c r="F100" s="583">
        <f t="shared" ref="F100:F104" si="44">0.5*(MAX(C100:E100)-MIN(C100:E100))</f>
        <v>0</v>
      </c>
      <c r="G100" s="584" t="s">
        <v>213</v>
      </c>
      <c r="H100" s="1412"/>
      <c r="I100" s="909">
        <v>180</v>
      </c>
      <c r="J100" s="601">
        <v>9.9999999999999995E-7</v>
      </c>
      <c r="K100" s="585" t="s">
        <v>213</v>
      </c>
      <c r="L100" s="494"/>
      <c r="M100" s="583">
        <f t="shared" ref="M100:M104" si="45">0.5*(MAX(J100:L100)-MIN(J100:L100))</f>
        <v>0</v>
      </c>
      <c r="N100" s="585" t="s">
        <v>213</v>
      </c>
      <c r="O100" s="1412"/>
      <c r="P100" s="909">
        <v>180</v>
      </c>
      <c r="Q100" s="601">
        <v>9.9999999999999995E-7</v>
      </c>
      <c r="R100" s="585" t="s">
        <v>213</v>
      </c>
      <c r="S100" s="494"/>
      <c r="T100" s="583">
        <f t="shared" ref="T100:T104" si="46">0.5*(MAX(Q100:S100)-MIN(Q100:S100))</f>
        <v>0</v>
      </c>
      <c r="U100" s="585" t="s">
        <v>213</v>
      </c>
    </row>
    <row r="101" spans="1:21">
      <c r="A101" s="1415"/>
      <c r="B101" s="435">
        <v>200</v>
      </c>
      <c r="C101" s="435">
        <v>-0.67</v>
      </c>
      <c r="D101" s="585" t="s">
        <v>213</v>
      </c>
      <c r="E101" s="494"/>
      <c r="F101" s="583">
        <f t="shared" si="44"/>
        <v>0</v>
      </c>
      <c r="G101" s="584" t="s">
        <v>213</v>
      </c>
      <c r="H101" s="1412"/>
      <c r="I101" s="435">
        <v>200</v>
      </c>
      <c r="J101" s="435">
        <v>9.9999999999999995E-7</v>
      </c>
      <c r="K101" s="585" t="s">
        <v>213</v>
      </c>
      <c r="L101" s="494"/>
      <c r="M101" s="583">
        <f t="shared" si="45"/>
        <v>0</v>
      </c>
      <c r="N101" s="585" t="s">
        <v>213</v>
      </c>
      <c r="O101" s="1412"/>
      <c r="P101" s="435">
        <v>200</v>
      </c>
      <c r="Q101" s="601">
        <v>9.9999999999999995E-7</v>
      </c>
      <c r="R101" s="585" t="s">
        <v>213</v>
      </c>
      <c r="S101" s="494"/>
      <c r="T101" s="583">
        <f t="shared" si="46"/>
        <v>0</v>
      </c>
      <c r="U101" s="585" t="s">
        <v>213</v>
      </c>
    </row>
    <row r="102" spans="1:21">
      <c r="A102" s="1415"/>
      <c r="B102" s="435">
        <v>220</v>
      </c>
      <c r="C102" s="435">
        <v>9.9999999999999995E-7</v>
      </c>
      <c r="D102" s="585" t="s">
        <v>213</v>
      </c>
      <c r="E102" s="494"/>
      <c r="F102" s="583">
        <f t="shared" si="44"/>
        <v>0</v>
      </c>
      <c r="G102" s="584" t="s">
        <v>213</v>
      </c>
      <c r="H102" s="1412"/>
      <c r="I102" s="435">
        <v>220</v>
      </c>
      <c r="J102" s="435">
        <v>9.9999999999999995E-7</v>
      </c>
      <c r="K102" s="585" t="s">
        <v>213</v>
      </c>
      <c r="L102" s="494"/>
      <c r="M102" s="583">
        <f t="shared" si="45"/>
        <v>0</v>
      </c>
      <c r="N102" s="585" t="s">
        <v>213</v>
      </c>
      <c r="O102" s="1412"/>
      <c r="P102" s="435">
        <v>220</v>
      </c>
      <c r="Q102" s="601">
        <v>9.9999999999999995E-7</v>
      </c>
      <c r="R102" s="585" t="s">
        <v>213</v>
      </c>
      <c r="S102" s="494"/>
      <c r="T102" s="583">
        <f t="shared" si="46"/>
        <v>0</v>
      </c>
      <c r="U102" s="585" t="s">
        <v>213</v>
      </c>
    </row>
    <row r="103" spans="1:21">
      <c r="A103" s="1415"/>
      <c r="B103" s="435">
        <v>230</v>
      </c>
      <c r="C103" s="435">
        <v>-0.11</v>
      </c>
      <c r="D103" s="585" t="s">
        <v>213</v>
      </c>
      <c r="E103" s="494"/>
      <c r="F103" s="583">
        <f t="shared" si="44"/>
        <v>0</v>
      </c>
      <c r="G103" s="584" t="s">
        <v>213</v>
      </c>
      <c r="H103" s="1412"/>
      <c r="I103" s="435">
        <v>230</v>
      </c>
      <c r="J103" s="435">
        <v>9.9999999999999995E-7</v>
      </c>
      <c r="K103" s="585" t="s">
        <v>213</v>
      </c>
      <c r="L103" s="494"/>
      <c r="M103" s="583">
        <f t="shared" si="45"/>
        <v>0</v>
      </c>
      <c r="N103" s="585" t="s">
        <v>213</v>
      </c>
      <c r="O103" s="1412"/>
      <c r="P103" s="435">
        <v>230</v>
      </c>
      <c r="Q103" s="601">
        <v>9.9999999999999995E-7</v>
      </c>
      <c r="R103" s="585" t="s">
        <v>213</v>
      </c>
      <c r="S103" s="494"/>
      <c r="T103" s="583">
        <f t="shared" si="46"/>
        <v>0</v>
      </c>
      <c r="U103" s="585" t="s">
        <v>213</v>
      </c>
    </row>
    <row r="104" spans="1:21">
      <c r="A104" s="1415"/>
      <c r="B104" s="435">
        <v>250</v>
      </c>
      <c r="C104" s="435">
        <v>-0.11</v>
      </c>
      <c r="D104" s="585" t="s">
        <v>213</v>
      </c>
      <c r="E104" s="494"/>
      <c r="F104" s="583">
        <f t="shared" si="44"/>
        <v>0</v>
      </c>
      <c r="G104" s="584" t="s">
        <v>213</v>
      </c>
      <c r="H104" s="1412"/>
      <c r="I104" s="435">
        <v>250</v>
      </c>
      <c r="J104" s="435">
        <v>9.9999999999999995E-7</v>
      </c>
      <c r="K104" s="585" t="s">
        <v>213</v>
      </c>
      <c r="L104" s="494"/>
      <c r="M104" s="583">
        <f t="shared" si="45"/>
        <v>0</v>
      </c>
      <c r="N104" s="585" t="s">
        <v>213</v>
      </c>
      <c r="O104" s="1412"/>
      <c r="P104" s="435">
        <v>250</v>
      </c>
      <c r="Q104" s="601">
        <v>9.9999999999999995E-7</v>
      </c>
      <c r="R104" s="585" t="s">
        <v>213</v>
      </c>
      <c r="S104" s="494"/>
      <c r="T104" s="583">
        <f t="shared" si="46"/>
        <v>0</v>
      </c>
      <c r="U104" s="585" t="s">
        <v>213</v>
      </c>
    </row>
    <row r="105" spans="1:21" ht="12.9" customHeight="1">
      <c r="A105" s="1415"/>
      <c r="B105" s="1411" t="s">
        <v>211</v>
      </c>
      <c r="C105" s="1411"/>
      <c r="D105" s="1411"/>
      <c r="E105" s="1411"/>
      <c r="F105" s="1404" t="s">
        <v>303</v>
      </c>
      <c r="G105" s="1404" t="s">
        <v>237</v>
      </c>
      <c r="H105" s="1412"/>
      <c r="I105" s="1411" t="str">
        <f>B105</f>
        <v>Current Leakage</v>
      </c>
      <c r="J105" s="1411"/>
      <c r="K105" s="1411"/>
      <c r="L105" s="1411"/>
      <c r="M105" s="1404" t="s">
        <v>303</v>
      </c>
      <c r="N105" s="1404" t="s">
        <v>237</v>
      </c>
      <c r="O105" s="1412"/>
      <c r="P105" s="1411" t="str">
        <f>B105</f>
        <v>Current Leakage</v>
      </c>
      <c r="Q105" s="1411"/>
      <c r="R105" s="1411"/>
      <c r="S105" s="1411"/>
      <c r="T105" s="1404" t="s">
        <v>303</v>
      </c>
      <c r="U105" s="1404" t="s">
        <v>237</v>
      </c>
    </row>
    <row r="106" spans="1:21" ht="14.4">
      <c r="A106" s="1415"/>
      <c r="B106" s="908" t="s">
        <v>305</v>
      </c>
      <c r="C106" s="738">
        <f>C98</f>
        <v>2021</v>
      </c>
      <c r="D106" s="738" t="str">
        <f>D98</f>
        <v>-</v>
      </c>
      <c r="E106" s="738">
        <f>E98</f>
        <v>2016</v>
      </c>
      <c r="F106" s="1404"/>
      <c r="G106" s="1404"/>
      <c r="H106" s="1412"/>
      <c r="I106" s="908" t="s">
        <v>305</v>
      </c>
      <c r="J106" s="738" t="str">
        <f>J98</f>
        <v>-</v>
      </c>
      <c r="K106" s="738" t="str">
        <f>K98</f>
        <v>-</v>
      </c>
      <c r="L106" s="738">
        <f>L98</f>
        <v>2016</v>
      </c>
      <c r="M106" s="1404"/>
      <c r="N106" s="1404"/>
      <c r="O106" s="1412"/>
      <c r="P106" s="908" t="s">
        <v>305</v>
      </c>
      <c r="Q106" s="738" t="str">
        <f>Q98</f>
        <v>-</v>
      </c>
      <c r="R106" s="738" t="str">
        <f>R98</f>
        <v>-</v>
      </c>
      <c r="S106" s="738">
        <f>S98</f>
        <v>2016</v>
      </c>
      <c r="T106" s="1404"/>
      <c r="U106" s="1404"/>
    </row>
    <row r="107" spans="1:21">
      <c r="A107" s="1415"/>
      <c r="B107" s="435">
        <v>0</v>
      </c>
      <c r="C107" s="435">
        <v>9.9999999999999995E-7</v>
      </c>
      <c r="D107" s="584" t="s">
        <v>213</v>
      </c>
      <c r="E107" s="494"/>
      <c r="F107" s="583">
        <f>0.5*(MAX(C107:E107)-MIN(C107:E107))</f>
        <v>0</v>
      </c>
      <c r="G107" s="584" t="s">
        <v>213</v>
      </c>
      <c r="H107" s="1412"/>
      <c r="I107" s="435">
        <v>0</v>
      </c>
      <c r="J107" s="435">
        <v>9.9999999999999995E-7</v>
      </c>
      <c r="K107" s="584" t="s">
        <v>213</v>
      </c>
      <c r="L107" s="494"/>
      <c r="M107" s="583">
        <f>0.5*(MAX(J107:L107)-MIN(J107:L107))</f>
        <v>0</v>
      </c>
      <c r="N107" s="584" t="s">
        <v>213</v>
      </c>
      <c r="O107" s="1412"/>
      <c r="P107" s="435">
        <v>0</v>
      </c>
      <c r="Q107" s="435">
        <v>9.9999999999999995E-7</v>
      </c>
      <c r="R107" s="584" t="s">
        <v>213</v>
      </c>
      <c r="S107" s="494"/>
      <c r="T107" s="583">
        <f>0.5*(MAX(Q107:S107)-MIN(Q107:S107))</f>
        <v>0</v>
      </c>
      <c r="U107" s="584" t="s">
        <v>213</v>
      </c>
    </row>
    <row r="108" spans="1:21">
      <c r="A108" s="1415"/>
      <c r="B108" s="435">
        <v>50</v>
      </c>
      <c r="C108" s="435">
        <v>0.4</v>
      </c>
      <c r="D108" s="585" t="s">
        <v>213</v>
      </c>
      <c r="E108" s="494"/>
      <c r="F108" s="583">
        <f t="shared" ref="F108:F112" si="47">0.5*(MAX(C108:E108)-MIN(C108:E108))</f>
        <v>0</v>
      </c>
      <c r="G108" s="584" t="s">
        <v>213</v>
      </c>
      <c r="H108" s="1412"/>
      <c r="I108" s="435">
        <v>50</v>
      </c>
      <c r="J108" s="435">
        <v>9.9999999999999995E-7</v>
      </c>
      <c r="K108" s="585" t="s">
        <v>213</v>
      </c>
      <c r="L108" s="494"/>
      <c r="M108" s="583">
        <f t="shared" ref="M108:M112" si="48">0.5*(MAX(J108:L108)-MIN(J108:L108))</f>
        <v>0</v>
      </c>
      <c r="N108" s="585" t="s">
        <v>213</v>
      </c>
      <c r="O108" s="1412"/>
      <c r="P108" s="435">
        <v>50</v>
      </c>
      <c r="Q108" s="435">
        <v>9.9999999999999995E-7</v>
      </c>
      <c r="R108" s="585" t="s">
        <v>213</v>
      </c>
      <c r="S108" s="494"/>
      <c r="T108" s="583">
        <f t="shared" ref="T108:T112" si="49">0.5*(MAX(Q108:S108)-MIN(Q108:S108))</f>
        <v>0</v>
      </c>
      <c r="U108" s="585" t="s">
        <v>213</v>
      </c>
    </row>
    <row r="109" spans="1:21">
      <c r="A109" s="1415"/>
      <c r="B109" s="435">
        <v>100</v>
      </c>
      <c r="C109" s="435">
        <v>0.4</v>
      </c>
      <c r="D109" s="585" t="s">
        <v>213</v>
      </c>
      <c r="E109" s="494"/>
      <c r="F109" s="583">
        <f t="shared" si="47"/>
        <v>0</v>
      </c>
      <c r="G109" s="584" t="s">
        <v>213</v>
      </c>
      <c r="H109" s="1412"/>
      <c r="I109" s="435">
        <v>100</v>
      </c>
      <c r="J109" s="601">
        <v>9.9999999999999995E-7</v>
      </c>
      <c r="K109" s="585" t="s">
        <v>213</v>
      </c>
      <c r="L109" s="494"/>
      <c r="M109" s="583">
        <f t="shared" si="48"/>
        <v>0</v>
      </c>
      <c r="N109" s="585" t="s">
        <v>213</v>
      </c>
      <c r="O109" s="1412"/>
      <c r="P109" s="435">
        <v>100</v>
      </c>
      <c r="Q109" s="435">
        <v>9.9999999999999995E-7</v>
      </c>
      <c r="R109" s="585" t="s">
        <v>213</v>
      </c>
      <c r="S109" s="494"/>
      <c r="T109" s="583">
        <f t="shared" si="49"/>
        <v>0</v>
      </c>
      <c r="U109" s="585" t="s">
        <v>213</v>
      </c>
    </row>
    <row r="110" spans="1:21">
      <c r="A110" s="1415"/>
      <c r="B110" s="435">
        <v>200</v>
      </c>
      <c r="C110" s="435">
        <v>0.4</v>
      </c>
      <c r="D110" s="585" t="s">
        <v>213</v>
      </c>
      <c r="E110" s="494"/>
      <c r="F110" s="583">
        <f t="shared" si="47"/>
        <v>0</v>
      </c>
      <c r="G110" s="584" t="s">
        <v>213</v>
      </c>
      <c r="H110" s="1412"/>
      <c r="I110" s="435">
        <v>200</v>
      </c>
      <c r="J110" s="435">
        <v>9.9999999999999995E-7</v>
      </c>
      <c r="K110" s="585" t="s">
        <v>213</v>
      </c>
      <c r="L110" s="494"/>
      <c r="M110" s="583">
        <f t="shared" si="48"/>
        <v>0</v>
      </c>
      <c r="N110" s="585" t="s">
        <v>213</v>
      </c>
      <c r="O110" s="1412"/>
      <c r="P110" s="435">
        <v>200</v>
      </c>
      <c r="Q110" s="435">
        <v>9.9999999999999995E-7</v>
      </c>
      <c r="R110" s="585" t="s">
        <v>213</v>
      </c>
      <c r="S110" s="494"/>
      <c r="T110" s="583">
        <f t="shared" si="49"/>
        <v>0</v>
      </c>
      <c r="U110" s="585" t="s">
        <v>213</v>
      </c>
    </row>
    <row r="111" spans="1:21">
      <c r="A111" s="1415"/>
      <c r="B111" s="435">
        <v>500</v>
      </c>
      <c r="C111" s="435">
        <v>1.5</v>
      </c>
      <c r="D111" s="585" t="s">
        <v>213</v>
      </c>
      <c r="E111" s="494"/>
      <c r="F111" s="583">
        <f t="shared" si="47"/>
        <v>0</v>
      </c>
      <c r="G111" s="584" t="s">
        <v>213</v>
      </c>
      <c r="H111" s="1412"/>
      <c r="I111" s="435">
        <v>500</v>
      </c>
      <c r="J111" s="435">
        <v>9.9999999999999995E-7</v>
      </c>
      <c r="K111" s="585" t="s">
        <v>213</v>
      </c>
      <c r="L111" s="494"/>
      <c r="M111" s="583">
        <f t="shared" si="48"/>
        <v>0</v>
      </c>
      <c r="N111" s="585" t="s">
        <v>213</v>
      </c>
      <c r="O111" s="1412"/>
      <c r="P111" s="435">
        <v>500</v>
      </c>
      <c r="Q111" s="435">
        <v>9.9999999999999995E-7</v>
      </c>
      <c r="R111" s="585" t="s">
        <v>213</v>
      </c>
      <c r="S111" s="494"/>
      <c r="T111" s="583">
        <f t="shared" si="49"/>
        <v>0</v>
      </c>
      <c r="U111" s="585" t="s">
        <v>213</v>
      </c>
    </row>
    <row r="112" spans="1:21">
      <c r="A112" s="1415"/>
      <c r="B112" s="435">
        <v>1000</v>
      </c>
      <c r="C112" s="435">
        <v>2</v>
      </c>
      <c r="D112" s="585" t="s">
        <v>213</v>
      </c>
      <c r="E112" s="494"/>
      <c r="F112" s="583">
        <f t="shared" si="47"/>
        <v>0</v>
      </c>
      <c r="G112" s="584" t="s">
        <v>213</v>
      </c>
      <c r="H112" s="1412"/>
      <c r="I112" s="435">
        <v>1000</v>
      </c>
      <c r="J112" s="435">
        <v>9.9999999999999995E-7</v>
      </c>
      <c r="K112" s="585" t="s">
        <v>213</v>
      </c>
      <c r="L112" s="494"/>
      <c r="M112" s="583">
        <f t="shared" si="48"/>
        <v>0</v>
      </c>
      <c r="N112" s="585" t="s">
        <v>213</v>
      </c>
      <c r="O112" s="1412"/>
      <c r="P112" s="435">
        <v>1000</v>
      </c>
      <c r="Q112" s="435">
        <v>9.9999999999999995E-7</v>
      </c>
      <c r="R112" s="585" t="s">
        <v>213</v>
      </c>
      <c r="S112" s="494"/>
      <c r="T112" s="583">
        <f t="shared" si="49"/>
        <v>0</v>
      </c>
      <c r="U112" s="585" t="s">
        <v>213</v>
      </c>
    </row>
    <row r="113" spans="1:21">
      <c r="A113" s="1415"/>
      <c r="B113" s="1411" t="s">
        <v>306</v>
      </c>
      <c r="C113" s="1411"/>
      <c r="D113" s="1411"/>
      <c r="E113" s="1411"/>
      <c r="F113" s="1404" t="s">
        <v>303</v>
      </c>
      <c r="G113" s="1404" t="s">
        <v>237</v>
      </c>
      <c r="H113" s="1412"/>
      <c r="I113" s="1411" t="s">
        <v>306</v>
      </c>
      <c r="J113" s="1411"/>
      <c r="K113" s="1411"/>
      <c r="L113" s="1411"/>
      <c r="M113" s="1404" t="s">
        <v>303</v>
      </c>
      <c r="N113" s="1404" t="s">
        <v>237</v>
      </c>
      <c r="O113" s="1412"/>
      <c r="P113" s="1411" t="str">
        <f>B113</f>
        <v>Main-PE</v>
      </c>
      <c r="Q113" s="1411"/>
      <c r="R113" s="1411"/>
      <c r="S113" s="1411"/>
      <c r="T113" s="1404" t="s">
        <v>303</v>
      </c>
      <c r="U113" s="1404" t="s">
        <v>237</v>
      </c>
    </row>
    <row r="114" spans="1:21" ht="14.4">
      <c r="A114" s="1415"/>
      <c r="B114" s="908" t="s">
        <v>510</v>
      </c>
      <c r="C114" s="738">
        <f>C98</f>
        <v>2021</v>
      </c>
      <c r="D114" s="738" t="str">
        <f>D98</f>
        <v>-</v>
      </c>
      <c r="E114" s="738">
        <f>E98</f>
        <v>2016</v>
      </c>
      <c r="F114" s="1404"/>
      <c r="G114" s="1404"/>
      <c r="H114" s="1412"/>
      <c r="I114" s="908" t="s">
        <v>510</v>
      </c>
      <c r="J114" s="738" t="str">
        <f>J98</f>
        <v>-</v>
      </c>
      <c r="K114" s="738" t="str">
        <f>K98</f>
        <v>-</v>
      </c>
      <c r="L114" s="738">
        <f>L98</f>
        <v>2016</v>
      </c>
      <c r="M114" s="1404"/>
      <c r="N114" s="1404"/>
      <c r="O114" s="1412"/>
      <c r="P114" s="908" t="s">
        <v>510</v>
      </c>
      <c r="Q114" s="738" t="str">
        <f>Q98</f>
        <v>-</v>
      </c>
      <c r="R114" s="738" t="str">
        <f>R98</f>
        <v>-</v>
      </c>
      <c r="S114" s="738">
        <f>S98</f>
        <v>2016</v>
      </c>
      <c r="T114" s="1404"/>
      <c r="U114" s="1404"/>
    </row>
    <row r="115" spans="1:21">
      <c r="A115" s="1415"/>
      <c r="B115" s="435">
        <v>10</v>
      </c>
      <c r="C115" s="435">
        <v>9.9999999999999995E-7</v>
      </c>
      <c r="D115" s="585" t="s">
        <v>213</v>
      </c>
      <c r="E115" s="494"/>
      <c r="F115" s="583">
        <f>0.5*(MAX(C115:E115)-MIN(C115:E115))</f>
        <v>0</v>
      </c>
      <c r="G115" s="589" t="s">
        <v>213</v>
      </c>
      <c r="H115" s="1412"/>
      <c r="I115" s="435">
        <v>10</v>
      </c>
      <c r="J115" s="435">
        <v>9.9999999999999995E-7</v>
      </c>
      <c r="K115" s="585" t="s">
        <v>213</v>
      </c>
      <c r="L115" s="494"/>
      <c r="M115" s="583">
        <f>0.5*(MAX(J115:L115)-MIN(J115:L115))</f>
        <v>0</v>
      </c>
      <c r="N115" s="585" t="s">
        <v>213</v>
      </c>
      <c r="O115" s="1412"/>
      <c r="P115" s="435">
        <v>10</v>
      </c>
      <c r="Q115" s="435">
        <v>9.9999999999999995E-7</v>
      </c>
      <c r="R115" s="585" t="s">
        <v>213</v>
      </c>
      <c r="S115" s="494"/>
      <c r="T115" s="583">
        <f>0.5*(MAX(Q115:S115)-MIN(Q115:S115))</f>
        <v>0</v>
      </c>
      <c r="U115" s="585" t="s">
        <v>213</v>
      </c>
    </row>
    <row r="116" spans="1:21">
      <c r="A116" s="1415"/>
      <c r="B116" s="435">
        <v>20</v>
      </c>
      <c r="C116" s="435">
        <v>0.1</v>
      </c>
      <c r="D116" s="585" t="s">
        <v>213</v>
      </c>
      <c r="E116" s="494"/>
      <c r="F116" s="583">
        <f t="shared" ref="F116:F118" si="50">0.5*(MAX(C116:E116)-MIN(C116:E116))</f>
        <v>0</v>
      </c>
      <c r="G116" s="589" t="s">
        <v>213</v>
      </c>
      <c r="H116" s="1412"/>
      <c r="I116" s="435">
        <v>20</v>
      </c>
      <c r="J116" s="435">
        <v>9.9999999999999995E-7</v>
      </c>
      <c r="K116" s="585" t="s">
        <v>213</v>
      </c>
      <c r="L116" s="494"/>
      <c r="M116" s="583">
        <f t="shared" ref="M116:M118" si="51">0.5*(MAX(J116:L116)-MIN(J116:L116))</f>
        <v>0</v>
      </c>
      <c r="N116" s="585" t="s">
        <v>213</v>
      </c>
      <c r="O116" s="1412"/>
      <c r="P116" s="435">
        <v>20</v>
      </c>
      <c r="Q116" s="435">
        <v>9.9999999999999995E-7</v>
      </c>
      <c r="R116" s="585" t="s">
        <v>213</v>
      </c>
      <c r="S116" s="494"/>
      <c r="T116" s="583">
        <f t="shared" ref="T116:T118" si="52">0.5*(MAX(Q116:S116)-MIN(Q116:S116))</f>
        <v>0</v>
      </c>
      <c r="U116" s="585" t="s">
        <v>213</v>
      </c>
    </row>
    <row r="117" spans="1:21">
      <c r="A117" s="1415"/>
      <c r="B117" s="435">
        <v>50</v>
      </c>
      <c r="C117" s="435">
        <v>0.4</v>
      </c>
      <c r="D117" s="589" t="s">
        <v>213</v>
      </c>
      <c r="E117" s="494"/>
      <c r="F117" s="583">
        <f t="shared" si="50"/>
        <v>0</v>
      </c>
      <c r="G117" s="589" t="s">
        <v>213</v>
      </c>
      <c r="H117" s="1412"/>
      <c r="I117" s="435">
        <v>50</v>
      </c>
      <c r="J117" s="435">
        <v>9.9999999999999995E-7</v>
      </c>
      <c r="K117" s="589" t="s">
        <v>213</v>
      </c>
      <c r="L117" s="494"/>
      <c r="M117" s="583">
        <f t="shared" si="51"/>
        <v>0</v>
      </c>
      <c r="N117" s="589" t="s">
        <v>213</v>
      </c>
      <c r="O117" s="1412"/>
      <c r="P117" s="435">
        <v>50</v>
      </c>
      <c r="Q117" s="435">
        <v>9.9999999999999995E-7</v>
      </c>
      <c r="R117" s="589" t="s">
        <v>213</v>
      </c>
      <c r="S117" s="494"/>
      <c r="T117" s="583">
        <f t="shared" si="52"/>
        <v>0</v>
      </c>
      <c r="U117" s="589" t="s">
        <v>213</v>
      </c>
    </row>
    <row r="118" spans="1:21">
      <c r="A118" s="1415"/>
      <c r="B118" s="435">
        <v>100</v>
      </c>
      <c r="C118" s="435">
        <v>1.4</v>
      </c>
      <c r="D118" s="589" t="s">
        <v>213</v>
      </c>
      <c r="E118" s="494"/>
      <c r="F118" s="583">
        <f t="shared" si="50"/>
        <v>0</v>
      </c>
      <c r="G118" s="589" t="s">
        <v>213</v>
      </c>
      <c r="H118" s="1412"/>
      <c r="I118" s="435">
        <v>100</v>
      </c>
      <c r="J118" s="435">
        <v>9.9999999999999995E-7</v>
      </c>
      <c r="K118" s="589" t="s">
        <v>213</v>
      </c>
      <c r="L118" s="494"/>
      <c r="M118" s="583">
        <f t="shared" si="51"/>
        <v>0</v>
      </c>
      <c r="N118" s="589" t="s">
        <v>213</v>
      </c>
      <c r="O118" s="1412"/>
      <c r="P118" s="435">
        <v>100</v>
      </c>
      <c r="Q118" s="435">
        <v>9.9999999999999995E-7</v>
      </c>
      <c r="R118" s="589" t="s">
        <v>213</v>
      </c>
      <c r="S118" s="494"/>
      <c r="T118" s="583">
        <f t="shared" si="52"/>
        <v>0</v>
      </c>
      <c r="U118" s="589" t="s">
        <v>213</v>
      </c>
    </row>
    <row r="119" spans="1:21" ht="12.9" customHeight="1">
      <c r="A119" s="1415"/>
      <c r="B119" s="1411" t="s">
        <v>212</v>
      </c>
      <c r="C119" s="1411"/>
      <c r="D119" s="1411"/>
      <c r="E119" s="1411"/>
      <c r="F119" s="1404" t="s">
        <v>303</v>
      </c>
      <c r="G119" s="1404" t="s">
        <v>237</v>
      </c>
      <c r="H119" s="1412"/>
      <c r="I119" s="1411" t="s">
        <v>212</v>
      </c>
      <c r="J119" s="1411"/>
      <c r="K119" s="1411"/>
      <c r="L119" s="1411"/>
      <c r="M119" s="1404" t="s">
        <v>303</v>
      </c>
      <c r="N119" s="1404" t="s">
        <v>237</v>
      </c>
      <c r="O119" s="1412"/>
      <c r="P119" s="1411" t="str">
        <f>B119</f>
        <v>Resistance</v>
      </c>
      <c r="Q119" s="1411"/>
      <c r="R119" s="1411"/>
      <c r="S119" s="1411"/>
      <c r="T119" s="1404" t="s">
        <v>303</v>
      </c>
      <c r="U119" s="1404" t="s">
        <v>237</v>
      </c>
    </row>
    <row r="120" spans="1:21" ht="14.4">
      <c r="A120" s="1415"/>
      <c r="B120" s="908" t="s">
        <v>511</v>
      </c>
      <c r="C120" s="738">
        <f>C98</f>
        <v>2021</v>
      </c>
      <c r="D120" s="738" t="str">
        <f>D98</f>
        <v>-</v>
      </c>
      <c r="E120" s="738">
        <f>E98</f>
        <v>2016</v>
      </c>
      <c r="F120" s="1404"/>
      <c r="G120" s="1404"/>
      <c r="H120" s="1412"/>
      <c r="I120" s="908" t="s">
        <v>511</v>
      </c>
      <c r="J120" s="738" t="str">
        <f>J98</f>
        <v>-</v>
      </c>
      <c r="K120" s="738" t="str">
        <f>K98</f>
        <v>-</v>
      </c>
      <c r="L120" s="738">
        <f>L98</f>
        <v>2016</v>
      </c>
      <c r="M120" s="1404"/>
      <c r="N120" s="1404"/>
      <c r="O120" s="1412"/>
      <c r="P120" s="908" t="s">
        <v>511</v>
      </c>
      <c r="Q120" s="738" t="str">
        <f>Q98</f>
        <v>-</v>
      </c>
      <c r="R120" s="738" t="str">
        <f>R98</f>
        <v>-</v>
      </c>
      <c r="S120" s="738">
        <f>S98</f>
        <v>2016</v>
      </c>
      <c r="T120" s="1404"/>
      <c r="U120" s="1404"/>
    </row>
    <row r="121" spans="1:21">
      <c r="A121" s="1415"/>
      <c r="B121" s="435">
        <v>0</v>
      </c>
      <c r="C121" s="435">
        <v>9.9999999999999995E-7</v>
      </c>
      <c r="D121" s="589" t="s">
        <v>213</v>
      </c>
      <c r="E121" s="494"/>
      <c r="F121" s="583">
        <f>0.5*(MAX(C121:E121)-MIN(C121:E121))</f>
        <v>0</v>
      </c>
      <c r="G121" s="589" t="s">
        <v>213</v>
      </c>
      <c r="H121" s="1412"/>
      <c r="I121" s="435">
        <v>0.01</v>
      </c>
      <c r="J121" s="601">
        <v>9.9999999999999995E-7</v>
      </c>
      <c r="K121" s="589" t="s">
        <v>213</v>
      </c>
      <c r="L121" s="494"/>
      <c r="M121" s="583">
        <f>0.5*(MAX(J121:L121)-MIN(J121:L121))</f>
        <v>0</v>
      </c>
      <c r="N121" s="589" t="s">
        <v>213</v>
      </c>
      <c r="O121" s="1412"/>
      <c r="P121" s="435">
        <v>0.01</v>
      </c>
      <c r="Q121" s="601">
        <v>9.9999999999999995E-7</v>
      </c>
      <c r="R121" s="589" t="s">
        <v>213</v>
      </c>
      <c r="S121" s="494"/>
      <c r="T121" s="583">
        <f>0.5*(MAX(Q121:S121)-MIN(Q121:S121))</f>
        <v>0</v>
      </c>
      <c r="U121" s="589" t="s">
        <v>213</v>
      </c>
    </row>
    <row r="122" spans="1:21">
      <c r="A122" s="1415"/>
      <c r="B122" s="435">
        <v>0.1</v>
      </c>
      <c r="C122" s="435">
        <v>-2E-3</v>
      </c>
      <c r="D122" s="585" t="s">
        <v>213</v>
      </c>
      <c r="E122" s="494"/>
      <c r="F122" s="583">
        <f t="shared" ref="F122:F124" si="53">0.5*(MAX(C122:E122)-MIN(C122:E122))</f>
        <v>0</v>
      </c>
      <c r="G122" s="589" t="s">
        <v>213</v>
      </c>
      <c r="H122" s="1412"/>
      <c r="I122" s="435">
        <v>0.1</v>
      </c>
      <c r="J122" s="435">
        <v>9.9999999999999995E-7</v>
      </c>
      <c r="K122" s="585" t="s">
        <v>213</v>
      </c>
      <c r="L122" s="494"/>
      <c r="M122" s="583">
        <f t="shared" ref="M122:M124" si="54">0.5*(MAX(J122:L122)-MIN(J122:L122))</f>
        <v>0</v>
      </c>
      <c r="N122" s="585" t="s">
        <v>213</v>
      </c>
      <c r="O122" s="1412"/>
      <c r="P122" s="435">
        <v>0.1</v>
      </c>
      <c r="Q122" s="601">
        <v>9.9999999999999995E-7</v>
      </c>
      <c r="R122" s="585" t="s">
        <v>213</v>
      </c>
      <c r="S122" s="494"/>
      <c r="T122" s="583">
        <f t="shared" ref="T122:T124" si="55">0.5*(MAX(Q122:S122)-MIN(Q122:S122))</f>
        <v>0</v>
      </c>
      <c r="U122" s="585" t="s">
        <v>213</v>
      </c>
    </row>
    <row r="123" spans="1:21">
      <c r="A123" s="1415"/>
      <c r="B123" s="435">
        <v>1</v>
      </c>
      <c r="C123" s="435">
        <v>-8.0000000000000002E-3</v>
      </c>
      <c r="D123" s="585" t="s">
        <v>213</v>
      </c>
      <c r="E123" s="494"/>
      <c r="F123" s="583">
        <f t="shared" si="53"/>
        <v>0</v>
      </c>
      <c r="G123" s="589" t="s">
        <v>213</v>
      </c>
      <c r="H123" s="1412"/>
      <c r="I123" s="435">
        <v>1</v>
      </c>
      <c r="J123" s="435">
        <v>9.9999999999999995E-7</v>
      </c>
      <c r="K123" s="585" t="s">
        <v>213</v>
      </c>
      <c r="L123" s="494"/>
      <c r="M123" s="583">
        <f t="shared" si="54"/>
        <v>0</v>
      </c>
      <c r="N123" s="585" t="s">
        <v>213</v>
      </c>
      <c r="O123" s="1412"/>
      <c r="P123" s="435">
        <v>1</v>
      </c>
      <c r="Q123" s="601">
        <v>9.9999999999999995E-7</v>
      </c>
      <c r="R123" s="585" t="s">
        <v>213</v>
      </c>
      <c r="S123" s="494"/>
      <c r="T123" s="583">
        <f t="shared" si="55"/>
        <v>0</v>
      </c>
      <c r="U123" s="585" t="s">
        <v>213</v>
      </c>
    </row>
    <row r="124" spans="1:21">
      <c r="A124" s="1415"/>
      <c r="B124" s="435">
        <v>2</v>
      </c>
      <c r="C124" s="435">
        <v>-7.0000000000000001E-3</v>
      </c>
      <c r="D124" s="585" t="s">
        <v>213</v>
      </c>
      <c r="E124" s="494"/>
      <c r="F124" s="583">
        <f t="shared" si="53"/>
        <v>0</v>
      </c>
      <c r="G124" s="589" t="s">
        <v>213</v>
      </c>
      <c r="H124" s="1412"/>
      <c r="I124" s="435">
        <v>2</v>
      </c>
      <c r="J124" s="435">
        <v>9.9999999999999995E-7</v>
      </c>
      <c r="K124" s="585" t="s">
        <v>213</v>
      </c>
      <c r="L124" s="494"/>
      <c r="M124" s="583">
        <f t="shared" si="54"/>
        <v>0</v>
      </c>
      <c r="N124" s="585" t="s">
        <v>213</v>
      </c>
      <c r="O124" s="1412"/>
      <c r="P124" s="435">
        <v>2</v>
      </c>
      <c r="Q124" s="601">
        <v>9.9999999999999995E-7</v>
      </c>
      <c r="R124" s="585" t="s">
        <v>213</v>
      </c>
      <c r="S124" s="494"/>
      <c r="T124" s="583">
        <f t="shared" si="55"/>
        <v>0</v>
      </c>
      <c r="U124" s="585" t="s">
        <v>213</v>
      </c>
    </row>
    <row r="125" spans="1:21" ht="15.6">
      <c r="A125" s="1405"/>
      <c r="B125" s="1406"/>
      <c r="C125" s="1406"/>
      <c r="D125" s="1406"/>
      <c r="E125" s="1406"/>
      <c r="F125" s="1406"/>
      <c r="G125" s="1406"/>
      <c r="H125" s="1406"/>
      <c r="I125" s="1406"/>
      <c r="J125" s="1406"/>
      <c r="K125" s="1406"/>
      <c r="L125" s="1406"/>
      <c r="M125" s="1406"/>
      <c r="N125" s="1406"/>
      <c r="O125" s="1406"/>
      <c r="P125" s="1406"/>
      <c r="Q125" s="1406"/>
      <c r="R125" s="1406"/>
      <c r="S125" s="1406"/>
      <c r="T125" s="1406"/>
      <c r="U125" s="1406"/>
    </row>
    <row r="126" spans="1:21" ht="15.6">
      <c r="A126" s="1405"/>
      <c r="B126" s="1406"/>
      <c r="C126" s="1406"/>
      <c r="D126" s="1406"/>
      <c r="E126" s="1406"/>
      <c r="F126" s="1406"/>
      <c r="G126" s="1406"/>
      <c r="H126" s="1406"/>
      <c r="I126" s="1406"/>
      <c r="J126" s="1406"/>
      <c r="K126" s="1406"/>
      <c r="L126" s="1406"/>
      <c r="M126" s="1406"/>
      <c r="N126" s="1406"/>
      <c r="O126" s="1406"/>
      <c r="P126" s="1406"/>
      <c r="Q126" s="1406"/>
      <c r="R126" s="1406"/>
      <c r="S126" s="1406"/>
      <c r="T126" s="1406"/>
      <c r="U126" s="1406"/>
    </row>
    <row r="127" spans="1:21">
      <c r="A127" s="608"/>
      <c r="B127" s="436"/>
      <c r="C127" s="436"/>
      <c r="D127" s="609"/>
      <c r="E127" s="609"/>
      <c r="F127" s="609"/>
      <c r="G127" s="609"/>
      <c r="H127" s="609"/>
      <c r="I127" s="609"/>
      <c r="J127" s="609"/>
      <c r="K127" s="609"/>
      <c r="L127" s="609"/>
      <c r="M127" s="609"/>
      <c r="N127" s="609"/>
      <c r="O127" s="609"/>
      <c r="P127" s="609"/>
      <c r="Q127" s="609"/>
    </row>
    <row r="128" spans="1:21" ht="13.8" hidden="1">
      <c r="A128" s="1398" t="s">
        <v>516</v>
      </c>
      <c r="B128" s="1399"/>
      <c r="C128" s="1400" t="s">
        <v>301</v>
      </c>
      <c r="D128" s="1400"/>
      <c r="E128" s="1400"/>
      <c r="F128" s="1400"/>
      <c r="G128" s="1400"/>
      <c r="H128" s="1400"/>
      <c r="J128" s="1398" t="str">
        <f>A128</f>
        <v>No. Urut</v>
      </c>
      <c r="K128" s="1399"/>
      <c r="L128" s="1407" t="s">
        <v>301</v>
      </c>
      <c r="M128" s="1408"/>
      <c r="N128" s="1408"/>
      <c r="O128" s="1409"/>
      <c r="P128" s="910"/>
      <c r="Q128" s="910"/>
    </row>
    <row r="129" spans="1:17" ht="12.9" hidden="1" customHeight="1">
      <c r="A129" s="1398"/>
      <c r="B129" s="1399"/>
      <c r="C129" s="1410" t="str">
        <f>B4</f>
        <v>Setting VAC</v>
      </c>
      <c r="D129" s="1410"/>
      <c r="E129" s="1410"/>
      <c r="F129" s="1410"/>
      <c r="G129" s="741" t="s">
        <v>303</v>
      </c>
      <c r="H129" s="741" t="s">
        <v>237</v>
      </c>
      <c r="J129" s="1398"/>
      <c r="K129" s="1399"/>
      <c r="L129" s="1403" t="str">
        <f>B12</f>
        <v>Current Leakage</v>
      </c>
      <c r="M129" s="1403"/>
      <c r="N129" s="1403"/>
      <c r="O129" s="1403"/>
      <c r="P129" s="741" t="s">
        <v>303</v>
      </c>
      <c r="Q129" s="741" t="s">
        <v>237</v>
      </c>
    </row>
    <row r="130" spans="1:17" ht="13.8" hidden="1">
      <c r="A130" s="1398"/>
      <c r="B130" s="1399"/>
      <c r="C130" s="911" t="s">
        <v>304</v>
      </c>
      <c r="D130" s="741"/>
      <c r="E130" s="741"/>
      <c r="F130" s="494"/>
      <c r="G130" s="741"/>
      <c r="H130" s="741"/>
      <c r="J130" s="1398"/>
      <c r="K130" s="1399"/>
      <c r="L130" s="911" t="s">
        <v>305</v>
      </c>
      <c r="M130" s="741"/>
      <c r="N130" s="741"/>
      <c r="O130" s="494"/>
      <c r="P130" s="741"/>
      <c r="Q130" s="741"/>
    </row>
    <row r="131" spans="1:17" ht="13.8" hidden="1">
      <c r="A131" s="1402" t="s">
        <v>312</v>
      </c>
      <c r="B131" s="912">
        <v>1</v>
      </c>
      <c r="C131" s="912">
        <f t="shared" ref="C131:H131" si="56">B6</f>
        <v>150</v>
      </c>
      <c r="D131" s="912">
        <f t="shared" si="56"/>
        <v>0.31</v>
      </c>
      <c r="E131" s="912">
        <f t="shared" si="56"/>
        <v>0.76</v>
      </c>
      <c r="F131" s="912">
        <f t="shared" si="56"/>
        <v>0</v>
      </c>
      <c r="G131" s="912">
        <f t="shared" si="56"/>
        <v>0.22500000000000001</v>
      </c>
      <c r="H131" s="912">
        <f t="shared" si="56"/>
        <v>1.8</v>
      </c>
      <c r="J131" s="1402" t="s">
        <v>312</v>
      </c>
      <c r="K131" s="912">
        <v>1</v>
      </c>
      <c r="L131" s="610">
        <f t="shared" ref="L131:Q131" si="57">B14</f>
        <v>0</v>
      </c>
      <c r="M131" s="610">
        <f t="shared" si="57"/>
        <v>9.9999999999999995E-7</v>
      </c>
      <c r="N131" s="610">
        <f t="shared" si="57"/>
        <v>9.9999999999999995E-7</v>
      </c>
      <c r="O131" s="610">
        <f t="shared" si="57"/>
        <v>0</v>
      </c>
      <c r="P131" s="610">
        <f t="shared" si="57"/>
        <v>0</v>
      </c>
      <c r="Q131" s="610">
        <f t="shared" si="57"/>
        <v>0.3</v>
      </c>
    </row>
    <row r="132" spans="1:17" ht="13.8" hidden="1">
      <c r="A132" s="1402"/>
      <c r="B132" s="912">
        <v>2</v>
      </c>
      <c r="C132" s="913">
        <f t="shared" ref="C132:H132" si="58">I6</f>
        <v>150</v>
      </c>
      <c r="D132" s="913">
        <f t="shared" si="58"/>
        <v>0.15</v>
      </c>
      <c r="E132" s="913">
        <f t="shared" si="58"/>
        <v>0.23</v>
      </c>
      <c r="F132" s="913">
        <f t="shared" si="58"/>
        <v>0</v>
      </c>
      <c r="G132" s="913">
        <f t="shared" si="58"/>
        <v>4.0000000000000008E-2</v>
      </c>
      <c r="H132" s="913">
        <f t="shared" si="58"/>
        <v>1.8</v>
      </c>
      <c r="J132" s="1402"/>
      <c r="K132" s="912">
        <v>2</v>
      </c>
      <c r="L132" s="610">
        <f t="shared" ref="L132:Q132" si="59">I14</f>
        <v>0</v>
      </c>
      <c r="M132" s="610">
        <f t="shared" si="59"/>
        <v>9.9999999999999995E-7</v>
      </c>
      <c r="N132" s="610">
        <f t="shared" si="59"/>
        <v>9.9999999999999995E-7</v>
      </c>
      <c r="O132" s="610">
        <f t="shared" si="59"/>
        <v>0</v>
      </c>
      <c r="P132" s="610">
        <f t="shared" si="59"/>
        <v>0</v>
      </c>
      <c r="Q132" s="610">
        <f t="shared" si="59"/>
        <v>0.3</v>
      </c>
    </row>
    <row r="133" spans="1:17" hidden="1">
      <c r="A133" s="1402"/>
      <c r="B133" s="914">
        <v>3</v>
      </c>
      <c r="C133" s="913">
        <f t="shared" ref="C133:H133" si="60">P6</f>
        <v>150</v>
      </c>
      <c r="D133" s="913">
        <f t="shared" si="60"/>
        <v>-1.43</v>
      </c>
      <c r="E133" s="913">
        <f t="shared" si="60"/>
        <v>-1.6</v>
      </c>
      <c r="F133" s="913">
        <f t="shared" si="60"/>
        <v>-7.0000000000000007E-2</v>
      </c>
      <c r="G133" s="913">
        <f t="shared" si="60"/>
        <v>0.76500000000000001</v>
      </c>
      <c r="H133" s="913">
        <f t="shared" si="60"/>
        <v>1.8</v>
      </c>
      <c r="J133" s="1402"/>
      <c r="K133" s="914">
        <v>3</v>
      </c>
      <c r="L133" s="610">
        <f t="shared" ref="L133:Q133" si="61">P14</f>
        <v>9.9999999999999995E-7</v>
      </c>
      <c r="M133" s="610">
        <f t="shared" si="61"/>
        <v>9.9999999999999995E-7</v>
      </c>
      <c r="N133" s="610">
        <f t="shared" si="61"/>
        <v>9.9999999999999995E-7</v>
      </c>
      <c r="O133" s="610">
        <f t="shared" si="61"/>
        <v>9.9999999999999995E-7</v>
      </c>
      <c r="P133" s="610">
        <f t="shared" si="61"/>
        <v>0</v>
      </c>
      <c r="Q133" s="610">
        <f t="shared" si="61"/>
        <v>5.8999999999999999E-9</v>
      </c>
    </row>
    <row r="134" spans="1:17" hidden="1">
      <c r="A134" s="1402"/>
      <c r="B134" s="914">
        <v>4</v>
      </c>
      <c r="C134" s="611">
        <f t="shared" ref="C134:H134" si="62">B37</f>
        <v>150</v>
      </c>
      <c r="D134" s="611">
        <f t="shared" si="62"/>
        <v>-0.05</v>
      </c>
      <c r="E134" s="611">
        <f t="shared" si="62"/>
        <v>0.11</v>
      </c>
      <c r="F134" s="611">
        <f t="shared" si="62"/>
        <v>0</v>
      </c>
      <c r="G134" s="611">
        <f t="shared" si="62"/>
        <v>0.08</v>
      </c>
      <c r="H134" s="611">
        <f t="shared" si="62"/>
        <v>1.8</v>
      </c>
      <c r="J134" s="1402"/>
      <c r="K134" s="914">
        <v>4</v>
      </c>
      <c r="L134" s="610">
        <f t="shared" ref="L134:Q134" si="63">B45</f>
        <v>0</v>
      </c>
      <c r="M134" s="610">
        <f t="shared" si="63"/>
        <v>9.9999999999999995E-7</v>
      </c>
      <c r="N134" s="610">
        <f t="shared" si="63"/>
        <v>9.9999999999999995E-7</v>
      </c>
      <c r="O134" s="610">
        <f t="shared" si="63"/>
        <v>0</v>
      </c>
      <c r="P134" s="610">
        <f t="shared" si="63"/>
        <v>0</v>
      </c>
      <c r="Q134" s="610">
        <f t="shared" si="63"/>
        <v>0.3</v>
      </c>
    </row>
    <row r="135" spans="1:17" hidden="1">
      <c r="A135" s="1402"/>
      <c r="B135" s="740">
        <v>5</v>
      </c>
      <c r="C135" s="611">
        <f t="shared" ref="C135:H135" si="64">I37</f>
        <v>150</v>
      </c>
      <c r="D135" s="611">
        <f t="shared" si="64"/>
        <v>0.25</v>
      </c>
      <c r="E135" s="611">
        <f t="shared" si="64"/>
        <v>0.02</v>
      </c>
      <c r="F135" s="611">
        <f t="shared" si="64"/>
        <v>0</v>
      </c>
      <c r="G135" s="611">
        <f t="shared" si="64"/>
        <v>0.115</v>
      </c>
      <c r="H135" s="611">
        <f t="shared" si="64"/>
        <v>1.8</v>
      </c>
      <c r="J135" s="1402"/>
      <c r="K135" s="740">
        <v>5</v>
      </c>
      <c r="L135" s="610">
        <f t="shared" ref="L135:Q135" si="65">I45</f>
        <v>0</v>
      </c>
      <c r="M135" s="610">
        <f t="shared" si="65"/>
        <v>9.9999999999999995E-7</v>
      </c>
      <c r="N135" s="610">
        <f t="shared" si="65"/>
        <v>9.9999999999999995E-7</v>
      </c>
      <c r="O135" s="610">
        <f t="shared" si="65"/>
        <v>0</v>
      </c>
      <c r="P135" s="610">
        <f t="shared" si="65"/>
        <v>0</v>
      </c>
      <c r="Q135" s="610">
        <f t="shared" si="65"/>
        <v>0</v>
      </c>
    </row>
    <row r="136" spans="1:17" hidden="1">
      <c r="A136" s="1402"/>
      <c r="B136" s="740">
        <v>6</v>
      </c>
      <c r="C136" s="611">
        <f t="shared" ref="C136:H136" si="66">P37</f>
        <v>150</v>
      </c>
      <c r="D136" s="611">
        <f t="shared" si="66"/>
        <v>-0.15</v>
      </c>
      <c r="E136" s="611">
        <f t="shared" si="66"/>
        <v>0.03</v>
      </c>
      <c r="F136" s="611">
        <f t="shared" si="66"/>
        <v>0</v>
      </c>
      <c r="G136" s="611">
        <f t="shared" si="66"/>
        <v>0.09</v>
      </c>
      <c r="H136" s="611">
        <f t="shared" si="66"/>
        <v>1.8</v>
      </c>
      <c r="J136" s="1402"/>
      <c r="K136" s="740">
        <v>6</v>
      </c>
      <c r="L136" s="610">
        <f t="shared" ref="L136:Q136" si="67">P45</f>
        <v>0</v>
      </c>
      <c r="M136" s="610">
        <f t="shared" si="67"/>
        <v>9.9999999999999995E-7</v>
      </c>
      <c r="N136" s="610">
        <f t="shared" si="67"/>
        <v>9.9999999999999995E-7</v>
      </c>
      <c r="O136" s="610">
        <f t="shared" si="67"/>
        <v>0</v>
      </c>
      <c r="P136" s="610">
        <f t="shared" si="67"/>
        <v>0</v>
      </c>
      <c r="Q136" s="610">
        <f t="shared" si="67"/>
        <v>0.28999999999999998</v>
      </c>
    </row>
    <row r="137" spans="1:17" hidden="1">
      <c r="A137" s="1402"/>
      <c r="B137" s="740">
        <v>7</v>
      </c>
      <c r="C137" s="611">
        <f t="shared" ref="C137:H137" si="68">B68</f>
        <v>150.21</v>
      </c>
      <c r="D137" s="611">
        <f t="shared" si="68"/>
        <v>0.21</v>
      </c>
      <c r="E137" s="611">
        <f t="shared" si="68"/>
        <v>0.27</v>
      </c>
      <c r="F137" s="611">
        <f t="shared" si="68"/>
        <v>0</v>
      </c>
      <c r="G137" s="611">
        <f t="shared" si="68"/>
        <v>3.0000000000000013E-2</v>
      </c>
      <c r="H137" s="611">
        <f t="shared" si="68"/>
        <v>1.8025200000000001</v>
      </c>
      <c r="J137" s="1402"/>
      <c r="K137" s="740">
        <v>7</v>
      </c>
      <c r="L137" s="610">
        <f t="shared" ref="L137:Q137" si="69">B76</f>
        <v>0</v>
      </c>
      <c r="M137" s="610">
        <f t="shared" si="69"/>
        <v>9.9999999999999995E-7</v>
      </c>
      <c r="N137" s="610">
        <f t="shared" si="69"/>
        <v>9.9999999999999995E-7</v>
      </c>
      <c r="O137" s="610">
        <f t="shared" si="69"/>
        <v>0</v>
      </c>
      <c r="P137" s="610">
        <f t="shared" si="69"/>
        <v>0</v>
      </c>
      <c r="Q137" s="610">
        <f t="shared" si="69"/>
        <v>0.3</v>
      </c>
    </row>
    <row r="138" spans="1:17" hidden="1">
      <c r="A138" s="1402"/>
      <c r="B138" s="740">
        <v>8</v>
      </c>
      <c r="C138" s="611">
        <f t="shared" ref="C138:H138" si="70">I68</f>
        <v>150</v>
      </c>
      <c r="D138" s="611">
        <f t="shared" si="70"/>
        <v>-0.17</v>
      </c>
      <c r="E138" s="611">
        <f t="shared" si="70"/>
        <v>-0.24</v>
      </c>
      <c r="F138" s="611">
        <f t="shared" si="70"/>
        <v>0</v>
      </c>
      <c r="G138" s="611">
        <f t="shared" si="70"/>
        <v>3.4999999999999989E-2</v>
      </c>
      <c r="H138" s="611">
        <f t="shared" si="70"/>
        <v>1.8</v>
      </c>
      <c r="J138" s="1402"/>
      <c r="K138" s="740">
        <v>8</v>
      </c>
      <c r="L138" s="610">
        <f t="shared" ref="L138:Q138" si="71">I76</f>
        <v>0</v>
      </c>
      <c r="M138" s="610">
        <f t="shared" si="71"/>
        <v>9.9999999999999995E-7</v>
      </c>
      <c r="N138" s="610">
        <f t="shared" si="71"/>
        <v>9.9999999999999995E-7</v>
      </c>
      <c r="O138" s="610">
        <f t="shared" si="71"/>
        <v>0</v>
      </c>
      <c r="P138" s="610">
        <f t="shared" si="71"/>
        <v>0</v>
      </c>
      <c r="Q138" s="610">
        <f t="shared" si="71"/>
        <v>0</v>
      </c>
    </row>
    <row r="139" spans="1:17" hidden="1">
      <c r="A139" s="1402"/>
      <c r="B139" s="740">
        <v>9</v>
      </c>
      <c r="C139" s="611">
        <f t="shared" ref="C139:H139" si="72">P68</f>
        <v>149.83000000000001</v>
      </c>
      <c r="D139" s="611">
        <f t="shared" si="72"/>
        <v>-0.17</v>
      </c>
      <c r="E139" s="611" t="str">
        <f t="shared" si="72"/>
        <v>-</v>
      </c>
      <c r="F139" s="611">
        <f t="shared" si="72"/>
        <v>0</v>
      </c>
      <c r="G139" s="611">
        <f t="shared" si="72"/>
        <v>0</v>
      </c>
      <c r="H139" s="611">
        <f t="shared" si="72"/>
        <v>1.7979600000000002</v>
      </c>
      <c r="J139" s="1402"/>
      <c r="K139" s="740">
        <v>9</v>
      </c>
      <c r="L139" s="610">
        <f t="shared" ref="L139:Q139" si="73">P76</f>
        <v>0</v>
      </c>
      <c r="M139" s="610">
        <f t="shared" si="73"/>
        <v>9.9999999999999995E-7</v>
      </c>
      <c r="N139" s="610" t="str">
        <f t="shared" si="73"/>
        <v>-</v>
      </c>
      <c r="O139" s="610">
        <f t="shared" si="73"/>
        <v>0</v>
      </c>
      <c r="P139" s="610">
        <f t="shared" si="73"/>
        <v>0</v>
      </c>
      <c r="Q139" s="610">
        <f t="shared" si="73"/>
        <v>0.12</v>
      </c>
    </row>
    <row r="140" spans="1:17" hidden="1">
      <c r="A140" s="1402"/>
      <c r="B140" s="740">
        <v>10</v>
      </c>
      <c r="C140" s="611">
        <f>B99</f>
        <v>150</v>
      </c>
      <c r="D140" s="611">
        <f t="shared" ref="D140:F140" si="74">C99</f>
        <v>-0.05</v>
      </c>
      <c r="E140" s="611" t="str">
        <f t="shared" si="74"/>
        <v>-</v>
      </c>
      <c r="F140" s="611">
        <f t="shared" si="74"/>
        <v>0</v>
      </c>
      <c r="G140" s="611">
        <f>F99</f>
        <v>0</v>
      </c>
      <c r="H140" s="611" t="str">
        <f>G99</f>
        <v>-</v>
      </c>
      <c r="J140" s="1402"/>
      <c r="K140" s="740">
        <v>10</v>
      </c>
      <c r="L140" s="610">
        <f t="shared" ref="L140:Q140" si="75">B107</f>
        <v>0</v>
      </c>
      <c r="M140" s="610">
        <f t="shared" si="75"/>
        <v>9.9999999999999995E-7</v>
      </c>
      <c r="N140" s="610" t="str">
        <f t="shared" si="75"/>
        <v>-</v>
      </c>
      <c r="O140" s="610">
        <f t="shared" si="75"/>
        <v>0</v>
      </c>
      <c r="P140" s="610">
        <f t="shared" si="75"/>
        <v>0</v>
      </c>
      <c r="Q140" s="610" t="str">
        <f t="shared" si="75"/>
        <v>-</v>
      </c>
    </row>
    <row r="141" spans="1:17" hidden="1">
      <c r="A141" s="1402"/>
      <c r="B141" s="740">
        <v>11</v>
      </c>
      <c r="C141" s="611">
        <f>I99</f>
        <v>150</v>
      </c>
      <c r="D141" s="611">
        <f t="shared" ref="D141:F141" si="76">J99</f>
        <v>9.9999999999999995E-7</v>
      </c>
      <c r="E141" s="611" t="str">
        <f t="shared" si="76"/>
        <v>-</v>
      </c>
      <c r="F141" s="611">
        <f t="shared" si="76"/>
        <v>0</v>
      </c>
      <c r="G141" s="611">
        <f>M99</f>
        <v>0</v>
      </c>
      <c r="H141" s="611" t="str">
        <f>N99</f>
        <v>-</v>
      </c>
      <c r="J141" s="1402"/>
      <c r="K141" s="740">
        <v>11</v>
      </c>
      <c r="L141" s="610">
        <f t="shared" ref="L141:Q141" si="77">I107</f>
        <v>0</v>
      </c>
      <c r="M141" s="610">
        <f t="shared" si="77"/>
        <v>9.9999999999999995E-7</v>
      </c>
      <c r="N141" s="610" t="str">
        <f t="shared" si="77"/>
        <v>-</v>
      </c>
      <c r="O141" s="610">
        <f t="shared" si="77"/>
        <v>0</v>
      </c>
      <c r="P141" s="610">
        <f t="shared" si="77"/>
        <v>0</v>
      </c>
      <c r="Q141" s="610" t="str">
        <f t="shared" si="77"/>
        <v>-</v>
      </c>
    </row>
    <row r="142" spans="1:17" hidden="1">
      <c r="A142" s="1402"/>
      <c r="B142" s="740">
        <v>12</v>
      </c>
      <c r="C142" s="611">
        <f>P99</f>
        <v>150</v>
      </c>
      <c r="D142" s="611">
        <f t="shared" ref="D142:F142" si="78">Q99</f>
        <v>9.9999999999999995E-7</v>
      </c>
      <c r="E142" s="611" t="str">
        <f t="shared" si="78"/>
        <v>-</v>
      </c>
      <c r="F142" s="611">
        <f t="shared" si="78"/>
        <v>0</v>
      </c>
      <c r="G142" s="611">
        <f>T99</f>
        <v>0</v>
      </c>
      <c r="H142" s="611" t="str">
        <f>U99</f>
        <v>-</v>
      </c>
      <c r="J142" s="1402"/>
      <c r="K142" s="740">
        <v>12</v>
      </c>
      <c r="L142" s="610">
        <f t="shared" ref="L142:Q142" si="79">P107</f>
        <v>0</v>
      </c>
      <c r="M142" s="610">
        <f t="shared" si="79"/>
        <v>9.9999999999999995E-7</v>
      </c>
      <c r="N142" s="610" t="str">
        <f t="shared" si="79"/>
        <v>-</v>
      </c>
      <c r="O142" s="610">
        <f t="shared" si="79"/>
        <v>0</v>
      </c>
      <c r="P142" s="610">
        <f t="shared" si="79"/>
        <v>0</v>
      </c>
      <c r="Q142" s="610" t="str">
        <f t="shared" si="79"/>
        <v>-</v>
      </c>
    </row>
    <row r="143" spans="1:17" s="501" customFormat="1" hidden="1">
      <c r="A143" s="612"/>
      <c r="B143" s="612"/>
      <c r="C143" s="506"/>
      <c r="D143" s="506"/>
      <c r="E143" s="506"/>
      <c r="F143" s="613"/>
      <c r="G143" s="506"/>
      <c r="H143" s="506"/>
      <c r="J143" s="612"/>
      <c r="K143" s="612"/>
      <c r="L143" s="614"/>
      <c r="M143" s="614"/>
      <c r="N143" s="614"/>
      <c r="O143" s="613"/>
      <c r="P143" s="614"/>
      <c r="Q143" s="614"/>
    </row>
    <row r="144" spans="1:17" ht="13.8" hidden="1">
      <c r="A144" s="1402" t="s">
        <v>313</v>
      </c>
      <c r="B144" s="912">
        <v>1</v>
      </c>
      <c r="C144" s="912">
        <f t="shared" ref="C144:H144" si="80">B7</f>
        <v>180</v>
      </c>
      <c r="D144" s="912">
        <f t="shared" si="80"/>
        <v>0.1</v>
      </c>
      <c r="E144" s="912">
        <f t="shared" si="80"/>
        <v>-0.03</v>
      </c>
      <c r="F144" s="912">
        <f t="shared" si="80"/>
        <v>0</v>
      </c>
      <c r="G144" s="912">
        <f t="shared" si="80"/>
        <v>6.5000000000000002E-2</v>
      </c>
      <c r="H144" s="912">
        <f t="shared" si="80"/>
        <v>2.16</v>
      </c>
      <c r="J144" s="1402" t="s">
        <v>313</v>
      </c>
      <c r="K144" s="912">
        <v>1</v>
      </c>
      <c r="L144" s="615">
        <f t="shared" ref="L144:Q144" si="81">B15</f>
        <v>50</v>
      </c>
      <c r="M144" s="615">
        <f t="shared" si="81"/>
        <v>0.1</v>
      </c>
      <c r="N144" s="615">
        <f t="shared" si="81"/>
        <v>-0.06</v>
      </c>
      <c r="O144" s="615">
        <f t="shared" si="81"/>
        <v>0</v>
      </c>
      <c r="P144" s="615">
        <f t="shared" si="81"/>
        <v>0.08</v>
      </c>
      <c r="Q144" s="615">
        <f t="shared" si="81"/>
        <v>0.29499999999999998</v>
      </c>
    </row>
    <row r="145" spans="1:17" ht="13.8" hidden="1">
      <c r="A145" s="1402"/>
      <c r="B145" s="912">
        <v>2</v>
      </c>
      <c r="C145" s="915">
        <f t="shared" ref="C145:H145" si="82">I7</f>
        <v>180</v>
      </c>
      <c r="D145" s="915">
        <f t="shared" si="82"/>
        <v>0.12</v>
      </c>
      <c r="E145" s="915">
        <f t="shared" si="82"/>
        <v>-0.06</v>
      </c>
      <c r="F145" s="915">
        <f t="shared" si="82"/>
        <v>0</v>
      </c>
      <c r="G145" s="915">
        <f t="shared" si="82"/>
        <v>0.09</v>
      </c>
      <c r="H145" s="915">
        <f t="shared" si="82"/>
        <v>2.16</v>
      </c>
      <c r="J145" s="1402"/>
      <c r="K145" s="912">
        <v>2</v>
      </c>
      <c r="L145" s="616">
        <f t="shared" ref="L145:Q145" si="83">I15</f>
        <v>50</v>
      </c>
      <c r="M145" s="616">
        <f t="shared" si="83"/>
        <v>-0.08</v>
      </c>
      <c r="N145" s="616">
        <f t="shared" si="83"/>
        <v>0.1</v>
      </c>
      <c r="O145" s="616">
        <f t="shared" si="83"/>
        <v>0</v>
      </c>
      <c r="P145" s="616">
        <f t="shared" si="83"/>
        <v>0.09</v>
      </c>
      <c r="Q145" s="616">
        <f t="shared" si="83"/>
        <v>0.29499999999999998</v>
      </c>
    </row>
    <row r="146" spans="1:17" hidden="1">
      <c r="A146" s="1402"/>
      <c r="B146" s="914">
        <v>3</v>
      </c>
      <c r="C146" s="915">
        <f t="shared" ref="C146:H146" si="84">P7</f>
        <v>180</v>
      </c>
      <c r="D146" s="915">
        <f t="shared" si="84"/>
        <v>-1.81</v>
      </c>
      <c r="E146" s="915">
        <f t="shared" si="84"/>
        <v>-1.9</v>
      </c>
      <c r="F146" s="915">
        <f t="shared" si="84"/>
        <v>-0.13</v>
      </c>
      <c r="G146" s="915">
        <f t="shared" si="84"/>
        <v>0.88500000000000001</v>
      </c>
      <c r="H146" s="915">
        <f t="shared" si="84"/>
        <v>2.16</v>
      </c>
      <c r="J146" s="1402"/>
      <c r="K146" s="914">
        <v>3</v>
      </c>
      <c r="L146" s="615">
        <f t="shared" ref="L146:Q146" si="85">P15</f>
        <v>50</v>
      </c>
      <c r="M146" s="615">
        <f t="shared" si="85"/>
        <v>9.1</v>
      </c>
      <c r="N146" s="615">
        <f t="shared" si="85"/>
        <v>-0.62</v>
      </c>
      <c r="O146" s="615">
        <f t="shared" si="85"/>
        <v>2</v>
      </c>
      <c r="P146" s="615">
        <f t="shared" si="85"/>
        <v>4.8599999999999994</v>
      </c>
      <c r="Q146" s="615">
        <f t="shared" si="85"/>
        <v>0.29499999999999998</v>
      </c>
    </row>
    <row r="147" spans="1:17" hidden="1">
      <c r="A147" s="1402"/>
      <c r="B147" s="914">
        <v>4</v>
      </c>
      <c r="C147" s="915">
        <f t="shared" ref="C147:H147" si="86">B38</f>
        <v>180</v>
      </c>
      <c r="D147" s="915">
        <f t="shared" si="86"/>
        <v>-0.04</v>
      </c>
      <c r="E147" s="915">
        <f t="shared" si="86"/>
        <v>0.03</v>
      </c>
      <c r="F147" s="915">
        <f t="shared" si="86"/>
        <v>0</v>
      </c>
      <c r="G147" s="915">
        <f t="shared" si="86"/>
        <v>3.5000000000000003E-2</v>
      </c>
      <c r="H147" s="915">
        <f t="shared" si="86"/>
        <v>2.16</v>
      </c>
      <c r="J147" s="1402"/>
      <c r="K147" s="914">
        <v>4</v>
      </c>
      <c r="L147" s="616">
        <f t="shared" ref="L147:Q147" si="87">B46</f>
        <v>50</v>
      </c>
      <c r="M147" s="616">
        <f t="shared" si="87"/>
        <v>-0.3</v>
      </c>
      <c r="N147" s="616">
        <f t="shared" si="87"/>
        <v>-0.28999999999999998</v>
      </c>
      <c r="O147" s="616">
        <f t="shared" si="87"/>
        <v>0</v>
      </c>
      <c r="P147" s="616">
        <f t="shared" si="87"/>
        <v>5.0000000000000044E-3</v>
      </c>
      <c r="Q147" s="616">
        <f t="shared" si="87"/>
        <v>0.29499999999999998</v>
      </c>
    </row>
    <row r="148" spans="1:17" hidden="1">
      <c r="A148" s="1402"/>
      <c r="B148" s="740">
        <v>5</v>
      </c>
      <c r="C148" s="617">
        <f t="shared" ref="C148:H148" si="88">I38</f>
        <v>180</v>
      </c>
      <c r="D148" s="617">
        <f t="shared" si="88"/>
        <v>0.09</v>
      </c>
      <c r="E148" s="617">
        <f t="shared" si="88"/>
        <v>0.1</v>
      </c>
      <c r="F148" s="617">
        <f t="shared" si="88"/>
        <v>0</v>
      </c>
      <c r="G148" s="617">
        <f t="shared" si="88"/>
        <v>5.0000000000000044E-3</v>
      </c>
      <c r="H148" s="617">
        <f t="shared" si="88"/>
        <v>2.16</v>
      </c>
      <c r="J148" s="1402"/>
      <c r="K148" s="740">
        <v>5</v>
      </c>
      <c r="L148" s="616">
        <f t="shared" ref="L148:Q148" si="89">I46</f>
        <v>50</v>
      </c>
      <c r="M148" s="616">
        <f t="shared" si="89"/>
        <v>0.3</v>
      </c>
      <c r="N148" s="616">
        <f t="shared" si="89"/>
        <v>-0.33</v>
      </c>
      <c r="O148" s="616">
        <f t="shared" si="89"/>
        <v>0</v>
      </c>
      <c r="P148" s="616">
        <f t="shared" si="89"/>
        <v>0.315</v>
      </c>
      <c r="Q148" s="616">
        <f t="shared" si="89"/>
        <v>0.28999999999999998</v>
      </c>
    </row>
    <row r="149" spans="1:17" hidden="1">
      <c r="A149" s="1402"/>
      <c r="B149" s="740">
        <v>6</v>
      </c>
      <c r="C149" s="740">
        <f t="shared" ref="C149:H149" si="90">P38</f>
        <v>180</v>
      </c>
      <c r="D149" s="740">
        <f t="shared" si="90"/>
        <v>-0.11</v>
      </c>
      <c r="E149" s="740">
        <f t="shared" si="90"/>
        <v>9.9999999999999995E-7</v>
      </c>
      <c r="F149" s="740">
        <f t="shared" si="90"/>
        <v>0</v>
      </c>
      <c r="G149" s="740">
        <f t="shared" si="90"/>
        <v>5.5000500000000001E-2</v>
      </c>
      <c r="H149" s="740">
        <f t="shared" si="90"/>
        <v>2.16</v>
      </c>
      <c r="J149" s="1402"/>
      <c r="K149" s="740">
        <v>6</v>
      </c>
      <c r="L149" s="615">
        <f t="shared" ref="L149:Q149" si="91">P46</f>
        <v>50</v>
      </c>
      <c r="M149" s="615">
        <f t="shared" si="91"/>
        <v>0.02</v>
      </c>
      <c r="N149" s="615">
        <f t="shared" si="91"/>
        <v>-0.1</v>
      </c>
      <c r="O149" s="615">
        <f t="shared" si="91"/>
        <v>0</v>
      </c>
      <c r="P149" s="615">
        <f t="shared" si="91"/>
        <v>6.0000000000000005E-2</v>
      </c>
      <c r="Q149" s="615">
        <f t="shared" si="91"/>
        <v>0.28999999999999998</v>
      </c>
    </row>
    <row r="150" spans="1:17" hidden="1">
      <c r="A150" s="1402"/>
      <c r="B150" s="740">
        <v>7</v>
      </c>
      <c r="C150" s="740">
        <f t="shared" ref="C150:H150" si="92">B69</f>
        <v>180.33</v>
      </c>
      <c r="D150" s="740">
        <f t="shared" si="92"/>
        <v>0.33</v>
      </c>
      <c r="E150" s="740">
        <f t="shared" si="92"/>
        <v>0.37</v>
      </c>
      <c r="F150" s="740">
        <f t="shared" si="92"/>
        <v>0</v>
      </c>
      <c r="G150" s="740">
        <f t="shared" si="92"/>
        <v>1.999999999999999E-2</v>
      </c>
      <c r="H150" s="740">
        <f t="shared" si="92"/>
        <v>2.1639600000000003</v>
      </c>
      <c r="J150" s="1402"/>
      <c r="K150" s="740">
        <v>7</v>
      </c>
      <c r="L150" s="615">
        <f t="shared" ref="L150:Q150" si="93">B77</f>
        <v>50</v>
      </c>
      <c r="M150" s="615">
        <f t="shared" si="93"/>
        <v>1.7</v>
      </c>
      <c r="N150" s="615">
        <f t="shared" si="93"/>
        <v>2.1</v>
      </c>
      <c r="O150" s="615">
        <f t="shared" si="93"/>
        <v>0</v>
      </c>
      <c r="P150" s="615">
        <f t="shared" si="93"/>
        <v>0.20000000000000007</v>
      </c>
      <c r="Q150" s="615">
        <f t="shared" si="93"/>
        <v>0.29499999999999998</v>
      </c>
    </row>
    <row r="151" spans="1:17" hidden="1">
      <c r="A151" s="1402"/>
      <c r="B151" s="740">
        <v>8</v>
      </c>
      <c r="C151" s="740">
        <f t="shared" ref="C151:H151" si="94">I69</f>
        <v>180</v>
      </c>
      <c r="D151" s="740">
        <f t="shared" si="94"/>
        <v>-0.39</v>
      </c>
      <c r="E151" s="740">
        <f t="shared" si="94"/>
        <v>-0.14000000000000001</v>
      </c>
      <c r="F151" s="740">
        <f t="shared" si="94"/>
        <v>0</v>
      </c>
      <c r="G151" s="740">
        <f t="shared" si="94"/>
        <v>0.125</v>
      </c>
      <c r="H151" s="740">
        <f t="shared" si="94"/>
        <v>2.16</v>
      </c>
      <c r="J151" s="1402"/>
      <c r="K151" s="740">
        <v>8</v>
      </c>
      <c r="L151" s="615">
        <f t="shared" ref="L151:Q151" si="95">I77</f>
        <v>20</v>
      </c>
      <c r="M151" s="615">
        <f t="shared" si="95"/>
        <v>6.6</v>
      </c>
      <c r="N151" s="615">
        <f t="shared" si="95"/>
        <v>0.9</v>
      </c>
      <c r="O151" s="615">
        <f t="shared" si="95"/>
        <v>0</v>
      </c>
      <c r="P151" s="615">
        <f t="shared" si="95"/>
        <v>2.8499999999999996</v>
      </c>
      <c r="Q151" s="615">
        <f t="shared" si="95"/>
        <v>0.11799999999999999</v>
      </c>
    </row>
    <row r="152" spans="1:17" hidden="1">
      <c r="A152" s="1402"/>
      <c r="B152" s="740">
        <v>9</v>
      </c>
      <c r="C152" s="740">
        <f t="shared" ref="C152:H152" si="96">P69</f>
        <v>179.78</v>
      </c>
      <c r="D152" s="740">
        <f t="shared" si="96"/>
        <v>-0.22</v>
      </c>
      <c r="E152" s="740" t="str">
        <f t="shared" si="96"/>
        <v>-</v>
      </c>
      <c r="F152" s="740">
        <f t="shared" si="96"/>
        <v>0</v>
      </c>
      <c r="G152" s="740">
        <f t="shared" si="96"/>
        <v>0</v>
      </c>
      <c r="H152" s="740">
        <f t="shared" si="96"/>
        <v>2.1573600000000002</v>
      </c>
      <c r="J152" s="1402"/>
      <c r="K152" s="740">
        <v>9</v>
      </c>
      <c r="L152" s="615">
        <f t="shared" ref="L152:Q152" si="97">P77</f>
        <v>20.8</v>
      </c>
      <c r="M152" s="615">
        <f t="shared" si="97"/>
        <v>0.8</v>
      </c>
      <c r="N152" s="615" t="str">
        <f t="shared" si="97"/>
        <v>-</v>
      </c>
      <c r="O152" s="615">
        <f t="shared" si="97"/>
        <v>0</v>
      </c>
      <c r="P152" s="615">
        <f t="shared" si="97"/>
        <v>0</v>
      </c>
      <c r="Q152" s="615">
        <f t="shared" si="97"/>
        <v>0.12272</v>
      </c>
    </row>
    <row r="153" spans="1:17" hidden="1">
      <c r="A153" s="1402"/>
      <c r="B153" s="740">
        <v>10</v>
      </c>
      <c r="C153" s="740">
        <f>B100</f>
        <v>180</v>
      </c>
      <c r="D153" s="740">
        <f t="shared" ref="D153:F153" si="98">C100</f>
        <v>-0.04</v>
      </c>
      <c r="E153" s="740" t="str">
        <f t="shared" si="98"/>
        <v>-</v>
      </c>
      <c r="F153" s="740">
        <f t="shared" si="98"/>
        <v>0</v>
      </c>
      <c r="G153" s="740">
        <f>F100</f>
        <v>0</v>
      </c>
      <c r="H153" s="740" t="str">
        <f>G100</f>
        <v>-</v>
      </c>
      <c r="J153" s="1402"/>
      <c r="K153" s="740">
        <v>10</v>
      </c>
      <c r="L153" s="615">
        <f t="shared" ref="L153:Q153" si="99">B108</f>
        <v>50</v>
      </c>
      <c r="M153" s="615">
        <f t="shared" si="99"/>
        <v>0.4</v>
      </c>
      <c r="N153" s="615" t="str">
        <f t="shared" si="99"/>
        <v>-</v>
      </c>
      <c r="O153" s="615">
        <f t="shared" si="99"/>
        <v>0</v>
      </c>
      <c r="P153" s="615">
        <f t="shared" si="99"/>
        <v>0</v>
      </c>
      <c r="Q153" s="615" t="str">
        <f t="shared" si="99"/>
        <v>-</v>
      </c>
    </row>
    <row r="154" spans="1:17" hidden="1">
      <c r="A154" s="1402"/>
      <c r="B154" s="740">
        <v>11</v>
      </c>
      <c r="C154" s="740">
        <f>I100</f>
        <v>180</v>
      </c>
      <c r="D154" s="740">
        <f t="shared" ref="D154:F154" si="100">J100</f>
        <v>9.9999999999999995E-7</v>
      </c>
      <c r="E154" s="740" t="str">
        <f t="shared" si="100"/>
        <v>-</v>
      </c>
      <c r="F154" s="740">
        <f t="shared" si="100"/>
        <v>0</v>
      </c>
      <c r="G154" s="740">
        <f>M100</f>
        <v>0</v>
      </c>
      <c r="H154" s="740" t="str">
        <f>N100</f>
        <v>-</v>
      </c>
      <c r="J154" s="1402"/>
      <c r="K154" s="740">
        <v>11</v>
      </c>
      <c r="L154" s="615">
        <f t="shared" ref="L154:Q154" si="101">I108</f>
        <v>50</v>
      </c>
      <c r="M154" s="615">
        <f t="shared" si="101"/>
        <v>9.9999999999999995E-7</v>
      </c>
      <c r="N154" s="615" t="str">
        <f t="shared" si="101"/>
        <v>-</v>
      </c>
      <c r="O154" s="615">
        <f t="shared" si="101"/>
        <v>0</v>
      </c>
      <c r="P154" s="615">
        <f t="shared" si="101"/>
        <v>0</v>
      </c>
      <c r="Q154" s="615" t="str">
        <f t="shared" si="101"/>
        <v>-</v>
      </c>
    </row>
    <row r="155" spans="1:17" hidden="1">
      <c r="A155" s="1402"/>
      <c r="B155" s="740">
        <v>12</v>
      </c>
      <c r="C155" s="740">
        <f>P100</f>
        <v>180</v>
      </c>
      <c r="D155" s="740">
        <f t="shared" ref="D155:F155" si="102">Q100</f>
        <v>9.9999999999999995E-7</v>
      </c>
      <c r="E155" s="740" t="str">
        <f t="shared" si="102"/>
        <v>-</v>
      </c>
      <c r="F155" s="740">
        <f t="shared" si="102"/>
        <v>0</v>
      </c>
      <c r="G155" s="740">
        <f>T100</f>
        <v>0</v>
      </c>
      <c r="H155" s="740" t="str">
        <f>U100</f>
        <v>-</v>
      </c>
      <c r="J155" s="1402"/>
      <c r="K155" s="740">
        <v>12</v>
      </c>
      <c r="L155" s="615">
        <f t="shared" ref="L155:Q155" si="103">P108</f>
        <v>50</v>
      </c>
      <c r="M155" s="615">
        <f t="shared" si="103"/>
        <v>9.9999999999999995E-7</v>
      </c>
      <c r="N155" s="615" t="str">
        <f t="shared" si="103"/>
        <v>-</v>
      </c>
      <c r="O155" s="615">
        <f t="shared" si="103"/>
        <v>0</v>
      </c>
      <c r="P155" s="615">
        <f t="shared" si="103"/>
        <v>0</v>
      </c>
      <c r="Q155" s="615" t="str">
        <f t="shared" si="103"/>
        <v>-</v>
      </c>
    </row>
    <row r="156" spans="1:17" s="501" customFormat="1" hidden="1">
      <c r="A156" s="612"/>
      <c r="B156" s="612"/>
      <c r="C156" s="612"/>
      <c r="D156" s="612"/>
      <c r="E156" s="612"/>
      <c r="F156" s="613"/>
      <c r="G156" s="612"/>
      <c r="H156" s="612"/>
      <c r="J156" s="612"/>
      <c r="K156" s="612"/>
      <c r="L156" s="618"/>
      <c r="M156" s="618"/>
      <c r="N156" s="618"/>
      <c r="O156" s="613"/>
      <c r="P156" s="618"/>
      <c r="Q156" s="618"/>
    </row>
    <row r="157" spans="1:17" ht="13.8" hidden="1">
      <c r="A157" s="1402" t="s">
        <v>314</v>
      </c>
      <c r="B157" s="912">
        <v>1</v>
      </c>
      <c r="C157" s="912">
        <f t="shared" ref="C157:H157" si="104">B8</f>
        <v>200</v>
      </c>
      <c r="D157" s="912">
        <f t="shared" si="104"/>
        <v>-0.04</v>
      </c>
      <c r="E157" s="912">
        <f t="shared" si="104"/>
        <v>-0.16</v>
      </c>
      <c r="F157" s="912">
        <f t="shared" si="104"/>
        <v>0</v>
      </c>
      <c r="G157" s="912">
        <f t="shared" si="104"/>
        <v>0.06</v>
      </c>
      <c r="H157" s="912">
        <f t="shared" si="104"/>
        <v>2.4</v>
      </c>
      <c r="J157" s="1402" t="s">
        <v>314</v>
      </c>
      <c r="K157" s="912">
        <v>1</v>
      </c>
      <c r="L157" s="615">
        <f t="shared" ref="L157:Q157" si="105">B16</f>
        <v>100</v>
      </c>
      <c r="M157" s="615">
        <f t="shared" si="105"/>
        <v>0.2</v>
      </c>
      <c r="N157" s="615">
        <f t="shared" si="105"/>
        <v>-0.06</v>
      </c>
      <c r="O157" s="615">
        <f t="shared" si="105"/>
        <v>0</v>
      </c>
      <c r="P157" s="615">
        <f t="shared" si="105"/>
        <v>0.13</v>
      </c>
      <c r="Q157" s="615">
        <f t="shared" si="105"/>
        <v>0.59</v>
      </c>
    </row>
    <row r="158" spans="1:17" ht="13.8" hidden="1">
      <c r="A158" s="1402"/>
      <c r="B158" s="912">
        <v>2</v>
      </c>
      <c r="C158" s="912">
        <f t="shared" ref="C158:H158" si="106">I8</f>
        <v>200</v>
      </c>
      <c r="D158" s="912">
        <f t="shared" si="106"/>
        <v>0.06</v>
      </c>
      <c r="E158" s="912">
        <f t="shared" si="106"/>
        <v>-0.18</v>
      </c>
      <c r="F158" s="912">
        <f t="shared" si="106"/>
        <v>0</v>
      </c>
      <c r="G158" s="912">
        <f t="shared" si="106"/>
        <v>0.12</v>
      </c>
      <c r="H158" s="912">
        <f t="shared" si="106"/>
        <v>2.4</v>
      </c>
      <c r="J158" s="1402"/>
      <c r="K158" s="912">
        <v>2</v>
      </c>
      <c r="L158" s="615">
        <f t="shared" ref="L158:Q158" si="107">I16</f>
        <v>100</v>
      </c>
      <c r="M158" s="615">
        <f t="shared" si="107"/>
        <v>-7.0000000000000007E-2</v>
      </c>
      <c r="N158" s="615">
        <f t="shared" si="107"/>
        <v>2.2000000000000002</v>
      </c>
      <c r="O158" s="615">
        <f t="shared" si="107"/>
        <v>0</v>
      </c>
      <c r="P158" s="615">
        <f t="shared" si="107"/>
        <v>1.135</v>
      </c>
      <c r="Q158" s="615">
        <f t="shared" si="107"/>
        <v>0.59</v>
      </c>
    </row>
    <row r="159" spans="1:17" hidden="1">
      <c r="A159" s="1402"/>
      <c r="B159" s="914">
        <v>3</v>
      </c>
      <c r="C159" s="914">
        <f t="shared" ref="C159:H159" si="108">P8</f>
        <v>200</v>
      </c>
      <c r="D159" s="914">
        <f t="shared" si="108"/>
        <v>-2.0499999999999998</v>
      </c>
      <c r="E159" s="914">
        <f t="shared" si="108"/>
        <v>-2.14</v>
      </c>
      <c r="F159" s="914">
        <f t="shared" si="108"/>
        <v>-0.26</v>
      </c>
      <c r="G159" s="914">
        <f t="shared" si="108"/>
        <v>0.94000000000000006</v>
      </c>
      <c r="H159" s="914">
        <f t="shared" si="108"/>
        <v>2.4</v>
      </c>
      <c r="J159" s="1402"/>
      <c r="K159" s="914">
        <v>3</v>
      </c>
      <c r="L159" s="615">
        <f t="shared" ref="L159:Q159" si="109">P16</f>
        <v>100</v>
      </c>
      <c r="M159" s="615">
        <f t="shared" si="109"/>
        <v>6</v>
      </c>
      <c r="N159" s="615">
        <f t="shared" si="109"/>
        <v>-0.22</v>
      </c>
      <c r="O159" s="615">
        <f t="shared" si="109"/>
        <v>2</v>
      </c>
      <c r="P159" s="615">
        <f t="shared" si="109"/>
        <v>3.11</v>
      </c>
      <c r="Q159" s="615">
        <f t="shared" si="109"/>
        <v>0.59</v>
      </c>
    </row>
    <row r="160" spans="1:17" hidden="1">
      <c r="A160" s="1402"/>
      <c r="B160" s="914">
        <v>4</v>
      </c>
      <c r="C160" s="914">
        <f t="shared" ref="C160:H160" si="110">B39</f>
        <v>200</v>
      </c>
      <c r="D160" s="914">
        <f t="shared" si="110"/>
        <v>-0.67</v>
      </c>
      <c r="E160" s="914">
        <f t="shared" si="110"/>
        <v>0.05</v>
      </c>
      <c r="F160" s="914">
        <f t="shared" si="110"/>
        <v>0</v>
      </c>
      <c r="G160" s="914">
        <f t="shared" si="110"/>
        <v>0.36000000000000004</v>
      </c>
      <c r="H160" s="914">
        <f t="shared" si="110"/>
        <v>2.4</v>
      </c>
      <c r="J160" s="1402"/>
      <c r="K160" s="914">
        <v>4</v>
      </c>
      <c r="L160" s="615">
        <f t="shared" ref="L160:Q160" si="111">B47</f>
        <v>100</v>
      </c>
      <c r="M160" s="615">
        <f t="shared" si="111"/>
        <v>-0.4</v>
      </c>
      <c r="N160" s="615">
        <f t="shared" si="111"/>
        <v>-0.35</v>
      </c>
      <c r="O160" s="615">
        <f t="shared" si="111"/>
        <v>0</v>
      </c>
      <c r="P160" s="615">
        <f t="shared" si="111"/>
        <v>2.5000000000000022E-2</v>
      </c>
      <c r="Q160" s="615">
        <f t="shared" si="111"/>
        <v>0.59</v>
      </c>
    </row>
    <row r="161" spans="1:17" hidden="1">
      <c r="A161" s="1402"/>
      <c r="B161" s="740">
        <v>5</v>
      </c>
      <c r="C161" s="740">
        <f t="shared" ref="C161:H161" si="112">I39</f>
        <v>200</v>
      </c>
      <c r="D161" s="740">
        <f t="shared" si="112"/>
        <v>0.18</v>
      </c>
      <c r="E161" s="740">
        <f t="shared" si="112"/>
        <v>-0.03</v>
      </c>
      <c r="F161" s="740">
        <f t="shared" si="112"/>
        <v>0</v>
      </c>
      <c r="G161" s="740">
        <f t="shared" si="112"/>
        <v>0.105</v>
      </c>
      <c r="H161" s="740">
        <f t="shared" si="112"/>
        <v>2.4</v>
      </c>
      <c r="J161" s="1402"/>
      <c r="K161" s="740">
        <v>5</v>
      </c>
      <c r="L161" s="615">
        <f t="shared" ref="L161:Q161" si="113">I47</f>
        <v>100</v>
      </c>
      <c r="M161" s="615">
        <f t="shared" si="113"/>
        <v>-0.1</v>
      </c>
      <c r="N161" s="615">
        <f t="shared" si="113"/>
        <v>-0.42</v>
      </c>
      <c r="O161" s="615">
        <f t="shared" si="113"/>
        <v>0</v>
      </c>
      <c r="P161" s="615">
        <f t="shared" si="113"/>
        <v>0.15999999999999998</v>
      </c>
      <c r="Q161" s="615">
        <f t="shared" si="113"/>
        <v>0.57999999999999996</v>
      </c>
    </row>
    <row r="162" spans="1:17" hidden="1">
      <c r="A162" s="1402"/>
      <c r="B162" s="740">
        <v>6</v>
      </c>
      <c r="C162" s="740">
        <f t="shared" ref="C162:H162" si="114">P39</f>
        <v>200</v>
      </c>
      <c r="D162" s="740">
        <f t="shared" si="114"/>
        <v>-0.1</v>
      </c>
      <c r="E162" s="740">
        <f t="shared" si="114"/>
        <v>0.05</v>
      </c>
      <c r="F162" s="740">
        <f t="shared" si="114"/>
        <v>0</v>
      </c>
      <c r="G162" s="740">
        <f t="shared" si="114"/>
        <v>7.5000000000000011E-2</v>
      </c>
      <c r="H162" s="740">
        <f t="shared" si="114"/>
        <v>2.4</v>
      </c>
      <c r="J162" s="1402"/>
      <c r="K162" s="740">
        <v>6</v>
      </c>
      <c r="L162" s="615">
        <f t="shared" ref="L162:Q162" si="115">P47</f>
        <v>100</v>
      </c>
      <c r="M162" s="615">
        <f t="shared" si="115"/>
        <v>0.22</v>
      </c>
      <c r="N162" s="615">
        <f t="shared" si="115"/>
        <v>-0.2</v>
      </c>
      <c r="O162" s="615">
        <f t="shared" si="115"/>
        <v>0</v>
      </c>
      <c r="P162" s="615">
        <f t="shared" si="115"/>
        <v>0.21000000000000002</v>
      </c>
      <c r="Q162" s="615">
        <f t="shared" si="115"/>
        <v>0.57999999999999996</v>
      </c>
    </row>
    <row r="163" spans="1:17" hidden="1">
      <c r="A163" s="1402"/>
      <c r="B163" s="740">
        <v>7</v>
      </c>
      <c r="C163" s="740">
        <f t="shared" ref="C163:H163" si="116">B70</f>
        <v>200.35</v>
      </c>
      <c r="D163" s="740">
        <f t="shared" si="116"/>
        <v>0.34</v>
      </c>
      <c r="E163" s="740">
        <f t="shared" si="116"/>
        <v>0.4</v>
      </c>
      <c r="F163" s="740">
        <f t="shared" si="116"/>
        <v>0</v>
      </c>
      <c r="G163" s="740">
        <f t="shared" si="116"/>
        <v>0.03</v>
      </c>
      <c r="H163" s="740">
        <f t="shared" si="116"/>
        <v>2.4041999999999999</v>
      </c>
      <c r="J163" s="1402"/>
      <c r="K163" s="740">
        <v>7</v>
      </c>
      <c r="L163" s="615">
        <f t="shared" ref="L163:Q163" si="117">B78</f>
        <v>100</v>
      </c>
      <c r="M163" s="615">
        <f t="shared" si="117"/>
        <v>1.7</v>
      </c>
      <c r="N163" s="615">
        <f t="shared" si="117"/>
        <v>2.2000000000000002</v>
      </c>
      <c r="O163" s="615">
        <f t="shared" si="117"/>
        <v>0</v>
      </c>
      <c r="P163" s="615">
        <f t="shared" si="117"/>
        <v>0.25000000000000011</v>
      </c>
      <c r="Q163" s="615">
        <f t="shared" si="117"/>
        <v>0.59</v>
      </c>
    </row>
    <row r="164" spans="1:17" hidden="1">
      <c r="A164" s="1402"/>
      <c r="B164" s="740">
        <v>8</v>
      </c>
      <c r="C164" s="740">
        <f t="shared" ref="C164:H164" si="118">I70</f>
        <v>200</v>
      </c>
      <c r="D164" s="740">
        <f t="shared" si="118"/>
        <v>-0.23</v>
      </c>
      <c r="E164" s="740">
        <f t="shared" si="118"/>
        <v>-0.33</v>
      </c>
      <c r="F164" s="740">
        <f t="shared" si="118"/>
        <v>0</v>
      </c>
      <c r="G164" s="740">
        <f t="shared" si="118"/>
        <v>0.05</v>
      </c>
      <c r="H164" s="740">
        <f t="shared" si="118"/>
        <v>2.4</v>
      </c>
      <c r="J164" s="1402"/>
      <c r="K164" s="740">
        <v>8</v>
      </c>
      <c r="L164" s="615">
        <f t="shared" ref="L164:Q164" si="119">I78</f>
        <v>50</v>
      </c>
      <c r="M164" s="615">
        <f t="shared" si="119"/>
        <v>5</v>
      </c>
      <c r="N164" s="615">
        <f t="shared" si="119"/>
        <v>2.1</v>
      </c>
      <c r="O164" s="615">
        <f t="shared" si="119"/>
        <v>0</v>
      </c>
      <c r="P164" s="615">
        <f t="shared" si="119"/>
        <v>1.45</v>
      </c>
      <c r="Q164" s="615">
        <f t="shared" si="119"/>
        <v>0.29499999999999998</v>
      </c>
    </row>
    <row r="165" spans="1:17" hidden="1">
      <c r="A165" s="1402"/>
      <c r="B165" s="740">
        <v>9</v>
      </c>
      <c r="C165" s="740">
        <f t="shared" ref="C165:H165" si="120">P70</f>
        <v>199.67</v>
      </c>
      <c r="D165" s="740">
        <f t="shared" si="120"/>
        <v>-0.33</v>
      </c>
      <c r="E165" s="740" t="str">
        <f t="shared" si="120"/>
        <v>-</v>
      </c>
      <c r="F165" s="740">
        <f t="shared" si="120"/>
        <v>0</v>
      </c>
      <c r="G165" s="740">
        <f t="shared" si="120"/>
        <v>0</v>
      </c>
      <c r="H165" s="740">
        <f t="shared" si="120"/>
        <v>2.3960399999999997</v>
      </c>
      <c r="J165" s="1402"/>
      <c r="K165" s="740">
        <v>9</v>
      </c>
      <c r="L165" s="615">
        <f t="shared" ref="L165:Q165" si="121">P78</f>
        <v>51.7</v>
      </c>
      <c r="M165" s="615">
        <f t="shared" si="121"/>
        <v>1.7</v>
      </c>
      <c r="N165" s="615" t="str">
        <f t="shared" si="121"/>
        <v>-</v>
      </c>
      <c r="O165" s="615">
        <f t="shared" si="121"/>
        <v>0</v>
      </c>
      <c r="P165" s="615">
        <f t="shared" si="121"/>
        <v>0</v>
      </c>
      <c r="Q165" s="615">
        <f t="shared" si="121"/>
        <v>0.30503000000000002</v>
      </c>
    </row>
    <row r="166" spans="1:17" hidden="1">
      <c r="A166" s="1402"/>
      <c r="B166" s="740">
        <v>10</v>
      </c>
      <c r="C166" s="740">
        <f>B101</f>
        <v>200</v>
      </c>
      <c r="D166" s="740">
        <f t="shared" ref="D166:F166" si="122">C101</f>
        <v>-0.67</v>
      </c>
      <c r="E166" s="740" t="str">
        <f t="shared" si="122"/>
        <v>-</v>
      </c>
      <c r="F166" s="740">
        <f t="shared" si="122"/>
        <v>0</v>
      </c>
      <c r="G166" s="740">
        <f>F101</f>
        <v>0</v>
      </c>
      <c r="H166" s="740" t="str">
        <f>G101</f>
        <v>-</v>
      </c>
      <c r="J166" s="1402"/>
      <c r="K166" s="740">
        <v>10</v>
      </c>
      <c r="L166" s="615">
        <f t="shared" ref="L166:Q166" si="123">B109</f>
        <v>100</v>
      </c>
      <c r="M166" s="615">
        <f t="shared" si="123"/>
        <v>0.4</v>
      </c>
      <c r="N166" s="615" t="str">
        <f t="shared" si="123"/>
        <v>-</v>
      </c>
      <c r="O166" s="615">
        <f t="shared" si="123"/>
        <v>0</v>
      </c>
      <c r="P166" s="615">
        <f t="shared" si="123"/>
        <v>0</v>
      </c>
      <c r="Q166" s="615" t="str">
        <f t="shared" si="123"/>
        <v>-</v>
      </c>
    </row>
    <row r="167" spans="1:17" hidden="1">
      <c r="A167" s="1402"/>
      <c r="B167" s="740">
        <v>11</v>
      </c>
      <c r="C167" s="740">
        <f>I101</f>
        <v>200</v>
      </c>
      <c r="D167" s="740">
        <f t="shared" ref="D167:F167" si="124">J101</f>
        <v>9.9999999999999995E-7</v>
      </c>
      <c r="E167" s="740" t="str">
        <f t="shared" si="124"/>
        <v>-</v>
      </c>
      <c r="F167" s="740">
        <f t="shared" si="124"/>
        <v>0</v>
      </c>
      <c r="G167" s="740">
        <f>M101</f>
        <v>0</v>
      </c>
      <c r="H167" s="740" t="str">
        <f>N101</f>
        <v>-</v>
      </c>
      <c r="J167" s="1402"/>
      <c r="K167" s="740">
        <v>11</v>
      </c>
      <c r="L167" s="615">
        <f t="shared" ref="L167:Q167" si="125">I109</f>
        <v>100</v>
      </c>
      <c r="M167" s="615">
        <f t="shared" si="125"/>
        <v>9.9999999999999995E-7</v>
      </c>
      <c r="N167" s="615" t="str">
        <f t="shared" si="125"/>
        <v>-</v>
      </c>
      <c r="O167" s="615">
        <f t="shared" si="125"/>
        <v>0</v>
      </c>
      <c r="P167" s="615">
        <f t="shared" si="125"/>
        <v>0</v>
      </c>
      <c r="Q167" s="615" t="str">
        <f t="shared" si="125"/>
        <v>-</v>
      </c>
    </row>
    <row r="168" spans="1:17" hidden="1">
      <c r="A168" s="1402"/>
      <c r="B168" s="740">
        <v>12</v>
      </c>
      <c r="C168" s="740">
        <f>P101</f>
        <v>200</v>
      </c>
      <c r="D168" s="740">
        <f t="shared" ref="D168:F168" si="126">Q101</f>
        <v>9.9999999999999995E-7</v>
      </c>
      <c r="E168" s="740" t="str">
        <f t="shared" si="126"/>
        <v>-</v>
      </c>
      <c r="F168" s="740">
        <f t="shared" si="126"/>
        <v>0</v>
      </c>
      <c r="G168" s="740">
        <f>T101</f>
        <v>0</v>
      </c>
      <c r="H168" s="740" t="str">
        <f>U101</f>
        <v>-</v>
      </c>
      <c r="J168" s="1402"/>
      <c r="K168" s="740">
        <v>12</v>
      </c>
      <c r="L168" s="615">
        <f t="shared" ref="L168:Q168" si="127">P109</f>
        <v>100</v>
      </c>
      <c r="M168" s="615">
        <f t="shared" si="127"/>
        <v>9.9999999999999995E-7</v>
      </c>
      <c r="N168" s="615" t="str">
        <f t="shared" si="127"/>
        <v>-</v>
      </c>
      <c r="O168" s="615">
        <f t="shared" si="127"/>
        <v>0</v>
      </c>
      <c r="P168" s="615">
        <f t="shared" si="127"/>
        <v>0</v>
      </c>
      <c r="Q168" s="615" t="str">
        <f t="shared" si="127"/>
        <v>-</v>
      </c>
    </row>
    <row r="169" spans="1:17" s="501" customFormat="1" hidden="1">
      <c r="A169" s="612"/>
      <c r="B169" s="612"/>
      <c r="C169" s="612"/>
      <c r="D169" s="612"/>
      <c r="E169" s="612"/>
      <c r="F169" s="613"/>
      <c r="G169" s="612"/>
      <c r="H169" s="612"/>
      <c r="J169" s="612"/>
      <c r="K169" s="612"/>
      <c r="L169" s="618"/>
      <c r="M169" s="618"/>
      <c r="N169" s="618"/>
      <c r="O169" s="613"/>
      <c r="P169" s="618"/>
      <c r="Q169" s="618"/>
    </row>
    <row r="170" spans="1:17" ht="13.8" hidden="1">
      <c r="A170" s="1402" t="s">
        <v>315</v>
      </c>
      <c r="B170" s="912">
        <v>1</v>
      </c>
      <c r="C170" s="912">
        <f t="shared" ref="C170:H170" si="128">B9</f>
        <v>220</v>
      </c>
      <c r="D170" s="912">
        <f t="shared" si="128"/>
        <v>-0.28000000000000003</v>
      </c>
      <c r="E170" s="912">
        <f t="shared" si="128"/>
        <v>-0.18</v>
      </c>
      <c r="F170" s="912">
        <f t="shared" si="128"/>
        <v>0</v>
      </c>
      <c r="G170" s="912">
        <f t="shared" si="128"/>
        <v>5.0000000000000017E-2</v>
      </c>
      <c r="H170" s="912">
        <f t="shared" si="128"/>
        <v>2.64</v>
      </c>
      <c r="J170" s="1402" t="s">
        <v>315</v>
      </c>
      <c r="K170" s="912">
        <v>1</v>
      </c>
      <c r="L170" s="615">
        <f t="shared" ref="L170:Q170" si="129">B17</f>
        <v>200</v>
      </c>
      <c r="M170" s="615">
        <f t="shared" si="129"/>
        <v>0.4</v>
      </c>
      <c r="N170" s="615">
        <f t="shared" si="129"/>
        <v>9.9999999999999995E-7</v>
      </c>
      <c r="O170" s="615">
        <f t="shared" si="129"/>
        <v>0</v>
      </c>
      <c r="P170" s="615">
        <f t="shared" si="129"/>
        <v>0.19999950000000002</v>
      </c>
      <c r="Q170" s="615">
        <f t="shared" si="129"/>
        <v>1.18</v>
      </c>
    </row>
    <row r="171" spans="1:17" ht="13.8" hidden="1">
      <c r="A171" s="1402"/>
      <c r="B171" s="912">
        <v>2</v>
      </c>
      <c r="C171" s="914">
        <f t="shared" ref="C171:H171" si="130">I9</f>
        <v>220</v>
      </c>
      <c r="D171" s="914">
        <f t="shared" si="130"/>
        <v>0.05</v>
      </c>
      <c r="E171" s="914">
        <f t="shared" si="130"/>
        <v>-0.03</v>
      </c>
      <c r="F171" s="914">
        <f t="shared" si="130"/>
        <v>0</v>
      </c>
      <c r="G171" s="914">
        <f t="shared" si="130"/>
        <v>0.04</v>
      </c>
      <c r="H171" s="914">
        <f t="shared" si="130"/>
        <v>2.64</v>
      </c>
      <c r="J171" s="1402"/>
      <c r="K171" s="912">
        <v>2</v>
      </c>
      <c r="L171" s="615">
        <f t="shared" ref="L171:Q171" si="131">I17</f>
        <v>200</v>
      </c>
      <c r="M171" s="615">
        <f t="shared" si="131"/>
        <v>-0.1</v>
      </c>
      <c r="N171" s="615">
        <f t="shared" si="131"/>
        <v>3.3</v>
      </c>
      <c r="O171" s="615">
        <f t="shared" si="131"/>
        <v>0</v>
      </c>
      <c r="P171" s="615">
        <f t="shared" si="131"/>
        <v>1.7</v>
      </c>
      <c r="Q171" s="615">
        <f t="shared" si="131"/>
        <v>1.18</v>
      </c>
    </row>
    <row r="172" spans="1:17" hidden="1">
      <c r="A172" s="1402"/>
      <c r="B172" s="914">
        <v>3</v>
      </c>
      <c r="C172" s="914">
        <f t="shared" ref="C172:H172" si="132">P9</f>
        <v>220</v>
      </c>
      <c r="D172" s="914">
        <f t="shared" si="132"/>
        <v>-2.29</v>
      </c>
      <c r="E172" s="914">
        <f t="shared" si="132"/>
        <v>-3.44</v>
      </c>
      <c r="F172" s="914">
        <f t="shared" si="132"/>
        <v>-0.28999999999999998</v>
      </c>
      <c r="G172" s="914">
        <f t="shared" si="132"/>
        <v>1.575</v>
      </c>
      <c r="H172" s="914">
        <f t="shared" si="132"/>
        <v>2.64</v>
      </c>
      <c r="J172" s="1402"/>
      <c r="K172" s="914">
        <v>3</v>
      </c>
      <c r="L172" s="615">
        <f t="shared" ref="L172:Q172" si="133">P17</f>
        <v>200</v>
      </c>
      <c r="M172" s="615">
        <f t="shared" si="133"/>
        <v>-3.6</v>
      </c>
      <c r="N172" s="615">
        <f t="shared" si="133"/>
        <v>-0.1</v>
      </c>
      <c r="O172" s="615">
        <f t="shared" si="133"/>
        <v>3.6</v>
      </c>
      <c r="P172" s="615">
        <f t="shared" si="133"/>
        <v>3.6</v>
      </c>
      <c r="Q172" s="615">
        <f t="shared" si="133"/>
        <v>1.18</v>
      </c>
    </row>
    <row r="173" spans="1:17" hidden="1">
      <c r="A173" s="1402"/>
      <c r="B173" s="914">
        <v>4</v>
      </c>
      <c r="C173" s="914">
        <f t="shared" ref="C173:H173" si="134">B40</f>
        <v>220</v>
      </c>
      <c r="D173" s="914">
        <f t="shared" si="134"/>
        <v>9.9999999999999995E-7</v>
      </c>
      <c r="E173" s="914">
        <f t="shared" si="134"/>
        <v>0.1</v>
      </c>
      <c r="F173" s="914">
        <f t="shared" si="134"/>
        <v>0</v>
      </c>
      <c r="G173" s="914">
        <f t="shared" si="134"/>
        <v>4.9999500000000002E-2</v>
      </c>
      <c r="H173" s="914">
        <f t="shared" si="134"/>
        <v>2.64</v>
      </c>
      <c r="J173" s="1402"/>
      <c r="K173" s="914">
        <v>4</v>
      </c>
      <c r="L173" s="615">
        <f t="shared" ref="L173:Q173" si="135">B48</f>
        <v>200</v>
      </c>
      <c r="M173" s="615">
        <f t="shared" si="135"/>
        <v>0.3</v>
      </c>
      <c r="N173" s="615">
        <f t="shared" si="135"/>
        <v>0.8</v>
      </c>
      <c r="O173" s="615">
        <f t="shared" si="135"/>
        <v>0</v>
      </c>
      <c r="P173" s="615">
        <f t="shared" si="135"/>
        <v>0.25</v>
      </c>
      <c r="Q173" s="615">
        <f t="shared" si="135"/>
        <v>1.18</v>
      </c>
    </row>
    <row r="174" spans="1:17" hidden="1">
      <c r="A174" s="1402"/>
      <c r="B174" s="740">
        <v>5</v>
      </c>
      <c r="C174" s="740">
        <f t="shared" ref="C174:H174" si="136">I40</f>
        <v>220</v>
      </c>
      <c r="D174" s="740">
        <f t="shared" si="136"/>
        <v>0.56000000000000005</v>
      </c>
      <c r="E174" s="740">
        <f t="shared" si="136"/>
        <v>0.38</v>
      </c>
      <c r="F174" s="740">
        <f t="shared" si="136"/>
        <v>0</v>
      </c>
      <c r="G174" s="740">
        <f t="shared" si="136"/>
        <v>9.0000000000000024E-2</v>
      </c>
      <c r="H174" s="740">
        <f t="shared" si="136"/>
        <v>2.64</v>
      </c>
      <c r="J174" s="1402"/>
      <c r="K174" s="740">
        <v>5</v>
      </c>
      <c r="L174" s="615">
        <f t="shared" ref="L174:Q174" si="137">I48</f>
        <v>200</v>
      </c>
      <c r="M174" s="615">
        <f t="shared" si="137"/>
        <v>1.3</v>
      </c>
      <c r="N174" s="615">
        <f t="shared" si="137"/>
        <v>1.3</v>
      </c>
      <c r="O174" s="615">
        <f t="shared" si="137"/>
        <v>0</v>
      </c>
      <c r="P174" s="615">
        <f t="shared" si="137"/>
        <v>0</v>
      </c>
      <c r="Q174" s="615">
        <f t="shared" si="137"/>
        <v>1.1599999999999999</v>
      </c>
    </row>
    <row r="175" spans="1:17" hidden="1">
      <c r="A175" s="1402"/>
      <c r="B175" s="740">
        <v>6</v>
      </c>
      <c r="C175" s="740">
        <f t="shared" ref="C175:H175" si="138">P40</f>
        <v>220</v>
      </c>
      <c r="D175" s="740">
        <f t="shared" si="138"/>
        <v>-0.13</v>
      </c>
      <c r="E175" s="740">
        <f t="shared" si="138"/>
        <v>0.05</v>
      </c>
      <c r="F175" s="740">
        <f t="shared" si="138"/>
        <v>0</v>
      </c>
      <c r="G175" s="740">
        <f t="shared" si="138"/>
        <v>0.09</v>
      </c>
      <c r="H175" s="740">
        <f t="shared" si="138"/>
        <v>2.64</v>
      </c>
      <c r="J175" s="1402"/>
      <c r="K175" s="740">
        <v>6</v>
      </c>
      <c r="L175" s="615">
        <f t="shared" ref="L175:Q175" si="139">P48</f>
        <v>200</v>
      </c>
      <c r="M175" s="615">
        <f t="shared" si="139"/>
        <v>0.8</v>
      </c>
      <c r="N175" s="615">
        <f t="shared" si="139"/>
        <v>0.8</v>
      </c>
      <c r="O175" s="615">
        <f t="shared" si="139"/>
        <v>0</v>
      </c>
      <c r="P175" s="615">
        <f t="shared" si="139"/>
        <v>0</v>
      </c>
      <c r="Q175" s="615">
        <f t="shared" si="139"/>
        <v>1.1599999999999999</v>
      </c>
    </row>
    <row r="176" spans="1:17" hidden="1">
      <c r="A176" s="1402"/>
      <c r="B176" s="740">
        <v>7</v>
      </c>
      <c r="C176" s="740">
        <f t="shared" ref="C176:H176" si="140">B71</f>
        <v>220.37</v>
      </c>
      <c r="D176" s="740">
        <f t="shared" si="140"/>
        <v>0.37</v>
      </c>
      <c r="E176" s="740">
        <f t="shared" si="140"/>
        <v>0.38</v>
      </c>
      <c r="F176" s="740">
        <f t="shared" si="140"/>
        <v>0</v>
      </c>
      <c r="G176" s="740">
        <f t="shared" si="140"/>
        <v>5.0000000000000044E-3</v>
      </c>
      <c r="H176" s="740">
        <f t="shared" si="140"/>
        <v>2.6444399999999999</v>
      </c>
      <c r="J176" s="1402"/>
      <c r="K176" s="740">
        <v>7</v>
      </c>
      <c r="L176" s="615">
        <f t="shared" ref="L176:Q176" si="141">B79</f>
        <v>200.4</v>
      </c>
      <c r="M176" s="615">
        <f t="shared" si="141"/>
        <v>0.4</v>
      </c>
      <c r="N176" s="615">
        <f t="shared" si="141"/>
        <v>2.4</v>
      </c>
      <c r="O176" s="615">
        <f t="shared" si="141"/>
        <v>0</v>
      </c>
      <c r="P176" s="615">
        <f t="shared" si="141"/>
        <v>1</v>
      </c>
      <c r="Q176" s="615">
        <f t="shared" si="141"/>
        <v>1.1823600000000001</v>
      </c>
    </row>
    <row r="177" spans="1:17" hidden="1">
      <c r="A177" s="1402"/>
      <c r="B177" s="740">
        <v>8</v>
      </c>
      <c r="C177" s="740">
        <f t="shared" ref="C177:H177" si="142">I71</f>
        <v>220</v>
      </c>
      <c r="D177" s="740">
        <f t="shared" si="142"/>
        <v>-0.16</v>
      </c>
      <c r="E177" s="740">
        <f t="shared" si="142"/>
        <v>-0.45</v>
      </c>
      <c r="F177" s="740">
        <f t="shared" si="142"/>
        <v>0</v>
      </c>
      <c r="G177" s="740">
        <f t="shared" si="142"/>
        <v>0.14500000000000002</v>
      </c>
      <c r="H177" s="740">
        <f t="shared" si="142"/>
        <v>2.64</v>
      </c>
      <c r="J177" s="1402"/>
      <c r="K177" s="740">
        <v>8</v>
      </c>
      <c r="L177" s="615">
        <f t="shared" ref="L177:Q177" si="143">I79</f>
        <v>200</v>
      </c>
      <c r="M177" s="615">
        <f t="shared" si="143"/>
        <v>-8.1999999999999993</v>
      </c>
      <c r="N177" s="615">
        <f t="shared" si="143"/>
        <v>3.7</v>
      </c>
      <c r="O177" s="615">
        <f t="shared" si="143"/>
        <v>0</v>
      </c>
      <c r="P177" s="615">
        <f t="shared" si="143"/>
        <v>5.9499999999999993</v>
      </c>
      <c r="Q177" s="615">
        <f t="shared" si="143"/>
        <v>1.18</v>
      </c>
    </row>
    <row r="178" spans="1:17" hidden="1">
      <c r="A178" s="1402"/>
      <c r="B178" s="740">
        <v>9</v>
      </c>
      <c r="C178" s="740">
        <f t="shared" ref="C178:H178" si="144">P71</f>
        <v>219.61</v>
      </c>
      <c r="D178" s="740">
        <f t="shared" si="144"/>
        <v>-0.39</v>
      </c>
      <c r="E178" s="740" t="str">
        <f t="shared" si="144"/>
        <v>-</v>
      </c>
      <c r="F178" s="740">
        <f t="shared" si="144"/>
        <v>0</v>
      </c>
      <c r="G178" s="740">
        <f t="shared" si="144"/>
        <v>0</v>
      </c>
      <c r="H178" s="740">
        <f t="shared" si="144"/>
        <v>2.6353200000000001</v>
      </c>
      <c r="J178" s="1402"/>
      <c r="K178" s="740">
        <v>9</v>
      </c>
      <c r="L178" s="615">
        <f t="shared" ref="L178:Q178" si="145">P79</f>
        <v>103.4</v>
      </c>
      <c r="M178" s="615">
        <f t="shared" si="145"/>
        <v>3.4</v>
      </c>
      <c r="N178" s="615" t="str">
        <f t="shared" si="145"/>
        <v>-</v>
      </c>
      <c r="O178" s="615">
        <f t="shared" si="145"/>
        <v>0</v>
      </c>
      <c r="P178" s="615">
        <f t="shared" si="145"/>
        <v>0</v>
      </c>
      <c r="Q178" s="615">
        <f t="shared" si="145"/>
        <v>0.61006000000000005</v>
      </c>
    </row>
    <row r="179" spans="1:17" hidden="1">
      <c r="A179" s="1402"/>
      <c r="B179" s="740">
        <v>10</v>
      </c>
      <c r="C179" s="740">
        <f>B102</f>
        <v>220</v>
      </c>
      <c r="D179" s="740">
        <f t="shared" ref="D179:F179" si="146">C102</f>
        <v>9.9999999999999995E-7</v>
      </c>
      <c r="E179" s="740" t="str">
        <f t="shared" si="146"/>
        <v>-</v>
      </c>
      <c r="F179" s="740">
        <f t="shared" si="146"/>
        <v>0</v>
      </c>
      <c r="G179" s="740">
        <f>F102</f>
        <v>0</v>
      </c>
      <c r="H179" s="740" t="str">
        <f>G102</f>
        <v>-</v>
      </c>
      <c r="J179" s="1402"/>
      <c r="K179" s="740">
        <v>10</v>
      </c>
      <c r="L179" s="615">
        <f t="shared" ref="L179:Q179" si="147">B110</f>
        <v>200</v>
      </c>
      <c r="M179" s="615">
        <f t="shared" si="147"/>
        <v>0.4</v>
      </c>
      <c r="N179" s="615" t="str">
        <f t="shared" si="147"/>
        <v>-</v>
      </c>
      <c r="O179" s="615">
        <f t="shared" si="147"/>
        <v>0</v>
      </c>
      <c r="P179" s="615">
        <f t="shared" si="147"/>
        <v>0</v>
      </c>
      <c r="Q179" s="615" t="str">
        <f t="shared" si="147"/>
        <v>-</v>
      </c>
    </row>
    <row r="180" spans="1:17" hidden="1">
      <c r="A180" s="1402"/>
      <c r="B180" s="740">
        <v>11</v>
      </c>
      <c r="C180" s="740">
        <f>I102</f>
        <v>220</v>
      </c>
      <c r="D180" s="740">
        <f t="shared" ref="D180:F180" si="148">J102</f>
        <v>9.9999999999999995E-7</v>
      </c>
      <c r="E180" s="740" t="str">
        <f t="shared" si="148"/>
        <v>-</v>
      </c>
      <c r="F180" s="740">
        <f t="shared" si="148"/>
        <v>0</v>
      </c>
      <c r="G180" s="740">
        <f>M102</f>
        <v>0</v>
      </c>
      <c r="H180" s="740" t="str">
        <f>N102</f>
        <v>-</v>
      </c>
      <c r="J180" s="1402"/>
      <c r="K180" s="740">
        <v>11</v>
      </c>
      <c r="L180" s="615">
        <f t="shared" ref="L180:Q180" si="149">I110</f>
        <v>200</v>
      </c>
      <c r="M180" s="615">
        <f t="shared" si="149"/>
        <v>9.9999999999999995E-7</v>
      </c>
      <c r="N180" s="615" t="str">
        <f t="shared" si="149"/>
        <v>-</v>
      </c>
      <c r="O180" s="615">
        <f t="shared" si="149"/>
        <v>0</v>
      </c>
      <c r="P180" s="615">
        <f t="shared" si="149"/>
        <v>0</v>
      </c>
      <c r="Q180" s="615" t="str">
        <f t="shared" si="149"/>
        <v>-</v>
      </c>
    </row>
    <row r="181" spans="1:17" hidden="1">
      <c r="A181" s="1402"/>
      <c r="B181" s="740">
        <v>12</v>
      </c>
      <c r="C181" s="740">
        <f>P102</f>
        <v>220</v>
      </c>
      <c r="D181" s="740">
        <f t="shared" ref="D181:F181" si="150">Q102</f>
        <v>9.9999999999999995E-7</v>
      </c>
      <c r="E181" s="740" t="str">
        <f t="shared" si="150"/>
        <v>-</v>
      </c>
      <c r="F181" s="740">
        <f t="shared" si="150"/>
        <v>0</v>
      </c>
      <c r="G181" s="740">
        <f>T102</f>
        <v>0</v>
      </c>
      <c r="H181" s="740" t="str">
        <f>U102</f>
        <v>-</v>
      </c>
      <c r="J181" s="1402"/>
      <c r="K181" s="740">
        <v>12</v>
      </c>
      <c r="L181" s="615">
        <f t="shared" ref="L181:Q181" si="151">P110</f>
        <v>200</v>
      </c>
      <c r="M181" s="615">
        <f t="shared" si="151"/>
        <v>9.9999999999999995E-7</v>
      </c>
      <c r="N181" s="615" t="str">
        <f t="shared" si="151"/>
        <v>-</v>
      </c>
      <c r="O181" s="615">
        <f t="shared" si="151"/>
        <v>0</v>
      </c>
      <c r="P181" s="615">
        <f t="shared" si="151"/>
        <v>0</v>
      </c>
      <c r="Q181" s="615" t="str">
        <f t="shared" si="151"/>
        <v>-</v>
      </c>
    </row>
    <row r="182" spans="1:17" s="501" customFormat="1" hidden="1">
      <c r="A182" s="612"/>
      <c r="B182" s="612"/>
      <c r="C182" s="612"/>
      <c r="D182" s="612"/>
      <c r="E182" s="612"/>
      <c r="F182" s="613"/>
      <c r="G182" s="612"/>
      <c r="H182" s="612"/>
      <c r="J182" s="612"/>
      <c r="K182" s="612"/>
      <c r="L182" s="618"/>
      <c r="M182" s="618"/>
      <c r="N182" s="618"/>
      <c r="O182" s="613"/>
      <c r="P182" s="618"/>
      <c r="Q182" s="618"/>
    </row>
    <row r="183" spans="1:17" ht="13.8" hidden="1">
      <c r="A183" s="1402" t="s">
        <v>316</v>
      </c>
      <c r="B183" s="912">
        <v>1</v>
      </c>
      <c r="C183" s="912">
        <f t="shared" ref="C183:H183" si="152">B10</f>
        <v>230</v>
      </c>
      <c r="D183" s="912">
        <f t="shared" si="152"/>
        <v>-0.2</v>
      </c>
      <c r="E183" s="912">
        <f t="shared" si="152"/>
        <v>-0.26</v>
      </c>
      <c r="F183" s="912">
        <f t="shared" si="152"/>
        <v>0</v>
      </c>
      <c r="G183" s="912">
        <f t="shared" si="152"/>
        <v>0.03</v>
      </c>
      <c r="H183" s="912">
        <f t="shared" si="152"/>
        <v>2.7600000000000002</v>
      </c>
      <c r="J183" s="1402" t="s">
        <v>316</v>
      </c>
      <c r="K183" s="912">
        <v>1</v>
      </c>
      <c r="L183" s="615">
        <f t="shared" ref="L183:Q183" si="153">B18</f>
        <v>500</v>
      </c>
      <c r="M183" s="615">
        <f t="shared" si="153"/>
        <v>3.8</v>
      </c>
      <c r="N183" s="615">
        <f t="shared" si="153"/>
        <v>-0.9</v>
      </c>
      <c r="O183" s="615">
        <f t="shared" si="153"/>
        <v>0</v>
      </c>
      <c r="P183" s="615">
        <f t="shared" si="153"/>
        <v>2.35</v>
      </c>
      <c r="Q183" s="615">
        <f t="shared" si="153"/>
        <v>2.9499999999999997</v>
      </c>
    </row>
    <row r="184" spans="1:17" ht="13.8" hidden="1">
      <c r="A184" s="1402"/>
      <c r="B184" s="912">
        <v>2</v>
      </c>
      <c r="C184" s="914">
        <f t="shared" ref="C184:H184" si="154">I10</f>
        <v>230</v>
      </c>
      <c r="D184" s="914">
        <f t="shared" si="154"/>
        <v>9.9999999999999995E-7</v>
      </c>
      <c r="E184" s="914">
        <f t="shared" si="154"/>
        <v>0.05</v>
      </c>
      <c r="F184" s="914">
        <f t="shared" si="154"/>
        <v>0</v>
      </c>
      <c r="G184" s="914">
        <f t="shared" si="154"/>
        <v>2.4999500000000001E-2</v>
      </c>
      <c r="H184" s="914">
        <f t="shared" si="154"/>
        <v>2.7600000000000002</v>
      </c>
      <c r="J184" s="1402"/>
      <c r="K184" s="912">
        <v>2</v>
      </c>
      <c r="L184" s="615">
        <f t="shared" ref="L184:Q184" si="155">I18</f>
        <v>500</v>
      </c>
      <c r="M184" s="615">
        <f t="shared" si="155"/>
        <v>0.8</v>
      </c>
      <c r="N184" s="615">
        <f t="shared" si="155"/>
        <v>2</v>
      </c>
      <c r="O184" s="615">
        <f t="shared" si="155"/>
        <v>0</v>
      </c>
      <c r="P184" s="615">
        <f t="shared" si="155"/>
        <v>0.6</v>
      </c>
      <c r="Q184" s="615">
        <f t="shared" si="155"/>
        <v>2.9499999999999997</v>
      </c>
    </row>
    <row r="185" spans="1:17" hidden="1">
      <c r="A185" s="1402"/>
      <c r="B185" s="914">
        <v>3</v>
      </c>
      <c r="C185" s="914">
        <f t="shared" ref="C185:H185" si="156">P10</f>
        <v>230</v>
      </c>
      <c r="D185" s="914">
        <f t="shared" si="156"/>
        <v>-11.79</v>
      </c>
      <c r="E185" s="914">
        <f t="shared" si="156"/>
        <v>-2.52</v>
      </c>
      <c r="F185" s="914">
        <f t="shared" si="156"/>
        <v>-0.23</v>
      </c>
      <c r="G185" s="914">
        <f t="shared" si="156"/>
        <v>5.7799999999999994</v>
      </c>
      <c r="H185" s="914">
        <f t="shared" si="156"/>
        <v>2.7600000000000002</v>
      </c>
      <c r="J185" s="1402"/>
      <c r="K185" s="914">
        <v>3</v>
      </c>
      <c r="L185" s="615">
        <f t="shared" ref="L185:Q185" si="157">P18</f>
        <v>500</v>
      </c>
      <c r="M185" s="615">
        <f t="shared" si="157"/>
        <v>-18.8</v>
      </c>
      <c r="N185" s="615">
        <f t="shared" si="157"/>
        <v>-1.1000000000000001</v>
      </c>
      <c r="O185" s="615">
        <f t="shared" si="157"/>
        <v>2.9</v>
      </c>
      <c r="P185" s="615">
        <f t="shared" si="157"/>
        <v>10.85</v>
      </c>
      <c r="Q185" s="615">
        <f t="shared" si="157"/>
        <v>2.9499999999999997</v>
      </c>
    </row>
    <row r="186" spans="1:17" hidden="1">
      <c r="A186" s="1402"/>
      <c r="B186" s="914">
        <v>4</v>
      </c>
      <c r="C186" s="914">
        <f t="shared" ref="C186:H186" si="158">B41</f>
        <v>230</v>
      </c>
      <c r="D186" s="914">
        <f t="shared" si="158"/>
        <v>-0.11</v>
      </c>
      <c r="E186" s="914">
        <f t="shared" si="158"/>
        <v>1.1100000000000001</v>
      </c>
      <c r="F186" s="914">
        <f t="shared" si="158"/>
        <v>0</v>
      </c>
      <c r="G186" s="914">
        <f t="shared" si="158"/>
        <v>0.6100000000000001</v>
      </c>
      <c r="H186" s="914">
        <f t="shared" si="158"/>
        <v>2.7600000000000002</v>
      </c>
      <c r="J186" s="1402"/>
      <c r="K186" s="914">
        <v>4</v>
      </c>
      <c r="L186" s="615">
        <f t="shared" ref="L186:Q186" si="159">B49</f>
        <v>500</v>
      </c>
      <c r="M186" s="615">
        <f t="shared" si="159"/>
        <v>0.2</v>
      </c>
      <c r="N186" s="615">
        <f t="shared" si="159"/>
        <v>1.2</v>
      </c>
      <c r="O186" s="615">
        <f t="shared" si="159"/>
        <v>0</v>
      </c>
      <c r="P186" s="615">
        <f t="shared" si="159"/>
        <v>0.5</v>
      </c>
      <c r="Q186" s="615">
        <f t="shared" si="159"/>
        <v>2.9499999999999997</v>
      </c>
    </row>
    <row r="187" spans="1:17" hidden="1">
      <c r="A187" s="1402"/>
      <c r="B187" s="740">
        <v>5</v>
      </c>
      <c r="C187" s="740">
        <f t="shared" ref="C187:H187" si="160">I41</f>
        <v>230</v>
      </c>
      <c r="D187" s="740">
        <f t="shared" si="160"/>
        <v>0.73</v>
      </c>
      <c r="E187" s="740">
        <f t="shared" si="160"/>
        <v>-0.16</v>
      </c>
      <c r="F187" s="740">
        <f t="shared" si="160"/>
        <v>0</v>
      </c>
      <c r="G187" s="740">
        <f t="shared" si="160"/>
        <v>0.44500000000000001</v>
      </c>
      <c r="H187" s="740">
        <f t="shared" si="160"/>
        <v>2.7600000000000002</v>
      </c>
      <c r="J187" s="1402"/>
      <c r="K187" s="740">
        <v>5</v>
      </c>
      <c r="L187" s="615">
        <f t="shared" ref="L187:Q187" si="161">I49</f>
        <v>500</v>
      </c>
      <c r="M187" s="615">
        <f t="shared" si="161"/>
        <v>0.7</v>
      </c>
      <c r="N187" s="615">
        <f t="shared" si="161"/>
        <v>0.7</v>
      </c>
      <c r="O187" s="615">
        <f t="shared" si="161"/>
        <v>0</v>
      </c>
      <c r="P187" s="615">
        <f t="shared" si="161"/>
        <v>0</v>
      </c>
      <c r="Q187" s="615">
        <f t="shared" si="161"/>
        <v>2.9</v>
      </c>
    </row>
    <row r="188" spans="1:17" hidden="1">
      <c r="A188" s="1402"/>
      <c r="B188" s="740">
        <v>6</v>
      </c>
      <c r="C188" s="740">
        <f t="shared" ref="C188:H188" si="162">P41</f>
        <v>230</v>
      </c>
      <c r="D188" s="740">
        <f t="shared" si="162"/>
        <v>-0.15</v>
      </c>
      <c r="E188" s="740">
        <f t="shared" si="162"/>
        <v>-0.05</v>
      </c>
      <c r="F188" s="740">
        <f t="shared" si="162"/>
        <v>0</v>
      </c>
      <c r="G188" s="740">
        <f t="shared" si="162"/>
        <v>4.9999999999999996E-2</v>
      </c>
      <c r="H188" s="740">
        <f t="shared" si="162"/>
        <v>2.7600000000000002</v>
      </c>
      <c r="J188" s="1402"/>
      <c r="K188" s="740">
        <v>6</v>
      </c>
      <c r="L188" s="615">
        <f t="shared" ref="L188:Q188" si="163">P49</f>
        <v>500</v>
      </c>
      <c r="M188" s="615">
        <f t="shared" si="163"/>
        <v>1.1000000000000001</v>
      </c>
      <c r="N188" s="615">
        <f t="shared" si="163"/>
        <v>0.6</v>
      </c>
      <c r="O188" s="615">
        <f t="shared" si="163"/>
        <v>0</v>
      </c>
      <c r="P188" s="615">
        <f t="shared" si="163"/>
        <v>0.25000000000000006</v>
      </c>
      <c r="Q188" s="615">
        <f t="shared" si="163"/>
        <v>2.9</v>
      </c>
    </row>
    <row r="189" spans="1:17" hidden="1">
      <c r="A189" s="1402"/>
      <c r="B189" s="740">
        <v>7</v>
      </c>
      <c r="C189" s="740">
        <f t="shared" ref="C189:H189" si="164">B72</f>
        <v>230.47</v>
      </c>
      <c r="D189" s="740">
        <f t="shared" si="164"/>
        <v>0.47</v>
      </c>
      <c r="E189" s="740">
        <f t="shared" si="164"/>
        <v>0.4</v>
      </c>
      <c r="F189" s="740">
        <f t="shared" si="164"/>
        <v>0</v>
      </c>
      <c r="G189" s="740">
        <f t="shared" si="164"/>
        <v>3.4999999999999976E-2</v>
      </c>
      <c r="H189" s="740">
        <f t="shared" si="164"/>
        <v>2.7656399999999999</v>
      </c>
      <c r="J189" s="1402"/>
      <c r="K189" s="740">
        <v>7</v>
      </c>
      <c r="L189" s="615">
        <f t="shared" ref="L189:Q189" si="165">B80</f>
        <v>500</v>
      </c>
      <c r="M189" s="615">
        <f t="shared" si="165"/>
        <v>3</v>
      </c>
      <c r="N189" s="615">
        <f t="shared" si="165"/>
        <v>3.3</v>
      </c>
      <c r="O189" s="615">
        <f t="shared" si="165"/>
        <v>0</v>
      </c>
      <c r="P189" s="615">
        <f t="shared" si="165"/>
        <v>0.14999999999999991</v>
      </c>
      <c r="Q189" s="615">
        <f t="shared" si="165"/>
        <v>2.9499999999999997</v>
      </c>
    </row>
    <row r="190" spans="1:17" hidden="1">
      <c r="A190" s="1402"/>
      <c r="B190" s="740">
        <v>8</v>
      </c>
      <c r="C190" s="740">
        <f t="shared" ref="C190:H190" si="166">I72</f>
        <v>230</v>
      </c>
      <c r="D190" s="740">
        <f t="shared" si="166"/>
        <v>-0.15</v>
      </c>
      <c r="E190" s="740">
        <f t="shared" si="166"/>
        <v>-0.54</v>
      </c>
      <c r="F190" s="740">
        <f t="shared" si="166"/>
        <v>0</v>
      </c>
      <c r="G190" s="740">
        <f t="shared" si="166"/>
        <v>0.19500000000000001</v>
      </c>
      <c r="H190" s="740">
        <f t="shared" si="166"/>
        <v>2.7600000000000002</v>
      </c>
      <c r="J190" s="1402"/>
      <c r="K190" s="740">
        <v>8</v>
      </c>
      <c r="L190" s="615">
        <f t="shared" ref="L190:Q190" si="167">I80</f>
        <v>500</v>
      </c>
      <c r="M190" s="615">
        <f t="shared" si="167"/>
        <v>-31.8</v>
      </c>
      <c r="N190" s="615">
        <f t="shared" si="167"/>
        <v>8.3000000000000007</v>
      </c>
      <c r="O190" s="615">
        <f t="shared" si="167"/>
        <v>0</v>
      </c>
      <c r="P190" s="615">
        <f t="shared" si="167"/>
        <v>20.05</v>
      </c>
      <c r="Q190" s="615">
        <f t="shared" si="167"/>
        <v>2.9499999999999997</v>
      </c>
    </row>
    <row r="191" spans="1:17" hidden="1">
      <c r="A191" s="1402"/>
      <c r="B191" s="740">
        <v>9</v>
      </c>
      <c r="C191" s="740">
        <f t="shared" ref="C191:H191" si="168">P72</f>
        <v>229.61</v>
      </c>
      <c r="D191" s="740">
        <f t="shared" si="168"/>
        <v>-0.39</v>
      </c>
      <c r="E191" s="740" t="str">
        <f t="shared" si="168"/>
        <v>-</v>
      </c>
      <c r="F191" s="740">
        <f t="shared" si="168"/>
        <v>0</v>
      </c>
      <c r="G191" s="740">
        <f t="shared" si="168"/>
        <v>0</v>
      </c>
      <c r="H191" s="740">
        <f t="shared" si="168"/>
        <v>2.7553200000000002</v>
      </c>
      <c r="J191" s="1402"/>
      <c r="K191" s="740">
        <v>9</v>
      </c>
      <c r="L191" s="615">
        <f t="shared" ref="L191:Q191" si="169">P80</f>
        <v>507.2</v>
      </c>
      <c r="M191" s="615">
        <f t="shared" si="169"/>
        <v>7.2</v>
      </c>
      <c r="N191" s="615" t="str">
        <f t="shared" si="169"/>
        <v>-</v>
      </c>
      <c r="O191" s="615">
        <f t="shared" si="169"/>
        <v>0</v>
      </c>
      <c r="P191" s="615">
        <f t="shared" si="169"/>
        <v>0</v>
      </c>
      <c r="Q191" s="615">
        <f t="shared" si="169"/>
        <v>2.99248</v>
      </c>
    </row>
    <row r="192" spans="1:17" hidden="1">
      <c r="A192" s="1402"/>
      <c r="B192" s="740">
        <v>10</v>
      </c>
      <c r="C192" s="740">
        <f>B103</f>
        <v>230</v>
      </c>
      <c r="D192" s="740">
        <f t="shared" ref="D192:F192" si="170">C103</f>
        <v>-0.11</v>
      </c>
      <c r="E192" s="740" t="str">
        <f t="shared" si="170"/>
        <v>-</v>
      </c>
      <c r="F192" s="740">
        <f t="shared" si="170"/>
        <v>0</v>
      </c>
      <c r="G192" s="740">
        <f>F103</f>
        <v>0</v>
      </c>
      <c r="H192" s="740" t="str">
        <f>G103</f>
        <v>-</v>
      </c>
      <c r="J192" s="1402"/>
      <c r="K192" s="740">
        <v>10</v>
      </c>
      <c r="L192" s="615">
        <f t="shared" ref="L192:Q192" si="171">B111</f>
        <v>500</v>
      </c>
      <c r="M192" s="615">
        <f t="shared" si="171"/>
        <v>1.5</v>
      </c>
      <c r="N192" s="615" t="str">
        <f t="shared" si="171"/>
        <v>-</v>
      </c>
      <c r="O192" s="615">
        <f t="shared" si="171"/>
        <v>0</v>
      </c>
      <c r="P192" s="615">
        <f t="shared" si="171"/>
        <v>0</v>
      </c>
      <c r="Q192" s="615" t="str">
        <f t="shared" si="171"/>
        <v>-</v>
      </c>
    </row>
    <row r="193" spans="1:17" hidden="1">
      <c r="A193" s="1402"/>
      <c r="B193" s="740">
        <v>11</v>
      </c>
      <c r="C193" s="740">
        <f>I103</f>
        <v>230</v>
      </c>
      <c r="D193" s="740">
        <f t="shared" ref="D193:F193" si="172">J103</f>
        <v>9.9999999999999995E-7</v>
      </c>
      <c r="E193" s="740" t="str">
        <f t="shared" si="172"/>
        <v>-</v>
      </c>
      <c r="F193" s="740">
        <f t="shared" si="172"/>
        <v>0</v>
      </c>
      <c r="G193" s="740">
        <f>M103</f>
        <v>0</v>
      </c>
      <c r="H193" s="740" t="str">
        <f>N103</f>
        <v>-</v>
      </c>
      <c r="J193" s="1402"/>
      <c r="K193" s="740">
        <v>11</v>
      </c>
      <c r="L193" s="615">
        <f t="shared" ref="L193:Q193" si="173">I111</f>
        <v>500</v>
      </c>
      <c r="M193" s="615">
        <f t="shared" si="173"/>
        <v>9.9999999999999995E-7</v>
      </c>
      <c r="N193" s="615" t="str">
        <f t="shared" si="173"/>
        <v>-</v>
      </c>
      <c r="O193" s="615">
        <f t="shared" si="173"/>
        <v>0</v>
      </c>
      <c r="P193" s="615">
        <f t="shared" si="173"/>
        <v>0</v>
      </c>
      <c r="Q193" s="615" t="str">
        <f t="shared" si="173"/>
        <v>-</v>
      </c>
    </row>
    <row r="194" spans="1:17" hidden="1">
      <c r="A194" s="1402"/>
      <c r="B194" s="740">
        <v>12</v>
      </c>
      <c r="C194" s="740">
        <f>P103</f>
        <v>230</v>
      </c>
      <c r="D194" s="740">
        <f t="shared" ref="D194:F194" si="174">Q103</f>
        <v>9.9999999999999995E-7</v>
      </c>
      <c r="E194" s="740" t="str">
        <f t="shared" si="174"/>
        <v>-</v>
      </c>
      <c r="F194" s="740">
        <f t="shared" si="174"/>
        <v>0</v>
      </c>
      <c r="G194" s="740">
        <f>T103</f>
        <v>0</v>
      </c>
      <c r="H194" s="740" t="str">
        <f>U103</f>
        <v>-</v>
      </c>
      <c r="J194" s="1402"/>
      <c r="K194" s="740">
        <v>12</v>
      </c>
      <c r="L194" s="615">
        <f t="shared" ref="L194:Q194" si="175">P111</f>
        <v>500</v>
      </c>
      <c r="M194" s="615">
        <f t="shared" si="175"/>
        <v>9.9999999999999995E-7</v>
      </c>
      <c r="N194" s="615" t="str">
        <f t="shared" si="175"/>
        <v>-</v>
      </c>
      <c r="O194" s="615">
        <f t="shared" si="175"/>
        <v>0</v>
      </c>
      <c r="P194" s="615">
        <f t="shared" si="175"/>
        <v>0</v>
      </c>
      <c r="Q194" s="615" t="str">
        <f t="shared" si="175"/>
        <v>-</v>
      </c>
    </row>
    <row r="195" spans="1:17" s="501" customFormat="1" hidden="1">
      <c r="A195" s="612"/>
      <c r="B195" s="612"/>
      <c r="C195" s="612"/>
      <c r="D195" s="612"/>
      <c r="E195" s="612"/>
      <c r="F195" s="613"/>
      <c r="G195" s="612"/>
      <c r="H195" s="612"/>
      <c r="J195" s="612"/>
      <c r="K195" s="612"/>
      <c r="L195" s="618"/>
      <c r="M195" s="618"/>
      <c r="N195" s="618"/>
      <c r="O195" s="613"/>
      <c r="P195" s="618"/>
      <c r="Q195" s="618"/>
    </row>
    <row r="196" spans="1:17" ht="13.8" hidden="1">
      <c r="A196" s="1402" t="s">
        <v>317</v>
      </c>
      <c r="B196" s="912">
        <v>1</v>
      </c>
      <c r="C196" s="912">
        <f t="shared" ref="C196:H196" si="176">B11</f>
        <v>250</v>
      </c>
      <c r="D196" s="912">
        <f t="shared" si="176"/>
        <v>-0.32</v>
      </c>
      <c r="E196" s="912">
        <f t="shared" si="176"/>
        <v>9.9999999999999995E-7</v>
      </c>
      <c r="F196" s="912">
        <f t="shared" si="176"/>
        <v>0</v>
      </c>
      <c r="G196" s="912">
        <f t="shared" si="176"/>
        <v>0.16000049999999999</v>
      </c>
      <c r="H196" s="912">
        <f t="shared" si="176"/>
        <v>3</v>
      </c>
      <c r="J196" s="1402" t="s">
        <v>317</v>
      </c>
      <c r="K196" s="912">
        <v>1</v>
      </c>
      <c r="L196" s="615">
        <f t="shared" ref="L196:Q196" si="177">B19</f>
        <v>1000</v>
      </c>
      <c r="M196" s="615">
        <f t="shared" si="177"/>
        <v>9.9999999999999995E-7</v>
      </c>
      <c r="N196" s="615">
        <f t="shared" si="177"/>
        <v>9.9999999999999995E-7</v>
      </c>
      <c r="O196" s="615">
        <f t="shared" si="177"/>
        <v>0</v>
      </c>
      <c r="P196" s="615">
        <f t="shared" si="177"/>
        <v>0</v>
      </c>
      <c r="Q196" s="615">
        <f t="shared" si="177"/>
        <v>2.95</v>
      </c>
    </row>
    <row r="197" spans="1:17" ht="13.8" hidden="1">
      <c r="A197" s="1402"/>
      <c r="B197" s="912">
        <v>2</v>
      </c>
      <c r="C197" s="914">
        <f t="shared" ref="C197:H197" si="178">I11</f>
        <v>250</v>
      </c>
      <c r="D197" s="914">
        <f t="shared" si="178"/>
        <v>9.9999999999999995E-7</v>
      </c>
      <c r="E197" s="914">
        <f t="shared" si="178"/>
        <v>9.9999999999999995E-7</v>
      </c>
      <c r="F197" s="914">
        <f t="shared" si="178"/>
        <v>0</v>
      </c>
      <c r="G197" s="914">
        <f t="shared" si="178"/>
        <v>0</v>
      </c>
      <c r="H197" s="914">
        <f t="shared" si="178"/>
        <v>2.76</v>
      </c>
      <c r="J197" s="1402"/>
      <c r="K197" s="912">
        <v>2</v>
      </c>
      <c r="L197" s="615">
        <f t="shared" ref="L197:Q197" si="179">I19</f>
        <v>1000</v>
      </c>
      <c r="M197" s="615">
        <f t="shared" si="179"/>
        <v>9.9999999999999995E-7</v>
      </c>
      <c r="N197" s="615">
        <f t="shared" si="179"/>
        <v>9.9999999999999995E-7</v>
      </c>
      <c r="O197" s="615">
        <f t="shared" si="179"/>
        <v>0</v>
      </c>
      <c r="P197" s="615">
        <f t="shared" si="179"/>
        <v>0</v>
      </c>
      <c r="Q197" s="615">
        <f t="shared" si="179"/>
        <v>2.95</v>
      </c>
    </row>
    <row r="198" spans="1:17" hidden="1">
      <c r="A198" s="1402"/>
      <c r="B198" s="914">
        <v>3</v>
      </c>
      <c r="C198" s="914">
        <f t="shared" ref="C198:H198" si="180">P11</f>
        <v>250</v>
      </c>
      <c r="D198" s="914">
        <f t="shared" si="180"/>
        <v>9.9999999999999995E-7</v>
      </c>
      <c r="E198" s="914">
        <f t="shared" si="180"/>
        <v>9.9999999999999995E-7</v>
      </c>
      <c r="F198" s="914">
        <f t="shared" si="180"/>
        <v>9.9999999999999995E-7</v>
      </c>
      <c r="G198" s="914">
        <f t="shared" si="180"/>
        <v>0</v>
      </c>
      <c r="H198" s="914">
        <f t="shared" si="180"/>
        <v>3</v>
      </c>
      <c r="J198" s="1402"/>
      <c r="K198" s="914">
        <v>3</v>
      </c>
      <c r="L198" s="615">
        <f t="shared" ref="L198:Q198" si="181">P19</f>
        <v>1000</v>
      </c>
      <c r="M198" s="615">
        <f t="shared" si="181"/>
        <v>-47</v>
      </c>
      <c r="N198" s="615">
        <f t="shared" si="181"/>
        <v>3</v>
      </c>
      <c r="O198" s="615">
        <f t="shared" si="181"/>
        <v>3</v>
      </c>
      <c r="P198" s="615">
        <f t="shared" si="181"/>
        <v>25</v>
      </c>
      <c r="Q198" s="615">
        <f t="shared" si="181"/>
        <v>5.8999999999999995</v>
      </c>
    </row>
    <row r="199" spans="1:17" hidden="1">
      <c r="A199" s="1402"/>
      <c r="B199" s="914">
        <v>4</v>
      </c>
      <c r="C199" s="914">
        <f t="shared" ref="C199:H199" si="182">B42</f>
        <v>250</v>
      </c>
      <c r="D199" s="914">
        <f t="shared" si="182"/>
        <v>9.9999999999999995E-7</v>
      </c>
      <c r="E199" s="914">
        <f t="shared" si="182"/>
        <v>9.9999999999999995E-7</v>
      </c>
      <c r="F199" s="914">
        <f t="shared" si="182"/>
        <v>0</v>
      </c>
      <c r="G199" s="914">
        <f t="shared" si="182"/>
        <v>0</v>
      </c>
      <c r="H199" s="914">
        <f t="shared" si="182"/>
        <v>2.76</v>
      </c>
      <c r="J199" s="1402"/>
      <c r="K199" s="914">
        <v>4</v>
      </c>
      <c r="L199" s="615">
        <f t="shared" ref="L199:Q199" si="183">B50</f>
        <v>1000</v>
      </c>
      <c r="M199" s="615">
        <f t="shared" si="183"/>
        <v>2</v>
      </c>
      <c r="N199" s="615">
        <f t="shared" si="183"/>
        <v>2</v>
      </c>
      <c r="O199" s="615">
        <f t="shared" si="183"/>
        <v>0</v>
      </c>
      <c r="P199" s="615">
        <f t="shared" si="183"/>
        <v>0</v>
      </c>
      <c r="Q199" s="615">
        <f t="shared" si="183"/>
        <v>0</v>
      </c>
    </row>
    <row r="200" spans="1:17" hidden="1">
      <c r="A200" s="1402"/>
      <c r="B200" s="740">
        <v>5</v>
      </c>
      <c r="C200" s="740">
        <f t="shared" ref="C200:H200" si="184">I42</f>
        <v>250</v>
      </c>
      <c r="D200" s="740">
        <f t="shared" si="184"/>
        <v>9.9999999999999995E-7</v>
      </c>
      <c r="E200" s="740">
        <f t="shared" si="184"/>
        <v>9.9999999999999995E-7</v>
      </c>
      <c r="F200" s="740">
        <f t="shared" si="184"/>
        <v>0</v>
      </c>
      <c r="G200" s="740">
        <f t="shared" si="184"/>
        <v>0</v>
      </c>
      <c r="H200" s="740">
        <f t="shared" si="184"/>
        <v>2.76</v>
      </c>
      <c r="J200" s="1402"/>
      <c r="K200" s="740">
        <v>5</v>
      </c>
      <c r="L200" s="615">
        <f t="shared" ref="L200:Q200" si="185">I50</f>
        <v>850</v>
      </c>
      <c r="M200" s="615">
        <f t="shared" si="185"/>
        <v>9.9999999999999995E-7</v>
      </c>
      <c r="N200" s="615">
        <f t="shared" si="185"/>
        <v>9.9999999999999995E-7</v>
      </c>
      <c r="O200" s="615">
        <f t="shared" si="185"/>
        <v>0</v>
      </c>
      <c r="P200" s="615">
        <f t="shared" si="185"/>
        <v>0</v>
      </c>
      <c r="Q200" s="615">
        <f t="shared" si="185"/>
        <v>2.9</v>
      </c>
    </row>
    <row r="201" spans="1:17" hidden="1">
      <c r="A201" s="1402"/>
      <c r="B201" s="740">
        <v>6</v>
      </c>
      <c r="C201" s="740">
        <f t="shared" ref="C201:H201" si="186">P42</f>
        <v>250</v>
      </c>
      <c r="D201" s="740">
        <f t="shared" si="186"/>
        <v>9.9999999999999995E-7</v>
      </c>
      <c r="E201" s="740">
        <f t="shared" si="186"/>
        <v>9.9999999999999995E-7</v>
      </c>
      <c r="F201" s="740">
        <f t="shared" si="186"/>
        <v>0</v>
      </c>
      <c r="G201" s="740">
        <f t="shared" si="186"/>
        <v>0</v>
      </c>
      <c r="H201" s="740">
        <f t="shared" si="186"/>
        <v>0</v>
      </c>
      <c r="J201" s="1402"/>
      <c r="K201" s="740">
        <v>6</v>
      </c>
      <c r="L201" s="615">
        <f t="shared" ref="L201:Q201" si="187">P50</f>
        <v>1000</v>
      </c>
      <c r="M201" s="615">
        <f t="shared" si="187"/>
        <v>9.9999999999999995E-7</v>
      </c>
      <c r="N201" s="615">
        <f t="shared" si="187"/>
        <v>9.9999999999999995E-7</v>
      </c>
      <c r="O201" s="615">
        <f t="shared" si="187"/>
        <v>0</v>
      </c>
      <c r="P201" s="615">
        <f t="shared" si="187"/>
        <v>0</v>
      </c>
      <c r="Q201" s="615">
        <f t="shared" si="187"/>
        <v>2.9</v>
      </c>
    </row>
    <row r="202" spans="1:17" hidden="1">
      <c r="A202" s="1402"/>
      <c r="B202" s="740">
        <v>7</v>
      </c>
      <c r="C202" s="740">
        <f t="shared" ref="C202:H202" si="188">B73</f>
        <v>240.38</v>
      </c>
      <c r="D202" s="740">
        <f t="shared" si="188"/>
        <v>0.38</v>
      </c>
      <c r="E202" s="740">
        <f t="shared" si="188"/>
        <v>9.9999999999999995E-7</v>
      </c>
      <c r="F202" s="740">
        <f t="shared" si="188"/>
        <v>0</v>
      </c>
      <c r="G202" s="740">
        <f t="shared" si="188"/>
        <v>0.18999950000000002</v>
      </c>
      <c r="H202" s="740">
        <f t="shared" si="188"/>
        <v>2.88456</v>
      </c>
      <c r="J202" s="1402"/>
      <c r="K202" s="740">
        <v>7</v>
      </c>
      <c r="L202" s="615">
        <f t="shared" ref="L202:Q202" si="189">B81</f>
        <v>1000</v>
      </c>
      <c r="M202" s="615">
        <f t="shared" si="189"/>
        <v>9.9999999999999995E-7</v>
      </c>
      <c r="N202" s="615">
        <f t="shared" si="189"/>
        <v>9.9999999999999995E-7</v>
      </c>
      <c r="O202" s="615">
        <f t="shared" si="189"/>
        <v>0</v>
      </c>
      <c r="P202" s="615">
        <f t="shared" si="189"/>
        <v>0</v>
      </c>
      <c r="Q202" s="615">
        <f t="shared" si="189"/>
        <v>2.95</v>
      </c>
    </row>
    <row r="203" spans="1:17" hidden="1">
      <c r="A203" s="1402"/>
      <c r="B203" s="740">
        <v>8</v>
      </c>
      <c r="C203" s="740">
        <f t="shared" ref="C203:H203" si="190">I73</f>
        <v>250</v>
      </c>
      <c r="D203" s="740">
        <f t="shared" si="190"/>
        <v>9.9999999999999995E-7</v>
      </c>
      <c r="E203" s="740">
        <f t="shared" si="190"/>
        <v>-0.49</v>
      </c>
      <c r="F203" s="740">
        <f t="shared" si="190"/>
        <v>0</v>
      </c>
      <c r="G203" s="740">
        <f t="shared" si="190"/>
        <v>0.24500049999999998</v>
      </c>
      <c r="H203" s="740">
        <f t="shared" si="190"/>
        <v>3</v>
      </c>
      <c r="J203" s="1402"/>
      <c r="K203" s="740">
        <v>8</v>
      </c>
      <c r="L203" s="615">
        <f t="shared" ref="L203:Q203" si="191">I81</f>
        <v>1000</v>
      </c>
      <c r="M203" s="615">
        <f t="shared" si="191"/>
        <v>-74</v>
      </c>
      <c r="N203" s="615">
        <f t="shared" si="191"/>
        <v>9.9999999999999995E-7</v>
      </c>
      <c r="O203" s="615">
        <f t="shared" si="191"/>
        <v>0</v>
      </c>
      <c r="P203" s="615">
        <f t="shared" si="191"/>
        <v>37.000000499999999</v>
      </c>
      <c r="Q203" s="615">
        <f t="shared" si="191"/>
        <v>5.8999999999999995</v>
      </c>
    </row>
    <row r="204" spans="1:17" hidden="1">
      <c r="A204" s="1402"/>
      <c r="B204" s="740">
        <v>9</v>
      </c>
      <c r="C204" s="740">
        <f t="shared" ref="C204:H204" si="192">P73</f>
        <v>239.61</v>
      </c>
      <c r="D204" s="740">
        <f t="shared" si="192"/>
        <v>-0.39</v>
      </c>
      <c r="E204" s="740" t="str">
        <f t="shared" si="192"/>
        <v>-</v>
      </c>
      <c r="F204" s="740">
        <f t="shared" si="192"/>
        <v>0</v>
      </c>
      <c r="G204" s="740">
        <f t="shared" si="192"/>
        <v>0</v>
      </c>
      <c r="H204" s="740">
        <f t="shared" si="192"/>
        <v>2.8753200000000003</v>
      </c>
      <c r="J204" s="1402"/>
      <c r="K204" s="740">
        <v>9</v>
      </c>
      <c r="L204" s="615">
        <f t="shared" ref="L204:Q204" si="193">P81</f>
        <v>920</v>
      </c>
      <c r="M204" s="615">
        <f t="shared" si="193"/>
        <v>9.9999999999999995E-7</v>
      </c>
      <c r="N204" s="615" t="str">
        <f t="shared" si="193"/>
        <v>-</v>
      </c>
      <c r="O204" s="615">
        <f t="shared" si="193"/>
        <v>0</v>
      </c>
      <c r="P204" s="615">
        <f t="shared" si="193"/>
        <v>0</v>
      </c>
      <c r="Q204" s="615">
        <f t="shared" si="193"/>
        <v>2.99</v>
      </c>
    </row>
    <row r="205" spans="1:17" hidden="1">
      <c r="A205" s="1402"/>
      <c r="B205" s="740">
        <v>10</v>
      </c>
      <c r="C205" s="740">
        <f>B104</f>
        <v>250</v>
      </c>
      <c r="D205" s="740">
        <f t="shared" ref="D205:F205" si="194">C104</f>
        <v>-0.11</v>
      </c>
      <c r="E205" s="740" t="str">
        <f t="shared" si="194"/>
        <v>-</v>
      </c>
      <c r="F205" s="740">
        <f t="shared" si="194"/>
        <v>0</v>
      </c>
      <c r="G205" s="740">
        <f>F104</f>
        <v>0</v>
      </c>
      <c r="H205" s="740" t="str">
        <f>G104</f>
        <v>-</v>
      </c>
      <c r="J205" s="1402"/>
      <c r="K205" s="740">
        <v>10</v>
      </c>
      <c r="L205" s="615">
        <f t="shared" ref="L205:Q205" si="195">B112</f>
        <v>1000</v>
      </c>
      <c r="M205" s="615">
        <f t="shared" si="195"/>
        <v>2</v>
      </c>
      <c r="N205" s="615" t="str">
        <f t="shared" si="195"/>
        <v>-</v>
      </c>
      <c r="O205" s="615">
        <f t="shared" si="195"/>
        <v>0</v>
      </c>
      <c r="P205" s="615">
        <f t="shared" si="195"/>
        <v>0</v>
      </c>
      <c r="Q205" s="615" t="str">
        <f t="shared" si="195"/>
        <v>-</v>
      </c>
    </row>
    <row r="206" spans="1:17" hidden="1">
      <c r="A206" s="1402"/>
      <c r="B206" s="740">
        <v>11</v>
      </c>
      <c r="C206" s="740">
        <f>I104</f>
        <v>250</v>
      </c>
      <c r="D206" s="740">
        <f t="shared" ref="D206:F206" si="196">J104</f>
        <v>9.9999999999999995E-7</v>
      </c>
      <c r="E206" s="740" t="str">
        <f t="shared" si="196"/>
        <v>-</v>
      </c>
      <c r="F206" s="740">
        <f t="shared" si="196"/>
        <v>0</v>
      </c>
      <c r="G206" s="740">
        <f>M104</f>
        <v>0</v>
      </c>
      <c r="H206" s="740" t="str">
        <f>N104</f>
        <v>-</v>
      </c>
      <c r="J206" s="1402"/>
      <c r="K206" s="740">
        <v>11</v>
      </c>
      <c r="L206" s="615">
        <f t="shared" ref="L206:Q206" si="197">I112</f>
        <v>1000</v>
      </c>
      <c r="M206" s="615">
        <f t="shared" si="197"/>
        <v>9.9999999999999995E-7</v>
      </c>
      <c r="N206" s="615" t="str">
        <f t="shared" si="197"/>
        <v>-</v>
      </c>
      <c r="O206" s="615">
        <f t="shared" si="197"/>
        <v>0</v>
      </c>
      <c r="P206" s="615">
        <f t="shared" si="197"/>
        <v>0</v>
      </c>
      <c r="Q206" s="615" t="str">
        <f t="shared" si="197"/>
        <v>-</v>
      </c>
    </row>
    <row r="207" spans="1:17" hidden="1">
      <c r="A207" s="1402"/>
      <c r="B207" s="740">
        <v>12</v>
      </c>
      <c r="C207" s="740">
        <f>P104</f>
        <v>250</v>
      </c>
      <c r="D207" s="740">
        <f t="shared" ref="D207:F207" si="198">Q104</f>
        <v>9.9999999999999995E-7</v>
      </c>
      <c r="E207" s="740" t="str">
        <f t="shared" si="198"/>
        <v>-</v>
      </c>
      <c r="F207" s="740">
        <f t="shared" si="198"/>
        <v>0</v>
      </c>
      <c r="G207" s="740">
        <f>T104</f>
        <v>0</v>
      </c>
      <c r="H207" s="740" t="str">
        <f>U104</f>
        <v>-</v>
      </c>
      <c r="J207" s="1402"/>
      <c r="K207" s="740">
        <v>12</v>
      </c>
      <c r="L207" s="615">
        <f t="shared" ref="L207:Q207" si="199">P112</f>
        <v>1000</v>
      </c>
      <c r="M207" s="615">
        <f t="shared" si="199"/>
        <v>9.9999999999999995E-7</v>
      </c>
      <c r="N207" s="615" t="str">
        <f t="shared" si="199"/>
        <v>-</v>
      </c>
      <c r="O207" s="615">
        <f t="shared" si="199"/>
        <v>0</v>
      </c>
      <c r="P207" s="615">
        <f t="shared" si="199"/>
        <v>0</v>
      </c>
      <c r="Q207" s="615" t="str">
        <f t="shared" si="199"/>
        <v>-</v>
      </c>
    </row>
    <row r="208" spans="1:17" hidden="1">
      <c r="A208" s="619"/>
      <c r="B208" s="601"/>
      <c r="C208" s="601"/>
      <c r="D208" s="619"/>
      <c r="E208" s="619"/>
      <c r="F208" s="619"/>
      <c r="G208" s="619"/>
      <c r="H208" s="619"/>
      <c r="J208" s="619"/>
      <c r="K208" s="619"/>
      <c r="L208" s="619"/>
      <c r="M208" s="619"/>
      <c r="N208" s="619"/>
      <c r="O208" s="619"/>
      <c r="P208" s="619"/>
      <c r="Q208" s="494"/>
    </row>
    <row r="209" spans="1:17" ht="13.8" hidden="1">
      <c r="A209" s="1398" t="s">
        <v>516</v>
      </c>
      <c r="B209" s="1399"/>
      <c r="C209" s="1400" t="s">
        <v>301</v>
      </c>
      <c r="D209" s="1400"/>
      <c r="E209" s="1400"/>
      <c r="F209" s="1400"/>
      <c r="G209" s="1400"/>
      <c r="H209" s="1400"/>
      <c r="J209" s="1398" t="s">
        <v>516</v>
      </c>
      <c r="K209" s="1399"/>
      <c r="L209" s="1401" t="s">
        <v>301</v>
      </c>
      <c r="M209" s="1401"/>
      <c r="N209" s="1401"/>
      <c r="O209" s="1401"/>
      <c r="P209" s="1401"/>
      <c r="Q209" s="1401"/>
    </row>
    <row r="210" spans="1:17" ht="12.9" hidden="1" customHeight="1">
      <c r="A210" s="1398"/>
      <c r="B210" s="1399"/>
      <c r="C210" s="1377" t="str">
        <f>B20</f>
        <v>Main-PE</v>
      </c>
      <c r="D210" s="1377"/>
      <c r="E210" s="1377"/>
      <c r="F210" s="1377"/>
      <c r="G210" s="620" t="s">
        <v>303</v>
      </c>
      <c r="H210" s="620" t="s">
        <v>237</v>
      </c>
      <c r="J210" s="1398"/>
      <c r="K210" s="1399"/>
      <c r="L210" s="1377" t="str">
        <f>B26</f>
        <v>Resistance</v>
      </c>
      <c r="M210" s="1377"/>
      <c r="N210" s="1377"/>
      <c r="O210" s="1377"/>
      <c r="P210" s="620" t="s">
        <v>303</v>
      </c>
      <c r="Q210" s="620" t="s">
        <v>237</v>
      </c>
    </row>
    <row r="211" spans="1:17" ht="14.4" hidden="1">
      <c r="A211" s="1398"/>
      <c r="B211" s="1399"/>
      <c r="C211" s="916" t="s">
        <v>510</v>
      </c>
      <c r="D211" s="620"/>
      <c r="E211" s="620"/>
      <c r="F211" s="494"/>
      <c r="G211" s="620"/>
      <c r="H211" s="620"/>
      <c r="J211" s="1398"/>
      <c r="K211" s="1399"/>
      <c r="L211" s="916" t="s">
        <v>511</v>
      </c>
      <c r="M211" s="620"/>
      <c r="N211" s="620"/>
      <c r="O211" s="494"/>
      <c r="P211" s="620"/>
      <c r="Q211" s="620"/>
    </row>
    <row r="212" spans="1:17" ht="13.8" hidden="1">
      <c r="A212" s="1385" t="s">
        <v>312</v>
      </c>
      <c r="B212" s="740">
        <v>1</v>
      </c>
      <c r="C212" s="615">
        <f t="shared" ref="C212:H212" si="200">B22</f>
        <v>10</v>
      </c>
      <c r="D212" s="615">
        <f t="shared" si="200"/>
        <v>-1E-3</v>
      </c>
      <c r="E212" s="615">
        <f t="shared" si="200"/>
        <v>9.9999999999999995E-7</v>
      </c>
      <c r="F212" s="615">
        <f t="shared" si="200"/>
        <v>0</v>
      </c>
      <c r="G212" s="615">
        <f t="shared" si="200"/>
        <v>5.0049999999999997E-4</v>
      </c>
      <c r="H212" s="615">
        <f t="shared" si="200"/>
        <v>0</v>
      </c>
      <c r="J212" s="1385" t="s">
        <v>312</v>
      </c>
      <c r="K212" s="740">
        <v>1</v>
      </c>
      <c r="L212" s="912">
        <f t="shared" ref="L212:Q212" si="201">B28</f>
        <v>0</v>
      </c>
      <c r="M212" s="912">
        <f t="shared" si="201"/>
        <v>9.9999999999999995E-7</v>
      </c>
      <c r="N212" s="912">
        <f t="shared" si="201"/>
        <v>9.9999999999999995E-7</v>
      </c>
      <c r="O212" s="912">
        <f t="shared" si="201"/>
        <v>0</v>
      </c>
      <c r="P212" s="912">
        <f t="shared" si="201"/>
        <v>0</v>
      </c>
      <c r="Q212" s="912">
        <f t="shared" si="201"/>
        <v>0</v>
      </c>
    </row>
    <row r="213" spans="1:17" hidden="1">
      <c r="A213" s="1385"/>
      <c r="B213" s="740">
        <v>2</v>
      </c>
      <c r="C213" s="615">
        <f t="shared" ref="C213:H213" si="202">I22</f>
        <v>10</v>
      </c>
      <c r="D213" s="615">
        <f t="shared" si="202"/>
        <v>0.1</v>
      </c>
      <c r="E213" s="615">
        <f t="shared" si="202"/>
        <v>9.9999999999999995E-7</v>
      </c>
      <c r="F213" s="615">
        <f t="shared" si="202"/>
        <v>0</v>
      </c>
      <c r="G213" s="615">
        <f t="shared" si="202"/>
        <v>4.9999500000000002E-2</v>
      </c>
      <c r="H213" s="615">
        <f t="shared" si="202"/>
        <v>5.8999999999999997E-2</v>
      </c>
      <c r="J213" s="1385"/>
      <c r="K213" s="740">
        <v>2</v>
      </c>
      <c r="L213" s="615">
        <f t="shared" ref="L213:Q213" si="203">I28</f>
        <v>0.01</v>
      </c>
      <c r="M213" s="615">
        <f t="shared" si="203"/>
        <v>9.9999999999999995E-7</v>
      </c>
      <c r="N213" s="615">
        <f t="shared" si="203"/>
        <v>9.9999999999999995E-7</v>
      </c>
      <c r="O213" s="615">
        <f t="shared" si="203"/>
        <v>0</v>
      </c>
      <c r="P213" s="615">
        <f t="shared" si="203"/>
        <v>0</v>
      </c>
      <c r="Q213" s="615">
        <f t="shared" si="203"/>
        <v>1.2E-4</v>
      </c>
    </row>
    <row r="214" spans="1:17" hidden="1">
      <c r="A214" s="1385"/>
      <c r="B214" s="740">
        <v>3</v>
      </c>
      <c r="C214" s="615">
        <f t="shared" ref="C214:H214" si="204">P22</f>
        <v>5</v>
      </c>
      <c r="D214" s="615">
        <f t="shared" si="204"/>
        <v>9.9999999999999995E-7</v>
      </c>
      <c r="E214" s="615">
        <f t="shared" si="204"/>
        <v>9.9999999999999995E-7</v>
      </c>
      <c r="F214" s="615">
        <f t="shared" si="204"/>
        <v>9.9999999999999995E-7</v>
      </c>
      <c r="G214" s="615">
        <f t="shared" si="204"/>
        <v>0</v>
      </c>
      <c r="H214" s="615">
        <f t="shared" si="204"/>
        <v>8.5000000000000006E-2</v>
      </c>
      <c r="J214" s="1385"/>
      <c r="K214" s="740">
        <v>3</v>
      </c>
      <c r="L214" s="615">
        <f t="shared" ref="L214:Q214" si="205">P28</f>
        <v>0</v>
      </c>
      <c r="M214" s="615">
        <f t="shared" si="205"/>
        <v>-1E-3</v>
      </c>
      <c r="N214" s="615">
        <f t="shared" si="205"/>
        <v>9.9999999999999995E-7</v>
      </c>
      <c r="O214" s="615">
        <f t="shared" si="205"/>
        <v>9.9999999999999995E-7</v>
      </c>
      <c r="P214" s="615">
        <f t="shared" si="205"/>
        <v>5.0049999999999997E-4</v>
      </c>
      <c r="Q214" s="615">
        <f t="shared" si="205"/>
        <v>0</v>
      </c>
    </row>
    <row r="215" spans="1:17" hidden="1">
      <c r="A215" s="1385"/>
      <c r="B215" s="740">
        <v>4</v>
      </c>
      <c r="C215" s="615">
        <f t="shared" ref="C215:H215" si="206">B53</f>
        <v>10</v>
      </c>
      <c r="D215" s="615">
        <f t="shared" si="206"/>
        <v>9.9999999999999995E-7</v>
      </c>
      <c r="E215" s="615">
        <f t="shared" si="206"/>
        <v>0.1</v>
      </c>
      <c r="F215" s="615">
        <f t="shared" si="206"/>
        <v>0</v>
      </c>
      <c r="G215" s="615">
        <f t="shared" si="206"/>
        <v>4.9999500000000002E-2</v>
      </c>
      <c r="H215" s="615">
        <f t="shared" si="206"/>
        <v>0.17</v>
      </c>
      <c r="J215" s="1385"/>
      <c r="K215" s="740">
        <v>4</v>
      </c>
      <c r="L215" s="615">
        <f t="shared" ref="L215:Q215" si="207">B59</f>
        <v>0.01</v>
      </c>
      <c r="M215" s="615">
        <f t="shared" si="207"/>
        <v>9.9999999999999995E-7</v>
      </c>
      <c r="N215" s="615">
        <f t="shared" si="207"/>
        <v>9.9999999999999995E-7</v>
      </c>
      <c r="O215" s="615">
        <f t="shared" si="207"/>
        <v>0</v>
      </c>
      <c r="P215" s="615">
        <f t="shared" si="207"/>
        <v>0</v>
      </c>
      <c r="Q215" s="615">
        <f t="shared" si="207"/>
        <v>0</v>
      </c>
    </row>
    <row r="216" spans="1:17" hidden="1">
      <c r="A216" s="1385"/>
      <c r="B216" s="740">
        <v>5</v>
      </c>
      <c r="C216" s="615">
        <f t="shared" ref="C216:H216" si="208">I53</f>
        <v>10</v>
      </c>
      <c r="D216" s="615">
        <f t="shared" si="208"/>
        <v>9.9999999999999995E-7</v>
      </c>
      <c r="E216" s="615">
        <f t="shared" si="208"/>
        <v>0.1</v>
      </c>
      <c r="F216" s="615">
        <f t="shared" si="208"/>
        <v>0</v>
      </c>
      <c r="G216" s="615">
        <f t="shared" si="208"/>
        <v>4.9999500000000002E-2</v>
      </c>
      <c r="H216" s="615">
        <f t="shared" si="208"/>
        <v>0.17</v>
      </c>
      <c r="J216" s="1385"/>
      <c r="K216" s="740">
        <v>5</v>
      </c>
      <c r="L216" s="740">
        <f t="shared" ref="L216:Q216" si="209">I59</f>
        <v>0.01</v>
      </c>
      <c r="M216" s="740">
        <f t="shared" si="209"/>
        <v>9.9999999999999995E-7</v>
      </c>
      <c r="N216" s="740">
        <f t="shared" si="209"/>
        <v>9.9999999999999995E-7</v>
      </c>
      <c r="O216" s="740">
        <f t="shared" si="209"/>
        <v>0</v>
      </c>
      <c r="P216" s="740">
        <f t="shared" si="209"/>
        <v>0</v>
      </c>
      <c r="Q216" s="740">
        <f t="shared" si="209"/>
        <v>1.2E-4</v>
      </c>
    </row>
    <row r="217" spans="1:17" hidden="1">
      <c r="A217" s="1385"/>
      <c r="B217" s="740">
        <v>6</v>
      </c>
      <c r="C217" s="615">
        <f t="shared" ref="C217:H217" si="210">P53</f>
        <v>10</v>
      </c>
      <c r="D217" s="615">
        <f t="shared" si="210"/>
        <v>0.1</v>
      </c>
      <c r="E217" s="615">
        <f t="shared" si="210"/>
        <v>9.9999999999999995E-7</v>
      </c>
      <c r="F217" s="615">
        <f t="shared" si="210"/>
        <v>0</v>
      </c>
      <c r="G217" s="615">
        <f t="shared" si="210"/>
        <v>4.9999500000000002E-2</v>
      </c>
      <c r="H217" s="615">
        <f t="shared" si="210"/>
        <v>0.17</v>
      </c>
      <c r="J217" s="1385"/>
      <c r="K217" s="740">
        <v>6</v>
      </c>
      <c r="L217" s="740">
        <f t="shared" ref="L217:Q217" si="211">P59</f>
        <v>0.01</v>
      </c>
      <c r="M217" s="740">
        <f t="shared" si="211"/>
        <v>9.9999999999999995E-7</v>
      </c>
      <c r="N217" s="740">
        <f t="shared" si="211"/>
        <v>9.9999999999999995E-7</v>
      </c>
      <c r="O217" s="740">
        <f t="shared" si="211"/>
        <v>0</v>
      </c>
      <c r="P217" s="740">
        <f t="shared" si="211"/>
        <v>0</v>
      </c>
      <c r="Q217" s="740">
        <f t="shared" si="211"/>
        <v>1.2E-4</v>
      </c>
    </row>
    <row r="218" spans="1:17" hidden="1">
      <c r="A218" s="1385"/>
      <c r="B218" s="740">
        <v>7</v>
      </c>
      <c r="C218" s="615">
        <f t="shared" ref="C218:H218" si="212">B84</f>
        <v>10</v>
      </c>
      <c r="D218" s="615">
        <f t="shared" si="212"/>
        <v>9.9999999999999995E-7</v>
      </c>
      <c r="E218" s="615">
        <f t="shared" si="212"/>
        <v>9.9999999999999995E-7</v>
      </c>
      <c r="F218" s="615">
        <f t="shared" si="212"/>
        <v>0</v>
      </c>
      <c r="G218" s="615">
        <f t="shared" si="212"/>
        <v>0</v>
      </c>
      <c r="H218" s="615">
        <f t="shared" si="212"/>
        <v>0.17</v>
      </c>
      <c r="J218" s="1385"/>
      <c r="K218" s="740">
        <v>7</v>
      </c>
      <c r="L218" s="740">
        <f t="shared" ref="L218:Q218" si="213">B90</f>
        <v>0.01</v>
      </c>
      <c r="M218" s="740">
        <f t="shared" si="213"/>
        <v>9.9999999999999995E-7</v>
      </c>
      <c r="N218" s="740">
        <f t="shared" si="213"/>
        <v>9.9999999999999995E-7</v>
      </c>
      <c r="O218" s="740">
        <f t="shared" si="213"/>
        <v>0</v>
      </c>
      <c r="P218" s="740">
        <f t="shared" si="213"/>
        <v>0</v>
      </c>
      <c r="Q218" s="740">
        <f t="shared" si="213"/>
        <v>0.01</v>
      </c>
    </row>
    <row r="219" spans="1:17" hidden="1">
      <c r="A219" s="1385"/>
      <c r="B219" s="740">
        <v>8</v>
      </c>
      <c r="C219" s="615">
        <f t="shared" ref="C219:H219" si="214">I84</f>
        <v>10</v>
      </c>
      <c r="D219" s="615">
        <f t="shared" si="214"/>
        <v>9.9999999999999995E-7</v>
      </c>
      <c r="E219" s="615">
        <f t="shared" si="214"/>
        <v>9.9999999999999995E-7</v>
      </c>
      <c r="F219" s="615">
        <f t="shared" si="214"/>
        <v>0</v>
      </c>
      <c r="G219" s="615">
        <f t="shared" si="214"/>
        <v>0</v>
      </c>
      <c r="H219" s="615">
        <f t="shared" si="214"/>
        <v>0.17</v>
      </c>
      <c r="J219" s="1385"/>
      <c r="K219" s="740">
        <v>8</v>
      </c>
      <c r="L219" s="740">
        <f t="shared" ref="L219:Q219" si="215">I90</f>
        <v>0.1</v>
      </c>
      <c r="M219" s="740">
        <f t="shared" si="215"/>
        <v>-1E-3</v>
      </c>
      <c r="N219" s="740">
        <f t="shared" si="215"/>
        <v>-1E-3</v>
      </c>
      <c r="O219" s="740">
        <f t="shared" si="215"/>
        <v>0</v>
      </c>
      <c r="P219" s="740">
        <f t="shared" si="215"/>
        <v>0</v>
      </c>
      <c r="Q219" s="740">
        <f t="shared" si="215"/>
        <v>1.2000000000000001E-3</v>
      </c>
    </row>
    <row r="220" spans="1:17" hidden="1">
      <c r="A220" s="1385"/>
      <c r="B220" s="740">
        <v>9</v>
      </c>
      <c r="C220" s="615">
        <f t="shared" ref="C220:H220" si="216">P84</f>
        <v>10</v>
      </c>
      <c r="D220" s="615">
        <f t="shared" si="216"/>
        <v>9.9999999999999995E-7</v>
      </c>
      <c r="E220" s="615" t="str">
        <f t="shared" si="216"/>
        <v>-</v>
      </c>
      <c r="F220" s="615">
        <f t="shared" si="216"/>
        <v>0</v>
      </c>
      <c r="G220" s="615">
        <f t="shared" si="216"/>
        <v>0</v>
      </c>
      <c r="H220" s="615">
        <f t="shared" si="216"/>
        <v>0</v>
      </c>
      <c r="J220" s="1385"/>
      <c r="K220" s="740">
        <v>9</v>
      </c>
      <c r="L220" s="740">
        <f t="shared" ref="L220:Q220" si="217">P90</f>
        <v>1E-3</v>
      </c>
      <c r="M220" s="740">
        <f t="shared" si="217"/>
        <v>-1E-3</v>
      </c>
      <c r="N220" s="740" t="str">
        <f t="shared" si="217"/>
        <v>-</v>
      </c>
      <c r="O220" s="740">
        <f t="shared" si="217"/>
        <v>0</v>
      </c>
      <c r="P220" s="740">
        <f t="shared" si="217"/>
        <v>0</v>
      </c>
      <c r="Q220" s="740">
        <f t="shared" si="217"/>
        <v>1.2E-5</v>
      </c>
    </row>
    <row r="221" spans="1:17" hidden="1">
      <c r="A221" s="1385"/>
      <c r="B221" s="740">
        <v>10</v>
      </c>
      <c r="C221" s="615">
        <f>B115</f>
        <v>10</v>
      </c>
      <c r="D221" s="615">
        <f t="shared" ref="D221:F221" si="218">C115</f>
        <v>9.9999999999999995E-7</v>
      </c>
      <c r="E221" s="615" t="str">
        <f t="shared" si="218"/>
        <v>-</v>
      </c>
      <c r="F221" s="615">
        <f t="shared" si="218"/>
        <v>0</v>
      </c>
      <c r="G221" s="615">
        <f>F115</f>
        <v>0</v>
      </c>
      <c r="H221" s="615" t="str">
        <f>G115</f>
        <v>-</v>
      </c>
      <c r="J221" s="1385"/>
      <c r="K221" s="740">
        <v>10</v>
      </c>
      <c r="L221" s="740">
        <f t="shared" ref="L221:Q221" si="219">B121</f>
        <v>0</v>
      </c>
      <c r="M221" s="740">
        <f t="shared" si="219"/>
        <v>9.9999999999999995E-7</v>
      </c>
      <c r="N221" s="740" t="str">
        <f t="shared" si="219"/>
        <v>-</v>
      </c>
      <c r="O221" s="740">
        <f t="shared" si="219"/>
        <v>0</v>
      </c>
      <c r="P221" s="740">
        <f t="shared" si="219"/>
        <v>0</v>
      </c>
      <c r="Q221" s="740" t="str">
        <f t="shared" si="219"/>
        <v>-</v>
      </c>
    </row>
    <row r="222" spans="1:17" hidden="1">
      <c r="A222" s="1385"/>
      <c r="B222" s="740">
        <v>11</v>
      </c>
      <c r="C222" s="615">
        <f>I115</f>
        <v>10</v>
      </c>
      <c r="D222" s="615">
        <f t="shared" ref="D222:F222" si="220">J115</f>
        <v>9.9999999999999995E-7</v>
      </c>
      <c r="E222" s="615" t="str">
        <f t="shared" si="220"/>
        <v>-</v>
      </c>
      <c r="F222" s="615">
        <f t="shared" si="220"/>
        <v>0</v>
      </c>
      <c r="G222" s="615">
        <f>M115</f>
        <v>0</v>
      </c>
      <c r="H222" s="615" t="str">
        <f>N115</f>
        <v>-</v>
      </c>
      <c r="J222" s="1385"/>
      <c r="K222" s="740">
        <v>11</v>
      </c>
      <c r="L222" s="740">
        <f t="shared" ref="L222:Q222" si="221">I121</f>
        <v>0.01</v>
      </c>
      <c r="M222" s="740">
        <f t="shared" si="221"/>
        <v>9.9999999999999995E-7</v>
      </c>
      <c r="N222" s="740" t="str">
        <f t="shared" si="221"/>
        <v>-</v>
      </c>
      <c r="O222" s="740">
        <f t="shared" si="221"/>
        <v>0</v>
      </c>
      <c r="P222" s="740">
        <f t="shared" si="221"/>
        <v>0</v>
      </c>
      <c r="Q222" s="740" t="str">
        <f t="shared" si="221"/>
        <v>-</v>
      </c>
    </row>
    <row r="223" spans="1:17" hidden="1">
      <c r="A223" s="1385"/>
      <c r="B223" s="740">
        <v>12</v>
      </c>
      <c r="C223" s="615">
        <f>P115</f>
        <v>10</v>
      </c>
      <c r="D223" s="615">
        <f t="shared" ref="D223:F223" si="222">Q115</f>
        <v>9.9999999999999995E-7</v>
      </c>
      <c r="E223" s="615" t="str">
        <f t="shared" si="222"/>
        <v>-</v>
      </c>
      <c r="F223" s="615">
        <f t="shared" si="222"/>
        <v>0</v>
      </c>
      <c r="G223" s="615">
        <f>T115</f>
        <v>0</v>
      </c>
      <c r="H223" s="615" t="str">
        <f>U115</f>
        <v>-</v>
      </c>
      <c r="J223" s="1385"/>
      <c r="K223" s="740">
        <v>12</v>
      </c>
      <c r="L223" s="740">
        <f t="shared" ref="L223:Q223" si="223">P121</f>
        <v>0.01</v>
      </c>
      <c r="M223" s="740">
        <f t="shared" si="223"/>
        <v>9.9999999999999995E-7</v>
      </c>
      <c r="N223" s="740" t="str">
        <f t="shared" si="223"/>
        <v>-</v>
      </c>
      <c r="O223" s="740">
        <f t="shared" si="223"/>
        <v>0</v>
      </c>
      <c r="P223" s="740">
        <f t="shared" si="223"/>
        <v>0</v>
      </c>
      <c r="Q223" s="740" t="str">
        <f t="shared" si="223"/>
        <v>-</v>
      </c>
    </row>
    <row r="224" spans="1:17" s="501" customFormat="1" hidden="1">
      <c r="A224" s="621"/>
      <c r="B224" s="612"/>
      <c r="C224" s="618"/>
      <c r="D224" s="618"/>
      <c r="E224" s="618"/>
      <c r="F224" s="613"/>
      <c r="G224" s="618"/>
      <c r="H224" s="618"/>
      <c r="J224" s="621"/>
      <c r="K224" s="612"/>
      <c r="L224" s="612"/>
      <c r="M224" s="612"/>
      <c r="N224" s="612"/>
      <c r="O224" s="613"/>
      <c r="P224" s="612"/>
      <c r="Q224" s="612"/>
    </row>
    <row r="225" spans="1:17" hidden="1">
      <c r="A225" s="1385" t="s">
        <v>313</v>
      </c>
      <c r="B225" s="740">
        <v>1</v>
      </c>
      <c r="C225" s="615">
        <f t="shared" ref="C225:H225" si="224">B23</f>
        <v>20</v>
      </c>
      <c r="D225" s="615">
        <f t="shared" si="224"/>
        <v>9.9999999999999995E-7</v>
      </c>
      <c r="E225" s="615">
        <f t="shared" si="224"/>
        <v>9.9999999999999995E-7</v>
      </c>
      <c r="F225" s="615">
        <f t="shared" si="224"/>
        <v>0</v>
      </c>
      <c r="G225" s="615">
        <f t="shared" si="224"/>
        <v>0</v>
      </c>
      <c r="H225" s="615">
        <f t="shared" si="224"/>
        <v>0</v>
      </c>
      <c r="J225" s="1385" t="s">
        <v>313</v>
      </c>
      <c r="K225" s="740">
        <v>1</v>
      </c>
      <c r="L225" s="740">
        <f t="shared" ref="L225:Q225" si="225">B29</f>
        <v>0.1</v>
      </c>
      <c r="M225" s="740">
        <f t="shared" si="225"/>
        <v>-1E-3</v>
      </c>
      <c r="N225" s="740">
        <f t="shared" si="225"/>
        <v>2E-3</v>
      </c>
      <c r="O225" s="740">
        <f t="shared" si="225"/>
        <v>0</v>
      </c>
      <c r="P225" s="740">
        <f t="shared" si="225"/>
        <v>1.5E-3</v>
      </c>
      <c r="Q225" s="740">
        <f t="shared" si="225"/>
        <v>1.2000000000000001E-3</v>
      </c>
    </row>
    <row r="226" spans="1:17" hidden="1">
      <c r="A226" s="1385"/>
      <c r="B226" s="740">
        <v>2</v>
      </c>
      <c r="C226" s="615">
        <f t="shared" ref="C226:H226" si="226">I23</f>
        <v>20</v>
      </c>
      <c r="D226" s="615">
        <f t="shared" si="226"/>
        <v>0.2</v>
      </c>
      <c r="E226" s="615">
        <f t="shared" si="226"/>
        <v>0.1</v>
      </c>
      <c r="F226" s="615">
        <f t="shared" si="226"/>
        <v>0</v>
      </c>
      <c r="G226" s="615">
        <f t="shared" si="226"/>
        <v>0.05</v>
      </c>
      <c r="H226" s="615">
        <f t="shared" si="226"/>
        <v>0.11799999999999999</v>
      </c>
      <c r="J226" s="1385"/>
      <c r="K226" s="740">
        <v>2</v>
      </c>
      <c r="L226" s="740">
        <f t="shared" ref="L226:Q226" si="227">I29</f>
        <v>0.1</v>
      </c>
      <c r="M226" s="740">
        <f t="shared" si="227"/>
        <v>6.0000000000000001E-3</v>
      </c>
      <c r="N226" s="740">
        <f t="shared" si="227"/>
        <v>5.0000000000000001E-3</v>
      </c>
      <c r="O226" s="740">
        <f t="shared" si="227"/>
        <v>0</v>
      </c>
      <c r="P226" s="740">
        <f t="shared" si="227"/>
        <v>5.0000000000000001E-4</v>
      </c>
      <c r="Q226" s="740">
        <f t="shared" si="227"/>
        <v>1.2000000000000001E-3</v>
      </c>
    </row>
    <row r="227" spans="1:17" hidden="1">
      <c r="A227" s="1385"/>
      <c r="B227" s="740">
        <v>3</v>
      </c>
      <c r="C227" s="615">
        <f t="shared" ref="C227:H227" si="228">P23</f>
        <v>10</v>
      </c>
      <c r="D227" s="615">
        <f t="shared" si="228"/>
        <v>9.9999999999999995E-7</v>
      </c>
      <c r="E227" s="615">
        <f t="shared" si="228"/>
        <v>9.9999999999999995E-7</v>
      </c>
      <c r="F227" s="615">
        <f t="shared" si="228"/>
        <v>9.9999999999999995E-7</v>
      </c>
      <c r="G227" s="615">
        <f t="shared" si="228"/>
        <v>0</v>
      </c>
      <c r="H227" s="615">
        <f t="shared" si="228"/>
        <v>0.17</v>
      </c>
      <c r="J227" s="1385"/>
      <c r="K227" s="740">
        <v>3</v>
      </c>
      <c r="L227" s="740">
        <f t="shared" ref="L227:Q227" si="229">P29</f>
        <v>0.5</v>
      </c>
      <c r="M227" s="740">
        <f t="shared" si="229"/>
        <v>-2E-3</v>
      </c>
      <c r="N227" s="740">
        <f t="shared" si="229"/>
        <v>-1E-3</v>
      </c>
      <c r="O227" s="740">
        <f t="shared" si="229"/>
        <v>9.9999999999999995E-7</v>
      </c>
      <c r="P227" s="740">
        <f t="shared" si="229"/>
        <v>1.0005000000000001E-3</v>
      </c>
      <c r="Q227" s="740">
        <f t="shared" si="229"/>
        <v>6.0000000000000001E-3</v>
      </c>
    </row>
    <row r="228" spans="1:17" hidden="1">
      <c r="A228" s="1385"/>
      <c r="B228" s="740">
        <v>4</v>
      </c>
      <c r="C228" s="615">
        <f t="shared" ref="C228:H228" si="230">B54</f>
        <v>20</v>
      </c>
      <c r="D228" s="615">
        <f t="shared" si="230"/>
        <v>0.1</v>
      </c>
      <c r="E228" s="615">
        <f t="shared" si="230"/>
        <v>0.2</v>
      </c>
      <c r="F228" s="615">
        <f t="shared" si="230"/>
        <v>0</v>
      </c>
      <c r="G228" s="615">
        <f t="shared" si="230"/>
        <v>0.05</v>
      </c>
      <c r="H228" s="615">
        <f t="shared" si="230"/>
        <v>0.34</v>
      </c>
      <c r="J228" s="1385"/>
      <c r="K228" s="740">
        <v>4</v>
      </c>
      <c r="L228" s="740">
        <f t="shared" ref="L228:Q228" si="231">B60</f>
        <v>0.1</v>
      </c>
      <c r="M228" s="740">
        <f t="shared" si="231"/>
        <v>-2E-3</v>
      </c>
      <c r="N228" s="740">
        <f t="shared" si="231"/>
        <v>9.9999999999999995E-7</v>
      </c>
      <c r="O228" s="740">
        <f t="shared" si="231"/>
        <v>0</v>
      </c>
      <c r="P228" s="740">
        <f t="shared" si="231"/>
        <v>1.0005000000000001E-3</v>
      </c>
      <c r="Q228" s="740">
        <f t="shared" si="231"/>
        <v>1.2000000000000001E-3</v>
      </c>
    </row>
    <row r="229" spans="1:17" hidden="1">
      <c r="A229" s="1385"/>
      <c r="B229" s="740">
        <v>5</v>
      </c>
      <c r="C229" s="615">
        <f t="shared" ref="C229:H229" si="232">I54</f>
        <v>20</v>
      </c>
      <c r="D229" s="615">
        <f t="shared" si="232"/>
        <v>0.1</v>
      </c>
      <c r="E229" s="615">
        <f t="shared" si="232"/>
        <v>0.1</v>
      </c>
      <c r="F229" s="615">
        <f t="shared" si="232"/>
        <v>0</v>
      </c>
      <c r="G229" s="615">
        <f t="shared" si="232"/>
        <v>0</v>
      </c>
      <c r="H229" s="615">
        <f t="shared" si="232"/>
        <v>0.34</v>
      </c>
      <c r="J229" s="1385"/>
      <c r="K229" s="740">
        <v>5</v>
      </c>
      <c r="L229" s="740">
        <f t="shared" ref="L229:Q229" si="233">I60</f>
        <v>0.1</v>
      </c>
      <c r="M229" s="740">
        <f t="shared" si="233"/>
        <v>5.0000000000000001E-3</v>
      </c>
      <c r="N229" s="740">
        <f t="shared" si="233"/>
        <v>2E-3</v>
      </c>
      <c r="O229" s="740">
        <f t="shared" si="233"/>
        <v>0</v>
      </c>
      <c r="P229" s="740">
        <f t="shared" si="233"/>
        <v>1.5E-3</v>
      </c>
      <c r="Q229" s="740">
        <f t="shared" si="233"/>
        <v>1.2000000000000001E-3</v>
      </c>
    </row>
    <row r="230" spans="1:17" hidden="1">
      <c r="A230" s="1385"/>
      <c r="B230" s="740">
        <v>6</v>
      </c>
      <c r="C230" s="615">
        <f t="shared" ref="C230:H230" si="234">P54</f>
        <v>20</v>
      </c>
      <c r="D230" s="615">
        <f t="shared" si="234"/>
        <v>0.1</v>
      </c>
      <c r="E230" s="615">
        <f t="shared" si="234"/>
        <v>9.9999999999999995E-7</v>
      </c>
      <c r="F230" s="615">
        <f t="shared" si="234"/>
        <v>0</v>
      </c>
      <c r="G230" s="615">
        <f t="shared" si="234"/>
        <v>4.9999500000000002E-2</v>
      </c>
      <c r="H230" s="615">
        <f t="shared" si="234"/>
        <v>0.34</v>
      </c>
      <c r="J230" s="1385"/>
      <c r="K230" s="740">
        <v>6</v>
      </c>
      <c r="L230" s="740">
        <f t="shared" ref="L230:Q230" si="235">P60</f>
        <v>0.1</v>
      </c>
      <c r="M230" s="740">
        <f t="shared" si="235"/>
        <v>-2E-3</v>
      </c>
      <c r="N230" s="740">
        <f t="shared" si="235"/>
        <v>6.0000000000000001E-3</v>
      </c>
      <c r="O230" s="740">
        <f t="shared" si="235"/>
        <v>0</v>
      </c>
      <c r="P230" s="740">
        <f t="shared" si="235"/>
        <v>4.0000000000000001E-3</v>
      </c>
      <c r="Q230" s="740">
        <f t="shared" si="235"/>
        <v>1.2000000000000001E-3</v>
      </c>
    </row>
    <row r="231" spans="1:17" hidden="1">
      <c r="A231" s="1385"/>
      <c r="B231" s="740">
        <v>7</v>
      </c>
      <c r="C231" s="615">
        <f t="shared" ref="C231:H231" si="236">B85</f>
        <v>20</v>
      </c>
      <c r="D231" s="615">
        <f t="shared" si="236"/>
        <v>9.9999999999999995E-7</v>
      </c>
      <c r="E231" s="615">
        <f t="shared" si="236"/>
        <v>0.1</v>
      </c>
      <c r="F231" s="615">
        <f t="shared" si="236"/>
        <v>0</v>
      </c>
      <c r="G231" s="615">
        <f t="shared" si="236"/>
        <v>4.9999500000000002E-2</v>
      </c>
      <c r="H231" s="615">
        <f t="shared" si="236"/>
        <v>0.34</v>
      </c>
      <c r="J231" s="1385"/>
      <c r="K231" s="740">
        <v>7</v>
      </c>
      <c r="L231" s="740">
        <f t="shared" ref="L231:Q231" si="237">B91</f>
        <v>0.5</v>
      </c>
      <c r="M231" s="740">
        <f t="shared" si="237"/>
        <v>9.9999999999999995E-7</v>
      </c>
      <c r="N231" s="740">
        <f t="shared" si="237"/>
        <v>1E-3</v>
      </c>
      <c r="O231" s="740">
        <f t="shared" si="237"/>
        <v>0</v>
      </c>
      <c r="P231" s="740">
        <f t="shared" si="237"/>
        <v>4.9950000000000005E-4</v>
      </c>
      <c r="Q231" s="740">
        <f t="shared" si="237"/>
        <v>6.0000000000000001E-3</v>
      </c>
    </row>
    <row r="232" spans="1:17" hidden="1">
      <c r="A232" s="1385"/>
      <c r="B232" s="740">
        <v>8</v>
      </c>
      <c r="C232" s="615">
        <f t="shared" ref="C232:H232" si="238">I85</f>
        <v>20</v>
      </c>
      <c r="D232" s="615">
        <f t="shared" si="238"/>
        <v>9.9999999999999995E-7</v>
      </c>
      <c r="E232" s="615">
        <f t="shared" si="238"/>
        <v>9.9999999999999995E-7</v>
      </c>
      <c r="F232" s="615">
        <f t="shared" si="238"/>
        <v>0</v>
      </c>
      <c r="G232" s="615">
        <f t="shared" si="238"/>
        <v>0</v>
      </c>
      <c r="H232" s="615">
        <f t="shared" si="238"/>
        <v>0.34</v>
      </c>
      <c r="J232" s="1385"/>
      <c r="K232" s="740">
        <v>8</v>
      </c>
      <c r="L232" s="740">
        <f t="shared" ref="L232:Q232" si="239">I91</f>
        <v>0.5</v>
      </c>
      <c r="M232" s="740">
        <f t="shared" si="239"/>
        <v>4.0000000000000001E-3</v>
      </c>
      <c r="N232" s="740">
        <f t="shared" si="239"/>
        <v>-3.0000000000000001E-3</v>
      </c>
      <c r="O232" s="740">
        <f t="shared" si="239"/>
        <v>0</v>
      </c>
      <c r="P232" s="740">
        <f t="shared" si="239"/>
        <v>3.5000000000000001E-3</v>
      </c>
      <c r="Q232" s="740">
        <f t="shared" si="239"/>
        <v>6.0000000000000001E-3</v>
      </c>
    </row>
    <row r="233" spans="1:17" hidden="1">
      <c r="A233" s="1385"/>
      <c r="B233" s="740">
        <v>9</v>
      </c>
      <c r="C233" s="615">
        <f t="shared" ref="C233:H233" si="240">P85</f>
        <v>20</v>
      </c>
      <c r="D233" s="615">
        <f t="shared" si="240"/>
        <v>9.9999999999999995E-7</v>
      </c>
      <c r="E233" s="615" t="str">
        <f t="shared" si="240"/>
        <v>-</v>
      </c>
      <c r="F233" s="615">
        <f t="shared" si="240"/>
        <v>0</v>
      </c>
      <c r="G233" s="615">
        <f t="shared" si="240"/>
        <v>0</v>
      </c>
      <c r="H233" s="615">
        <f t="shared" si="240"/>
        <v>0</v>
      </c>
      <c r="J233" s="1385"/>
      <c r="K233" s="740">
        <v>9</v>
      </c>
      <c r="L233" s="740">
        <f t="shared" ref="L233:Q233" si="241">P91</f>
        <v>0.10199999999999999</v>
      </c>
      <c r="M233" s="740">
        <f t="shared" si="241"/>
        <v>-2E-3</v>
      </c>
      <c r="N233" s="740" t="str">
        <f t="shared" si="241"/>
        <v>-</v>
      </c>
      <c r="O233" s="740">
        <f t="shared" si="241"/>
        <v>0</v>
      </c>
      <c r="P233" s="740">
        <f t="shared" si="241"/>
        <v>0</v>
      </c>
      <c r="Q233" s="740">
        <f t="shared" si="241"/>
        <v>1.224E-3</v>
      </c>
    </row>
    <row r="234" spans="1:17" hidden="1">
      <c r="A234" s="1385"/>
      <c r="B234" s="740">
        <v>10</v>
      </c>
      <c r="C234" s="615">
        <f>B116</f>
        <v>20</v>
      </c>
      <c r="D234" s="615">
        <f t="shared" ref="D234:F234" si="242">C116</f>
        <v>0.1</v>
      </c>
      <c r="E234" s="615" t="str">
        <f t="shared" si="242"/>
        <v>-</v>
      </c>
      <c r="F234" s="615">
        <f t="shared" si="242"/>
        <v>0</v>
      </c>
      <c r="G234" s="615">
        <f>F116</f>
        <v>0</v>
      </c>
      <c r="H234" s="615" t="str">
        <f>G116</f>
        <v>-</v>
      </c>
      <c r="J234" s="1385"/>
      <c r="K234" s="740">
        <v>10</v>
      </c>
      <c r="L234" s="740">
        <f t="shared" ref="L234:Q234" si="243">B122</f>
        <v>0.1</v>
      </c>
      <c r="M234" s="740">
        <f t="shared" si="243"/>
        <v>-2E-3</v>
      </c>
      <c r="N234" s="740" t="str">
        <f t="shared" si="243"/>
        <v>-</v>
      </c>
      <c r="O234" s="740">
        <f t="shared" si="243"/>
        <v>0</v>
      </c>
      <c r="P234" s="740">
        <f t="shared" si="243"/>
        <v>0</v>
      </c>
      <c r="Q234" s="740" t="str">
        <f t="shared" si="243"/>
        <v>-</v>
      </c>
    </row>
    <row r="235" spans="1:17" hidden="1">
      <c r="A235" s="1385"/>
      <c r="B235" s="740">
        <v>11</v>
      </c>
      <c r="C235" s="615">
        <f>I116</f>
        <v>20</v>
      </c>
      <c r="D235" s="615">
        <f t="shared" ref="D235:F235" si="244">J116</f>
        <v>9.9999999999999995E-7</v>
      </c>
      <c r="E235" s="615" t="str">
        <f t="shared" si="244"/>
        <v>-</v>
      </c>
      <c r="F235" s="615">
        <f t="shared" si="244"/>
        <v>0</v>
      </c>
      <c r="G235" s="615">
        <f>M116</f>
        <v>0</v>
      </c>
      <c r="H235" s="615" t="str">
        <f>N116</f>
        <v>-</v>
      </c>
      <c r="J235" s="1385"/>
      <c r="K235" s="740">
        <v>11</v>
      </c>
      <c r="L235" s="740">
        <f t="shared" ref="L235:Q235" si="245">I122</f>
        <v>0.1</v>
      </c>
      <c r="M235" s="740">
        <f t="shared" si="245"/>
        <v>9.9999999999999995E-7</v>
      </c>
      <c r="N235" s="740" t="str">
        <f t="shared" si="245"/>
        <v>-</v>
      </c>
      <c r="O235" s="740">
        <f t="shared" si="245"/>
        <v>0</v>
      </c>
      <c r="P235" s="740">
        <f t="shared" si="245"/>
        <v>0</v>
      </c>
      <c r="Q235" s="740" t="str">
        <f t="shared" si="245"/>
        <v>-</v>
      </c>
    </row>
    <row r="236" spans="1:17" hidden="1">
      <c r="A236" s="1385"/>
      <c r="B236" s="740">
        <v>12</v>
      </c>
      <c r="C236" s="615">
        <f>P116</f>
        <v>20</v>
      </c>
      <c r="D236" s="615">
        <f t="shared" ref="D236:F236" si="246">Q116</f>
        <v>9.9999999999999995E-7</v>
      </c>
      <c r="E236" s="615" t="str">
        <f t="shared" si="246"/>
        <v>-</v>
      </c>
      <c r="F236" s="615">
        <f t="shared" si="246"/>
        <v>0</v>
      </c>
      <c r="G236" s="615">
        <f>T116</f>
        <v>0</v>
      </c>
      <c r="H236" s="615" t="str">
        <f>U116</f>
        <v>-</v>
      </c>
      <c r="J236" s="1385"/>
      <c r="K236" s="740">
        <v>12</v>
      </c>
      <c r="L236" s="740">
        <f t="shared" ref="L236:Q236" si="247">P122</f>
        <v>0.1</v>
      </c>
      <c r="M236" s="740">
        <f t="shared" si="247"/>
        <v>9.9999999999999995E-7</v>
      </c>
      <c r="N236" s="740" t="str">
        <f t="shared" si="247"/>
        <v>-</v>
      </c>
      <c r="O236" s="740">
        <f t="shared" si="247"/>
        <v>0</v>
      </c>
      <c r="P236" s="740">
        <f t="shared" si="247"/>
        <v>0</v>
      </c>
      <c r="Q236" s="740" t="str">
        <f t="shared" si="247"/>
        <v>-</v>
      </c>
    </row>
    <row r="237" spans="1:17" s="501" customFormat="1" hidden="1">
      <c r="A237" s="621"/>
      <c r="B237" s="612"/>
      <c r="C237" s="618"/>
      <c r="D237" s="618"/>
      <c r="E237" s="618"/>
      <c r="F237" s="613"/>
      <c r="G237" s="618"/>
      <c r="H237" s="618"/>
      <c r="J237" s="621"/>
      <c r="K237" s="612"/>
      <c r="L237" s="612"/>
      <c r="M237" s="612"/>
      <c r="N237" s="612"/>
      <c r="O237" s="613"/>
      <c r="P237" s="612"/>
      <c r="Q237" s="612"/>
    </row>
    <row r="238" spans="1:17" hidden="1">
      <c r="A238" s="1385" t="s">
        <v>314</v>
      </c>
      <c r="B238" s="740">
        <v>1</v>
      </c>
      <c r="C238" s="615">
        <f t="shared" ref="C238:H238" si="248">B24</f>
        <v>50</v>
      </c>
      <c r="D238" s="615">
        <f t="shared" si="248"/>
        <v>9.9999999999999995E-7</v>
      </c>
      <c r="E238" s="615">
        <f t="shared" si="248"/>
        <v>9.9999999999999995E-7</v>
      </c>
      <c r="F238" s="615">
        <f t="shared" si="248"/>
        <v>0</v>
      </c>
      <c r="G238" s="615">
        <f t="shared" si="248"/>
        <v>0</v>
      </c>
      <c r="H238" s="615">
        <f t="shared" si="248"/>
        <v>0</v>
      </c>
      <c r="J238" s="1385" t="s">
        <v>314</v>
      </c>
      <c r="K238" s="740">
        <v>1</v>
      </c>
      <c r="L238" s="740">
        <f t="shared" ref="L238:Q238" si="249">B30</f>
        <v>1</v>
      </c>
      <c r="M238" s="740">
        <f t="shared" si="249"/>
        <v>4.0000000000000001E-3</v>
      </c>
      <c r="N238" s="740">
        <f t="shared" si="249"/>
        <v>1.2E-2</v>
      </c>
      <c r="O238" s="740">
        <f t="shared" si="249"/>
        <v>0</v>
      </c>
      <c r="P238" s="740">
        <f t="shared" si="249"/>
        <v>4.0000000000000001E-3</v>
      </c>
      <c r="Q238" s="740">
        <f t="shared" si="249"/>
        <v>1.2E-2</v>
      </c>
    </row>
    <row r="239" spans="1:17" hidden="1">
      <c r="A239" s="1385"/>
      <c r="B239" s="740">
        <v>2</v>
      </c>
      <c r="C239" s="615">
        <f t="shared" ref="C239:H239" si="250">I24</f>
        <v>50</v>
      </c>
      <c r="D239" s="615">
        <f t="shared" si="250"/>
        <v>0.3</v>
      </c>
      <c r="E239" s="615">
        <f t="shared" si="250"/>
        <v>0.1</v>
      </c>
      <c r="F239" s="615">
        <f t="shared" si="250"/>
        <v>0</v>
      </c>
      <c r="G239" s="615">
        <f t="shared" si="250"/>
        <v>9.9999999999999992E-2</v>
      </c>
      <c r="H239" s="615">
        <f t="shared" si="250"/>
        <v>0.29499999999999998</v>
      </c>
      <c r="J239" s="1385"/>
      <c r="K239" s="740">
        <v>2</v>
      </c>
      <c r="L239" s="740">
        <f t="shared" ref="L239:Q239" si="251">I30</f>
        <v>1</v>
      </c>
      <c r="M239" s="740">
        <f t="shared" si="251"/>
        <v>4.4999999999999998E-2</v>
      </c>
      <c r="N239" s="740">
        <f t="shared" si="251"/>
        <v>5.5E-2</v>
      </c>
      <c r="O239" s="740">
        <f t="shared" si="251"/>
        <v>0</v>
      </c>
      <c r="P239" s="740">
        <f t="shared" si="251"/>
        <v>5.000000000000001E-3</v>
      </c>
      <c r="Q239" s="740">
        <f t="shared" si="251"/>
        <v>1.2E-2</v>
      </c>
    </row>
    <row r="240" spans="1:17" hidden="1">
      <c r="A240" s="1385"/>
      <c r="B240" s="740">
        <v>3</v>
      </c>
      <c r="C240" s="615">
        <f t="shared" ref="C240:H240" si="252">P24</f>
        <v>20</v>
      </c>
      <c r="D240" s="615">
        <f t="shared" si="252"/>
        <v>9.9999999999999995E-7</v>
      </c>
      <c r="E240" s="615">
        <f t="shared" si="252"/>
        <v>0.4</v>
      </c>
      <c r="F240" s="615">
        <f t="shared" si="252"/>
        <v>0.3</v>
      </c>
      <c r="G240" s="615">
        <f t="shared" si="252"/>
        <v>0.19999950000000002</v>
      </c>
      <c r="H240" s="615">
        <f t="shared" si="252"/>
        <v>0.34</v>
      </c>
      <c r="J240" s="1385"/>
      <c r="K240" s="740">
        <v>3</v>
      </c>
      <c r="L240" s="740">
        <f t="shared" ref="L240:Q240" si="253">P30</f>
        <v>1</v>
      </c>
      <c r="M240" s="740">
        <f t="shared" si="253"/>
        <v>-1.2E-2</v>
      </c>
      <c r="N240" s="740">
        <f t="shared" si="253"/>
        <v>5.0000000000000001E-3</v>
      </c>
      <c r="O240" s="740">
        <f t="shared" si="253"/>
        <v>9.9999999999999995E-7</v>
      </c>
      <c r="P240" s="740">
        <f t="shared" si="253"/>
        <v>8.5000000000000006E-3</v>
      </c>
      <c r="Q240" s="740">
        <f t="shared" si="253"/>
        <v>1.2E-2</v>
      </c>
    </row>
    <row r="241" spans="1:17" hidden="1">
      <c r="A241" s="1385"/>
      <c r="B241" s="740">
        <v>4</v>
      </c>
      <c r="C241" s="615">
        <f t="shared" ref="C241:H241" si="254">B55</f>
        <v>50</v>
      </c>
      <c r="D241" s="615">
        <f t="shared" si="254"/>
        <v>0.4</v>
      </c>
      <c r="E241" s="615">
        <f t="shared" si="254"/>
        <v>0.5</v>
      </c>
      <c r="F241" s="615">
        <f t="shared" si="254"/>
        <v>0</v>
      </c>
      <c r="G241" s="615">
        <f t="shared" si="254"/>
        <v>4.9999999999999989E-2</v>
      </c>
      <c r="H241" s="615">
        <f t="shared" si="254"/>
        <v>0.85000000000000009</v>
      </c>
      <c r="J241" s="1385"/>
      <c r="K241" s="740">
        <v>4</v>
      </c>
      <c r="L241" s="740">
        <f t="shared" ref="L241:Q241" si="255">B61</f>
        <v>1</v>
      </c>
      <c r="M241" s="740">
        <f t="shared" si="255"/>
        <v>-8.0000000000000002E-3</v>
      </c>
      <c r="N241" s="740">
        <f t="shared" si="255"/>
        <v>-1E-3</v>
      </c>
      <c r="O241" s="740">
        <f t="shared" si="255"/>
        <v>0</v>
      </c>
      <c r="P241" s="740">
        <f t="shared" si="255"/>
        <v>3.5000000000000001E-3</v>
      </c>
      <c r="Q241" s="740">
        <f t="shared" si="255"/>
        <v>1.2E-2</v>
      </c>
    </row>
    <row r="242" spans="1:17" hidden="1">
      <c r="A242" s="1385"/>
      <c r="B242" s="740">
        <v>5</v>
      </c>
      <c r="C242" s="615">
        <f t="shared" ref="C242:H242" si="256">I55</f>
        <v>50</v>
      </c>
      <c r="D242" s="615">
        <f t="shared" si="256"/>
        <v>0.6</v>
      </c>
      <c r="E242" s="615">
        <f t="shared" si="256"/>
        <v>0.4</v>
      </c>
      <c r="F242" s="615">
        <f t="shared" si="256"/>
        <v>0</v>
      </c>
      <c r="G242" s="615">
        <f t="shared" si="256"/>
        <v>9.9999999999999978E-2</v>
      </c>
      <c r="H242" s="615">
        <f t="shared" si="256"/>
        <v>0.85000000000000009</v>
      </c>
      <c r="J242" s="1385"/>
      <c r="K242" s="740">
        <v>5</v>
      </c>
      <c r="L242" s="740">
        <f t="shared" ref="L242:Q242" si="257">I61</f>
        <v>1</v>
      </c>
      <c r="M242" s="740">
        <f t="shared" si="257"/>
        <v>1.7999999999999999E-2</v>
      </c>
      <c r="N242" s="740">
        <f t="shared" si="257"/>
        <v>1.2E-2</v>
      </c>
      <c r="O242" s="740">
        <f t="shared" si="257"/>
        <v>0</v>
      </c>
      <c r="P242" s="740">
        <f t="shared" si="257"/>
        <v>2.9999999999999992E-3</v>
      </c>
      <c r="Q242" s="740">
        <f t="shared" si="257"/>
        <v>1.2E-2</v>
      </c>
    </row>
    <row r="243" spans="1:17" hidden="1">
      <c r="A243" s="1385"/>
      <c r="B243" s="740">
        <v>6</v>
      </c>
      <c r="C243" s="615">
        <f t="shared" ref="C243:H243" si="258">P55</f>
        <v>50</v>
      </c>
      <c r="D243" s="615">
        <f t="shared" si="258"/>
        <v>0.3</v>
      </c>
      <c r="E243" s="615">
        <f t="shared" si="258"/>
        <v>0.2</v>
      </c>
      <c r="F243" s="615">
        <f t="shared" si="258"/>
        <v>0</v>
      </c>
      <c r="G243" s="615">
        <f t="shared" si="258"/>
        <v>4.9999999999999989E-2</v>
      </c>
      <c r="H243" s="615">
        <f t="shared" si="258"/>
        <v>0.85000000000000009</v>
      </c>
      <c r="J243" s="1385"/>
      <c r="K243" s="740">
        <v>6</v>
      </c>
      <c r="L243" s="740">
        <f t="shared" ref="L243:Q243" si="259">P61</f>
        <v>1</v>
      </c>
      <c r="M243" s="740">
        <f t="shared" si="259"/>
        <v>-1E-3</v>
      </c>
      <c r="N243" s="740">
        <f t="shared" si="259"/>
        <v>8.0000000000000002E-3</v>
      </c>
      <c r="O243" s="740">
        <f t="shared" si="259"/>
        <v>0</v>
      </c>
      <c r="P243" s="740">
        <f t="shared" si="259"/>
        <v>4.5000000000000005E-3</v>
      </c>
      <c r="Q243" s="740">
        <f t="shared" si="259"/>
        <v>1.2E-2</v>
      </c>
    </row>
    <row r="244" spans="1:17" hidden="1">
      <c r="A244" s="1385"/>
      <c r="B244" s="740">
        <v>7</v>
      </c>
      <c r="C244" s="615">
        <f t="shared" ref="C244:H244" si="260">B86</f>
        <v>50</v>
      </c>
      <c r="D244" s="615">
        <f t="shared" si="260"/>
        <v>9.9999999999999995E-7</v>
      </c>
      <c r="E244" s="615">
        <f t="shared" si="260"/>
        <v>0.4</v>
      </c>
      <c r="F244" s="615">
        <f t="shared" si="260"/>
        <v>0</v>
      </c>
      <c r="G244" s="615">
        <f t="shared" si="260"/>
        <v>0.19999950000000002</v>
      </c>
      <c r="H244" s="615">
        <f t="shared" si="260"/>
        <v>0.85000000000000009</v>
      </c>
      <c r="J244" s="1385"/>
      <c r="K244" s="740">
        <v>7</v>
      </c>
      <c r="L244" s="740">
        <f t="shared" ref="L244:Q244" si="261">B92</f>
        <v>1</v>
      </c>
      <c r="M244" s="740">
        <f t="shared" si="261"/>
        <v>-2E-3</v>
      </c>
      <c r="N244" s="740">
        <f t="shared" si="261"/>
        <v>1E-3</v>
      </c>
      <c r="O244" s="740">
        <f t="shared" si="261"/>
        <v>0</v>
      </c>
      <c r="P244" s="740">
        <f t="shared" si="261"/>
        <v>1.5E-3</v>
      </c>
      <c r="Q244" s="740">
        <f t="shared" si="261"/>
        <v>1.2E-2</v>
      </c>
    </row>
    <row r="245" spans="1:17" hidden="1">
      <c r="A245" s="1385"/>
      <c r="B245" s="740">
        <v>8</v>
      </c>
      <c r="C245" s="615">
        <f t="shared" ref="C245:H245" si="262">I86</f>
        <v>50</v>
      </c>
      <c r="D245" s="615">
        <f t="shared" si="262"/>
        <v>0.2</v>
      </c>
      <c r="E245" s="615">
        <f t="shared" si="262"/>
        <v>9.9999999999999995E-7</v>
      </c>
      <c r="F245" s="615">
        <f t="shared" si="262"/>
        <v>0</v>
      </c>
      <c r="G245" s="615">
        <f t="shared" si="262"/>
        <v>9.9999500000000005E-2</v>
      </c>
      <c r="H245" s="615">
        <f t="shared" si="262"/>
        <v>0.85000000000000009</v>
      </c>
      <c r="J245" s="1385"/>
      <c r="K245" s="740">
        <v>8</v>
      </c>
      <c r="L245" s="740">
        <f t="shared" ref="L245:Q245" si="263">I92</f>
        <v>1</v>
      </c>
      <c r="M245" s="740">
        <f t="shared" si="263"/>
        <v>5.0000000000000001E-3</v>
      </c>
      <c r="N245" s="740">
        <f t="shared" si="263"/>
        <v>1E-3</v>
      </c>
      <c r="O245" s="740">
        <f t="shared" si="263"/>
        <v>0</v>
      </c>
      <c r="P245" s="740">
        <f t="shared" si="263"/>
        <v>2E-3</v>
      </c>
      <c r="Q245" s="740">
        <f t="shared" si="263"/>
        <v>1.2E-2</v>
      </c>
    </row>
    <row r="246" spans="1:17" hidden="1">
      <c r="A246" s="1385"/>
      <c r="B246" s="740">
        <v>9</v>
      </c>
      <c r="C246" s="615">
        <f t="shared" ref="C246:H246" si="264">P86</f>
        <v>50</v>
      </c>
      <c r="D246" s="615">
        <f t="shared" si="264"/>
        <v>9.9999999999999995E-7</v>
      </c>
      <c r="E246" s="615" t="str">
        <f t="shared" si="264"/>
        <v>-</v>
      </c>
      <c r="F246" s="615">
        <f t="shared" si="264"/>
        <v>0</v>
      </c>
      <c r="G246" s="615">
        <f t="shared" si="264"/>
        <v>0</v>
      </c>
      <c r="H246" s="615">
        <f t="shared" si="264"/>
        <v>0</v>
      </c>
      <c r="J246" s="1385"/>
      <c r="K246" s="740">
        <v>9</v>
      </c>
      <c r="L246" s="740">
        <f t="shared" ref="L246:Q246" si="265">P92</f>
        <v>0.5</v>
      </c>
      <c r="M246" s="740">
        <f t="shared" si="265"/>
        <v>9.9999999999999995E-7</v>
      </c>
      <c r="N246" s="740" t="str">
        <f t="shared" si="265"/>
        <v>-</v>
      </c>
      <c r="O246" s="740">
        <f t="shared" si="265"/>
        <v>0</v>
      </c>
      <c r="P246" s="740">
        <f t="shared" si="265"/>
        <v>0</v>
      </c>
      <c r="Q246" s="740">
        <f t="shared" si="265"/>
        <v>6.0000000000000001E-3</v>
      </c>
    </row>
    <row r="247" spans="1:17" hidden="1">
      <c r="A247" s="1385"/>
      <c r="B247" s="740">
        <v>10</v>
      </c>
      <c r="C247" s="615">
        <f>B117</f>
        <v>50</v>
      </c>
      <c r="D247" s="615">
        <f t="shared" ref="D247:F247" si="266">C117</f>
        <v>0.4</v>
      </c>
      <c r="E247" s="615" t="str">
        <f t="shared" si="266"/>
        <v>-</v>
      </c>
      <c r="F247" s="615">
        <f t="shared" si="266"/>
        <v>0</v>
      </c>
      <c r="G247" s="615">
        <f>F117</f>
        <v>0</v>
      </c>
      <c r="H247" s="615" t="str">
        <f>G117</f>
        <v>-</v>
      </c>
      <c r="J247" s="1385"/>
      <c r="K247" s="740">
        <v>10</v>
      </c>
      <c r="L247" s="740">
        <f t="shared" ref="L247:Q247" si="267">B123</f>
        <v>1</v>
      </c>
      <c r="M247" s="740">
        <f t="shared" si="267"/>
        <v>-8.0000000000000002E-3</v>
      </c>
      <c r="N247" s="740" t="str">
        <f t="shared" si="267"/>
        <v>-</v>
      </c>
      <c r="O247" s="740">
        <f t="shared" si="267"/>
        <v>0</v>
      </c>
      <c r="P247" s="740">
        <f t="shared" si="267"/>
        <v>0</v>
      </c>
      <c r="Q247" s="740" t="str">
        <f t="shared" si="267"/>
        <v>-</v>
      </c>
    </row>
    <row r="248" spans="1:17" hidden="1">
      <c r="A248" s="1385"/>
      <c r="B248" s="740">
        <v>11</v>
      </c>
      <c r="C248" s="615">
        <f>I117</f>
        <v>50</v>
      </c>
      <c r="D248" s="615">
        <f t="shared" ref="D248:F248" si="268">J117</f>
        <v>9.9999999999999995E-7</v>
      </c>
      <c r="E248" s="615" t="str">
        <f t="shared" si="268"/>
        <v>-</v>
      </c>
      <c r="F248" s="615">
        <f t="shared" si="268"/>
        <v>0</v>
      </c>
      <c r="G248" s="615">
        <f>M117</f>
        <v>0</v>
      </c>
      <c r="H248" s="615" t="str">
        <f>N117</f>
        <v>-</v>
      </c>
      <c r="J248" s="1385"/>
      <c r="K248" s="740">
        <v>11</v>
      </c>
      <c r="L248" s="740">
        <f t="shared" ref="L248:Q248" si="269">I123</f>
        <v>1</v>
      </c>
      <c r="M248" s="740">
        <f t="shared" si="269"/>
        <v>9.9999999999999995E-7</v>
      </c>
      <c r="N248" s="740" t="str">
        <f t="shared" si="269"/>
        <v>-</v>
      </c>
      <c r="O248" s="740">
        <f t="shared" si="269"/>
        <v>0</v>
      </c>
      <c r="P248" s="740">
        <f t="shared" si="269"/>
        <v>0</v>
      </c>
      <c r="Q248" s="740" t="str">
        <f t="shared" si="269"/>
        <v>-</v>
      </c>
    </row>
    <row r="249" spans="1:17" hidden="1">
      <c r="A249" s="1385"/>
      <c r="B249" s="740">
        <v>12</v>
      </c>
      <c r="C249" s="615">
        <f>P117</f>
        <v>50</v>
      </c>
      <c r="D249" s="615">
        <f t="shared" ref="D249:F249" si="270">Q117</f>
        <v>9.9999999999999995E-7</v>
      </c>
      <c r="E249" s="615" t="str">
        <f t="shared" si="270"/>
        <v>-</v>
      </c>
      <c r="F249" s="615">
        <f t="shared" si="270"/>
        <v>0</v>
      </c>
      <c r="G249" s="615">
        <f>T117</f>
        <v>0</v>
      </c>
      <c r="H249" s="615" t="str">
        <f>U117</f>
        <v>-</v>
      </c>
      <c r="J249" s="1385"/>
      <c r="K249" s="740">
        <v>12</v>
      </c>
      <c r="L249" s="740">
        <f t="shared" ref="L249:Q249" si="271">P123</f>
        <v>1</v>
      </c>
      <c r="M249" s="740">
        <f t="shared" si="271"/>
        <v>9.9999999999999995E-7</v>
      </c>
      <c r="N249" s="740" t="str">
        <f t="shared" si="271"/>
        <v>-</v>
      </c>
      <c r="O249" s="740">
        <f t="shared" si="271"/>
        <v>0</v>
      </c>
      <c r="P249" s="740">
        <f t="shared" si="271"/>
        <v>0</v>
      </c>
      <c r="Q249" s="740" t="str">
        <f t="shared" si="271"/>
        <v>-</v>
      </c>
    </row>
    <row r="250" spans="1:17" s="501" customFormat="1" hidden="1">
      <c r="A250" s="621"/>
      <c r="B250" s="612"/>
      <c r="C250" s="618"/>
      <c r="D250" s="618"/>
      <c r="E250" s="618"/>
      <c r="F250" s="613"/>
      <c r="G250" s="618"/>
      <c r="H250" s="618"/>
      <c r="J250" s="621"/>
      <c r="K250" s="612"/>
      <c r="L250" s="612"/>
      <c r="M250" s="612"/>
      <c r="N250" s="612"/>
      <c r="O250" s="613"/>
      <c r="P250" s="612"/>
      <c r="Q250" s="612"/>
    </row>
    <row r="251" spans="1:17" hidden="1">
      <c r="A251" s="1385" t="s">
        <v>315</v>
      </c>
      <c r="B251" s="740">
        <v>1</v>
      </c>
      <c r="C251" s="615">
        <f t="shared" ref="C251:H251" si="272">B25</f>
        <v>100</v>
      </c>
      <c r="D251" s="615">
        <f t="shared" si="272"/>
        <v>9.9999999999999995E-7</v>
      </c>
      <c r="E251" s="615">
        <f t="shared" si="272"/>
        <v>9.9999999999999995E-7</v>
      </c>
      <c r="F251" s="615">
        <f t="shared" si="272"/>
        <v>0</v>
      </c>
      <c r="G251" s="615">
        <f t="shared" si="272"/>
        <v>0</v>
      </c>
      <c r="H251" s="615">
        <f t="shared" si="272"/>
        <v>0</v>
      </c>
      <c r="J251" s="1385" t="s">
        <v>315</v>
      </c>
      <c r="K251" s="740">
        <v>1</v>
      </c>
      <c r="L251" s="740">
        <f t="shared" ref="L251:Q251" si="273">B31</f>
        <v>2</v>
      </c>
      <c r="M251" s="740">
        <f t="shared" si="273"/>
        <v>7.0000000000000001E-3</v>
      </c>
      <c r="N251" s="740">
        <f t="shared" si="273"/>
        <v>9.9999999999999995E-7</v>
      </c>
      <c r="O251" s="740">
        <f t="shared" si="273"/>
        <v>0</v>
      </c>
      <c r="P251" s="740">
        <f t="shared" si="273"/>
        <v>3.4995E-3</v>
      </c>
      <c r="Q251" s="740">
        <f t="shared" si="273"/>
        <v>2.4E-2</v>
      </c>
    </row>
    <row r="252" spans="1:17" hidden="1">
      <c r="A252" s="1385"/>
      <c r="B252" s="740">
        <v>2</v>
      </c>
      <c r="C252" s="615">
        <f t="shared" ref="C252:H252" si="274">I25</f>
        <v>100</v>
      </c>
      <c r="D252" s="615">
        <f t="shared" si="274"/>
        <v>0.3</v>
      </c>
      <c r="E252" s="615">
        <f t="shared" si="274"/>
        <v>9.9999999999999995E-7</v>
      </c>
      <c r="F252" s="615">
        <f t="shared" si="274"/>
        <v>0</v>
      </c>
      <c r="G252" s="615">
        <f t="shared" si="274"/>
        <v>0.14999950000000001</v>
      </c>
      <c r="H252" s="615">
        <f t="shared" si="274"/>
        <v>0.59</v>
      </c>
      <c r="J252" s="1385"/>
      <c r="K252" s="740">
        <v>2</v>
      </c>
      <c r="L252" s="740">
        <f t="shared" ref="L252:Q252" si="275">I31</f>
        <v>2</v>
      </c>
      <c r="M252" s="740">
        <f t="shared" si="275"/>
        <v>9.9999999999999995E-7</v>
      </c>
      <c r="N252" s="740">
        <f t="shared" si="275"/>
        <v>9.9999999999999995E-7</v>
      </c>
      <c r="O252" s="740">
        <f t="shared" si="275"/>
        <v>0</v>
      </c>
      <c r="P252" s="740">
        <f t="shared" si="275"/>
        <v>0</v>
      </c>
      <c r="Q252" s="740">
        <f t="shared" si="275"/>
        <v>0</v>
      </c>
    </row>
    <row r="253" spans="1:17" hidden="1">
      <c r="A253" s="1385"/>
      <c r="B253" s="740">
        <v>3</v>
      </c>
      <c r="C253" s="615">
        <f t="shared" ref="C253:H253" si="276">P25</f>
        <v>50</v>
      </c>
      <c r="D253" s="615">
        <f t="shared" si="276"/>
        <v>0.1</v>
      </c>
      <c r="E253" s="615">
        <f t="shared" si="276"/>
        <v>1.1000000000000001</v>
      </c>
      <c r="F253" s="615">
        <f t="shared" si="276"/>
        <v>0.6</v>
      </c>
      <c r="G253" s="615">
        <f t="shared" si="276"/>
        <v>0.5</v>
      </c>
      <c r="H253" s="615">
        <f t="shared" si="276"/>
        <v>0.85000000000000009</v>
      </c>
      <c r="J253" s="1385"/>
      <c r="K253" s="740">
        <v>3</v>
      </c>
      <c r="L253" s="740">
        <f t="shared" ref="L253:Q253" si="277">P31</f>
        <v>2</v>
      </c>
      <c r="M253" s="740">
        <f t="shared" si="277"/>
        <v>-8.0000000000000002E-3</v>
      </c>
      <c r="N253" s="740">
        <f t="shared" si="277"/>
        <v>1.4E-2</v>
      </c>
      <c r="O253" s="740">
        <f t="shared" si="277"/>
        <v>9.9999999999999995E-7</v>
      </c>
      <c r="P253" s="740">
        <f t="shared" si="277"/>
        <v>1.0999999999999999E-2</v>
      </c>
      <c r="Q253" s="740">
        <f t="shared" si="277"/>
        <v>2.4E-2</v>
      </c>
    </row>
    <row r="254" spans="1:17" hidden="1">
      <c r="A254" s="1385"/>
      <c r="B254" s="740">
        <v>4</v>
      </c>
      <c r="C254" s="615">
        <f t="shared" ref="C254:H254" si="278">B56</f>
        <v>100</v>
      </c>
      <c r="D254" s="615">
        <f t="shared" si="278"/>
        <v>1.4</v>
      </c>
      <c r="E254" s="615">
        <f t="shared" si="278"/>
        <v>1</v>
      </c>
      <c r="F254" s="615">
        <f t="shared" si="278"/>
        <v>0</v>
      </c>
      <c r="G254" s="615">
        <f t="shared" si="278"/>
        <v>0.19999999999999996</v>
      </c>
      <c r="H254" s="615">
        <f t="shared" si="278"/>
        <v>1.7000000000000002</v>
      </c>
      <c r="J254" s="1385"/>
      <c r="K254" s="740">
        <v>4</v>
      </c>
      <c r="L254" s="740">
        <f t="shared" ref="L254:Q254" si="279">B62</f>
        <v>2</v>
      </c>
      <c r="M254" s="740">
        <f t="shared" si="279"/>
        <v>-7.0000000000000001E-3</v>
      </c>
      <c r="N254" s="740">
        <f t="shared" si="279"/>
        <v>9.9999999999999995E-7</v>
      </c>
      <c r="O254" s="740">
        <f t="shared" si="279"/>
        <v>0</v>
      </c>
      <c r="P254" s="740">
        <f t="shared" si="279"/>
        <v>3.5005000000000001E-3</v>
      </c>
      <c r="Q254" s="740">
        <f t="shared" si="279"/>
        <v>2.4E-2</v>
      </c>
    </row>
    <row r="255" spans="1:17" hidden="1">
      <c r="A255" s="1385"/>
      <c r="B255" s="740">
        <v>5</v>
      </c>
      <c r="C255" s="615">
        <f t="shared" ref="C255:H255" si="280">I56</f>
        <v>100</v>
      </c>
      <c r="D255" s="615">
        <f t="shared" si="280"/>
        <v>1.5</v>
      </c>
      <c r="E255" s="615">
        <f t="shared" si="280"/>
        <v>0.8</v>
      </c>
      <c r="F255" s="615">
        <f t="shared" si="280"/>
        <v>0</v>
      </c>
      <c r="G255" s="615">
        <f t="shared" si="280"/>
        <v>0.35</v>
      </c>
      <c r="H255" s="615">
        <f t="shared" si="280"/>
        <v>1.7000000000000002</v>
      </c>
      <c r="J255" s="1385"/>
      <c r="K255" s="740">
        <v>5</v>
      </c>
      <c r="L255" s="740">
        <f t="shared" ref="L255:Q255" si="281">I62</f>
        <v>2</v>
      </c>
      <c r="M255" s="740">
        <f t="shared" si="281"/>
        <v>0.113</v>
      </c>
      <c r="N255" s="740">
        <f t="shared" si="281"/>
        <v>9.9999999999999995E-7</v>
      </c>
      <c r="O255" s="740">
        <f t="shared" si="281"/>
        <v>0</v>
      </c>
      <c r="P255" s="740">
        <f t="shared" si="281"/>
        <v>5.6499500000000001E-2</v>
      </c>
      <c r="Q255" s="740">
        <f t="shared" si="281"/>
        <v>2.4E-2</v>
      </c>
    </row>
    <row r="256" spans="1:17" hidden="1">
      <c r="A256" s="1385"/>
      <c r="B256" s="740">
        <v>6</v>
      </c>
      <c r="C256" s="615">
        <f t="shared" ref="C256:H256" si="282">P56</f>
        <v>100</v>
      </c>
      <c r="D256" s="615">
        <f t="shared" si="282"/>
        <v>0.6</v>
      </c>
      <c r="E256" s="615">
        <f t="shared" si="282"/>
        <v>0.7</v>
      </c>
      <c r="F256" s="615">
        <f t="shared" si="282"/>
        <v>0</v>
      </c>
      <c r="G256" s="615">
        <f t="shared" si="282"/>
        <v>4.9999999999999989E-2</v>
      </c>
      <c r="H256" s="615">
        <f t="shared" si="282"/>
        <v>1.7000000000000002</v>
      </c>
      <c r="J256" s="1385"/>
      <c r="K256" s="740">
        <v>6</v>
      </c>
      <c r="L256" s="740">
        <f t="shared" ref="L256:Q256" si="283">P62</f>
        <v>2</v>
      </c>
      <c r="M256" s="740">
        <f t="shared" si="283"/>
        <v>9.9999999999999995E-7</v>
      </c>
      <c r="N256" s="740">
        <f t="shared" si="283"/>
        <v>9.9999999999999995E-7</v>
      </c>
      <c r="O256" s="740">
        <f t="shared" si="283"/>
        <v>0</v>
      </c>
      <c r="P256" s="740">
        <f t="shared" si="283"/>
        <v>0</v>
      </c>
      <c r="Q256" s="740">
        <f t="shared" si="283"/>
        <v>0</v>
      </c>
    </row>
    <row r="257" spans="1:20" hidden="1">
      <c r="A257" s="1385"/>
      <c r="B257" s="740">
        <v>7</v>
      </c>
      <c r="C257" s="615">
        <f t="shared" ref="C257:H257" si="284">B87</f>
        <v>100</v>
      </c>
      <c r="D257" s="615">
        <f t="shared" si="284"/>
        <v>9.9999999999999995E-7</v>
      </c>
      <c r="E257" s="615">
        <f t="shared" si="284"/>
        <v>1.4</v>
      </c>
      <c r="F257" s="615">
        <f t="shared" si="284"/>
        <v>0</v>
      </c>
      <c r="G257" s="615">
        <f t="shared" si="284"/>
        <v>0.6999995</v>
      </c>
      <c r="H257" s="615">
        <f t="shared" si="284"/>
        <v>1.7000000000000002</v>
      </c>
      <c r="J257" s="1385"/>
      <c r="K257" s="740">
        <v>7</v>
      </c>
      <c r="L257" s="740">
        <f t="shared" ref="L257:Q257" si="285">B93</f>
        <v>2</v>
      </c>
      <c r="M257" s="740">
        <f t="shared" si="285"/>
        <v>9.9999999999999995E-7</v>
      </c>
      <c r="N257" s="740">
        <f t="shared" si="285"/>
        <v>9.9999999999999995E-7</v>
      </c>
      <c r="O257" s="740">
        <f t="shared" si="285"/>
        <v>0</v>
      </c>
      <c r="P257" s="740">
        <f t="shared" si="285"/>
        <v>0</v>
      </c>
      <c r="Q257" s="740">
        <f t="shared" si="285"/>
        <v>2.4E-2</v>
      </c>
    </row>
    <row r="258" spans="1:20" hidden="1">
      <c r="A258" s="1385"/>
      <c r="B258" s="740">
        <v>8</v>
      </c>
      <c r="C258" s="615">
        <f t="shared" ref="C258:H258" si="286">I87</f>
        <v>100</v>
      </c>
      <c r="D258" s="615">
        <f t="shared" si="286"/>
        <v>0.4</v>
      </c>
      <c r="E258" s="615">
        <f t="shared" si="286"/>
        <v>9.9999999999999995E-7</v>
      </c>
      <c r="F258" s="615">
        <f t="shared" si="286"/>
        <v>0</v>
      </c>
      <c r="G258" s="615">
        <f t="shared" si="286"/>
        <v>0.19999950000000002</v>
      </c>
      <c r="H258" s="615">
        <f t="shared" si="286"/>
        <v>1.7000000000000002</v>
      </c>
      <c r="J258" s="1385"/>
      <c r="K258" s="740">
        <v>8</v>
      </c>
      <c r="L258" s="740">
        <f t="shared" ref="L258:Q258" si="287">I93</f>
        <v>2</v>
      </c>
      <c r="M258" s="740">
        <f t="shared" si="287"/>
        <v>5.0000000000000001E-3</v>
      </c>
      <c r="N258" s="740">
        <f t="shared" si="287"/>
        <v>-1E-3</v>
      </c>
      <c r="O258" s="740">
        <f t="shared" si="287"/>
        <v>0</v>
      </c>
      <c r="P258" s="740">
        <f t="shared" si="287"/>
        <v>3.0000000000000001E-3</v>
      </c>
      <c r="Q258" s="740">
        <f t="shared" si="287"/>
        <v>2.4E-2</v>
      </c>
    </row>
    <row r="259" spans="1:20" hidden="1">
      <c r="A259" s="1385"/>
      <c r="B259" s="740">
        <v>9</v>
      </c>
      <c r="C259" s="615">
        <f t="shared" ref="C259:H259" si="288">P87</f>
        <v>100</v>
      </c>
      <c r="D259" s="615">
        <f t="shared" si="288"/>
        <v>9.9999999999999995E-7</v>
      </c>
      <c r="E259" s="615" t="str">
        <f t="shared" si="288"/>
        <v>-</v>
      </c>
      <c r="F259" s="615">
        <f t="shared" si="288"/>
        <v>0</v>
      </c>
      <c r="G259" s="615">
        <f t="shared" si="288"/>
        <v>0</v>
      </c>
      <c r="H259" s="615">
        <f t="shared" si="288"/>
        <v>0</v>
      </c>
      <c r="J259" s="1385"/>
      <c r="K259" s="740">
        <v>9</v>
      </c>
      <c r="L259" s="740">
        <f t="shared" ref="L259:Q259" si="289">P93</f>
        <v>1</v>
      </c>
      <c r="M259" s="740">
        <f t="shared" si="289"/>
        <v>-1E-3</v>
      </c>
      <c r="N259" s="740" t="str">
        <f t="shared" si="289"/>
        <v>-</v>
      </c>
      <c r="O259" s="740">
        <f t="shared" si="289"/>
        <v>0</v>
      </c>
      <c r="P259" s="740">
        <f t="shared" si="289"/>
        <v>0</v>
      </c>
      <c r="Q259" s="740">
        <f t="shared" si="289"/>
        <v>1.2E-2</v>
      </c>
    </row>
    <row r="260" spans="1:20" hidden="1">
      <c r="A260" s="1385"/>
      <c r="B260" s="740">
        <v>10</v>
      </c>
      <c r="C260" s="615">
        <f>B118</f>
        <v>100</v>
      </c>
      <c r="D260" s="615">
        <f t="shared" ref="D260:F260" si="290">C118</f>
        <v>1.4</v>
      </c>
      <c r="E260" s="615" t="str">
        <f t="shared" si="290"/>
        <v>-</v>
      </c>
      <c r="F260" s="615">
        <f t="shared" si="290"/>
        <v>0</v>
      </c>
      <c r="G260" s="615">
        <f>F118</f>
        <v>0</v>
      </c>
      <c r="H260" s="615" t="str">
        <f>G118</f>
        <v>-</v>
      </c>
      <c r="J260" s="1385"/>
      <c r="K260" s="740">
        <v>10</v>
      </c>
      <c r="L260" s="740">
        <f t="shared" ref="L260:Q260" si="291">B124</f>
        <v>2</v>
      </c>
      <c r="M260" s="740">
        <f t="shared" si="291"/>
        <v>-7.0000000000000001E-3</v>
      </c>
      <c r="N260" s="740" t="str">
        <f t="shared" si="291"/>
        <v>-</v>
      </c>
      <c r="O260" s="740">
        <f t="shared" si="291"/>
        <v>0</v>
      </c>
      <c r="P260" s="740">
        <f t="shared" si="291"/>
        <v>0</v>
      </c>
      <c r="Q260" s="740" t="str">
        <f t="shared" si="291"/>
        <v>-</v>
      </c>
    </row>
    <row r="261" spans="1:20" hidden="1">
      <c r="A261" s="1385"/>
      <c r="B261" s="740">
        <v>11</v>
      </c>
      <c r="C261" s="615">
        <f>I118</f>
        <v>100</v>
      </c>
      <c r="D261" s="615">
        <f t="shared" ref="D261:F261" si="292">J118</f>
        <v>9.9999999999999995E-7</v>
      </c>
      <c r="E261" s="615" t="str">
        <f t="shared" si="292"/>
        <v>-</v>
      </c>
      <c r="F261" s="615">
        <f t="shared" si="292"/>
        <v>0</v>
      </c>
      <c r="G261" s="615">
        <f>M118</f>
        <v>0</v>
      </c>
      <c r="H261" s="615" t="str">
        <f>N118</f>
        <v>-</v>
      </c>
      <c r="J261" s="1385"/>
      <c r="K261" s="740">
        <v>11</v>
      </c>
      <c r="L261" s="740">
        <f t="shared" ref="L261:Q261" si="293">I124</f>
        <v>2</v>
      </c>
      <c r="M261" s="740">
        <f t="shared" si="293"/>
        <v>9.9999999999999995E-7</v>
      </c>
      <c r="N261" s="740" t="str">
        <f t="shared" si="293"/>
        <v>-</v>
      </c>
      <c r="O261" s="740">
        <f t="shared" si="293"/>
        <v>0</v>
      </c>
      <c r="P261" s="740">
        <f t="shared" si="293"/>
        <v>0</v>
      </c>
      <c r="Q261" s="740" t="str">
        <f t="shared" si="293"/>
        <v>-</v>
      </c>
    </row>
    <row r="262" spans="1:20" hidden="1">
      <c r="A262" s="1385"/>
      <c r="B262" s="740">
        <v>12</v>
      </c>
      <c r="C262" s="615">
        <f>P118</f>
        <v>100</v>
      </c>
      <c r="D262" s="615">
        <f t="shared" ref="D262:F262" si="294">Q118</f>
        <v>9.9999999999999995E-7</v>
      </c>
      <c r="E262" s="615" t="str">
        <f t="shared" si="294"/>
        <v>-</v>
      </c>
      <c r="F262" s="615">
        <f t="shared" si="294"/>
        <v>0</v>
      </c>
      <c r="G262" s="615">
        <f>T118</f>
        <v>0</v>
      </c>
      <c r="H262" s="615" t="str">
        <f>U118</f>
        <v>-</v>
      </c>
      <c r="J262" s="1385"/>
      <c r="K262" s="740">
        <v>12</v>
      </c>
      <c r="L262" s="740">
        <f t="shared" ref="L262:Q262" si="295">P124</f>
        <v>2</v>
      </c>
      <c r="M262" s="740">
        <f t="shared" si="295"/>
        <v>9.9999999999999995E-7</v>
      </c>
      <c r="N262" s="740" t="str">
        <f t="shared" si="295"/>
        <v>-</v>
      </c>
      <c r="O262" s="740">
        <f t="shared" si="295"/>
        <v>0</v>
      </c>
      <c r="P262" s="740">
        <f t="shared" si="295"/>
        <v>0</v>
      </c>
      <c r="Q262" s="740" t="str">
        <f t="shared" si="295"/>
        <v>-</v>
      </c>
    </row>
    <row r="263" spans="1:20" s="501" customFormat="1">
      <c r="A263" s="622"/>
      <c r="B263" s="623"/>
      <c r="C263" s="586"/>
      <c r="D263" s="586"/>
      <c r="E263" s="586"/>
      <c r="F263" s="586"/>
      <c r="G263" s="586"/>
      <c r="H263" s="624"/>
      <c r="I263" s="622"/>
      <c r="J263" s="623"/>
      <c r="K263" s="623"/>
      <c r="L263" s="623"/>
      <c r="M263" s="623"/>
      <c r="N263" s="623"/>
      <c r="O263" s="623"/>
      <c r="P263" s="624"/>
      <c r="Q263" s="624"/>
    </row>
    <row r="264" spans="1:20" ht="13.8" thickBot="1">
      <c r="A264" s="608"/>
      <c r="B264" s="436"/>
      <c r="C264" s="436"/>
      <c r="D264" s="609"/>
      <c r="E264" s="609"/>
      <c r="F264" s="609"/>
      <c r="G264" s="609"/>
      <c r="H264" s="609"/>
      <c r="P264" s="609"/>
      <c r="Q264" s="609"/>
    </row>
    <row r="265" spans="1:20" ht="43.5" customHeight="1">
      <c r="A265" s="625">
        <f>A311</f>
        <v>8</v>
      </c>
      <c r="B265" s="1386" t="str">
        <f>A298</f>
        <v>Electrical Safety Analyzer, Merek : Fluke, Model : ESA 615, SN : 4669058</v>
      </c>
      <c r="C265" s="1386"/>
      <c r="D265" s="1386"/>
      <c r="E265" s="1386"/>
      <c r="F265" s="1386"/>
      <c r="H265" s="737" t="s">
        <v>517</v>
      </c>
      <c r="I265" s="737" t="s">
        <v>518</v>
      </c>
      <c r="J265" s="737" t="s">
        <v>519</v>
      </c>
      <c r="K265" s="737" t="s">
        <v>520</v>
      </c>
      <c r="L265" s="626"/>
      <c r="M265" s="1387" t="s">
        <v>318</v>
      </c>
      <c r="N265" s="1390" t="s">
        <v>319</v>
      </c>
      <c r="O265" s="1393" t="s">
        <v>320</v>
      </c>
      <c r="Q265" s="627"/>
      <c r="R265" s="627"/>
      <c r="S265" s="627"/>
      <c r="T265" s="627"/>
    </row>
    <row r="266" spans="1:20" ht="14.4" customHeight="1">
      <c r="A266" s="1396" t="s">
        <v>301</v>
      </c>
      <c r="B266" s="1396"/>
      <c r="C266" s="1396"/>
      <c r="D266" s="1396"/>
      <c r="E266" s="1396"/>
      <c r="F266" s="1396"/>
      <c r="H266" s="628">
        <f>FORECAST(M268,B269:B274,A269:A274)</f>
        <v>-0.14372387994910946</v>
      </c>
      <c r="I266" s="628" t="e">
        <f>FORECAST(M269,B285:B288,A285:A288)</f>
        <v>#VALUE!</v>
      </c>
      <c r="J266" s="628">
        <f>FORECAST(M270,B291:B294,A291:A294)</f>
        <v>1.2498019801980204E-3</v>
      </c>
      <c r="K266" s="628" t="e">
        <f>FORECAST(M271,B277:B282,A277:A282)</f>
        <v>#VALUE!</v>
      </c>
      <c r="L266" s="624"/>
      <c r="M266" s="1388"/>
      <c r="N266" s="1391"/>
      <c r="O266" s="1394"/>
      <c r="Q266" s="627"/>
      <c r="R266" s="627"/>
      <c r="S266" s="627"/>
      <c r="T266" s="627"/>
    </row>
    <row r="267" spans="1:20" ht="13.8" thickBot="1">
      <c r="A267" s="1397" t="str">
        <f>B4</f>
        <v>Setting VAC</v>
      </c>
      <c r="B267" s="1397"/>
      <c r="C267" s="1397"/>
      <c r="D267" s="1397"/>
      <c r="E267" s="1397" t="s">
        <v>303</v>
      </c>
      <c r="F267" s="1397" t="s">
        <v>237</v>
      </c>
      <c r="H267" s="627"/>
      <c r="I267" s="627"/>
      <c r="J267" s="627"/>
      <c r="K267" s="627"/>
      <c r="L267" s="624"/>
      <c r="M267" s="1389"/>
      <c r="N267" s="1392"/>
      <c r="O267" s="1395"/>
      <c r="Q267" s="627"/>
      <c r="R267" s="627"/>
      <c r="S267" s="627"/>
      <c r="T267" s="627"/>
    </row>
    <row r="268" spans="1:20" ht="30.6">
      <c r="A268" s="898" t="s">
        <v>304</v>
      </c>
      <c r="B268" s="629">
        <f>VLOOKUP(B265,A299:L310,9,FALSE)</f>
        <v>2022</v>
      </c>
      <c r="C268" s="629">
        <f>VLOOKUP(B265,A299:L310,10,FALSE)</f>
        <v>2020</v>
      </c>
      <c r="D268" s="629">
        <f>VLOOKUP(B265,A299:L310,11,FALSE)</f>
        <v>2016</v>
      </c>
      <c r="E268" s="1397"/>
      <c r="F268" s="1397"/>
      <c r="H268" s="737" t="s">
        <v>521</v>
      </c>
      <c r="I268" s="737" t="s">
        <v>522</v>
      </c>
      <c r="J268" s="627"/>
      <c r="K268" s="627"/>
      <c r="L268" s="624"/>
      <c r="M268" s="630">
        <f>ID!C19</f>
        <v>223.4</v>
      </c>
      <c r="N268" s="631">
        <f>M268+H266</f>
        <v>223.2562761200509</v>
      </c>
      <c r="O268" s="632">
        <f>IF(M268="-","-",IF(M268=M268,N268,))</f>
        <v>223.2562761200509</v>
      </c>
      <c r="Q268" s="627"/>
      <c r="R268" s="627"/>
      <c r="S268" s="627"/>
      <c r="T268" s="627"/>
    </row>
    <row r="269" spans="1:20" ht="15.6">
      <c r="A269" s="906">
        <f>VLOOKUP($A265,$B131:$H142,2,(FALSE))</f>
        <v>150</v>
      </c>
      <c r="B269" s="917">
        <f>VLOOKUP($A$265,$B$131:$H$142,3,(FALSE))</f>
        <v>-0.17</v>
      </c>
      <c r="C269" s="917">
        <f>VLOOKUP($A$265,$B$131:$H$142,4,(FALSE))</f>
        <v>-0.24</v>
      </c>
      <c r="D269" s="917">
        <f>VLOOKUP($A$265,$B$131:$H$142,5,(FALSE))</f>
        <v>0</v>
      </c>
      <c r="E269" s="917">
        <f>VLOOKUP($A$265,$B$131:$H$142,6,(FALSE))</f>
        <v>3.4999999999999989E-2</v>
      </c>
      <c r="F269" s="917">
        <f>VLOOKUP($A$265,$B$131:$H$142,7,(FALSE))</f>
        <v>1.8</v>
      </c>
      <c r="H269" s="633" t="e">
        <f>FORECAST(M272,B277:B282,A277:A282)</f>
        <v>#VALUE!</v>
      </c>
      <c r="I269" s="633">
        <f>FORECAST(N268,F269:F274,A269:A274)</f>
        <v>2.6790753134406109</v>
      </c>
      <c r="J269" s="743"/>
      <c r="K269" s="743"/>
      <c r="L269" s="624"/>
      <c r="M269" s="634" t="str">
        <f>ID!I27</f>
        <v>OL</v>
      </c>
      <c r="N269" s="918" t="e">
        <f>M269+I266</f>
        <v>#VALUE!</v>
      </c>
      <c r="O269" s="635" t="str">
        <f>IF(M269="OL","OL",IF(M269="NC","NC",IF(M269="OR","OR",IFERROR(N269,"-"))))</f>
        <v>OL</v>
      </c>
      <c r="Q269" s="609"/>
      <c r="R269" s="636"/>
    </row>
    <row r="270" spans="1:20" ht="14.4" thickBot="1">
      <c r="A270" s="919">
        <f>VLOOKUP($A$265,$B$144:$H$155,2,(FALSE))</f>
        <v>180</v>
      </c>
      <c r="B270" s="920">
        <f>VLOOKUP($A$265,$B$144:$H$155,3,(FALSE))</f>
        <v>-0.39</v>
      </c>
      <c r="C270" s="920">
        <f>VLOOKUP($A$265,$B$144:$H$155,4,(FALSE))</f>
        <v>-0.14000000000000001</v>
      </c>
      <c r="D270" s="920">
        <f>VLOOKUP($A$265,$B$144:$H$155,5,(FALSE))</f>
        <v>0</v>
      </c>
      <c r="E270" s="920">
        <f>VLOOKUP($A$265,$B$144:$H$155,6,(FALSE))</f>
        <v>0.125</v>
      </c>
      <c r="F270" s="917">
        <f>VLOOKUP($A$265,$B$144:$H$155,7,(FALSE))</f>
        <v>2.16</v>
      </c>
      <c r="H270" s="627"/>
      <c r="I270" s="627"/>
      <c r="J270" s="627"/>
      <c r="K270" s="627"/>
      <c r="L270" s="624"/>
      <c r="M270" s="634">
        <f>ID!I28</f>
        <v>0.123</v>
      </c>
      <c r="N270" s="918">
        <f>M270+J266</f>
        <v>0.12424980198019801</v>
      </c>
      <c r="O270" s="635">
        <f>IF(M270="OL","OL",IF(M270="NC","NC",IF(M270="OR","OR",IFERROR(N270,"-"))))</f>
        <v>0.12424980198019801</v>
      </c>
    </row>
    <row r="271" spans="1:20" ht="13.8">
      <c r="A271" s="919">
        <f>VLOOKUP($A$265,$B$157:$H$168,2,(FALSE))</f>
        <v>200</v>
      </c>
      <c r="B271" s="920">
        <f>VLOOKUP($A$265,$B$157:$H$168,3,(FALSE))</f>
        <v>-0.23</v>
      </c>
      <c r="C271" s="920">
        <f>VLOOKUP($A$265,$B$157:$H$168,4,(FALSE))</f>
        <v>-0.33</v>
      </c>
      <c r="D271" s="920">
        <f>VLOOKUP($A$265,$B$157:$H$168,5,(FALSE))</f>
        <v>0</v>
      </c>
      <c r="E271" s="920">
        <f>VLOOKUP($A$265,$B$157:$H$168,6,(FALSE))</f>
        <v>0.05</v>
      </c>
      <c r="F271" s="917">
        <f>VLOOKUP($A$265,$B$157:$H$168,7,(FALSE))</f>
        <v>2.4</v>
      </c>
      <c r="H271" s="1321" t="s">
        <v>285</v>
      </c>
      <c r="I271" s="1322"/>
      <c r="J271" s="1323"/>
      <c r="K271" s="627"/>
      <c r="L271" s="637" t="s">
        <v>523</v>
      </c>
      <c r="M271" s="638" t="str">
        <f>ID!I30</f>
        <v>-</v>
      </c>
      <c r="N271" s="639" t="e">
        <f>M271+K266</f>
        <v>#VALUE!</v>
      </c>
      <c r="O271" s="640" t="str">
        <f>IFERROR(N271,"-")</f>
        <v>-</v>
      </c>
      <c r="P271" s="609"/>
    </row>
    <row r="272" spans="1:20" ht="16.2" thickBot="1">
      <c r="A272" s="612">
        <f>VLOOKUP($A$265,$B$170:$H$181,2,(FALSE))</f>
        <v>220</v>
      </c>
      <c r="B272" s="641">
        <f>VLOOKUP($A$265,$B$170:$H$181,3,(FALSE))</f>
        <v>-0.16</v>
      </c>
      <c r="C272" s="641">
        <f>VLOOKUP($A$265,$B$170:$H$181,4,(FALSE))</f>
        <v>-0.45</v>
      </c>
      <c r="D272" s="641">
        <f>VLOOKUP($A$265,$B$170:$H$181,5,(FALSE))</f>
        <v>0</v>
      </c>
      <c r="E272" s="641">
        <f>VLOOKUP($A$265,$B$170:$H$181,6,(FALSE))</f>
        <v>0.14500000000000002</v>
      </c>
      <c r="F272" s="917">
        <f>VLOOKUP($A$265,$B$170:$H$181,7,(FALSE))</f>
        <v>2.64</v>
      </c>
      <c r="H272" s="1081" t="str">
        <f>TEXT(O268,"0.0")</f>
        <v>223.3</v>
      </c>
      <c r="I272" s="1082" t="str">
        <f>TEXT(I269,"0.0")</f>
        <v>2.7</v>
      </c>
      <c r="J272" s="575" t="s">
        <v>524</v>
      </c>
      <c r="K272" s="627"/>
      <c r="L272" s="637" t="s">
        <v>383</v>
      </c>
      <c r="M272" s="642" t="str">
        <f>ID!P27</f>
        <v>-</v>
      </c>
      <c r="N272" s="643" t="e">
        <f>M272+H269</f>
        <v>#VALUE!</v>
      </c>
      <c r="O272" s="644" t="str">
        <f>IFERROR(N272,"-")</f>
        <v>-</v>
      </c>
    </row>
    <row r="273" spans="1:18" ht="15.75" customHeight="1" thickBot="1">
      <c r="A273" s="612">
        <f>VLOOKUP($A$265,$B$183:$H$194,2,(FALSE))</f>
        <v>230</v>
      </c>
      <c r="B273" s="641">
        <f>VLOOKUP($A$265,$B$183:$H$194,3,(FALSE))</f>
        <v>-0.15</v>
      </c>
      <c r="C273" s="641">
        <f>VLOOKUP($A$265,$B$183:$H$194,4,(FALSE))</f>
        <v>-0.54</v>
      </c>
      <c r="D273" s="641">
        <f>VLOOKUP($A$265,$B$183:$H$194,5,(FALSE))</f>
        <v>0</v>
      </c>
      <c r="E273" s="641">
        <f>VLOOKUP($A$265,$B$183:$H$194,6,(FALSE))</f>
        <v>0.19500000000000001</v>
      </c>
      <c r="F273" s="917">
        <f>VLOOKUP($A$265,$B$183:$H$194,7,(FALSE))</f>
        <v>2.7600000000000002</v>
      </c>
      <c r="H273" s="577" t="s">
        <v>288</v>
      </c>
      <c r="I273" s="578" t="s">
        <v>289</v>
      </c>
      <c r="J273" s="579" t="s">
        <v>290</v>
      </c>
      <c r="K273" s="743"/>
      <c r="L273" s="624"/>
      <c r="M273" s="645"/>
      <c r="N273" s="646"/>
      <c r="O273" s="647"/>
    </row>
    <row r="274" spans="1:18" ht="17.399999999999999">
      <c r="A274" s="612">
        <f>VLOOKUP($A$265,$B$196:$H$207,2,(FALSE))</f>
        <v>250</v>
      </c>
      <c r="B274" s="641">
        <f>VLOOKUP($A$265,$B$196:$H$207,3,(FALSE))</f>
        <v>9.9999999999999995E-7</v>
      </c>
      <c r="C274" s="641">
        <f>VLOOKUP($A$265,$B$196:$H$207,4,(FALSE))</f>
        <v>-0.49</v>
      </c>
      <c r="D274" s="641">
        <f>VLOOKUP($A$265,$B$196:$H$207,5,(FALSE))</f>
        <v>0</v>
      </c>
      <c r="E274" s="641">
        <f>VLOOKUP($A$265,$B$196:$H$207,6,(FALSE))</f>
        <v>0.24500049999999998</v>
      </c>
      <c r="F274" s="917">
        <f>VLOOKUP($A$265,$B$196:$H$207,7,(FALSE))</f>
        <v>3</v>
      </c>
      <c r="H274" s="1381" t="str">
        <f>H273&amp;H272&amp;I273&amp;I272&amp;J273&amp;J272</f>
        <v>( 223.3 ± 2.7 ) Volt</v>
      </c>
      <c r="I274" s="1382"/>
      <c r="J274" s="1383"/>
      <c r="K274" s="627"/>
      <c r="L274" s="624"/>
      <c r="M274" s="645"/>
      <c r="N274" s="646"/>
      <c r="O274" s="647"/>
    </row>
    <row r="275" spans="1:18" ht="12.9" customHeight="1">
      <c r="A275" s="1377" t="str">
        <f>B12</f>
        <v>Current Leakage</v>
      </c>
      <c r="B275" s="1377"/>
      <c r="C275" s="1377"/>
      <c r="D275" s="1377"/>
      <c r="E275" s="742" t="s">
        <v>303</v>
      </c>
      <c r="F275" s="742" t="s">
        <v>237</v>
      </c>
      <c r="H275" s="627"/>
      <c r="I275" s="627"/>
      <c r="J275" s="627"/>
      <c r="K275" s="627"/>
      <c r="L275" s="624"/>
      <c r="M275" s="645"/>
      <c r="N275" s="646"/>
      <c r="O275" s="647"/>
      <c r="Q275" s="609"/>
    </row>
    <row r="276" spans="1:18" ht="14.4">
      <c r="A276" s="898" t="s">
        <v>305</v>
      </c>
      <c r="B276" s="629">
        <f>B268</f>
        <v>2022</v>
      </c>
      <c r="C276" s="629">
        <f>C268</f>
        <v>2020</v>
      </c>
      <c r="D276" s="629">
        <f>D268</f>
        <v>2016</v>
      </c>
      <c r="E276" s="742"/>
      <c r="F276" s="742"/>
      <c r="H276" s="627"/>
      <c r="I276" s="627"/>
      <c r="J276" s="627"/>
      <c r="K276" s="627"/>
      <c r="L276" s="624"/>
      <c r="M276" s="645"/>
      <c r="N276" s="646"/>
      <c r="O276" s="647"/>
      <c r="Q276" s="609"/>
    </row>
    <row r="277" spans="1:18" ht="15.75" customHeight="1">
      <c r="A277" s="618">
        <f>VLOOKUP($A$265,$K$131:$Q$142,2,(FALSE))</f>
        <v>0</v>
      </c>
      <c r="B277" s="648">
        <f>VLOOKUP($A$265,$K$131:$Q$142,3,(FALSE))</f>
        <v>9.9999999999999995E-7</v>
      </c>
      <c r="C277" s="648">
        <f>VLOOKUP($A$265,$K$131:$Q$142,4,(FALSE))</f>
        <v>9.9999999999999995E-7</v>
      </c>
      <c r="D277" s="648">
        <f>VLOOKUP($A$265,$K$131:$Q$142,5,(FALSE))</f>
        <v>0</v>
      </c>
      <c r="E277" s="648">
        <f>VLOOKUP($A$265,$K$131:$Q$142,6,(FALSE))</f>
        <v>0</v>
      </c>
      <c r="F277" s="648">
        <f>VLOOKUP($A$265,$K$131:$Q$142,7,(FALSE))</f>
        <v>0</v>
      </c>
      <c r="H277" s="1384"/>
      <c r="I277" s="1384"/>
      <c r="J277" s="1384"/>
      <c r="K277" s="1384"/>
      <c r="L277" s="624"/>
      <c r="M277" s="649"/>
      <c r="N277" s="649"/>
      <c r="O277" s="650"/>
      <c r="Q277" s="609"/>
      <c r="R277" s="609"/>
    </row>
    <row r="278" spans="1:18">
      <c r="A278" s="618">
        <f>VLOOKUP($A$265,$K$144:$Q$155,2,(FALSE))</f>
        <v>20</v>
      </c>
      <c r="B278" s="648">
        <f>VLOOKUP($A$265,$K$144:$Q$155,3,(FALSE))</f>
        <v>6.6</v>
      </c>
      <c r="C278" s="648">
        <f>VLOOKUP($A$265,$K$144:$Q$155,4,(FALSE))</f>
        <v>0.9</v>
      </c>
      <c r="D278" s="648">
        <f>VLOOKUP($A$265,$K$144:$Q$155,5,(FALSE))</f>
        <v>0</v>
      </c>
      <c r="E278" s="648">
        <f>VLOOKUP($A$265,$K$144:$Q$155,6,(FALSE))</f>
        <v>2.8499999999999996</v>
      </c>
      <c r="F278" s="648">
        <f>VLOOKUP($A$265,$K$144:$Q$155,7,(FALSE))</f>
        <v>0.11799999999999999</v>
      </c>
      <c r="H278" s="627"/>
      <c r="I278" s="627"/>
      <c r="J278" s="627"/>
      <c r="K278" s="627"/>
      <c r="L278" s="624"/>
      <c r="M278" s="651"/>
      <c r="N278" s="651"/>
      <c r="O278" s="647"/>
      <c r="Q278" s="609"/>
      <c r="R278" s="609"/>
    </row>
    <row r="279" spans="1:18">
      <c r="A279" s="618">
        <f>VLOOKUP($A$265,$K$157:$Q$168,2,(FALSE))</f>
        <v>50</v>
      </c>
      <c r="B279" s="648">
        <f>VLOOKUP($A$265,$K$157:$Q$168,3,(FALSE))</f>
        <v>5</v>
      </c>
      <c r="C279" s="648">
        <f>VLOOKUP($A$265,$K$157:$Q$168,4,(FALSE))</f>
        <v>2.1</v>
      </c>
      <c r="D279" s="648">
        <f>VLOOKUP($A$265,$K$157:$Q$168,5,(FALSE))</f>
        <v>0</v>
      </c>
      <c r="E279" s="648">
        <f>VLOOKUP($A$265,$K$157:$Q$168,6,(FALSE))</f>
        <v>1.45</v>
      </c>
      <c r="F279" s="648">
        <f>VLOOKUP($A$265,$K$157:$Q$168,7,(FALSE))</f>
        <v>0.29499999999999998</v>
      </c>
      <c r="H279" s="627"/>
      <c r="I279" s="627"/>
      <c r="J279" s="627"/>
      <c r="K279" s="627"/>
      <c r="L279" s="624"/>
      <c r="M279" s="501"/>
      <c r="N279" s="501"/>
      <c r="O279" s="652"/>
      <c r="Q279" s="609"/>
      <c r="R279" s="609"/>
    </row>
    <row r="280" spans="1:18">
      <c r="A280" s="618">
        <f>VLOOKUP($A$265,$K$170:$Q$181,2,(FALSE))</f>
        <v>200</v>
      </c>
      <c r="B280" s="648">
        <f>VLOOKUP($A$265,$K$170:$Q$181,3,(FALSE))</f>
        <v>-8.1999999999999993</v>
      </c>
      <c r="C280" s="648">
        <f>VLOOKUP($A$265,$K$170:$Q$181,4,(FALSE))</f>
        <v>3.7</v>
      </c>
      <c r="D280" s="648">
        <f>VLOOKUP($A$265,$K$170:$Q$181,5,(FALSE))</f>
        <v>0</v>
      </c>
      <c r="E280" s="648">
        <f>VLOOKUP($A$265,$K$170:$Q$181,6,(FALSE))</f>
        <v>5.9499999999999993</v>
      </c>
      <c r="F280" s="648">
        <f>VLOOKUP($A$265,$K$170:$Q$181,7,(FALSE))</f>
        <v>1.18</v>
      </c>
      <c r="H280" s="627"/>
      <c r="I280" s="627"/>
      <c r="J280" s="627"/>
      <c r="K280" s="627"/>
      <c r="L280" s="624"/>
      <c r="M280" s="501"/>
      <c r="N280" s="501"/>
      <c r="O280" s="652"/>
      <c r="Q280" s="609"/>
      <c r="R280" s="609"/>
    </row>
    <row r="281" spans="1:18" ht="16.5" customHeight="1">
      <c r="A281" s="618">
        <f>VLOOKUP($A$265,$K$183:$Q$194,2,(FALSE))</f>
        <v>500</v>
      </c>
      <c r="B281" s="648">
        <f>VLOOKUP($A$265,$K$183:$Q$194,3,(FALSE))</f>
        <v>-31.8</v>
      </c>
      <c r="C281" s="648">
        <f>VLOOKUP($A$265,$K$183:$Q$194,4,(FALSE))</f>
        <v>8.3000000000000007</v>
      </c>
      <c r="D281" s="648">
        <f>VLOOKUP($A$265,$K$183:$Q$194,5,(FALSE))</f>
        <v>0</v>
      </c>
      <c r="E281" s="648">
        <f>VLOOKUP($A$265,$K$183:$Q$194,6,(FALSE))</f>
        <v>20.05</v>
      </c>
      <c r="F281" s="648">
        <f>VLOOKUP($A$265,$K$183:$Q$194,7,(FALSE))</f>
        <v>2.9499999999999997</v>
      </c>
      <c r="H281" s="1384"/>
      <c r="I281" s="1384"/>
      <c r="J281" s="1384"/>
      <c r="K281" s="1384"/>
      <c r="L281" s="624"/>
      <c r="M281" s="653"/>
      <c r="N281" s="653"/>
      <c r="O281" s="654"/>
      <c r="P281" s="655"/>
      <c r="Q281" s="609"/>
      <c r="R281" s="609"/>
    </row>
    <row r="282" spans="1:18">
      <c r="A282" s="618">
        <f>VLOOKUP($A$265,$K$196:$Q$207,2,(FALSE))</f>
        <v>1000</v>
      </c>
      <c r="B282" s="648">
        <f>VLOOKUP($A$265,$K$196:$Q$207,3,(FALSE))</f>
        <v>-74</v>
      </c>
      <c r="C282" s="648">
        <f>VLOOKUP($A$265,$K$196:$Q$207,4,(FALSE))</f>
        <v>9.9999999999999995E-7</v>
      </c>
      <c r="D282" s="648">
        <f>VLOOKUP($A$265,$K$196:$Q$207,5,(FALSE))</f>
        <v>0</v>
      </c>
      <c r="E282" s="648">
        <f>VLOOKUP($A$265,$K$196:$Q$207,6,(FALSE))</f>
        <v>37.000000499999999</v>
      </c>
      <c r="F282" s="648">
        <f>VLOOKUP($A$265,$K$196:$Q$207,7,(FALSE))</f>
        <v>5.8999999999999995</v>
      </c>
      <c r="H282" s="627"/>
      <c r="I282" s="627"/>
      <c r="J282" s="627"/>
      <c r="K282" s="627"/>
      <c r="L282" s="624"/>
      <c r="M282" s="627"/>
      <c r="N282" s="627"/>
      <c r="O282" s="656"/>
      <c r="P282" s="657"/>
      <c r="Q282" s="609"/>
      <c r="R282" s="609"/>
    </row>
    <row r="283" spans="1:18">
      <c r="A283" s="1377" t="str">
        <f>B20</f>
        <v>Main-PE</v>
      </c>
      <c r="B283" s="1377"/>
      <c r="C283" s="1377"/>
      <c r="D283" s="1377"/>
      <c r="E283" s="742" t="s">
        <v>303</v>
      </c>
      <c r="F283" s="742" t="s">
        <v>237</v>
      </c>
      <c r="H283" s="627"/>
      <c r="I283" s="627"/>
      <c r="J283" s="627"/>
      <c r="K283" s="627"/>
      <c r="L283" s="624"/>
      <c r="M283" s="627"/>
      <c r="N283" s="627"/>
      <c r="O283" s="656"/>
      <c r="P283" s="657"/>
      <c r="Q283" s="609"/>
      <c r="R283" s="609"/>
    </row>
    <row r="284" spans="1:18" ht="14.4">
      <c r="A284" s="898" t="s">
        <v>510</v>
      </c>
      <c r="B284" s="629">
        <f>B276</f>
        <v>2022</v>
      </c>
      <c r="C284" s="629">
        <f>C276</f>
        <v>2020</v>
      </c>
      <c r="D284" s="629">
        <f>D276</f>
        <v>2016</v>
      </c>
      <c r="E284" s="742"/>
      <c r="F284" s="742"/>
      <c r="H284" s="627"/>
      <c r="I284" s="627"/>
      <c r="J284" s="627"/>
      <c r="K284" s="627"/>
      <c r="L284" s="624"/>
      <c r="M284" s="627"/>
      <c r="N284" s="627"/>
      <c r="O284" s="656"/>
      <c r="P284" s="657"/>
      <c r="Q284" s="609"/>
      <c r="R284" s="609"/>
    </row>
    <row r="285" spans="1:18" ht="15.75" customHeight="1">
      <c r="A285" s="618">
        <f>VLOOKUP($A$265,$B$212:$H$223,2,(FALSE))</f>
        <v>10</v>
      </c>
      <c r="B285" s="648">
        <f>VLOOKUP($A$265,$B$212:$H$223,3,(FALSE))</f>
        <v>9.9999999999999995E-7</v>
      </c>
      <c r="C285" s="648">
        <f>VLOOKUP($A$265,$B$212:$H$223,4,(FALSE))</f>
        <v>9.9999999999999995E-7</v>
      </c>
      <c r="D285" s="648">
        <f>VLOOKUP($A$265,$B$212:$H$223,5,(FALSE))</f>
        <v>0</v>
      </c>
      <c r="E285" s="648">
        <f>VLOOKUP($A$265,$B$212:$H$223,6,(FALSE))</f>
        <v>0</v>
      </c>
      <c r="F285" s="648">
        <f>VLOOKUP($A$265,$B$212:$H$223,7,(FALSE))</f>
        <v>0.17</v>
      </c>
      <c r="H285" s="1376"/>
      <c r="I285" s="1376"/>
      <c r="J285" s="1376"/>
      <c r="K285" s="1376"/>
      <c r="L285" s="501"/>
      <c r="M285" s="501"/>
      <c r="N285" s="501"/>
      <c r="O285" s="652"/>
      <c r="Q285" s="609"/>
      <c r="R285" s="609"/>
    </row>
    <row r="286" spans="1:18">
      <c r="A286" s="618">
        <f>VLOOKUP($A$265,$B$225:$H$236,2,(FALSE))</f>
        <v>20</v>
      </c>
      <c r="B286" s="648">
        <f>VLOOKUP($A$265,$B$225:$H$236,3,(FALSE))</f>
        <v>9.9999999999999995E-7</v>
      </c>
      <c r="C286" s="648">
        <f>VLOOKUP($A$265,$B$225:$H$236,4,(FALSE))</f>
        <v>9.9999999999999995E-7</v>
      </c>
      <c r="D286" s="648">
        <f>VLOOKUP($A$265,$B$225:$H$236,5,(FALSE))</f>
        <v>0</v>
      </c>
      <c r="E286" s="648">
        <f>VLOOKUP($A$265,$B$225:$H$236,6,(FALSE))</f>
        <v>0</v>
      </c>
      <c r="F286" s="648">
        <f>VLOOKUP($A$265,$B$225:$H$236,7,(FALSE))</f>
        <v>0.34</v>
      </c>
      <c r="H286" s="658"/>
      <c r="I286" s="658"/>
      <c r="J286" s="658"/>
      <c r="K286" s="658"/>
      <c r="L286" s="501"/>
      <c r="M286" s="501"/>
      <c r="N286" s="501"/>
      <c r="O286" s="652"/>
      <c r="Q286" s="609"/>
      <c r="R286" s="609"/>
    </row>
    <row r="287" spans="1:18">
      <c r="A287" s="618">
        <f>VLOOKUP($A$265,$B$238:$H$249,2,(FALSE))</f>
        <v>50</v>
      </c>
      <c r="B287" s="648">
        <f>VLOOKUP($A$265,$B$238:$H$249,3,(FALSE))</f>
        <v>0.2</v>
      </c>
      <c r="C287" s="648">
        <f>VLOOKUP($A$265,$B$238:$H$249,4,(FALSE))</f>
        <v>9.9999999999999995E-7</v>
      </c>
      <c r="D287" s="648">
        <f>VLOOKUP($A$265,$B$238:$H$249,5,(FALSE))</f>
        <v>0</v>
      </c>
      <c r="E287" s="648">
        <f>VLOOKUP($A$265,$B$238:$H$249,6,(FALSE))</f>
        <v>9.9999500000000005E-2</v>
      </c>
      <c r="F287" s="648">
        <f>VLOOKUP($A$265,$B$238:$H$249,7,(FALSE))</f>
        <v>0.85000000000000009</v>
      </c>
      <c r="H287" s="658"/>
      <c r="I287" s="658"/>
      <c r="J287" s="658"/>
      <c r="K287" s="658"/>
      <c r="L287" s="501"/>
      <c r="M287" s="501"/>
      <c r="N287" s="501"/>
      <c r="O287" s="652"/>
      <c r="Q287" s="609"/>
      <c r="R287" s="609"/>
    </row>
    <row r="288" spans="1:18">
      <c r="A288" s="618">
        <f>VLOOKUP($A$265,$B$251:$H$262,2,(FALSE))</f>
        <v>100</v>
      </c>
      <c r="B288" s="648">
        <f>VLOOKUP($A$265,$B$251:$H$262,3,(FALSE))</f>
        <v>0.4</v>
      </c>
      <c r="C288" s="648">
        <f>VLOOKUP($A$265,$B$251:$H$262,4,(FALSE))</f>
        <v>9.9999999999999995E-7</v>
      </c>
      <c r="D288" s="648">
        <f>VLOOKUP($A$265,$B$251:$H$262,5,(FALSE))</f>
        <v>0</v>
      </c>
      <c r="E288" s="648">
        <f>VLOOKUP($A$265,$B$251:$H$262,6,(FALSE))</f>
        <v>0.19999950000000002</v>
      </c>
      <c r="F288" s="648">
        <f>VLOOKUP($A$265,$B$251:$H$262,7,(FALSE))</f>
        <v>1.7000000000000002</v>
      </c>
      <c r="H288" s="658"/>
      <c r="I288" s="658"/>
      <c r="J288" s="658"/>
      <c r="K288" s="658"/>
      <c r="L288" s="501"/>
      <c r="M288" s="501"/>
      <c r="N288" s="501"/>
      <c r="O288" s="652"/>
      <c r="Q288" s="609"/>
      <c r="R288" s="609"/>
    </row>
    <row r="289" spans="1:25" ht="15.75" customHeight="1">
      <c r="A289" s="1377" t="str">
        <f>B26</f>
        <v>Resistance</v>
      </c>
      <c r="B289" s="1377"/>
      <c r="C289" s="1377"/>
      <c r="D289" s="1377"/>
      <c r="E289" s="742" t="s">
        <v>303</v>
      </c>
      <c r="F289" s="742" t="s">
        <v>237</v>
      </c>
      <c r="H289" s="1376"/>
      <c r="I289" s="1376"/>
      <c r="J289" s="1376"/>
      <c r="K289" s="1376"/>
      <c r="L289" s="501"/>
      <c r="M289" s="501"/>
      <c r="N289" s="501"/>
      <c r="O289" s="652"/>
      <c r="Q289" s="609"/>
      <c r="R289" s="609"/>
    </row>
    <row r="290" spans="1:25" ht="14.4">
      <c r="A290" s="898" t="s">
        <v>511</v>
      </c>
      <c r="B290" s="629">
        <f>B284</f>
        <v>2022</v>
      </c>
      <c r="C290" s="629">
        <f>C284</f>
        <v>2020</v>
      </c>
      <c r="D290" s="629">
        <f>D284</f>
        <v>2016</v>
      </c>
      <c r="E290" s="742"/>
      <c r="F290" s="742"/>
      <c r="H290" s="658"/>
      <c r="I290" s="658"/>
      <c r="J290" s="658"/>
      <c r="K290" s="658"/>
      <c r="L290" s="501"/>
      <c r="M290" s="501"/>
      <c r="N290" s="501"/>
      <c r="O290" s="652"/>
      <c r="Q290" s="609"/>
      <c r="R290" s="609"/>
    </row>
    <row r="291" spans="1:25" ht="13.8">
      <c r="A291" s="906">
        <f>VLOOKUP($A$265,$K$212:$Q$223,2,(FALSE))</f>
        <v>0.1</v>
      </c>
      <c r="B291" s="917">
        <f>VLOOKUP($A$265,$K$212:$Q$223,3,(FALSE))</f>
        <v>-1E-3</v>
      </c>
      <c r="C291" s="917">
        <f>VLOOKUP($A$265,$K$212:$Q$223,4,(FALSE))</f>
        <v>-1E-3</v>
      </c>
      <c r="D291" s="917">
        <f>VLOOKUP($A$265,$K$212:$Q$223,5,(FALSE))</f>
        <v>0</v>
      </c>
      <c r="E291" s="917">
        <f>VLOOKUP($A$265,$K$212:$Q$223,6,(FALSE))</f>
        <v>0</v>
      </c>
      <c r="F291" s="917">
        <f>VLOOKUP($A$265,$K$212:$Q$223,7,(FALSE))</f>
        <v>1.2000000000000001E-3</v>
      </c>
      <c r="H291" s="658"/>
      <c r="I291" s="658"/>
      <c r="J291" s="658"/>
      <c r="K291" s="658"/>
      <c r="L291" s="501"/>
      <c r="M291" s="501"/>
      <c r="N291" s="501"/>
      <c r="O291" s="652"/>
      <c r="Q291" s="609"/>
      <c r="R291" s="609"/>
    </row>
    <row r="292" spans="1:25" ht="13.8">
      <c r="A292" s="906">
        <f>VLOOKUP($A$265,$K$225:$Q$236,2,(FALSE))</f>
        <v>0.5</v>
      </c>
      <c r="B292" s="917">
        <f>VLOOKUP($A$265,$K$225:$Q$236,3,(FALSE))</f>
        <v>4.0000000000000001E-3</v>
      </c>
      <c r="C292" s="917">
        <f>VLOOKUP($A$265,$K$225:$Q$236,4,(FALSE))</f>
        <v>-3.0000000000000001E-3</v>
      </c>
      <c r="D292" s="917">
        <f>VLOOKUP($A$265,$K$225:$Q$236,5,(FALSE))</f>
        <v>0</v>
      </c>
      <c r="E292" s="917">
        <f>VLOOKUP($A$265,$K$225:$Q$236,6,(FALSE))</f>
        <v>3.5000000000000001E-3</v>
      </c>
      <c r="F292" s="917">
        <f>VLOOKUP($A$265,$K$225:$Q$236,7,(FALSE))</f>
        <v>6.0000000000000001E-3</v>
      </c>
      <c r="H292" s="658"/>
      <c r="I292" s="658"/>
      <c r="J292" s="658"/>
      <c r="K292" s="658"/>
      <c r="L292" s="501"/>
      <c r="M292" s="501"/>
      <c r="N292" s="501"/>
      <c r="O292" s="652"/>
      <c r="Q292" s="609"/>
      <c r="R292" s="609"/>
    </row>
    <row r="293" spans="1:25" ht="15.75" customHeight="1">
      <c r="A293" s="906">
        <f>VLOOKUP($A$265,$K$238:$Q$249,2,(FALSE))</f>
        <v>1</v>
      </c>
      <c r="B293" s="917">
        <f>VLOOKUP($A$265,$K$238:$Q$249,3,(FALSE))</f>
        <v>5.0000000000000001E-3</v>
      </c>
      <c r="C293" s="917">
        <f>VLOOKUP($A$265,$K$238:$Q$249,4,(FALSE))</f>
        <v>1E-3</v>
      </c>
      <c r="D293" s="917">
        <f>VLOOKUP($A$265,$K$238:$Q$249,5,(FALSE))</f>
        <v>0</v>
      </c>
      <c r="E293" s="917">
        <f>VLOOKUP($A$265,$K$238:$Q$249,6,(FALSE))</f>
        <v>2E-3</v>
      </c>
      <c r="F293" s="917">
        <f>VLOOKUP($A$265,$K$238:$Q$249,7,(FALSE))</f>
        <v>1.2E-2</v>
      </c>
      <c r="H293" s="1376"/>
      <c r="I293" s="1376"/>
      <c r="J293" s="1376"/>
      <c r="K293" s="1376"/>
      <c r="L293" s="501"/>
      <c r="M293" s="501"/>
      <c r="N293" s="501"/>
      <c r="O293" s="652"/>
      <c r="Q293" s="609"/>
      <c r="R293" s="609"/>
    </row>
    <row r="294" spans="1:25" ht="13.8">
      <c r="A294" s="906">
        <f>VLOOKUP($A$265,$K$251:$Q$262,2,(FALSE))</f>
        <v>2</v>
      </c>
      <c r="B294" s="917">
        <f>VLOOKUP($A$265,$K$251:$Q$262,3,(FALSE))</f>
        <v>5.0000000000000001E-3</v>
      </c>
      <c r="C294" s="917">
        <f>VLOOKUP($A$265,$K$251:$Q$262,4,(FALSE))</f>
        <v>-1E-3</v>
      </c>
      <c r="D294" s="917">
        <f>VLOOKUP($A$265,$K$251:$Q$262,5,(FALSE))</f>
        <v>0</v>
      </c>
      <c r="E294" s="917">
        <f>VLOOKUP($A$265,$K$251:$Q$262,6,(FALSE))</f>
        <v>3.0000000000000001E-3</v>
      </c>
      <c r="F294" s="917">
        <f>VLOOKUP($A$265,$K$251:$Q$262,7,(FALSE))</f>
        <v>2.4E-2</v>
      </c>
      <c r="H294" s="658"/>
      <c r="I294" s="658"/>
      <c r="J294" s="658"/>
      <c r="K294" s="658"/>
      <c r="L294" s="501"/>
      <c r="M294" s="501"/>
      <c r="N294" s="501"/>
      <c r="O294" s="652"/>
      <c r="Q294" s="609"/>
      <c r="R294" s="609"/>
    </row>
    <row r="297" spans="1:25" ht="13.8" thickBot="1"/>
    <row r="298" spans="1:25" ht="14.4">
      <c r="A298" s="659" t="str">
        <f>ID!A114</f>
        <v>Electrical Safety Analyzer, Merek : Fluke, Model : ESA 615, SN : 4669058</v>
      </c>
      <c r="B298" s="659"/>
      <c r="C298" s="659"/>
      <c r="D298" s="659"/>
      <c r="E298" s="659"/>
      <c r="F298" s="659"/>
      <c r="G298" s="659"/>
      <c r="H298" s="659"/>
      <c r="I298" s="659"/>
      <c r="J298" s="659"/>
      <c r="K298" s="659"/>
      <c r="L298" s="659"/>
      <c r="N298" s="1378">
        <f>A311</f>
        <v>8</v>
      </c>
      <c r="O298" s="1379"/>
      <c r="P298" s="1379"/>
      <c r="Q298" s="1379"/>
      <c r="R298" s="1379"/>
      <c r="S298" s="1379"/>
      <c r="T298" s="1379"/>
      <c r="U298" s="1379"/>
      <c r="V298" s="1379"/>
      <c r="W298" s="1379"/>
      <c r="X298" s="1379"/>
      <c r="Y298" s="1380"/>
    </row>
    <row r="299" spans="1:25" ht="14.4">
      <c r="A299" s="659" t="s">
        <v>466</v>
      </c>
      <c r="B299" s="660"/>
      <c r="C299" s="661"/>
      <c r="D299" s="662"/>
      <c r="E299" s="662"/>
      <c r="F299" s="662"/>
      <c r="G299" s="662"/>
      <c r="H299" s="662"/>
      <c r="I299" s="663">
        <f>C5</f>
        <v>2020</v>
      </c>
      <c r="J299" s="664">
        <f>D5</f>
        <v>2019</v>
      </c>
      <c r="K299" s="664">
        <f>E5</f>
        <v>2016</v>
      </c>
      <c r="L299" s="665">
        <v>1</v>
      </c>
      <c r="N299" s="666">
        <v>1</v>
      </c>
      <c r="O299" s="667" t="s">
        <v>525</v>
      </c>
      <c r="P299" s="668"/>
      <c r="Q299" s="668"/>
      <c r="R299" s="668"/>
      <c r="S299" s="668"/>
      <c r="T299" s="668"/>
      <c r="U299" s="668"/>
      <c r="V299" s="668"/>
      <c r="W299" s="668"/>
      <c r="X299" s="668"/>
      <c r="Y299" s="669"/>
    </row>
    <row r="300" spans="1:25" ht="14.4">
      <c r="A300" s="659" t="s">
        <v>467</v>
      </c>
      <c r="B300" s="660"/>
      <c r="C300" s="661"/>
      <c r="D300" s="662"/>
      <c r="E300" s="662"/>
      <c r="F300" s="662"/>
      <c r="G300" s="662"/>
      <c r="H300" s="662"/>
      <c r="I300" s="663">
        <f>J5</f>
        <v>2019</v>
      </c>
      <c r="J300" s="664">
        <f>K5</f>
        <v>2017</v>
      </c>
      <c r="K300" s="664">
        <f>L5</f>
        <v>2016</v>
      </c>
      <c r="L300" s="665">
        <v>2</v>
      </c>
      <c r="N300" s="666">
        <v>2</v>
      </c>
      <c r="O300" s="667" t="s">
        <v>525</v>
      </c>
      <c r="P300" s="668"/>
      <c r="Q300" s="668"/>
      <c r="R300" s="668"/>
      <c r="S300" s="668"/>
      <c r="T300" s="668"/>
      <c r="U300" s="668"/>
      <c r="V300" s="668"/>
      <c r="W300" s="668"/>
      <c r="X300" s="668"/>
      <c r="Y300" s="669"/>
    </row>
    <row r="301" spans="1:25" ht="14.4">
      <c r="A301" s="659" t="s">
        <v>377</v>
      </c>
      <c r="B301" s="660"/>
      <c r="C301" s="661"/>
      <c r="D301" s="662"/>
      <c r="E301" s="662"/>
      <c r="F301" s="662"/>
      <c r="G301" s="662"/>
      <c r="H301" s="662"/>
      <c r="I301" s="663">
        <f>Q5</f>
        <v>2022</v>
      </c>
      <c r="J301" s="664">
        <f>R5</f>
        <v>2021</v>
      </c>
      <c r="K301" s="664">
        <f>S5</f>
        <v>2018</v>
      </c>
      <c r="L301" s="665">
        <v>3</v>
      </c>
      <c r="N301" s="666">
        <v>3</v>
      </c>
      <c r="O301" s="667" t="s">
        <v>525</v>
      </c>
      <c r="P301" s="668"/>
      <c r="Q301" s="668"/>
      <c r="R301" s="668"/>
      <c r="S301" s="668"/>
      <c r="T301" s="668"/>
      <c r="U301" s="668"/>
      <c r="V301" s="668"/>
      <c r="W301" s="668"/>
      <c r="X301" s="668"/>
      <c r="Y301" s="669"/>
    </row>
    <row r="302" spans="1:25" ht="14.4">
      <c r="A302" s="659" t="s">
        <v>468</v>
      </c>
      <c r="B302" s="660"/>
      <c r="C302" s="661"/>
      <c r="D302" s="662"/>
      <c r="E302" s="662"/>
      <c r="F302" s="662"/>
      <c r="G302" s="662"/>
      <c r="H302" s="662"/>
      <c r="I302" s="663">
        <f>C36</f>
        <v>2021</v>
      </c>
      <c r="J302" s="664">
        <f>D36</f>
        <v>2019</v>
      </c>
      <c r="K302" s="664">
        <f>E36</f>
        <v>2016</v>
      </c>
      <c r="L302" s="665">
        <v>4</v>
      </c>
      <c r="N302" s="666">
        <v>4</v>
      </c>
      <c r="O302" s="667" t="s">
        <v>525</v>
      </c>
      <c r="P302" s="668"/>
      <c r="Q302" s="668"/>
      <c r="R302" s="668"/>
      <c r="S302" s="668"/>
      <c r="T302" s="668"/>
      <c r="U302" s="668"/>
      <c r="V302" s="668"/>
      <c r="W302" s="668"/>
      <c r="X302" s="668"/>
      <c r="Y302" s="669"/>
    </row>
    <row r="303" spans="1:25" ht="14.4">
      <c r="A303" s="659" t="s">
        <v>469</v>
      </c>
      <c r="B303" s="661"/>
      <c r="C303" s="661"/>
      <c r="D303" s="662"/>
      <c r="E303" s="662"/>
      <c r="F303" s="662"/>
      <c r="G303" s="662"/>
      <c r="H303" s="662"/>
      <c r="I303" s="663">
        <f>J36</f>
        <v>2021</v>
      </c>
      <c r="J303" s="664">
        <f>K36</f>
        <v>2019</v>
      </c>
      <c r="K303" s="664">
        <f>L36</f>
        <v>2016</v>
      </c>
      <c r="L303" s="665">
        <v>5</v>
      </c>
      <c r="N303" s="666">
        <v>5</v>
      </c>
      <c r="O303" s="667" t="s">
        <v>525</v>
      </c>
      <c r="P303" s="668"/>
      <c r="Q303" s="668"/>
      <c r="R303" s="668"/>
      <c r="S303" s="668"/>
      <c r="T303" s="668"/>
      <c r="U303" s="668"/>
      <c r="V303" s="668"/>
      <c r="W303" s="668"/>
      <c r="X303" s="668"/>
      <c r="Y303" s="669"/>
    </row>
    <row r="304" spans="1:25" ht="14.4">
      <c r="A304" s="659" t="s">
        <v>378</v>
      </c>
      <c r="B304" s="661"/>
      <c r="C304" s="661"/>
      <c r="D304" s="662"/>
      <c r="E304" s="662"/>
      <c r="F304" s="662"/>
      <c r="G304" s="662"/>
      <c r="H304" s="662"/>
      <c r="I304" s="663">
        <f>Q36</f>
        <v>2019</v>
      </c>
      <c r="J304" s="664">
        <f>R36</f>
        <v>2018</v>
      </c>
      <c r="K304" s="664">
        <f>S36</f>
        <v>2016</v>
      </c>
      <c r="L304" s="665">
        <v>6</v>
      </c>
      <c r="N304" s="666">
        <v>6</v>
      </c>
      <c r="O304" s="667" t="s">
        <v>525</v>
      </c>
      <c r="P304" s="668"/>
      <c r="Q304" s="668"/>
      <c r="R304" s="668"/>
      <c r="S304" s="668"/>
      <c r="T304" s="668"/>
      <c r="U304" s="668"/>
      <c r="V304" s="668"/>
      <c r="W304" s="668"/>
      <c r="X304" s="668"/>
      <c r="Y304" s="669"/>
    </row>
    <row r="305" spans="1:25" ht="14.4">
      <c r="A305" s="659" t="s">
        <v>379</v>
      </c>
      <c r="B305" s="661"/>
      <c r="C305" s="661"/>
      <c r="D305" s="662"/>
      <c r="E305" s="662"/>
      <c r="F305" s="662"/>
      <c r="G305" s="662"/>
      <c r="H305" s="662"/>
      <c r="I305" s="663">
        <f>C67</f>
        <v>2020</v>
      </c>
      <c r="J305" s="664">
        <f>D67</f>
        <v>2018</v>
      </c>
      <c r="K305" s="664">
        <f>E67</f>
        <v>2016</v>
      </c>
      <c r="L305" s="665">
        <v>7</v>
      </c>
      <c r="N305" s="666">
        <v>7</v>
      </c>
      <c r="O305" s="667" t="s">
        <v>525</v>
      </c>
      <c r="P305" s="668"/>
      <c r="Q305" s="668"/>
      <c r="R305" s="668"/>
      <c r="S305" s="668"/>
      <c r="T305" s="668"/>
      <c r="U305" s="668"/>
      <c r="V305" s="668"/>
      <c r="W305" s="668"/>
      <c r="X305" s="668"/>
      <c r="Y305" s="669"/>
    </row>
    <row r="306" spans="1:25" ht="14.4">
      <c r="A306" s="659" t="s">
        <v>436</v>
      </c>
      <c r="B306" s="661"/>
      <c r="C306" s="661"/>
      <c r="D306" s="662"/>
      <c r="E306" s="662"/>
      <c r="F306" s="662"/>
      <c r="G306" s="662"/>
      <c r="H306" s="662"/>
      <c r="I306" s="670">
        <f>J67</f>
        <v>2022</v>
      </c>
      <c r="J306" s="664">
        <f>K67</f>
        <v>2020</v>
      </c>
      <c r="K306" s="664">
        <f>L67</f>
        <v>2016</v>
      </c>
      <c r="L306" s="665">
        <v>8</v>
      </c>
      <c r="N306" s="666">
        <v>8</v>
      </c>
      <c r="O306" s="667" t="s">
        <v>525</v>
      </c>
      <c r="P306" s="668"/>
      <c r="Q306" s="668"/>
      <c r="R306" s="668"/>
      <c r="S306" s="668"/>
      <c r="T306" s="668"/>
      <c r="U306" s="668"/>
      <c r="V306" s="668"/>
      <c r="W306" s="668"/>
      <c r="X306" s="668"/>
      <c r="Y306" s="669"/>
    </row>
    <row r="307" spans="1:25" ht="14.4">
      <c r="A307" s="659" t="s">
        <v>435</v>
      </c>
      <c r="B307" s="661"/>
      <c r="C307" s="661"/>
      <c r="D307" s="662"/>
      <c r="E307" s="662"/>
      <c r="F307" s="662"/>
      <c r="G307" s="662"/>
      <c r="H307" s="662"/>
      <c r="I307" s="670">
        <f>Q67</f>
        <v>2020</v>
      </c>
      <c r="J307" s="664" t="str">
        <f>R67</f>
        <v>-</v>
      </c>
      <c r="K307" s="664">
        <f>S67</f>
        <v>2016</v>
      </c>
      <c r="L307" s="665">
        <v>9</v>
      </c>
      <c r="N307" s="666">
        <v>9</v>
      </c>
      <c r="O307" s="667" t="s">
        <v>525</v>
      </c>
      <c r="P307" s="668"/>
      <c r="Q307" s="668"/>
      <c r="R307" s="668"/>
      <c r="S307" s="668"/>
      <c r="T307" s="668"/>
      <c r="U307" s="668"/>
      <c r="V307" s="668"/>
      <c r="W307" s="668"/>
      <c r="X307" s="668"/>
      <c r="Y307" s="669"/>
    </row>
    <row r="308" spans="1:25" ht="14.4">
      <c r="A308" s="659" t="s">
        <v>526</v>
      </c>
      <c r="B308" s="671"/>
      <c r="C308" s="671"/>
      <c r="D308" s="672"/>
      <c r="E308" s="672"/>
      <c r="F308" s="672"/>
      <c r="G308" s="672"/>
      <c r="H308" s="672"/>
      <c r="I308" s="670">
        <f>C98</f>
        <v>2021</v>
      </c>
      <c r="J308" s="664" t="str">
        <f>D98</f>
        <v>-</v>
      </c>
      <c r="K308" s="664">
        <f>E98</f>
        <v>2016</v>
      </c>
      <c r="L308" s="665">
        <v>10</v>
      </c>
      <c r="N308" s="666">
        <v>10</v>
      </c>
      <c r="O308" s="667" t="s">
        <v>525</v>
      </c>
      <c r="P308" s="673"/>
      <c r="Q308" s="673"/>
      <c r="R308" s="673"/>
      <c r="S308" s="673"/>
      <c r="T308" s="673"/>
      <c r="U308" s="673"/>
      <c r="V308" s="673"/>
      <c r="W308" s="673"/>
      <c r="X308" s="673"/>
      <c r="Y308" s="674"/>
    </row>
    <row r="309" spans="1:25" ht="14.4">
      <c r="A309" s="659" t="s">
        <v>527</v>
      </c>
      <c r="B309" s="671"/>
      <c r="C309" s="671"/>
      <c r="D309" s="672"/>
      <c r="E309" s="672"/>
      <c r="F309" s="672"/>
      <c r="G309" s="672"/>
      <c r="H309" s="672"/>
      <c r="I309" s="670" t="str">
        <f>J98</f>
        <v>-</v>
      </c>
      <c r="J309" s="664" t="str">
        <f>K98</f>
        <v>-</v>
      </c>
      <c r="K309" s="664">
        <f>L98</f>
        <v>2016</v>
      </c>
      <c r="L309" s="665">
        <v>11</v>
      </c>
      <c r="N309" s="666">
        <v>11</v>
      </c>
      <c r="O309" s="667" t="s">
        <v>525</v>
      </c>
      <c r="P309" s="673"/>
      <c r="Q309" s="673"/>
      <c r="R309" s="673"/>
      <c r="S309" s="673"/>
      <c r="T309" s="673"/>
      <c r="U309" s="673"/>
      <c r="V309" s="673"/>
      <c r="W309" s="673"/>
      <c r="X309" s="673"/>
      <c r="Y309" s="674"/>
    </row>
    <row r="310" spans="1:25" ht="14.4">
      <c r="A310" s="659" t="s">
        <v>528</v>
      </c>
      <c r="B310" s="671"/>
      <c r="C310" s="671"/>
      <c r="D310" s="672"/>
      <c r="E310" s="672"/>
      <c r="F310" s="672"/>
      <c r="G310" s="672"/>
      <c r="H310" s="672"/>
      <c r="I310" s="670" t="str">
        <f>Q98</f>
        <v>-</v>
      </c>
      <c r="J310" s="664" t="str">
        <f>R98</f>
        <v>-</v>
      </c>
      <c r="K310" s="664">
        <f>S98</f>
        <v>2016</v>
      </c>
      <c r="L310" s="665">
        <v>12</v>
      </c>
      <c r="N310" s="666">
        <v>12</v>
      </c>
      <c r="O310" s="667" t="s">
        <v>525</v>
      </c>
      <c r="P310" s="673"/>
      <c r="Q310" s="673"/>
      <c r="R310" s="673"/>
      <c r="S310" s="673"/>
      <c r="T310" s="673"/>
      <c r="U310" s="673"/>
      <c r="V310" s="673"/>
      <c r="W310" s="673"/>
      <c r="X310" s="673"/>
      <c r="Y310" s="674"/>
    </row>
    <row r="311" spans="1:25" ht="14.4" thickBot="1">
      <c r="A311" s="1374">
        <f>VLOOKUP(A298,A299:L310,12,(FALSE))</f>
        <v>8</v>
      </c>
      <c r="B311" s="1375"/>
      <c r="C311" s="1375"/>
      <c r="D311" s="1375"/>
      <c r="E311" s="1375"/>
      <c r="F311" s="1375"/>
      <c r="G311" s="1375"/>
      <c r="H311" s="1375"/>
      <c r="I311" s="1375"/>
      <c r="J311" s="1375"/>
      <c r="K311" s="1375"/>
      <c r="L311" s="1375"/>
      <c r="N311" s="675" t="str">
        <f>VLOOKUP(N298,N299:Y310,2,FALSE)</f>
        <v>Hasil pengukuran keselamatan listrik tertelusur ke Satuan Internasional ( SI ) melalui PT. Kaliman (LK-032-IDN)</v>
      </c>
      <c r="O311" s="676"/>
      <c r="P311" s="676"/>
      <c r="Q311" s="677"/>
      <c r="R311" s="677"/>
      <c r="S311" s="677"/>
      <c r="T311" s="677"/>
      <c r="U311" s="677"/>
      <c r="V311" s="677"/>
      <c r="W311" s="677"/>
      <c r="X311" s="677"/>
      <c r="Y311" s="678"/>
    </row>
  </sheetData>
  <mergeCells count="239"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L129:O129"/>
    <mergeCell ref="A131:A142"/>
    <mergeCell ref="J131:J142"/>
    <mergeCell ref="A144:A155"/>
    <mergeCell ref="J144:J155"/>
    <mergeCell ref="A157:A168"/>
    <mergeCell ref="J157:J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K209:K211"/>
    <mergeCell ref="L209:Q209"/>
    <mergeCell ref="C210:F210"/>
    <mergeCell ref="L210:O210"/>
    <mergeCell ref="A170:A181"/>
    <mergeCell ref="J170:J181"/>
    <mergeCell ref="A183:A194"/>
    <mergeCell ref="J183:J194"/>
    <mergeCell ref="A196:A207"/>
    <mergeCell ref="J196:J207"/>
    <mergeCell ref="A212:A223"/>
    <mergeCell ref="J212:J223"/>
    <mergeCell ref="A225:A236"/>
    <mergeCell ref="J225:J236"/>
    <mergeCell ref="A238:A249"/>
    <mergeCell ref="J238:J249"/>
    <mergeCell ref="A209:A211"/>
    <mergeCell ref="B209:B211"/>
    <mergeCell ref="C209:H209"/>
    <mergeCell ref="J209:J211"/>
    <mergeCell ref="A251:A262"/>
    <mergeCell ref="J251:J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A311:L311"/>
    <mergeCell ref="H285:K285"/>
    <mergeCell ref="A289:D289"/>
    <mergeCell ref="H289:K289"/>
    <mergeCell ref="H293:K293"/>
    <mergeCell ref="N298:Y298"/>
    <mergeCell ref="H271:J271"/>
    <mergeCell ref="H274:J274"/>
    <mergeCell ref="A275:D275"/>
    <mergeCell ref="H277:K277"/>
    <mergeCell ref="H281:K281"/>
    <mergeCell ref="A283:D28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D7A6-E506-4045-8DD3-0FB6147FBF74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C69D-DEE1-44F4-8F27-5DB85FE75235}">
  <dimension ref="A2:E31"/>
  <sheetViews>
    <sheetView workbookViewId="0">
      <selection activeCell="C13" sqref="C13"/>
    </sheetView>
  </sheetViews>
  <sheetFormatPr defaultRowHeight="13.2"/>
  <cols>
    <col min="2" max="2" width="21.33203125" customWidth="1"/>
    <col min="3" max="3" width="50.88671875" customWidth="1"/>
    <col min="4" max="4" width="53.44140625" customWidth="1"/>
  </cols>
  <sheetData>
    <row r="2" spans="1:5">
      <c r="A2" s="1112" t="s">
        <v>459</v>
      </c>
      <c r="B2" s="1112" t="s">
        <v>186</v>
      </c>
      <c r="C2" s="1112" t="s">
        <v>460</v>
      </c>
      <c r="D2" s="1112"/>
      <c r="E2" s="1112" t="s">
        <v>185</v>
      </c>
    </row>
    <row r="3" spans="1:5">
      <c r="A3" s="1112"/>
      <c r="B3" s="1112"/>
      <c r="C3" s="458" t="s">
        <v>9</v>
      </c>
      <c r="D3" s="458" t="s">
        <v>10</v>
      </c>
      <c r="E3" s="1112"/>
    </row>
    <row r="4" spans="1:5" ht="52.8">
      <c r="A4" s="458">
        <v>1</v>
      </c>
      <c r="B4" s="459" t="s">
        <v>462</v>
      </c>
      <c r="C4" s="464" t="s">
        <v>463</v>
      </c>
      <c r="D4" s="461" t="s">
        <v>485</v>
      </c>
      <c r="E4" s="473" t="s">
        <v>486</v>
      </c>
    </row>
    <row r="5" spans="1:5" ht="39.6">
      <c r="A5" s="458"/>
      <c r="B5" s="462"/>
      <c r="C5" s="464" t="s">
        <v>464</v>
      </c>
      <c r="D5" s="463" t="s">
        <v>485</v>
      </c>
      <c r="E5" s="474" t="s">
        <v>486</v>
      </c>
    </row>
    <row r="6" spans="1:5">
      <c r="A6" s="458"/>
      <c r="B6" s="462"/>
      <c r="C6" s="464" t="s">
        <v>475</v>
      </c>
      <c r="D6" s="465" t="s">
        <v>474</v>
      </c>
      <c r="E6" s="474" t="s">
        <v>461</v>
      </c>
    </row>
    <row r="7" spans="1:5">
      <c r="A7" s="458"/>
      <c r="B7" s="462"/>
      <c r="C7" s="466"/>
      <c r="D7" s="467"/>
      <c r="E7" s="474"/>
    </row>
    <row r="8" spans="1:5">
      <c r="A8" s="458"/>
      <c r="B8" s="462"/>
      <c r="C8" s="460"/>
      <c r="D8" s="461"/>
      <c r="E8" s="475"/>
    </row>
    <row r="9" spans="1:5">
      <c r="A9" s="458"/>
      <c r="B9" s="462"/>
      <c r="C9" s="468"/>
      <c r="D9" s="469"/>
      <c r="E9" s="470"/>
    </row>
    <row r="10" spans="1:5">
      <c r="A10" s="458"/>
      <c r="B10" s="462"/>
      <c r="C10" s="471"/>
      <c r="D10" s="461"/>
      <c r="E10" s="470"/>
    </row>
    <row r="11" spans="1:5">
      <c r="A11" s="458"/>
      <c r="B11" s="462"/>
      <c r="C11" s="460"/>
      <c r="D11" s="461"/>
      <c r="E11" s="470"/>
    </row>
    <row r="12" spans="1:5">
      <c r="A12" s="458"/>
      <c r="B12" s="462"/>
      <c r="C12" s="460"/>
      <c r="D12" s="461"/>
      <c r="E12" s="470"/>
    </row>
    <row r="13" spans="1:5">
      <c r="A13" s="458"/>
      <c r="B13" s="462"/>
      <c r="C13" s="472"/>
      <c r="D13" s="460"/>
      <c r="E13" s="470"/>
    </row>
    <row r="14" spans="1:5">
      <c r="A14" s="458"/>
      <c r="B14" s="462"/>
      <c r="C14" s="460"/>
      <c r="D14" s="461"/>
      <c r="E14" s="470"/>
    </row>
    <row r="15" spans="1:5">
      <c r="A15" s="458"/>
      <c r="B15" s="462"/>
      <c r="C15" s="460"/>
      <c r="D15" s="461"/>
      <c r="E15" s="470"/>
    </row>
    <row r="16" spans="1:5">
      <c r="A16" s="458"/>
      <c r="B16" s="462"/>
      <c r="C16" s="460"/>
      <c r="D16" s="461"/>
      <c r="E16" s="470"/>
    </row>
    <row r="17" spans="1:5">
      <c r="A17" s="458"/>
      <c r="B17" s="462"/>
      <c r="C17" s="460"/>
      <c r="D17" s="461"/>
      <c r="E17" s="470"/>
    </row>
    <row r="18" spans="1:5">
      <c r="A18" s="458"/>
      <c r="B18" s="462"/>
      <c r="C18" s="460"/>
      <c r="D18" s="461"/>
      <c r="E18" s="470"/>
    </row>
    <row r="19" spans="1:5">
      <c r="A19" s="458"/>
      <c r="B19" s="462"/>
      <c r="C19" s="460"/>
      <c r="D19" s="461"/>
      <c r="E19" s="470"/>
    </row>
    <row r="20" spans="1:5">
      <c r="A20" s="458"/>
      <c r="B20" s="462"/>
      <c r="C20" s="460"/>
      <c r="D20" s="461"/>
      <c r="E20" s="470"/>
    </row>
    <row r="21" spans="1:5">
      <c r="A21" s="458"/>
      <c r="B21" s="462"/>
      <c r="C21" s="460"/>
      <c r="D21" s="461"/>
      <c r="E21" s="470"/>
    </row>
    <row r="22" spans="1:5">
      <c r="A22" s="458"/>
      <c r="B22" s="462"/>
      <c r="C22" s="460"/>
      <c r="D22" s="461"/>
      <c r="E22" s="470"/>
    </row>
    <row r="23" spans="1:5">
      <c r="A23" s="458"/>
      <c r="B23" s="462"/>
      <c r="C23" s="460"/>
      <c r="D23" s="461"/>
      <c r="E23" s="470"/>
    </row>
    <row r="24" spans="1:5">
      <c r="A24" s="458"/>
      <c r="B24" s="462"/>
      <c r="C24" s="460"/>
      <c r="D24" s="461"/>
      <c r="E24" s="470"/>
    </row>
    <row r="25" spans="1:5">
      <c r="A25" s="458"/>
      <c r="B25" s="462"/>
      <c r="C25" s="460"/>
      <c r="D25" s="461"/>
      <c r="E25" s="470"/>
    </row>
    <row r="26" spans="1:5">
      <c r="A26" s="458"/>
      <c r="B26" s="462"/>
      <c r="C26" s="460"/>
      <c r="D26" s="461"/>
      <c r="E26" s="470"/>
    </row>
    <row r="27" spans="1:5">
      <c r="A27" s="458"/>
      <c r="B27" s="462"/>
      <c r="C27" s="460"/>
      <c r="D27" s="461"/>
      <c r="E27" s="470"/>
    </row>
    <row r="28" spans="1:5">
      <c r="A28" s="458"/>
      <c r="B28" s="462"/>
      <c r="C28" s="460"/>
      <c r="D28" s="461"/>
      <c r="E28" s="470"/>
    </row>
    <row r="29" spans="1:5">
      <c r="A29" s="458"/>
      <c r="B29" s="462"/>
      <c r="C29" s="460"/>
      <c r="D29" s="461"/>
      <c r="E29" s="470"/>
    </row>
    <row r="30" spans="1:5">
      <c r="A30" s="458"/>
      <c r="B30" s="462"/>
      <c r="C30" s="460"/>
      <c r="D30" s="461"/>
      <c r="E30" s="470"/>
    </row>
    <row r="31" spans="1:5">
      <c r="A31" s="458"/>
      <c r="B31" s="462"/>
      <c r="C31" s="460"/>
      <c r="D31" s="461"/>
      <c r="E31" s="470"/>
    </row>
  </sheetData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T179"/>
  <sheetViews>
    <sheetView showGridLines="0" view="pageBreakPreview" topLeftCell="A99" zoomScale="70" zoomScaleNormal="100" zoomScaleSheetLayoutView="70" workbookViewId="0">
      <selection activeCell="A118" sqref="A118:N118"/>
    </sheetView>
  </sheetViews>
  <sheetFormatPr defaultColWidth="9" defaultRowHeight="15" outlineLevelRow="1"/>
  <cols>
    <col min="1" max="1" width="17.5546875" style="43" customWidth="1"/>
    <col min="2" max="2" width="12.88671875" style="43" customWidth="1"/>
    <col min="3" max="4" width="9.6640625" style="43" customWidth="1"/>
    <col min="5" max="5" width="10.33203125" style="43" customWidth="1"/>
    <col min="6" max="6" width="9.6640625" style="43" customWidth="1"/>
    <col min="7" max="9" width="11.44140625" style="43" customWidth="1"/>
    <col min="10" max="12" width="9.6640625" style="43" customWidth="1"/>
    <col min="13" max="13" width="10.6640625" style="43" customWidth="1"/>
    <col min="14" max="14" width="11.88671875" style="43" customWidth="1"/>
    <col min="15" max="15" width="10.88671875" style="43" customWidth="1"/>
    <col min="16" max="16" width="11.33203125" style="834" customWidth="1"/>
    <col min="17" max="17" width="13.109375" style="834" customWidth="1"/>
    <col min="18" max="18" width="10.88671875" style="834" customWidth="1"/>
    <col min="19" max="19" width="11.44140625" style="834" customWidth="1"/>
    <col min="20" max="22" width="9.109375" style="834" customWidth="1"/>
    <col min="23" max="23" width="14.109375" style="834" customWidth="1"/>
    <col min="24" max="67" width="9.109375" style="834" customWidth="1"/>
    <col min="68" max="254" width="9.109375" style="43" customWidth="1"/>
    <col min="255" max="16384" width="9" style="744"/>
  </cols>
  <sheetData>
    <row r="1" spans="1:67" ht="19.5" customHeight="1">
      <c r="A1" s="1147" t="s">
        <v>360</v>
      </c>
      <c r="B1" s="1147"/>
      <c r="C1" s="1147"/>
      <c r="D1" s="1147"/>
      <c r="E1" s="1147"/>
      <c r="F1" s="1147"/>
      <c r="G1" s="1147"/>
      <c r="H1" s="1147"/>
      <c r="I1" s="1147"/>
      <c r="J1" s="1147"/>
      <c r="K1" s="1147"/>
      <c r="L1" s="1147"/>
      <c r="M1" s="1147"/>
      <c r="N1" s="1147"/>
      <c r="O1" s="1147"/>
    </row>
    <row r="2" spans="1:67" ht="18.75" customHeight="1">
      <c r="B2" s="686"/>
      <c r="C2" s="686"/>
      <c r="D2" s="686"/>
      <c r="E2" s="686"/>
      <c r="F2" s="686"/>
      <c r="G2" s="686"/>
      <c r="H2" s="685" t="str">
        <f>R6</f>
        <v>Nomor Sertifikat : 31</v>
      </c>
      <c r="I2" s="816" t="s">
        <v>386</v>
      </c>
      <c r="J2" s="686"/>
      <c r="K2" s="686"/>
      <c r="L2" s="686"/>
      <c r="M2" s="686"/>
      <c r="N2" s="686"/>
      <c r="O2" s="686"/>
    </row>
    <row r="3" spans="1:67" ht="18.75" customHeight="1">
      <c r="A3" s="745"/>
      <c r="B3" s="745"/>
      <c r="C3" s="745"/>
      <c r="D3" s="745"/>
      <c r="E3" s="745"/>
      <c r="F3" s="745"/>
      <c r="G3" s="745"/>
      <c r="H3" s="745"/>
      <c r="I3" s="745"/>
    </row>
    <row r="4" spans="1:67" ht="15.75" customHeight="1">
      <c r="A4" s="746"/>
      <c r="B4" s="746"/>
      <c r="C4" s="746"/>
      <c r="D4" s="746"/>
      <c r="E4" s="746"/>
      <c r="F4" s="746"/>
      <c r="G4" s="746"/>
      <c r="H4" s="746"/>
      <c r="I4" s="746"/>
    </row>
    <row r="5" spans="1:67" ht="15.75" customHeight="1">
      <c r="A5" s="43" t="s">
        <v>72</v>
      </c>
      <c r="B5" s="747" t="s">
        <v>1</v>
      </c>
      <c r="C5" s="817" t="s">
        <v>350</v>
      </c>
      <c r="D5" s="749"/>
      <c r="E5" s="749"/>
      <c r="F5" s="749"/>
      <c r="I5" s="1123"/>
      <c r="J5" s="1123"/>
      <c r="K5" s="449"/>
    </row>
    <row r="6" spans="1:67" s="692" customFormat="1" ht="15.75" customHeight="1">
      <c r="A6" s="43" t="s">
        <v>73</v>
      </c>
      <c r="B6" s="747" t="s">
        <v>1</v>
      </c>
      <c r="C6" s="818" t="s">
        <v>351</v>
      </c>
      <c r="D6" s="748"/>
      <c r="E6" s="748"/>
      <c r="F6" s="748"/>
      <c r="I6" s="1123"/>
      <c r="J6" s="1123"/>
      <c r="K6" s="450"/>
      <c r="M6" s="43"/>
      <c r="P6" s="835"/>
      <c r="Q6" s="835"/>
      <c r="R6" s="835" t="str">
        <f>VLOOKUP(Q16,R7:S10,2,0)</f>
        <v>Nomor Sertifikat : 31</v>
      </c>
      <c r="S6" s="834"/>
      <c r="T6" s="834"/>
      <c r="U6" s="835"/>
      <c r="V6" s="835"/>
      <c r="W6" s="835"/>
      <c r="X6" s="835"/>
      <c r="Y6" s="835"/>
      <c r="Z6" s="835"/>
      <c r="AA6" s="835"/>
      <c r="AB6" s="835"/>
      <c r="AC6" s="835"/>
      <c r="AD6" s="835"/>
      <c r="AE6" s="835"/>
      <c r="AF6" s="835"/>
      <c r="AG6" s="835"/>
      <c r="AH6" s="835"/>
      <c r="AI6" s="835"/>
      <c r="AJ6" s="835"/>
      <c r="AK6" s="835"/>
      <c r="AL6" s="835"/>
      <c r="AM6" s="835"/>
      <c r="AN6" s="835"/>
      <c r="AO6" s="835"/>
      <c r="AP6" s="835"/>
      <c r="AQ6" s="835"/>
      <c r="AR6" s="835"/>
      <c r="AS6" s="835"/>
      <c r="AT6" s="835"/>
      <c r="AU6" s="835"/>
      <c r="AV6" s="835"/>
      <c r="AW6" s="835"/>
      <c r="AX6" s="835"/>
      <c r="AY6" s="835"/>
      <c r="AZ6" s="835"/>
      <c r="BA6" s="835"/>
      <c r="BB6" s="835"/>
      <c r="BC6" s="835"/>
      <c r="BD6" s="835"/>
      <c r="BE6" s="835"/>
      <c r="BF6" s="835"/>
      <c r="BG6" s="835"/>
      <c r="BH6" s="835"/>
      <c r="BI6" s="835"/>
      <c r="BJ6" s="835"/>
      <c r="BK6" s="835"/>
      <c r="BL6" s="835"/>
      <c r="BM6" s="835"/>
      <c r="BN6" s="835"/>
      <c r="BO6" s="835"/>
    </row>
    <row r="7" spans="1:67" ht="15.75" customHeight="1">
      <c r="A7" s="43" t="s">
        <v>74</v>
      </c>
      <c r="B7" s="747" t="s">
        <v>1</v>
      </c>
      <c r="C7" s="819" t="s">
        <v>352</v>
      </c>
      <c r="D7" s="749"/>
      <c r="E7" s="749"/>
      <c r="F7" s="749"/>
      <c r="R7" s="836">
        <v>1</v>
      </c>
      <c r="S7" s="835" t="s">
        <v>384</v>
      </c>
      <c r="T7" s="837" t="s">
        <v>348</v>
      </c>
    </row>
    <row r="8" spans="1:67" ht="15.75" customHeight="1">
      <c r="A8" s="43" t="s">
        <v>4</v>
      </c>
      <c r="B8" s="747" t="s">
        <v>1</v>
      </c>
      <c r="C8" s="817">
        <v>1</v>
      </c>
      <c r="D8" s="752" t="s">
        <v>75</v>
      </c>
      <c r="E8" s="820" t="s">
        <v>443</v>
      </c>
      <c r="F8" s="749"/>
      <c r="G8" s="747"/>
      <c r="R8" s="836">
        <v>0</v>
      </c>
      <c r="S8" s="834" t="s">
        <v>385</v>
      </c>
      <c r="T8" s="838" t="s">
        <v>349</v>
      </c>
    </row>
    <row r="9" spans="1:67" ht="15.75" customHeight="1">
      <c r="A9" s="43" t="str">
        <f>'Lembar Kerja'!A8</f>
        <v>Tanggal Penerimaan Alat</v>
      </c>
      <c r="B9" s="747"/>
      <c r="C9" s="819" t="s">
        <v>353</v>
      </c>
      <c r="D9" s="752"/>
      <c r="E9" s="749"/>
      <c r="F9" s="749"/>
      <c r="G9" s="747"/>
      <c r="P9" s="834" t="s">
        <v>442</v>
      </c>
      <c r="R9" s="836"/>
      <c r="T9" s="839"/>
    </row>
    <row r="10" spans="1:67" ht="15.75" customHeight="1">
      <c r="A10" s="43" t="s">
        <v>476</v>
      </c>
      <c r="B10" s="747" t="s">
        <v>1</v>
      </c>
      <c r="C10" s="819" t="str">
        <f>C9</f>
        <v>18 Februari 2020</v>
      </c>
      <c r="D10" s="749"/>
      <c r="E10" s="749"/>
      <c r="F10" s="749"/>
      <c r="G10" s="747"/>
      <c r="P10" s="834" t="s">
        <v>443</v>
      </c>
      <c r="R10" s="836">
        <v>2</v>
      </c>
      <c r="S10" s="834" t="s">
        <v>382</v>
      </c>
    </row>
    <row r="11" spans="1:67" ht="15.75" customHeight="1">
      <c r="A11" s="43" t="s">
        <v>477</v>
      </c>
      <c r="B11" s="747" t="s">
        <v>1</v>
      </c>
      <c r="C11" s="818" t="s">
        <v>322</v>
      </c>
      <c r="D11" s="749"/>
      <c r="E11" s="749"/>
      <c r="F11" s="749"/>
      <c r="G11" s="747"/>
    </row>
    <row r="12" spans="1:67" ht="15.75" customHeight="1">
      <c r="A12" s="43" t="s">
        <v>76</v>
      </c>
      <c r="B12" s="747" t="s">
        <v>1</v>
      </c>
      <c r="C12" s="819" t="s">
        <v>322</v>
      </c>
      <c r="D12" s="749"/>
      <c r="E12" s="749"/>
      <c r="F12" s="749"/>
      <c r="G12" s="747"/>
      <c r="K12" s="43" t="s">
        <v>453</v>
      </c>
    </row>
    <row r="13" spans="1:67" ht="15.75" customHeight="1">
      <c r="A13" s="43" t="s">
        <v>77</v>
      </c>
      <c r="B13" s="747" t="s">
        <v>1</v>
      </c>
      <c r="C13" s="1148" t="s">
        <v>359</v>
      </c>
      <c r="D13" s="1148"/>
      <c r="E13" s="1148"/>
      <c r="F13" s="1148"/>
      <c r="G13" s="1148"/>
      <c r="H13" s="1148"/>
      <c r="I13" s="1148"/>
      <c r="J13" s="1148"/>
    </row>
    <row r="14" spans="1:67" ht="17.25" customHeight="1">
      <c r="C14" s="1148"/>
      <c r="D14" s="1148"/>
      <c r="E14" s="1148"/>
      <c r="F14" s="1148"/>
      <c r="G14" s="1148"/>
      <c r="H14" s="1148"/>
      <c r="I14" s="1148"/>
      <c r="J14" s="1148"/>
    </row>
    <row r="15" spans="1:67" ht="17.25" customHeight="1">
      <c r="H15" s="691"/>
      <c r="I15" s="691"/>
      <c r="J15" s="165"/>
    </row>
    <row r="16" spans="1:67" ht="15.75" customHeight="1">
      <c r="A16" s="753" t="s">
        <v>363</v>
      </c>
      <c r="B16" s="753"/>
      <c r="C16" s="687" t="s">
        <v>9</v>
      </c>
      <c r="D16" s="687" t="s">
        <v>10</v>
      </c>
      <c r="E16" s="754" t="s">
        <v>78</v>
      </c>
      <c r="F16" s="687" t="s">
        <v>79</v>
      </c>
      <c r="G16" s="755"/>
      <c r="H16" s="821" t="s">
        <v>78</v>
      </c>
      <c r="I16" s="822" t="s">
        <v>79</v>
      </c>
      <c r="J16" s="823"/>
      <c r="K16" s="757"/>
      <c r="Q16" s="834">
        <f>IF('Lembar Penyelia'!H70&gt;=70%,1,0)</f>
        <v>1</v>
      </c>
    </row>
    <row r="17" spans="1:22" ht="18" customHeight="1">
      <c r="A17" s="692" t="s">
        <v>12</v>
      </c>
      <c r="B17" s="747" t="s">
        <v>1</v>
      </c>
      <c r="C17" s="827">
        <v>26.2</v>
      </c>
      <c r="D17" s="827">
        <v>26.3</v>
      </c>
      <c r="E17" s="690">
        <f>(C17+D17)/2</f>
        <v>26.25</v>
      </c>
      <c r="F17" s="758">
        <f>(MAX(C17:D17)-MIN(C17:D17))/2</f>
        <v>5.0000000000000711E-2</v>
      </c>
      <c r="G17" s="43" t="s">
        <v>80</v>
      </c>
      <c r="H17" s="824">
        <f>(25+25.2)/2</f>
        <v>25.1</v>
      </c>
      <c r="I17" s="825">
        <f>(25.2-25)/2</f>
        <v>9.9999999999999645E-2</v>
      </c>
      <c r="J17" s="821" t="s">
        <v>80</v>
      </c>
      <c r="K17" s="757"/>
    </row>
    <row r="18" spans="1:22" ht="16.5" customHeight="1">
      <c r="A18" s="692" t="s">
        <v>13</v>
      </c>
      <c r="B18" s="747" t="s">
        <v>1</v>
      </c>
      <c r="C18" s="828">
        <v>63.4</v>
      </c>
      <c r="D18" s="828">
        <v>63.1</v>
      </c>
      <c r="E18" s="760">
        <f>(C18+D18)/2</f>
        <v>63.25</v>
      </c>
      <c r="F18" s="758">
        <f>(MAX(C18:D18)-MIN(C18:D18))/2</f>
        <v>0.14999999999999858</v>
      </c>
      <c r="G18" s="43" t="s">
        <v>14</v>
      </c>
      <c r="H18" s="824">
        <f>(64+63.7)/2</f>
        <v>63.85</v>
      </c>
      <c r="I18" s="825">
        <f>(64-63.7)/2</f>
        <v>0.14999999999999858</v>
      </c>
      <c r="J18" s="821" t="s">
        <v>14</v>
      </c>
      <c r="K18" s="757"/>
    </row>
    <row r="19" spans="1:22" ht="16.5" customHeight="1">
      <c r="A19" s="692" t="s">
        <v>15</v>
      </c>
      <c r="B19" s="747" t="s">
        <v>1</v>
      </c>
      <c r="C19" s="829">
        <v>223.4</v>
      </c>
      <c r="D19" s="761" t="s">
        <v>81</v>
      </c>
      <c r="E19" s="761"/>
      <c r="G19" s="762"/>
      <c r="H19" s="826"/>
      <c r="I19" s="826"/>
      <c r="J19" s="750"/>
      <c r="P19" s="840" t="s">
        <v>35</v>
      </c>
      <c r="Q19" s="841">
        <v>500</v>
      </c>
      <c r="R19" s="842"/>
      <c r="S19" s="842"/>
      <c r="T19" s="842"/>
      <c r="U19" s="842"/>
      <c r="V19" s="843"/>
    </row>
    <row r="20" spans="1:22" ht="17.25" customHeight="1">
      <c r="A20" s="753"/>
      <c r="B20" s="753"/>
      <c r="C20" s="753"/>
      <c r="I20" s="764"/>
      <c r="P20" s="840" t="s">
        <v>454</v>
      </c>
      <c r="Q20" s="841">
        <v>100</v>
      </c>
      <c r="R20" s="842"/>
      <c r="S20" s="842"/>
      <c r="T20" s="842"/>
      <c r="U20" s="842"/>
      <c r="V20" s="843"/>
    </row>
    <row r="21" spans="1:22" ht="19.5" customHeight="1">
      <c r="A21" s="753" t="s">
        <v>361</v>
      </c>
      <c r="F21" s="764"/>
      <c r="H21" s="692"/>
    </row>
    <row r="22" spans="1:22" ht="21" customHeight="1">
      <c r="A22" s="43" t="s">
        <v>82</v>
      </c>
      <c r="B22" s="747" t="s">
        <v>1</v>
      </c>
      <c r="C22" s="1149" t="s">
        <v>83</v>
      </c>
      <c r="D22" s="1149"/>
      <c r="F22" s="44"/>
      <c r="G22" s="1153"/>
      <c r="H22" s="1153"/>
      <c r="I22" s="1153"/>
      <c r="J22" s="1153"/>
      <c r="K22" s="1153"/>
    </row>
    <row r="23" spans="1:22" ht="15.75" customHeight="1">
      <c r="A23" s="43" t="s">
        <v>84</v>
      </c>
      <c r="B23" s="747" t="s">
        <v>1</v>
      </c>
      <c r="C23" s="1149" t="s">
        <v>83</v>
      </c>
      <c r="D23" s="1149"/>
      <c r="E23" s="44"/>
      <c r="F23" s="44"/>
      <c r="G23" s="1153"/>
      <c r="H23" s="1153"/>
      <c r="I23" s="1153"/>
      <c r="J23" s="1153"/>
      <c r="K23" s="1153"/>
    </row>
    <row r="24" spans="1:22" ht="15.75" customHeight="1">
      <c r="B24" s="747"/>
      <c r="E24" s="44"/>
      <c r="F24" s="44"/>
      <c r="G24" s="693"/>
      <c r="H24" s="693"/>
      <c r="I24" s="693"/>
      <c r="J24" s="693"/>
      <c r="K24" s="693"/>
    </row>
    <row r="25" spans="1:22" ht="18.75" customHeight="1" thickBot="1">
      <c r="A25" s="753" t="s">
        <v>362</v>
      </c>
      <c r="I25" s="764"/>
    </row>
    <row r="26" spans="1:22" ht="33" customHeight="1" thickTop="1" thickBot="1">
      <c r="A26" s="765" t="s">
        <v>22</v>
      </c>
      <c r="B26" s="1150" t="s">
        <v>23</v>
      </c>
      <c r="C26" s="1150"/>
      <c r="D26" s="1150"/>
      <c r="E26" s="1150"/>
      <c r="F26" s="1150"/>
      <c r="G26" s="1150"/>
      <c r="H26" s="1150"/>
      <c r="I26" s="1151" t="s">
        <v>24</v>
      </c>
      <c r="J26" s="1152"/>
      <c r="K26" s="1151" t="s">
        <v>25</v>
      </c>
      <c r="L26" s="1152"/>
      <c r="P26" s="766" t="s">
        <v>383</v>
      </c>
    </row>
    <row r="27" spans="1:22" ht="15.75" customHeight="1">
      <c r="A27" s="687">
        <v>1</v>
      </c>
      <c r="B27" s="156" t="s">
        <v>26</v>
      </c>
      <c r="C27" s="46"/>
      <c r="D27" s="46"/>
      <c r="E27" s="46"/>
      <c r="F27" s="767"/>
      <c r="G27" s="46"/>
      <c r="H27" s="768"/>
      <c r="I27" s="830" t="s">
        <v>487</v>
      </c>
      <c r="J27" s="769" t="s">
        <v>27</v>
      </c>
      <c r="K27" s="1118" t="s">
        <v>85</v>
      </c>
      <c r="L27" s="1118"/>
      <c r="N27" s="1124"/>
      <c r="O27" s="1124"/>
      <c r="P27" s="1115" t="s">
        <v>213</v>
      </c>
      <c r="U27" s="834" t="str">
        <f>IF(AND(I30&lt;=500,P27&gt;100,N27="G"),"masuk",IF(AND(N27="NG",I30&gt;=500,P27&lt;=100),"keluar",IF(AND(N27="G",I30="-",P27="-"),"uye",IF(AND(I30="-",P27="-"),"masuk",IF(AND(I30&lt;=500,P27&lt;=100),"masuk",IF(AND(I30&gt;500,P27&gt;100),"keluar",IF(AND(I30&gt;500,P27&lt;=100),"masuk",IF(AND(I30&lt;=500,P27="-"),"masuk",IF(AND(I30&lt;=500,P27&gt;=100),"keluar",IF(AND(P27="-",I30&gt;500),"keluar"))))))))))</f>
        <v>masuk</v>
      </c>
    </row>
    <row r="28" spans="1:22" ht="15.75" customHeight="1">
      <c r="A28" s="687">
        <v>2</v>
      </c>
      <c r="B28" s="763" t="s">
        <v>321</v>
      </c>
      <c r="C28" s="46"/>
      <c r="D28" s="46"/>
      <c r="E28" s="46"/>
      <c r="F28" s="767"/>
      <c r="G28" s="46"/>
      <c r="H28" s="768"/>
      <c r="I28" s="831">
        <v>0.123</v>
      </c>
      <c r="J28" s="769" t="s">
        <v>30</v>
      </c>
      <c r="K28" s="1118" t="s">
        <v>31</v>
      </c>
      <c r="L28" s="1118"/>
      <c r="N28" s="1124"/>
      <c r="O28" s="1124"/>
      <c r="P28" s="1116"/>
    </row>
    <row r="29" spans="1:22" ht="15.75" hidden="1" customHeight="1">
      <c r="A29" s="770">
        <v>4</v>
      </c>
      <c r="B29" s="157" t="s">
        <v>32</v>
      </c>
      <c r="C29" s="49"/>
      <c r="D29" s="49"/>
      <c r="E29" s="49"/>
      <c r="F29" s="771"/>
      <c r="G29" s="49"/>
      <c r="H29" s="772"/>
      <c r="I29" s="832"/>
      <c r="J29" s="773" t="s">
        <v>33</v>
      </c>
      <c r="K29" s="1119"/>
      <c r="L29" s="1119"/>
      <c r="N29" s="1124"/>
      <c r="O29" s="1124"/>
      <c r="P29" s="1116"/>
    </row>
    <row r="30" spans="1:22" ht="15.75" customHeight="1" thickBot="1">
      <c r="A30" s="687">
        <v>3</v>
      </c>
      <c r="B30" s="1127" t="s">
        <v>35</v>
      </c>
      <c r="C30" s="1128"/>
      <c r="D30" s="1128"/>
      <c r="E30" s="1128"/>
      <c r="F30" s="1128"/>
      <c r="G30" s="1128"/>
      <c r="H30" s="1129"/>
      <c r="I30" s="833" t="s">
        <v>213</v>
      </c>
      <c r="J30" s="769" t="s">
        <v>36</v>
      </c>
      <c r="K30" s="1120">
        <f>VLOOKUP(B30,P19:Q20,2)</f>
        <v>500</v>
      </c>
      <c r="L30" s="1120"/>
      <c r="N30" s="1124"/>
      <c r="O30" s="1124"/>
      <c r="P30" s="1117"/>
    </row>
    <row r="31" spans="1:22" ht="15.75" hidden="1" customHeight="1">
      <c r="A31" s="774"/>
      <c r="B31" s="158"/>
      <c r="C31" s="159"/>
      <c r="D31" s="159"/>
      <c r="E31" s="159"/>
      <c r="F31" s="775"/>
      <c r="G31" s="159"/>
      <c r="H31" s="776"/>
      <c r="I31" s="777"/>
      <c r="J31" s="778"/>
      <c r="K31" s="1121"/>
      <c r="L31" s="1122"/>
      <c r="N31" s="1124"/>
      <c r="O31" s="1124"/>
    </row>
    <row r="32" spans="1:22" ht="20.100000000000001" hidden="1" customHeight="1">
      <c r="A32" s="779"/>
      <c r="B32" s="160"/>
      <c r="C32" s="161"/>
      <c r="D32" s="161"/>
      <c r="E32" s="161"/>
      <c r="F32" s="780"/>
      <c r="G32" s="161"/>
      <c r="H32" s="781"/>
      <c r="I32" s="782"/>
      <c r="J32" s="783"/>
      <c r="K32" s="1140"/>
      <c r="L32" s="1141"/>
    </row>
    <row r="33" spans="1:44" ht="20.100000000000001" customHeight="1" thickTop="1">
      <c r="A33" s="784"/>
      <c r="B33" s="49"/>
      <c r="C33" s="49"/>
      <c r="D33" s="49"/>
      <c r="E33" s="49"/>
      <c r="F33" s="771"/>
      <c r="G33" s="49"/>
      <c r="H33" s="785"/>
      <c r="I33" s="786"/>
      <c r="J33" s="787"/>
      <c r="K33" s="787"/>
      <c r="L33" s="787"/>
    </row>
    <row r="34" spans="1:44" ht="20.100000000000001" customHeight="1">
      <c r="A34" s="753" t="s">
        <v>364</v>
      </c>
      <c r="F34" s="49"/>
      <c r="G34" s="48"/>
      <c r="H34" s="49"/>
      <c r="I34" s="49"/>
      <c r="J34" s="788"/>
      <c r="K34" s="788"/>
      <c r="L34" s="788"/>
      <c r="P34" s="834" t="str">
        <f>H2</f>
        <v>Nomor Sertifikat : 31</v>
      </c>
      <c r="AN34" s="844"/>
    </row>
    <row r="35" spans="1:44" ht="20.100000000000001" customHeight="1">
      <c r="A35" s="43" t="s">
        <v>39</v>
      </c>
      <c r="F35" s="49"/>
      <c r="G35" s="48"/>
      <c r="H35" s="49"/>
      <c r="I35" s="49"/>
      <c r="J35" s="788"/>
      <c r="K35" s="788"/>
      <c r="L35" s="788"/>
      <c r="P35" s="834" t="str">
        <f>A109</f>
        <v>Tidak terdapat grounding</v>
      </c>
      <c r="AN35" s="845"/>
    </row>
    <row r="36" spans="1:44" ht="38.25" customHeight="1" thickBot="1">
      <c r="A36" s="789" t="s">
        <v>40</v>
      </c>
      <c r="B36" s="789" t="s">
        <v>86</v>
      </c>
      <c r="C36" s="789" t="s">
        <v>87</v>
      </c>
      <c r="D36" s="789" t="s">
        <v>43</v>
      </c>
      <c r="E36" s="790"/>
      <c r="F36" s="756" t="s">
        <v>88</v>
      </c>
      <c r="G36" s="49"/>
      <c r="H36" s="49"/>
      <c r="I36" s="49"/>
      <c r="J36" s="788"/>
      <c r="K36" s="788"/>
      <c r="L36" s="788"/>
      <c r="M36" s="791"/>
      <c r="O36" s="792"/>
      <c r="P36" s="834" t="str">
        <f>A118</f>
        <v>Alat yang diuji dalam batas toleransi dan dinyatakan LAIK PAKAI, dimana hasil atau skor akhir sama dengan atau melampaui 70% berdasarkan Keputusan Direktur Jenderal Pelayanan Kesehatan No : HK.02.02 / V / 0412 / 2020</v>
      </c>
      <c r="AN36" s="846"/>
    </row>
    <row r="37" spans="1:44" ht="30" customHeight="1" thickBot="1">
      <c r="A37" s="802">
        <v>0.48</v>
      </c>
      <c r="B37" s="802">
        <v>0.26</v>
      </c>
      <c r="C37" s="802">
        <v>0.28499999999999998</v>
      </c>
      <c r="D37" s="758">
        <f>C37*B37*A37</f>
        <v>3.5567999999999995E-2</v>
      </c>
      <c r="F37" s="759">
        <f>0.4*0.33*0.4</f>
        <v>5.2800000000000007E-2</v>
      </c>
      <c r="J37" s="788"/>
      <c r="K37" s="788"/>
      <c r="L37" s="788"/>
      <c r="R37" s="846"/>
      <c r="S37" s="1154" t="s">
        <v>89</v>
      </c>
      <c r="T37" s="1155"/>
      <c r="U37" s="1155"/>
      <c r="V37" s="1155"/>
      <c r="W37" s="1155"/>
      <c r="X37" s="1156"/>
      <c r="AN37" s="846"/>
      <c r="AP37" s="844"/>
      <c r="AQ37" s="844"/>
      <c r="AR37" s="844"/>
    </row>
    <row r="38" spans="1:44" ht="20.100000000000001" customHeight="1" thickBot="1">
      <c r="A38" s="793" t="s">
        <v>45</v>
      </c>
      <c r="B38" s="793"/>
      <c r="C38" s="793"/>
      <c r="J38" s="788"/>
      <c r="K38" s="788"/>
      <c r="L38" s="788"/>
      <c r="R38" s="847"/>
      <c r="S38" s="848" t="s">
        <v>90</v>
      </c>
      <c r="T38" s="849" t="s">
        <v>91</v>
      </c>
      <c r="U38" s="850" t="s">
        <v>92</v>
      </c>
      <c r="V38" s="850" t="s">
        <v>93</v>
      </c>
      <c r="W38" s="851" t="s">
        <v>94</v>
      </c>
      <c r="X38" s="852" t="s">
        <v>95</v>
      </c>
    </row>
    <row r="39" spans="1:44" ht="36.75" customHeight="1">
      <c r="A39" s="789" t="s">
        <v>96</v>
      </c>
      <c r="B39" s="789" t="s">
        <v>47</v>
      </c>
      <c r="C39" s="1114" t="s">
        <v>48</v>
      </c>
      <c r="D39" s="1114"/>
      <c r="E39" s="1157" t="s">
        <v>49</v>
      </c>
      <c r="F39" s="1157"/>
      <c r="G39" s="687" t="s">
        <v>90</v>
      </c>
      <c r="H39" s="1114" t="s">
        <v>50</v>
      </c>
      <c r="I39" s="1114"/>
      <c r="J39" s="1114"/>
      <c r="K39" s="1158"/>
      <c r="L39" s="1159"/>
      <c r="M39" s="1159"/>
      <c r="N39" s="1159"/>
      <c r="O39" s="1159"/>
      <c r="P39" s="853"/>
      <c r="Q39" s="853"/>
      <c r="R39" s="847"/>
      <c r="S39" s="854">
        <v>1</v>
      </c>
      <c r="T39" s="855">
        <v>11.3</v>
      </c>
      <c r="U39" s="856">
        <v>15</v>
      </c>
      <c r="V39" s="857">
        <v>23</v>
      </c>
      <c r="W39" s="858">
        <v>45</v>
      </c>
      <c r="X39" s="859">
        <v>120</v>
      </c>
    </row>
    <row r="40" spans="1:44" ht="23.25" customHeight="1">
      <c r="A40" s="162">
        <v>2</v>
      </c>
      <c r="B40" s="687">
        <v>4</v>
      </c>
      <c r="C40" s="1160">
        <f>A73-C17</f>
        <v>-26.2</v>
      </c>
      <c r="D40" s="1160"/>
      <c r="E40" s="1161">
        <f>(100*B40)/(100+C40)</f>
        <v>5.4200542005420056</v>
      </c>
      <c r="F40" s="1161"/>
      <c r="G40" s="687" t="str">
        <f>IF(E40&lt;=0.151,"14",IF(E40&lt;=0.125,"13",IF(E40&lt;=0.2135,"13",IF(E40&lt;=0.177,"12",IF(E40&lt;=0.302,"12",IF(E40&lt;=0.25,"11",IF(E40&lt;=0.427,"11",IF(E40&lt;=0.354,"10",IF(E40&lt;=0.6035,"10",IF(E40&lt;=0.5,"9",IF(E40&lt;=0.8535,"9",IF(E40&lt;=0.707,"8",IF(E40&lt;=1.205,"8",IF(E40&lt;=1,"7",IF(E40&lt;=1.705,"7",IF(E40&lt;=1.4,"6",IF(E40&lt;=2.41,"6",IF(E40&lt;=2,"5",IF(E40&lt;=3.415,"5",IF(E40&lt;=2.83,"4",IF(E40&lt;=4.83,"4",IF(E40&lt;=4,"3",IF(E40&lt;=6.83,"3",IF(E40&lt;=5.66,"2",IF(E40&lt;=9.65,"2",IF(E40&lt;=8,"1",IF(E40&lt;=11.3,"1","0")))))))))))))))))))))))))))</f>
        <v>3</v>
      </c>
      <c r="H40" s="1162">
        <f>ABS(3+(3*(G40^0.6)*(D37^0.2)))</f>
        <v>5.9758147811491265</v>
      </c>
      <c r="I40" s="1162"/>
      <c r="J40" s="1162"/>
      <c r="K40" s="691"/>
      <c r="L40" s="1163"/>
      <c r="M40" s="1163"/>
      <c r="N40" s="1164"/>
      <c r="O40" s="1164"/>
      <c r="P40" s="1165"/>
      <c r="Q40" s="1165"/>
      <c r="R40" s="847">
        <f>(T39+T40)/2</f>
        <v>9.65</v>
      </c>
      <c r="S40" s="860">
        <v>2</v>
      </c>
      <c r="T40" s="861">
        <v>8</v>
      </c>
      <c r="U40" s="862">
        <v>10</v>
      </c>
      <c r="V40" s="863">
        <v>16</v>
      </c>
      <c r="W40" s="864">
        <v>32</v>
      </c>
      <c r="X40" s="865">
        <v>88</v>
      </c>
    </row>
    <row r="41" spans="1:44" ht="20.100000000000001" customHeight="1">
      <c r="A41" s="751">
        <v>1.5</v>
      </c>
      <c r="B41" s="751">
        <f>2*1.5</f>
        <v>3</v>
      </c>
      <c r="C41" s="1142">
        <f>37-25</f>
        <v>12</v>
      </c>
      <c r="D41" s="1142"/>
      <c r="E41" s="1143">
        <f>(100*3)/(100+12)</f>
        <v>2.6785714285714284</v>
      </c>
      <c r="F41" s="1143"/>
      <c r="G41" s="751">
        <v>5</v>
      </c>
      <c r="H41" s="1144">
        <f>3+3*5^0.6*0.05^0.2</f>
        <v>7.3280997177216403</v>
      </c>
      <c r="I41" s="1144"/>
      <c r="J41" s="1144"/>
      <c r="K41" s="750"/>
      <c r="R41" s="847">
        <f t="shared" ref="R41:R52" si="0">(T40+T41)/2</f>
        <v>6.83</v>
      </c>
      <c r="S41" s="860">
        <v>3</v>
      </c>
      <c r="T41" s="866">
        <v>5.66</v>
      </c>
      <c r="U41" s="863">
        <v>7.4</v>
      </c>
      <c r="V41" s="863">
        <v>11</v>
      </c>
      <c r="W41" s="864">
        <v>23</v>
      </c>
      <c r="X41" s="865">
        <v>62</v>
      </c>
    </row>
    <row r="42" spans="1:44" ht="20.100000000000001" customHeight="1">
      <c r="A42" s="43" t="s">
        <v>97</v>
      </c>
      <c r="J42" s="794"/>
      <c r="K42" s="794"/>
      <c r="L42" s="49"/>
      <c r="R42" s="847">
        <f t="shared" si="0"/>
        <v>4.83</v>
      </c>
      <c r="S42" s="860">
        <v>4</v>
      </c>
      <c r="T42" s="866">
        <v>4</v>
      </c>
      <c r="U42" s="863">
        <v>5.2</v>
      </c>
      <c r="V42" s="863">
        <v>8</v>
      </c>
      <c r="W42" s="864">
        <v>16</v>
      </c>
      <c r="X42" s="865">
        <v>44</v>
      </c>
    </row>
    <row r="43" spans="1:44" ht="20.100000000000001" customHeight="1">
      <c r="J43" s="794"/>
      <c r="K43" s="794"/>
      <c r="L43" s="788"/>
      <c r="R43" s="847">
        <f t="shared" si="0"/>
        <v>3.415</v>
      </c>
      <c r="S43" s="860">
        <v>5</v>
      </c>
      <c r="T43" s="866">
        <v>2.83</v>
      </c>
      <c r="U43" s="863">
        <v>3.7</v>
      </c>
      <c r="V43" s="863">
        <v>5.7</v>
      </c>
      <c r="W43" s="864">
        <v>11</v>
      </c>
      <c r="X43" s="865">
        <v>31</v>
      </c>
    </row>
    <row r="44" spans="1:44" ht="20.100000000000001" customHeight="1">
      <c r="J44" s="794"/>
      <c r="K44" s="794"/>
      <c r="L44" s="788"/>
      <c r="R44" s="847">
        <f t="shared" si="0"/>
        <v>2.415</v>
      </c>
      <c r="S44" s="860">
        <v>6</v>
      </c>
      <c r="T44" s="866">
        <v>2</v>
      </c>
      <c r="U44" s="863">
        <v>2.6</v>
      </c>
      <c r="V44" s="863">
        <v>4</v>
      </c>
      <c r="W44" s="862">
        <v>8</v>
      </c>
      <c r="X44" s="865">
        <v>22</v>
      </c>
    </row>
    <row r="45" spans="1:44" ht="20.100000000000001" customHeight="1">
      <c r="R45" s="847">
        <f t="shared" si="0"/>
        <v>1.7050000000000001</v>
      </c>
      <c r="S45" s="860">
        <v>7</v>
      </c>
      <c r="T45" s="866">
        <v>1.41</v>
      </c>
      <c r="U45" s="863">
        <v>1.8</v>
      </c>
      <c r="V45" s="863">
        <v>2.8</v>
      </c>
      <c r="W45" s="862">
        <v>5.7</v>
      </c>
      <c r="X45" s="865">
        <v>16</v>
      </c>
    </row>
    <row r="46" spans="1:44" ht="20.100000000000001" customHeight="1">
      <c r="R46" s="847">
        <f t="shared" si="0"/>
        <v>1.2050000000000001</v>
      </c>
      <c r="S46" s="860">
        <v>8</v>
      </c>
      <c r="T46" s="866">
        <v>1</v>
      </c>
      <c r="U46" s="863">
        <v>1.3</v>
      </c>
      <c r="V46" s="863">
        <v>2</v>
      </c>
      <c r="W46" s="862">
        <v>4</v>
      </c>
      <c r="X46" s="865">
        <v>11</v>
      </c>
    </row>
    <row r="47" spans="1:44" ht="20.100000000000001" customHeight="1">
      <c r="R47" s="847">
        <f t="shared" si="0"/>
        <v>0.85349999999999993</v>
      </c>
      <c r="S47" s="860">
        <v>9</v>
      </c>
      <c r="T47" s="866">
        <v>0.70699999999999996</v>
      </c>
      <c r="U47" s="863">
        <v>0.92</v>
      </c>
      <c r="V47" s="863">
        <v>1.4</v>
      </c>
      <c r="W47" s="862">
        <v>2.8</v>
      </c>
      <c r="X47" s="867">
        <v>7.8</v>
      </c>
    </row>
    <row r="48" spans="1:44" ht="20.100000000000001" customHeight="1">
      <c r="R48" s="847">
        <f t="shared" si="0"/>
        <v>0.60349999999999993</v>
      </c>
      <c r="S48" s="860">
        <v>10</v>
      </c>
      <c r="T48" s="866">
        <v>0.5</v>
      </c>
      <c r="U48" s="863">
        <v>0.65</v>
      </c>
      <c r="V48" s="863">
        <v>1</v>
      </c>
      <c r="W48" s="862">
        <v>2</v>
      </c>
      <c r="X48" s="867">
        <v>5.5</v>
      </c>
    </row>
    <row r="49" spans="1:24" ht="20.100000000000001" customHeight="1">
      <c r="R49" s="847">
        <f t="shared" si="0"/>
        <v>0.42699999999999999</v>
      </c>
      <c r="S49" s="860">
        <v>11</v>
      </c>
      <c r="T49" s="866">
        <v>0.35399999999999998</v>
      </c>
      <c r="U49" s="863">
        <v>0.46</v>
      </c>
      <c r="V49" s="863">
        <v>0.71</v>
      </c>
      <c r="W49" s="862">
        <v>1.4</v>
      </c>
      <c r="X49" s="867">
        <v>3.9</v>
      </c>
    </row>
    <row r="50" spans="1:24" ht="20.100000000000001" customHeight="1">
      <c r="R50" s="847">
        <f t="shared" si="0"/>
        <v>0.30199999999999999</v>
      </c>
      <c r="S50" s="860">
        <v>12</v>
      </c>
      <c r="T50" s="866">
        <v>0.25</v>
      </c>
      <c r="U50" s="863">
        <v>0.33</v>
      </c>
      <c r="V50" s="863">
        <v>0.5</v>
      </c>
      <c r="W50" s="862">
        <v>1</v>
      </c>
      <c r="X50" s="867">
        <v>2.8</v>
      </c>
    </row>
    <row r="51" spans="1:24" ht="20.100000000000001" customHeight="1">
      <c r="D51" s="49"/>
      <c r="E51" s="795"/>
      <c r="F51" s="795"/>
      <c r="G51" s="795"/>
      <c r="R51" s="847">
        <f t="shared" si="0"/>
        <v>0.2135</v>
      </c>
      <c r="S51" s="860">
        <v>13</v>
      </c>
      <c r="T51" s="866">
        <v>0.17699999999999999</v>
      </c>
      <c r="U51" s="863">
        <v>0.23</v>
      </c>
      <c r="V51" s="863">
        <v>0.35</v>
      </c>
      <c r="W51" s="868">
        <v>0.71</v>
      </c>
      <c r="X51" s="867">
        <v>2</v>
      </c>
    </row>
    <row r="52" spans="1:24" ht="20.100000000000001" customHeight="1" thickBot="1">
      <c r="D52" s="49"/>
      <c r="E52" s="795"/>
      <c r="F52" s="795"/>
      <c r="G52" s="795"/>
      <c r="R52" s="847">
        <f t="shared" si="0"/>
        <v>0.151</v>
      </c>
      <c r="S52" s="869">
        <v>14</v>
      </c>
      <c r="T52" s="870">
        <v>0.125</v>
      </c>
      <c r="U52" s="871">
        <v>0.16</v>
      </c>
      <c r="V52" s="871">
        <v>0.25</v>
      </c>
      <c r="W52" s="872">
        <v>0.5</v>
      </c>
      <c r="X52" s="873">
        <v>1.4</v>
      </c>
    </row>
    <row r="53" spans="1:24" ht="20.100000000000001" customHeight="1">
      <c r="D53" s="49"/>
      <c r="E53" s="795"/>
      <c r="F53" s="795"/>
      <c r="G53" s="795"/>
    </row>
    <row r="54" spans="1:24" ht="20.100000000000001" customHeight="1">
      <c r="D54" s="49"/>
      <c r="E54" s="795"/>
      <c r="F54" s="795"/>
      <c r="G54" s="795"/>
    </row>
    <row r="55" spans="1:24" ht="20.100000000000001" customHeight="1">
      <c r="D55" s="49"/>
      <c r="E55" s="795"/>
      <c r="F55" s="795"/>
      <c r="G55" s="795"/>
    </row>
    <row r="56" spans="1:24" ht="20.100000000000001" customHeight="1">
      <c r="D56" s="49"/>
      <c r="E56" s="795"/>
      <c r="F56" s="795"/>
      <c r="G56" s="795"/>
    </row>
    <row r="57" spans="1:24" ht="20.100000000000001" customHeight="1">
      <c r="D57" s="49"/>
      <c r="E57" s="795"/>
      <c r="F57" s="795"/>
      <c r="G57" s="795"/>
    </row>
    <row r="58" spans="1:24" ht="20.100000000000001" customHeight="1">
      <c r="D58" s="49"/>
      <c r="E58" s="795"/>
      <c r="F58" s="795"/>
      <c r="G58" s="795"/>
    </row>
    <row r="59" spans="1:24" ht="20.100000000000001" customHeight="1">
      <c r="D59" s="49"/>
      <c r="E59" s="795"/>
      <c r="F59" s="795"/>
      <c r="G59" s="795"/>
    </row>
    <row r="60" spans="1:24" ht="20.100000000000001" customHeight="1">
      <c r="D60" s="49"/>
      <c r="E60" s="795"/>
      <c r="F60" s="795"/>
      <c r="G60" s="795"/>
    </row>
    <row r="61" spans="1:24" ht="20.100000000000001" customHeight="1">
      <c r="A61" s="749"/>
      <c r="B61" s="749"/>
      <c r="C61" s="749"/>
      <c r="D61" s="796"/>
      <c r="E61" s="797"/>
      <c r="F61" s="797"/>
      <c r="G61" s="797"/>
      <c r="H61" s="749"/>
      <c r="I61" s="749"/>
      <c r="J61" s="749"/>
      <c r="K61" s="749"/>
      <c r="L61" s="749"/>
      <c r="M61" s="749"/>
      <c r="N61" s="749"/>
      <c r="O61" s="749"/>
    </row>
    <row r="62" spans="1:24" ht="20.100000000000001" customHeight="1">
      <c r="A62" s="749"/>
      <c r="B62" s="749"/>
      <c r="C62" s="749"/>
      <c r="D62" s="796"/>
      <c r="E62" s="797"/>
      <c r="F62" s="797"/>
      <c r="G62" s="797"/>
      <c r="H62" s="749"/>
      <c r="I62" s="749"/>
      <c r="J62" s="749"/>
      <c r="K62" s="749"/>
      <c r="L62" s="749"/>
      <c r="M62" s="749"/>
      <c r="N62" s="749"/>
      <c r="O62" s="749"/>
    </row>
    <row r="63" spans="1:24" ht="20.100000000000001" customHeight="1">
      <c r="A63" s="749"/>
      <c r="B63" s="749"/>
      <c r="C63" s="749"/>
      <c r="D63" s="796"/>
      <c r="E63" s="797"/>
      <c r="F63" s="797"/>
      <c r="G63" s="797"/>
      <c r="H63" s="749"/>
      <c r="I63" s="749"/>
      <c r="J63" s="749"/>
      <c r="K63" s="749"/>
      <c r="L63" s="749"/>
      <c r="M63" s="749"/>
      <c r="N63" s="749"/>
      <c r="O63" s="749"/>
    </row>
    <row r="64" spans="1:24" ht="20.100000000000001" customHeight="1">
      <c r="A64" s="749"/>
      <c r="B64" s="749"/>
      <c r="C64" s="749"/>
      <c r="D64" s="796"/>
      <c r="E64" s="797"/>
      <c r="F64" s="797"/>
      <c r="G64" s="797"/>
      <c r="H64" s="749"/>
      <c r="I64" s="749"/>
      <c r="J64" s="749"/>
      <c r="K64" s="749"/>
      <c r="L64" s="749"/>
      <c r="M64" s="749"/>
      <c r="N64" s="749"/>
      <c r="O64" s="749"/>
    </row>
    <row r="65" spans="1:254" ht="20.100000000000001" customHeight="1">
      <c r="A65" s="749"/>
      <c r="B65" s="749"/>
      <c r="C65" s="749"/>
      <c r="D65" s="796"/>
      <c r="E65" s="797"/>
      <c r="F65" s="797"/>
      <c r="G65" s="797"/>
      <c r="H65" s="749"/>
      <c r="I65" s="749"/>
      <c r="J65" s="749"/>
      <c r="K65" s="749"/>
      <c r="L65" s="749"/>
      <c r="M65" s="749"/>
      <c r="N65" s="749"/>
      <c r="O65" s="749"/>
    </row>
    <row r="66" spans="1:254" ht="20.100000000000001" customHeight="1">
      <c r="A66" s="749"/>
      <c r="B66" s="749"/>
      <c r="C66" s="749"/>
      <c r="D66" s="796"/>
      <c r="E66" s="797"/>
      <c r="F66" s="797"/>
      <c r="G66" s="797"/>
      <c r="H66" s="749"/>
      <c r="I66" s="749"/>
      <c r="J66" s="749"/>
      <c r="K66" s="749"/>
      <c r="L66" s="749"/>
      <c r="M66" s="749"/>
      <c r="N66" s="749"/>
      <c r="O66" s="749"/>
    </row>
    <row r="67" spans="1:254" ht="20.100000000000001" customHeight="1">
      <c r="A67" s="749"/>
      <c r="B67" s="749"/>
      <c r="C67" s="749"/>
      <c r="D67" s="796"/>
      <c r="E67" s="797"/>
      <c r="F67" s="797"/>
      <c r="G67" s="797"/>
      <c r="H67" s="749"/>
      <c r="I67" s="749"/>
      <c r="J67" s="749"/>
      <c r="K67" s="749"/>
      <c r="L67" s="749"/>
      <c r="M67" s="749"/>
      <c r="N67" s="749"/>
      <c r="O67" s="749"/>
    </row>
    <row r="68" spans="1:254" ht="20.100000000000001" customHeight="1">
      <c r="A68" s="749"/>
      <c r="B68" s="749"/>
      <c r="C68" s="749"/>
      <c r="D68" s="796"/>
      <c r="E68" s="797"/>
      <c r="F68" s="797"/>
      <c r="G68" s="797"/>
      <c r="H68" s="749"/>
      <c r="I68" s="749"/>
      <c r="J68" s="749"/>
      <c r="K68" s="749"/>
      <c r="L68" s="749"/>
      <c r="M68" s="749"/>
      <c r="N68" s="749"/>
      <c r="O68" s="749"/>
    </row>
    <row r="69" spans="1:254" ht="20.100000000000001" customHeight="1">
      <c r="A69" s="749" t="s">
        <v>365</v>
      </c>
      <c r="B69" s="749"/>
      <c r="C69" s="749"/>
      <c r="D69" s="798"/>
      <c r="E69" s="798"/>
      <c r="F69" s="798"/>
      <c r="G69" s="798"/>
      <c r="H69" s="798"/>
      <c r="I69" s="798"/>
      <c r="J69" s="798"/>
      <c r="K69" s="749"/>
      <c r="L69" s="749"/>
      <c r="M69" s="749"/>
      <c r="N69" s="749"/>
      <c r="O69" s="749"/>
    </row>
    <row r="70" spans="1:254" s="49" customFormat="1" ht="10.199999999999999" customHeight="1">
      <c r="A70" s="1145"/>
      <c r="B70" s="1145"/>
      <c r="C70" s="1146"/>
      <c r="D70" s="1146"/>
      <c r="E70" s="1146"/>
      <c r="F70" s="1146"/>
      <c r="G70" s="1146"/>
      <c r="H70" s="1146"/>
      <c r="I70" s="799"/>
      <c r="J70" s="800"/>
      <c r="K70" s="800"/>
      <c r="L70" s="796"/>
      <c r="M70" s="749"/>
      <c r="N70" s="749"/>
      <c r="O70" s="749"/>
      <c r="P70" s="1113"/>
      <c r="Q70" s="1113"/>
      <c r="R70" s="1113"/>
      <c r="S70" s="844"/>
      <c r="T70" s="834"/>
      <c r="U70" s="834"/>
      <c r="V70" s="834"/>
      <c r="W70" s="844"/>
      <c r="X70" s="844"/>
      <c r="Y70" s="844"/>
      <c r="Z70" s="844"/>
      <c r="AA70" s="844"/>
      <c r="AB70" s="844"/>
      <c r="AC70" s="844"/>
      <c r="AD70" s="844"/>
      <c r="AE70" s="844"/>
      <c r="AF70" s="844"/>
      <c r="AG70" s="844"/>
      <c r="AH70" s="844"/>
      <c r="AI70" s="844"/>
      <c r="AJ70" s="844"/>
      <c r="AK70" s="844"/>
      <c r="AL70" s="844"/>
      <c r="AM70" s="844"/>
      <c r="AN70" s="844"/>
      <c r="AO70" s="844"/>
      <c r="AP70" s="844"/>
      <c r="AQ70" s="844"/>
      <c r="AR70" s="844"/>
      <c r="AS70" s="844"/>
      <c r="AT70" s="844"/>
      <c r="AU70" s="844"/>
      <c r="AV70" s="844"/>
      <c r="AW70" s="844"/>
      <c r="AX70" s="844"/>
      <c r="AY70" s="844"/>
      <c r="AZ70" s="844"/>
      <c r="BA70" s="844"/>
      <c r="BB70" s="844"/>
      <c r="BC70" s="844"/>
      <c r="BD70" s="844"/>
      <c r="BE70" s="844"/>
      <c r="BF70" s="844"/>
      <c r="BG70" s="844"/>
      <c r="BH70" s="844"/>
      <c r="BI70" s="844"/>
      <c r="BJ70" s="844"/>
      <c r="BK70" s="844"/>
      <c r="BL70" s="844"/>
      <c r="BM70" s="844"/>
      <c r="BN70" s="844"/>
      <c r="BO70" s="844"/>
    </row>
    <row r="71" spans="1:254" s="49" customFormat="1" ht="20.100000000000001" customHeight="1">
      <c r="A71" s="1157"/>
      <c r="B71" s="1157" t="s">
        <v>54</v>
      </c>
      <c r="C71" s="1114" t="s">
        <v>324</v>
      </c>
      <c r="D71" s="1114"/>
      <c r="E71" s="1114"/>
      <c r="F71" s="1114"/>
      <c r="G71" s="1114"/>
      <c r="H71" s="1114"/>
      <c r="I71" s="1114"/>
      <c r="J71" s="1114"/>
      <c r="K71" s="1114"/>
      <c r="L71" s="1114"/>
      <c r="P71" s="844"/>
      <c r="Q71" s="844"/>
      <c r="R71" s="844"/>
      <c r="S71" s="844"/>
      <c r="T71" s="844"/>
      <c r="U71" s="834"/>
      <c r="V71" s="834"/>
      <c r="W71" s="844"/>
      <c r="X71" s="844"/>
      <c r="Y71" s="844"/>
      <c r="Z71" s="844"/>
      <c r="AA71" s="844"/>
      <c r="AB71" s="844"/>
      <c r="AC71" s="844"/>
      <c r="AD71" s="844"/>
      <c r="AE71" s="844"/>
      <c r="AF71" s="844"/>
      <c r="AG71" s="844"/>
      <c r="AH71" s="844"/>
      <c r="AI71" s="844"/>
      <c r="AJ71" s="844"/>
      <c r="AK71" s="844"/>
      <c r="AL71" s="844"/>
      <c r="AM71" s="844"/>
      <c r="AN71" s="844"/>
      <c r="AO71" s="844"/>
      <c r="AP71" s="844"/>
      <c r="AQ71" s="844"/>
      <c r="AR71" s="844"/>
      <c r="AS71" s="844"/>
      <c r="AT71" s="844"/>
      <c r="AU71" s="844"/>
      <c r="AV71" s="844"/>
      <c r="AW71" s="844"/>
      <c r="AX71" s="844"/>
      <c r="AY71" s="844"/>
      <c r="AZ71" s="844"/>
      <c r="BA71" s="844"/>
      <c r="BB71" s="844"/>
      <c r="BC71" s="844"/>
      <c r="BD71" s="844"/>
      <c r="BE71" s="844"/>
      <c r="BF71" s="844"/>
      <c r="BG71" s="844"/>
      <c r="BH71" s="844"/>
      <c r="BI71" s="844"/>
      <c r="BJ71" s="844"/>
      <c r="BK71" s="844"/>
      <c r="BL71" s="844"/>
      <c r="BM71" s="844"/>
      <c r="BN71" s="844"/>
      <c r="BO71" s="844"/>
    </row>
    <row r="72" spans="1:254" s="49" customFormat="1" ht="29.4" customHeight="1">
      <c r="A72" s="1157"/>
      <c r="B72" s="1157"/>
      <c r="C72" s="789" t="s">
        <v>328</v>
      </c>
      <c r="D72" s="789" t="s">
        <v>329</v>
      </c>
      <c r="E72" s="789" t="s">
        <v>330</v>
      </c>
      <c r="F72" s="789" t="s">
        <v>331</v>
      </c>
      <c r="G72" s="789" t="s">
        <v>332</v>
      </c>
      <c r="H72" s="789" t="s">
        <v>333</v>
      </c>
      <c r="I72" s="789" t="s">
        <v>334</v>
      </c>
      <c r="J72" s="789" t="s">
        <v>335</v>
      </c>
      <c r="K72" s="789" t="s">
        <v>336</v>
      </c>
      <c r="L72" s="789" t="s">
        <v>337</v>
      </c>
      <c r="P72" s="874"/>
      <c r="Q72" s="874"/>
      <c r="R72" s="874"/>
      <c r="S72" s="844"/>
      <c r="T72" s="844"/>
      <c r="U72" s="834"/>
      <c r="V72" s="834"/>
      <c r="W72" s="844"/>
      <c r="X72" s="844"/>
      <c r="Y72" s="844"/>
      <c r="Z72" s="844"/>
      <c r="AA72" s="844"/>
      <c r="AB72" s="844"/>
      <c r="AC72" s="844"/>
      <c r="AD72" s="844"/>
      <c r="AE72" s="844"/>
      <c r="AF72" s="844"/>
      <c r="AG72" s="844"/>
      <c r="AH72" s="844"/>
      <c r="AI72" s="844"/>
      <c r="AJ72" s="844"/>
      <c r="AK72" s="844"/>
      <c r="AL72" s="844"/>
      <c r="AM72" s="844"/>
      <c r="AN72" s="844"/>
      <c r="AO72" s="844"/>
      <c r="AP72" s="844"/>
      <c r="AQ72" s="844"/>
      <c r="AR72" s="844"/>
      <c r="AS72" s="844"/>
      <c r="AT72" s="844"/>
      <c r="AU72" s="844"/>
      <c r="AV72" s="844"/>
      <c r="AW72" s="844"/>
      <c r="AX72" s="844"/>
      <c r="AY72" s="844"/>
      <c r="AZ72" s="844"/>
      <c r="BA72" s="844"/>
      <c r="BB72" s="844"/>
      <c r="BC72" s="844"/>
      <c r="BD72" s="844"/>
      <c r="BE72" s="844"/>
      <c r="BF72" s="844"/>
      <c r="BG72" s="844"/>
      <c r="BH72" s="844"/>
      <c r="BI72" s="844"/>
      <c r="BJ72" s="844"/>
      <c r="BK72" s="844"/>
      <c r="BL72" s="844"/>
      <c r="BM72" s="844"/>
      <c r="BN72" s="844"/>
      <c r="BO72" s="844"/>
    </row>
    <row r="73" spans="1:254" s="796" customFormat="1" ht="20.100000000000001" customHeight="1">
      <c r="A73" s="1137"/>
      <c r="B73" s="162">
        <v>1</v>
      </c>
      <c r="C73" s="802">
        <v>6.23</v>
      </c>
      <c r="D73" s="802">
        <v>6.79</v>
      </c>
      <c r="E73" s="802">
        <v>6.31</v>
      </c>
      <c r="F73" s="802">
        <v>6.79</v>
      </c>
      <c r="G73" s="802">
        <v>6.39</v>
      </c>
      <c r="H73" s="802">
        <v>6.79</v>
      </c>
      <c r="I73" s="802">
        <v>6.47</v>
      </c>
      <c r="J73" s="802">
        <v>6.79</v>
      </c>
      <c r="K73" s="802">
        <v>6.55</v>
      </c>
      <c r="L73" s="802">
        <v>6.79</v>
      </c>
      <c r="O73" s="799"/>
      <c r="P73" s="874"/>
      <c r="Q73" s="874"/>
      <c r="R73" s="874"/>
      <c r="S73" s="875"/>
      <c r="T73" s="875"/>
      <c r="U73" s="876"/>
      <c r="V73" s="876"/>
      <c r="W73" s="875"/>
      <c r="X73" s="875"/>
      <c r="Y73" s="875"/>
      <c r="Z73" s="875"/>
      <c r="AA73" s="875"/>
      <c r="AB73" s="875"/>
      <c r="AC73" s="875"/>
      <c r="AD73" s="875"/>
      <c r="AE73" s="875"/>
      <c r="AF73" s="875"/>
      <c r="AG73" s="875"/>
      <c r="AH73" s="875"/>
      <c r="AI73" s="875"/>
      <c r="AJ73" s="875"/>
      <c r="AK73" s="875"/>
      <c r="AL73" s="875"/>
      <c r="AM73" s="875"/>
      <c r="AN73" s="875"/>
      <c r="AO73" s="875"/>
      <c r="AP73" s="875"/>
      <c r="AQ73" s="875"/>
      <c r="AR73" s="875"/>
      <c r="AS73" s="875"/>
      <c r="AT73" s="875"/>
      <c r="AU73" s="875"/>
      <c r="AV73" s="875"/>
      <c r="AW73" s="875"/>
      <c r="AX73" s="875"/>
      <c r="AY73" s="875"/>
      <c r="AZ73" s="875"/>
      <c r="BA73" s="875"/>
      <c r="BB73" s="875"/>
      <c r="BC73" s="875"/>
      <c r="BD73" s="875"/>
      <c r="BE73" s="875"/>
      <c r="BF73" s="875"/>
      <c r="BG73" s="875"/>
      <c r="BH73" s="875"/>
      <c r="BI73" s="875"/>
      <c r="BJ73" s="875"/>
      <c r="BK73" s="875"/>
      <c r="BL73" s="875"/>
      <c r="BM73" s="875"/>
      <c r="BN73" s="875"/>
      <c r="BO73" s="875"/>
    </row>
    <row r="74" spans="1:254" s="796" customFormat="1" ht="20.100000000000001" customHeight="1">
      <c r="A74" s="1138"/>
      <c r="B74" s="162">
        <v>2</v>
      </c>
      <c r="C74" s="802">
        <v>6.24</v>
      </c>
      <c r="D74" s="802">
        <v>6.79</v>
      </c>
      <c r="E74" s="802">
        <v>6.32</v>
      </c>
      <c r="F74" s="802">
        <v>6.79</v>
      </c>
      <c r="G74" s="802">
        <v>6.4</v>
      </c>
      <c r="H74" s="802">
        <v>6.79</v>
      </c>
      <c r="I74" s="802">
        <v>6.48</v>
      </c>
      <c r="J74" s="802">
        <v>6.79</v>
      </c>
      <c r="K74" s="802">
        <v>6.56</v>
      </c>
      <c r="L74" s="802">
        <v>6.79</v>
      </c>
      <c r="O74" s="799"/>
      <c r="P74" s="874"/>
      <c r="Q74" s="874"/>
      <c r="R74" s="874"/>
      <c r="S74" s="875"/>
      <c r="T74" s="875"/>
      <c r="U74" s="876"/>
      <c r="V74" s="876"/>
      <c r="W74" s="875"/>
      <c r="X74" s="875"/>
      <c r="Y74" s="875"/>
      <c r="Z74" s="875"/>
      <c r="AA74" s="875"/>
      <c r="AB74" s="875"/>
      <c r="AC74" s="875"/>
      <c r="AD74" s="875"/>
      <c r="AE74" s="875"/>
      <c r="AF74" s="875"/>
      <c r="AG74" s="875"/>
      <c r="AH74" s="875"/>
      <c r="AI74" s="875"/>
      <c r="AJ74" s="875"/>
      <c r="AK74" s="875"/>
      <c r="AL74" s="875"/>
      <c r="AM74" s="875"/>
      <c r="AN74" s="875"/>
      <c r="AO74" s="875"/>
      <c r="AP74" s="875"/>
      <c r="AQ74" s="875"/>
      <c r="AR74" s="875"/>
      <c r="AS74" s="875"/>
      <c r="AT74" s="875"/>
      <c r="AU74" s="875"/>
      <c r="AV74" s="875"/>
      <c r="AW74" s="875"/>
      <c r="AX74" s="875"/>
      <c r="AY74" s="875"/>
      <c r="AZ74" s="875"/>
      <c r="BA74" s="875"/>
      <c r="BB74" s="875"/>
      <c r="BC74" s="875"/>
      <c r="BD74" s="875"/>
      <c r="BE74" s="875"/>
      <c r="BF74" s="875"/>
      <c r="BG74" s="875"/>
      <c r="BH74" s="875"/>
      <c r="BI74" s="875"/>
      <c r="BJ74" s="875"/>
      <c r="BK74" s="875"/>
      <c r="BL74" s="875"/>
      <c r="BM74" s="875"/>
      <c r="BN74" s="875"/>
      <c r="BO74" s="875"/>
    </row>
    <row r="75" spans="1:254" s="796" customFormat="1" ht="20.100000000000001" customHeight="1">
      <c r="A75" s="1138"/>
      <c r="B75" s="162">
        <v>3</v>
      </c>
      <c r="C75" s="802">
        <v>6.25</v>
      </c>
      <c r="D75" s="802">
        <v>6.79</v>
      </c>
      <c r="E75" s="802">
        <v>6.33</v>
      </c>
      <c r="F75" s="802">
        <v>6.79</v>
      </c>
      <c r="G75" s="802">
        <v>6.41</v>
      </c>
      <c r="H75" s="802">
        <v>6.79</v>
      </c>
      <c r="I75" s="802">
        <v>6.49</v>
      </c>
      <c r="J75" s="802">
        <v>6.79</v>
      </c>
      <c r="K75" s="802">
        <v>6.57</v>
      </c>
      <c r="L75" s="802">
        <v>6.79</v>
      </c>
      <c r="O75" s="799"/>
      <c r="P75" s="874"/>
      <c r="Q75" s="874"/>
      <c r="R75" s="874"/>
      <c r="S75" s="875"/>
      <c r="T75" s="875"/>
      <c r="U75" s="876"/>
      <c r="V75" s="876"/>
      <c r="W75" s="875"/>
      <c r="X75" s="875"/>
      <c r="Y75" s="875"/>
      <c r="Z75" s="875"/>
      <c r="AA75" s="875"/>
      <c r="AB75" s="875"/>
      <c r="AC75" s="875"/>
      <c r="AD75" s="875"/>
      <c r="AE75" s="875"/>
      <c r="AF75" s="875"/>
      <c r="AG75" s="875"/>
      <c r="AH75" s="875"/>
      <c r="AI75" s="875"/>
      <c r="AJ75" s="875"/>
      <c r="AK75" s="875"/>
      <c r="AL75" s="875"/>
      <c r="AM75" s="875"/>
      <c r="AN75" s="875"/>
      <c r="AO75" s="875"/>
      <c r="AP75" s="875"/>
      <c r="AQ75" s="875"/>
      <c r="AR75" s="875"/>
      <c r="AS75" s="875"/>
      <c r="AT75" s="875"/>
      <c r="AU75" s="875"/>
      <c r="AV75" s="875"/>
      <c r="AW75" s="875"/>
      <c r="AX75" s="875"/>
      <c r="AY75" s="875"/>
      <c r="AZ75" s="875"/>
      <c r="BA75" s="875"/>
      <c r="BB75" s="875"/>
      <c r="BC75" s="875"/>
      <c r="BD75" s="875"/>
      <c r="BE75" s="875"/>
      <c r="BF75" s="875"/>
      <c r="BG75" s="875"/>
      <c r="BH75" s="875"/>
      <c r="BI75" s="875"/>
      <c r="BJ75" s="875"/>
      <c r="BK75" s="875"/>
      <c r="BL75" s="875"/>
      <c r="BM75" s="875"/>
      <c r="BN75" s="875"/>
      <c r="BO75" s="875"/>
    </row>
    <row r="76" spans="1:254" s="796" customFormat="1" ht="20.100000000000001" customHeight="1">
      <c r="A76" s="1138"/>
      <c r="B76" s="162">
        <v>4</v>
      </c>
      <c r="C76" s="802">
        <v>6.26</v>
      </c>
      <c r="D76" s="802">
        <v>6.79</v>
      </c>
      <c r="E76" s="802">
        <v>6.34</v>
      </c>
      <c r="F76" s="802">
        <v>6.79</v>
      </c>
      <c r="G76" s="802">
        <v>6.42</v>
      </c>
      <c r="H76" s="802">
        <v>6.79</v>
      </c>
      <c r="I76" s="802">
        <v>6.5</v>
      </c>
      <c r="J76" s="802">
        <v>6.79</v>
      </c>
      <c r="K76" s="802">
        <v>6.58</v>
      </c>
      <c r="L76" s="802">
        <v>6.79</v>
      </c>
      <c r="O76" s="799"/>
      <c r="P76" s="874"/>
      <c r="Q76" s="874"/>
      <c r="R76" s="874"/>
      <c r="S76" s="875"/>
      <c r="T76" s="875"/>
      <c r="U76" s="876"/>
      <c r="V76" s="876"/>
      <c r="W76" s="875"/>
      <c r="X76" s="875"/>
      <c r="Y76" s="875"/>
      <c r="Z76" s="875"/>
      <c r="AA76" s="875"/>
      <c r="AB76" s="875"/>
      <c r="AC76" s="875"/>
      <c r="AD76" s="875"/>
      <c r="AE76" s="875"/>
      <c r="AF76" s="875"/>
      <c r="AG76" s="875"/>
      <c r="AH76" s="875"/>
      <c r="AI76" s="875"/>
      <c r="AJ76" s="875"/>
      <c r="AK76" s="875"/>
      <c r="AL76" s="875"/>
      <c r="AM76" s="875"/>
      <c r="AN76" s="875"/>
      <c r="AO76" s="875"/>
      <c r="AP76" s="875"/>
      <c r="AQ76" s="875"/>
      <c r="AR76" s="875"/>
      <c r="AS76" s="875"/>
      <c r="AT76" s="875"/>
      <c r="AU76" s="875"/>
      <c r="AV76" s="875"/>
      <c r="AW76" s="875"/>
      <c r="AX76" s="875"/>
      <c r="AY76" s="875"/>
      <c r="AZ76" s="875"/>
      <c r="BA76" s="875"/>
      <c r="BB76" s="875"/>
      <c r="BC76" s="875"/>
      <c r="BD76" s="875"/>
      <c r="BE76" s="875"/>
      <c r="BF76" s="875"/>
      <c r="BG76" s="875"/>
      <c r="BH76" s="875"/>
      <c r="BI76" s="875"/>
      <c r="BJ76" s="875"/>
      <c r="BK76" s="875"/>
      <c r="BL76" s="875"/>
      <c r="BM76" s="875"/>
      <c r="BN76" s="875"/>
      <c r="BO76" s="875"/>
    </row>
    <row r="77" spans="1:254" s="801" customFormat="1" ht="20.100000000000001" customHeight="1">
      <c r="A77" s="1138"/>
      <c r="B77" s="162">
        <v>5</v>
      </c>
      <c r="C77" s="802">
        <v>6.27</v>
      </c>
      <c r="D77" s="802">
        <v>6.79</v>
      </c>
      <c r="E77" s="802">
        <v>6.35</v>
      </c>
      <c r="F77" s="802">
        <v>6.79</v>
      </c>
      <c r="G77" s="802">
        <v>6.43</v>
      </c>
      <c r="H77" s="802">
        <v>6.79</v>
      </c>
      <c r="I77" s="802">
        <v>6.51</v>
      </c>
      <c r="J77" s="802">
        <v>6.79</v>
      </c>
      <c r="K77" s="802">
        <v>6.59</v>
      </c>
      <c r="L77" s="802">
        <v>6.79</v>
      </c>
      <c r="O77" s="799"/>
      <c r="P77" s="874"/>
      <c r="Q77" s="874"/>
      <c r="R77" s="874"/>
      <c r="S77" s="877"/>
      <c r="T77" s="877"/>
      <c r="U77" s="876"/>
      <c r="V77" s="876"/>
      <c r="W77" s="876"/>
      <c r="X77" s="876"/>
      <c r="Y77" s="876"/>
      <c r="Z77" s="876"/>
      <c r="AA77" s="876"/>
      <c r="AB77" s="876"/>
      <c r="AC77" s="876"/>
      <c r="AD77" s="876"/>
      <c r="AE77" s="876"/>
      <c r="AF77" s="876"/>
      <c r="AG77" s="876"/>
      <c r="AH77" s="876"/>
      <c r="AI77" s="876"/>
      <c r="AJ77" s="876"/>
      <c r="AK77" s="876"/>
      <c r="AL77" s="876"/>
      <c r="AM77" s="876"/>
      <c r="AN77" s="876"/>
      <c r="AO77" s="876"/>
      <c r="AP77" s="876"/>
      <c r="AQ77" s="876"/>
      <c r="AR77" s="876"/>
      <c r="AS77" s="876"/>
      <c r="AT77" s="876"/>
      <c r="AU77" s="876"/>
      <c r="AV77" s="876"/>
      <c r="AW77" s="876"/>
      <c r="AX77" s="876"/>
      <c r="AY77" s="876"/>
      <c r="AZ77" s="876"/>
      <c r="BA77" s="876"/>
      <c r="BB77" s="876"/>
      <c r="BC77" s="876"/>
      <c r="BD77" s="876"/>
      <c r="BE77" s="876"/>
      <c r="BF77" s="876"/>
      <c r="BG77" s="876"/>
      <c r="BH77" s="876"/>
      <c r="BI77" s="876"/>
      <c r="BJ77" s="876"/>
      <c r="BK77" s="876"/>
      <c r="BL77" s="876"/>
      <c r="BM77" s="876"/>
      <c r="BN77" s="876"/>
      <c r="BO77" s="876"/>
      <c r="BP77" s="749"/>
      <c r="BQ77" s="749"/>
      <c r="BR77" s="749"/>
      <c r="BS77" s="749"/>
      <c r="BT77" s="749"/>
      <c r="BU77" s="749"/>
      <c r="BV77" s="749"/>
      <c r="BW77" s="749"/>
      <c r="BX77" s="749"/>
      <c r="BY77" s="749"/>
      <c r="BZ77" s="749"/>
      <c r="CA77" s="749"/>
      <c r="CB77" s="749"/>
      <c r="CC77" s="749"/>
      <c r="CD77" s="749"/>
      <c r="CE77" s="749"/>
      <c r="CF77" s="749"/>
      <c r="CG77" s="749"/>
      <c r="CH77" s="749"/>
      <c r="CI77" s="749"/>
      <c r="CJ77" s="749"/>
      <c r="CK77" s="749"/>
      <c r="CL77" s="749"/>
      <c r="CM77" s="749"/>
      <c r="CN77" s="749"/>
      <c r="CO77" s="749"/>
      <c r="CP77" s="749"/>
      <c r="CQ77" s="749"/>
      <c r="CR77" s="749"/>
      <c r="CS77" s="749"/>
      <c r="CT77" s="749"/>
      <c r="CU77" s="749"/>
      <c r="CV77" s="749"/>
      <c r="CW77" s="749"/>
      <c r="CX77" s="749"/>
      <c r="CY77" s="749"/>
      <c r="CZ77" s="749"/>
      <c r="DA77" s="749"/>
      <c r="DB77" s="749"/>
      <c r="DC77" s="749"/>
      <c r="DD77" s="749"/>
      <c r="DE77" s="749"/>
      <c r="DF77" s="749"/>
      <c r="DG77" s="749"/>
      <c r="DH77" s="749"/>
      <c r="DI77" s="749"/>
      <c r="DJ77" s="749"/>
      <c r="DK77" s="749"/>
      <c r="DL77" s="749"/>
      <c r="DM77" s="749"/>
      <c r="DN77" s="749"/>
      <c r="DO77" s="749"/>
      <c r="DP77" s="749"/>
      <c r="DQ77" s="749"/>
      <c r="DR77" s="749"/>
      <c r="DS77" s="749"/>
      <c r="DT77" s="749"/>
      <c r="DU77" s="749"/>
      <c r="DV77" s="749"/>
      <c r="DW77" s="749"/>
      <c r="DX77" s="749"/>
      <c r="DY77" s="749"/>
      <c r="DZ77" s="749"/>
      <c r="EA77" s="749"/>
      <c r="EB77" s="749"/>
      <c r="EC77" s="749"/>
      <c r="ED77" s="749"/>
      <c r="EE77" s="749"/>
      <c r="EF77" s="749"/>
      <c r="EG77" s="749"/>
      <c r="EH77" s="749"/>
      <c r="EI77" s="749"/>
      <c r="EJ77" s="749"/>
      <c r="EK77" s="749"/>
      <c r="EL77" s="749"/>
      <c r="EM77" s="749"/>
      <c r="EN77" s="749"/>
      <c r="EO77" s="749"/>
      <c r="EP77" s="749"/>
      <c r="EQ77" s="749"/>
      <c r="ER77" s="749"/>
      <c r="ES77" s="749"/>
      <c r="ET77" s="749"/>
      <c r="EU77" s="749"/>
      <c r="EV77" s="749"/>
      <c r="EW77" s="749"/>
      <c r="EX77" s="749"/>
      <c r="EY77" s="749"/>
      <c r="EZ77" s="749"/>
      <c r="FA77" s="749"/>
      <c r="FB77" s="749"/>
      <c r="FC77" s="749"/>
      <c r="FD77" s="749"/>
      <c r="FE77" s="749"/>
      <c r="FF77" s="749"/>
      <c r="FG77" s="749"/>
      <c r="FH77" s="749"/>
      <c r="FI77" s="749"/>
      <c r="FJ77" s="749"/>
      <c r="FK77" s="749"/>
      <c r="FL77" s="749"/>
      <c r="FM77" s="749"/>
      <c r="FN77" s="749"/>
      <c r="FO77" s="749"/>
      <c r="FP77" s="749"/>
      <c r="FQ77" s="749"/>
      <c r="FR77" s="749"/>
      <c r="FS77" s="749"/>
      <c r="FT77" s="749"/>
      <c r="FU77" s="749"/>
      <c r="FV77" s="749"/>
      <c r="FW77" s="749"/>
      <c r="FX77" s="749"/>
      <c r="FY77" s="749"/>
      <c r="FZ77" s="749"/>
      <c r="GA77" s="749"/>
      <c r="GB77" s="749"/>
      <c r="GC77" s="749"/>
      <c r="GD77" s="749"/>
      <c r="GE77" s="749"/>
      <c r="GF77" s="749"/>
      <c r="GG77" s="749"/>
      <c r="GH77" s="749"/>
      <c r="GI77" s="749"/>
      <c r="GJ77" s="749"/>
      <c r="GK77" s="749"/>
      <c r="GL77" s="749"/>
      <c r="GM77" s="749"/>
      <c r="GN77" s="749"/>
      <c r="GO77" s="749"/>
      <c r="GP77" s="749"/>
      <c r="GQ77" s="749"/>
      <c r="GR77" s="749"/>
      <c r="GS77" s="749"/>
      <c r="GT77" s="749"/>
      <c r="GU77" s="749"/>
      <c r="GV77" s="749"/>
      <c r="GW77" s="749"/>
      <c r="GX77" s="749"/>
      <c r="GY77" s="749"/>
      <c r="GZ77" s="749"/>
      <c r="HA77" s="749"/>
      <c r="HB77" s="749"/>
      <c r="HC77" s="749"/>
      <c r="HD77" s="749"/>
      <c r="HE77" s="749"/>
      <c r="HF77" s="749"/>
      <c r="HG77" s="749"/>
      <c r="HH77" s="749"/>
      <c r="HI77" s="749"/>
      <c r="HJ77" s="749"/>
      <c r="HK77" s="749"/>
      <c r="HL77" s="749"/>
      <c r="HM77" s="749"/>
      <c r="HN77" s="749"/>
      <c r="HO77" s="749"/>
      <c r="HP77" s="749"/>
      <c r="HQ77" s="749"/>
      <c r="HR77" s="749"/>
      <c r="HS77" s="749"/>
      <c r="HT77" s="749"/>
      <c r="HU77" s="749"/>
      <c r="HV77" s="749"/>
      <c r="HW77" s="749"/>
      <c r="HX77" s="749"/>
      <c r="HY77" s="749"/>
      <c r="HZ77" s="749"/>
      <c r="IA77" s="749"/>
      <c r="IB77" s="749"/>
      <c r="IC77" s="749"/>
      <c r="ID77" s="749"/>
      <c r="IE77" s="749"/>
      <c r="IF77" s="749"/>
      <c r="IG77" s="749"/>
      <c r="IH77" s="749"/>
      <c r="II77" s="749"/>
      <c r="IJ77" s="749"/>
      <c r="IK77" s="749"/>
      <c r="IL77" s="749"/>
      <c r="IM77" s="749"/>
      <c r="IN77" s="749"/>
      <c r="IO77" s="749"/>
      <c r="IP77" s="749"/>
      <c r="IQ77" s="749"/>
      <c r="IR77" s="749"/>
      <c r="IS77" s="749"/>
      <c r="IT77" s="749"/>
    </row>
    <row r="78" spans="1:254" s="801" customFormat="1" ht="20.100000000000001" customHeight="1">
      <c r="A78" s="1138"/>
      <c r="B78" s="162">
        <v>6</v>
      </c>
      <c r="C78" s="802">
        <v>6.28</v>
      </c>
      <c r="D78" s="802">
        <v>6.79</v>
      </c>
      <c r="E78" s="802">
        <v>6.36</v>
      </c>
      <c r="F78" s="802">
        <v>6.79</v>
      </c>
      <c r="G78" s="802">
        <v>6.44</v>
      </c>
      <c r="H78" s="802">
        <v>6.79</v>
      </c>
      <c r="I78" s="802">
        <v>6.52</v>
      </c>
      <c r="J78" s="802">
        <v>6.79</v>
      </c>
      <c r="K78" s="802">
        <v>6.6</v>
      </c>
      <c r="L78" s="802">
        <v>6.79</v>
      </c>
      <c r="O78" s="799"/>
      <c r="P78" s="874"/>
      <c r="Q78" s="874"/>
      <c r="R78" s="874"/>
      <c r="S78" s="877"/>
      <c r="T78" s="877"/>
      <c r="U78" s="876"/>
      <c r="V78" s="876"/>
      <c r="W78" s="876"/>
      <c r="X78" s="876"/>
      <c r="Y78" s="876"/>
      <c r="Z78" s="876"/>
      <c r="AA78" s="876"/>
      <c r="AB78" s="876"/>
      <c r="AC78" s="876"/>
      <c r="AD78" s="876"/>
      <c r="AE78" s="876"/>
      <c r="AF78" s="876"/>
      <c r="AG78" s="876"/>
      <c r="AH78" s="876"/>
      <c r="AI78" s="876"/>
      <c r="AJ78" s="876"/>
      <c r="AK78" s="876"/>
      <c r="AL78" s="876"/>
      <c r="AM78" s="876"/>
      <c r="AN78" s="876"/>
      <c r="AO78" s="876"/>
      <c r="AP78" s="876"/>
      <c r="AQ78" s="876"/>
      <c r="AR78" s="876"/>
      <c r="AS78" s="876"/>
      <c r="AT78" s="876"/>
      <c r="AU78" s="876"/>
      <c r="AV78" s="876"/>
      <c r="AW78" s="876"/>
      <c r="AX78" s="876"/>
      <c r="AY78" s="876"/>
      <c r="AZ78" s="876"/>
      <c r="BA78" s="876"/>
      <c r="BB78" s="876"/>
      <c r="BC78" s="876"/>
      <c r="BD78" s="876"/>
      <c r="BE78" s="876"/>
      <c r="BF78" s="876"/>
      <c r="BG78" s="876"/>
      <c r="BH78" s="876"/>
      <c r="BI78" s="876"/>
      <c r="BJ78" s="876"/>
      <c r="BK78" s="876"/>
      <c r="BL78" s="876"/>
      <c r="BM78" s="876"/>
      <c r="BN78" s="876"/>
      <c r="BO78" s="876"/>
      <c r="BP78" s="749"/>
      <c r="BQ78" s="749"/>
      <c r="BR78" s="749"/>
      <c r="BS78" s="749"/>
      <c r="BT78" s="749"/>
      <c r="BU78" s="749"/>
      <c r="BV78" s="749"/>
      <c r="BW78" s="749"/>
      <c r="BX78" s="749"/>
      <c r="BY78" s="749"/>
      <c r="BZ78" s="749"/>
      <c r="CA78" s="749"/>
      <c r="CB78" s="749"/>
      <c r="CC78" s="749"/>
      <c r="CD78" s="749"/>
      <c r="CE78" s="749"/>
      <c r="CF78" s="749"/>
      <c r="CG78" s="749"/>
      <c r="CH78" s="749"/>
      <c r="CI78" s="749"/>
      <c r="CJ78" s="749"/>
      <c r="CK78" s="749"/>
      <c r="CL78" s="749"/>
      <c r="CM78" s="749"/>
      <c r="CN78" s="749"/>
      <c r="CO78" s="749"/>
      <c r="CP78" s="749"/>
      <c r="CQ78" s="749"/>
      <c r="CR78" s="749"/>
      <c r="CS78" s="749"/>
      <c r="CT78" s="749"/>
      <c r="CU78" s="749"/>
      <c r="CV78" s="749"/>
      <c r="CW78" s="749"/>
      <c r="CX78" s="749"/>
      <c r="CY78" s="749"/>
      <c r="CZ78" s="749"/>
      <c r="DA78" s="749"/>
      <c r="DB78" s="749"/>
      <c r="DC78" s="749"/>
      <c r="DD78" s="749"/>
      <c r="DE78" s="749"/>
      <c r="DF78" s="749"/>
      <c r="DG78" s="749"/>
      <c r="DH78" s="749"/>
      <c r="DI78" s="749"/>
      <c r="DJ78" s="749"/>
      <c r="DK78" s="749"/>
      <c r="DL78" s="749"/>
      <c r="DM78" s="749"/>
      <c r="DN78" s="749"/>
      <c r="DO78" s="749"/>
      <c r="DP78" s="749"/>
      <c r="DQ78" s="749"/>
      <c r="DR78" s="749"/>
      <c r="DS78" s="749"/>
      <c r="DT78" s="749"/>
      <c r="DU78" s="749"/>
      <c r="DV78" s="749"/>
      <c r="DW78" s="749"/>
      <c r="DX78" s="749"/>
      <c r="DY78" s="749"/>
      <c r="DZ78" s="749"/>
      <c r="EA78" s="749"/>
      <c r="EB78" s="749"/>
      <c r="EC78" s="749"/>
      <c r="ED78" s="749"/>
      <c r="EE78" s="749"/>
      <c r="EF78" s="749"/>
      <c r="EG78" s="749"/>
      <c r="EH78" s="749"/>
      <c r="EI78" s="749"/>
      <c r="EJ78" s="749"/>
      <c r="EK78" s="749"/>
      <c r="EL78" s="749"/>
      <c r="EM78" s="749"/>
      <c r="EN78" s="749"/>
      <c r="EO78" s="749"/>
      <c r="EP78" s="749"/>
      <c r="EQ78" s="749"/>
      <c r="ER78" s="749"/>
      <c r="ES78" s="749"/>
      <c r="ET78" s="749"/>
      <c r="EU78" s="749"/>
      <c r="EV78" s="749"/>
      <c r="EW78" s="749"/>
      <c r="EX78" s="749"/>
      <c r="EY78" s="749"/>
      <c r="EZ78" s="749"/>
      <c r="FA78" s="749"/>
      <c r="FB78" s="749"/>
      <c r="FC78" s="749"/>
      <c r="FD78" s="749"/>
      <c r="FE78" s="749"/>
      <c r="FF78" s="749"/>
      <c r="FG78" s="749"/>
      <c r="FH78" s="749"/>
      <c r="FI78" s="749"/>
      <c r="FJ78" s="749"/>
      <c r="FK78" s="749"/>
      <c r="FL78" s="749"/>
      <c r="FM78" s="749"/>
      <c r="FN78" s="749"/>
      <c r="FO78" s="749"/>
      <c r="FP78" s="749"/>
      <c r="FQ78" s="749"/>
      <c r="FR78" s="749"/>
      <c r="FS78" s="749"/>
      <c r="FT78" s="749"/>
      <c r="FU78" s="749"/>
      <c r="FV78" s="749"/>
      <c r="FW78" s="749"/>
      <c r="FX78" s="749"/>
      <c r="FY78" s="749"/>
      <c r="FZ78" s="749"/>
      <c r="GA78" s="749"/>
      <c r="GB78" s="749"/>
      <c r="GC78" s="749"/>
      <c r="GD78" s="749"/>
      <c r="GE78" s="749"/>
      <c r="GF78" s="749"/>
      <c r="GG78" s="749"/>
      <c r="GH78" s="749"/>
      <c r="GI78" s="749"/>
      <c r="GJ78" s="749"/>
      <c r="GK78" s="749"/>
      <c r="GL78" s="749"/>
      <c r="GM78" s="749"/>
      <c r="GN78" s="749"/>
      <c r="GO78" s="749"/>
      <c r="GP78" s="749"/>
      <c r="GQ78" s="749"/>
      <c r="GR78" s="749"/>
      <c r="GS78" s="749"/>
      <c r="GT78" s="749"/>
      <c r="GU78" s="749"/>
      <c r="GV78" s="749"/>
      <c r="GW78" s="749"/>
      <c r="GX78" s="749"/>
      <c r="GY78" s="749"/>
      <c r="GZ78" s="749"/>
      <c r="HA78" s="749"/>
      <c r="HB78" s="749"/>
      <c r="HC78" s="749"/>
      <c r="HD78" s="749"/>
      <c r="HE78" s="749"/>
      <c r="HF78" s="749"/>
      <c r="HG78" s="749"/>
      <c r="HH78" s="749"/>
      <c r="HI78" s="749"/>
      <c r="HJ78" s="749"/>
      <c r="HK78" s="749"/>
      <c r="HL78" s="749"/>
      <c r="HM78" s="749"/>
      <c r="HN78" s="749"/>
      <c r="HO78" s="749"/>
      <c r="HP78" s="749"/>
      <c r="HQ78" s="749"/>
      <c r="HR78" s="749"/>
      <c r="HS78" s="749"/>
      <c r="HT78" s="749"/>
      <c r="HU78" s="749"/>
      <c r="HV78" s="749"/>
      <c r="HW78" s="749"/>
      <c r="HX78" s="749"/>
      <c r="HY78" s="749"/>
      <c r="HZ78" s="749"/>
      <c r="IA78" s="749"/>
      <c r="IB78" s="749"/>
      <c r="IC78" s="749"/>
      <c r="ID78" s="749"/>
      <c r="IE78" s="749"/>
      <c r="IF78" s="749"/>
      <c r="IG78" s="749"/>
      <c r="IH78" s="749"/>
      <c r="II78" s="749"/>
      <c r="IJ78" s="749"/>
      <c r="IK78" s="749"/>
      <c r="IL78" s="749"/>
      <c r="IM78" s="749"/>
      <c r="IN78" s="749"/>
      <c r="IO78" s="749"/>
      <c r="IP78" s="749"/>
      <c r="IQ78" s="749"/>
      <c r="IR78" s="749"/>
      <c r="IS78" s="749"/>
      <c r="IT78" s="749"/>
    </row>
    <row r="79" spans="1:254" s="801" customFormat="1" ht="20.100000000000001" customHeight="1">
      <c r="A79" s="1138"/>
      <c r="B79" s="162">
        <v>7</v>
      </c>
      <c r="C79" s="802">
        <v>6.29</v>
      </c>
      <c r="D79" s="802">
        <v>6.79</v>
      </c>
      <c r="E79" s="802">
        <v>6.37</v>
      </c>
      <c r="F79" s="802">
        <v>6.79</v>
      </c>
      <c r="G79" s="802">
        <v>6.45</v>
      </c>
      <c r="H79" s="802">
        <v>6.79</v>
      </c>
      <c r="I79" s="802">
        <v>6.53</v>
      </c>
      <c r="J79" s="802">
        <v>6.79</v>
      </c>
      <c r="K79" s="802">
        <v>6.61</v>
      </c>
      <c r="L79" s="802">
        <v>6.79</v>
      </c>
      <c r="O79" s="799"/>
      <c r="P79" s="874"/>
      <c r="Q79" s="874"/>
      <c r="R79" s="874"/>
      <c r="S79" s="877"/>
      <c r="T79" s="877"/>
      <c r="U79" s="876"/>
      <c r="V79" s="876"/>
      <c r="W79" s="876"/>
      <c r="X79" s="876"/>
      <c r="Y79" s="876"/>
      <c r="Z79" s="876"/>
      <c r="AA79" s="876"/>
      <c r="AB79" s="876"/>
      <c r="AC79" s="876"/>
      <c r="AD79" s="876"/>
      <c r="AE79" s="876"/>
      <c r="AF79" s="876"/>
      <c r="AG79" s="876"/>
      <c r="AH79" s="876"/>
      <c r="AI79" s="876"/>
      <c r="AJ79" s="876"/>
      <c r="AK79" s="876"/>
      <c r="AL79" s="876"/>
      <c r="AM79" s="876"/>
      <c r="AN79" s="876"/>
      <c r="AO79" s="876"/>
      <c r="AP79" s="876"/>
      <c r="AQ79" s="876"/>
      <c r="AR79" s="876"/>
      <c r="AS79" s="876"/>
      <c r="AT79" s="876"/>
      <c r="AU79" s="876"/>
      <c r="AV79" s="876"/>
      <c r="AW79" s="876"/>
      <c r="AX79" s="876"/>
      <c r="AY79" s="876"/>
      <c r="AZ79" s="876"/>
      <c r="BA79" s="876"/>
      <c r="BB79" s="876"/>
      <c r="BC79" s="876"/>
      <c r="BD79" s="876"/>
      <c r="BE79" s="876"/>
      <c r="BF79" s="876"/>
      <c r="BG79" s="876"/>
      <c r="BH79" s="876"/>
      <c r="BI79" s="876"/>
      <c r="BJ79" s="876"/>
      <c r="BK79" s="876"/>
      <c r="BL79" s="876"/>
      <c r="BM79" s="876"/>
      <c r="BN79" s="876"/>
      <c r="BO79" s="876"/>
      <c r="BP79" s="749"/>
      <c r="BQ79" s="749"/>
      <c r="BR79" s="749"/>
      <c r="BS79" s="749"/>
      <c r="BT79" s="749"/>
      <c r="BU79" s="749"/>
      <c r="BV79" s="749"/>
      <c r="BW79" s="749"/>
      <c r="BX79" s="749"/>
      <c r="BY79" s="749"/>
      <c r="BZ79" s="749"/>
      <c r="CA79" s="749"/>
      <c r="CB79" s="749"/>
      <c r="CC79" s="749"/>
      <c r="CD79" s="749"/>
      <c r="CE79" s="749"/>
      <c r="CF79" s="749"/>
      <c r="CG79" s="749"/>
      <c r="CH79" s="749"/>
      <c r="CI79" s="749"/>
      <c r="CJ79" s="749"/>
      <c r="CK79" s="749"/>
      <c r="CL79" s="749"/>
      <c r="CM79" s="749"/>
      <c r="CN79" s="749"/>
      <c r="CO79" s="749"/>
      <c r="CP79" s="749"/>
      <c r="CQ79" s="749"/>
      <c r="CR79" s="749"/>
      <c r="CS79" s="749"/>
      <c r="CT79" s="749"/>
      <c r="CU79" s="749"/>
      <c r="CV79" s="749"/>
      <c r="CW79" s="749"/>
      <c r="CX79" s="749"/>
      <c r="CY79" s="749"/>
      <c r="CZ79" s="749"/>
      <c r="DA79" s="749"/>
      <c r="DB79" s="749"/>
      <c r="DC79" s="749"/>
      <c r="DD79" s="749"/>
      <c r="DE79" s="749"/>
      <c r="DF79" s="749"/>
      <c r="DG79" s="749"/>
      <c r="DH79" s="749"/>
      <c r="DI79" s="749"/>
      <c r="DJ79" s="749"/>
      <c r="DK79" s="749"/>
      <c r="DL79" s="749"/>
      <c r="DM79" s="749"/>
      <c r="DN79" s="749"/>
      <c r="DO79" s="749"/>
      <c r="DP79" s="749"/>
      <c r="DQ79" s="749"/>
      <c r="DR79" s="749"/>
      <c r="DS79" s="749"/>
      <c r="DT79" s="749"/>
      <c r="DU79" s="749"/>
      <c r="DV79" s="749"/>
      <c r="DW79" s="749"/>
      <c r="DX79" s="749"/>
      <c r="DY79" s="749"/>
      <c r="DZ79" s="749"/>
      <c r="EA79" s="749"/>
      <c r="EB79" s="749"/>
      <c r="EC79" s="749"/>
      <c r="ED79" s="749"/>
      <c r="EE79" s="749"/>
      <c r="EF79" s="749"/>
      <c r="EG79" s="749"/>
      <c r="EH79" s="749"/>
      <c r="EI79" s="749"/>
      <c r="EJ79" s="749"/>
      <c r="EK79" s="749"/>
      <c r="EL79" s="749"/>
      <c r="EM79" s="749"/>
      <c r="EN79" s="749"/>
      <c r="EO79" s="749"/>
      <c r="EP79" s="749"/>
      <c r="EQ79" s="749"/>
      <c r="ER79" s="749"/>
      <c r="ES79" s="749"/>
      <c r="ET79" s="749"/>
      <c r="EU79" s="749"/>
      <c r="EV79" s="749"/>
      <c r="EW79" s="749"/>
      <c r="EX79" s="749"/>
      <c r="EY79" s="749"/>
      <c r="EZ79" s="749"/>
      <c r="FA79" s="749"/>
      <c r="FB79" s="749"/>
      <c r="FC79" s="749"/>
      <c r="FD79" s="749"/>
      <c r="FE79" s="749"/>
      <c r="FF79" s="749"/>
      <c r="FG79" s="749"/>
      <c r="FH79" s="749"/>
      <c r="FI79" s="749"/>
      <c r="FJ79" s="749"/>
      <c r="FK79" s="749"/>
      <c r="FL79" s="749"/>
      <c r="FM79" s="749"/>
      <c r="FN79" s="749"/>
      <c r="FO79" s="749"/>
      <c r="FP79" s="749"/>
      <c r="FQ79" s="749"/>
      <c r="FR79" s="749"/>
      <c r="FS79" s="749"/>
      <c r="FT79" s="749"/>
      <c r="FU79" s="749"/>
      <c r="FV79" s="749"/>
      <c r="FW79" s="749"/>
      <c r="FX79" s="749"/>
      <c r="FY79" s="749"/>
      <c r="FZ79" s="749"/>
      <c r="GA79" s="749"/>
      <c r="GB79" s="749"/>
      <c r="GC79" s="749"/>
      <c r="GD79" s="749"/>
      <c r="GE79" s="749"/>
      <c r="GF79" s="749"/>
      <c r="GG79" s="749"/>
      <c r="GH79" s="749"/>
      <c r="GI79" s="749"/>
      <c r="GJ79" s="749"/>
      <c r="GK79" s="749"/>
      <c r="GL79" s="749"/>
      <c r="GM79" s="749"/>
      <c r="GN79" s="749"/>
      <c r="GO79" s="749"/>
      <c r="GP79" s="749"/>
      <c r="GQ79" s="749"/>
      <c r="GR79" s="749"/>
      <c r="GS79" s="749"/>
      <c r="GT79" s="749"/>
      <c r="GU79" s="749"/>
      <c r="GV79" s="749"/>
      <c r="GW79" s="749"/>
      <c r="GX79" s="749"/>
      <c r="GY79" s="749"/>
      <c r="GZ79" s="749"/>
      <c r="HA79" s="749"/>
      <c r="HB79" s="749"/>
      <c r="HC79" s="749"/>
      <c r="HD79" s="749"/>
      <c r="HE79" s="749"/>
      <c r="HF79" s="749"/>
      <c r="HG79" s="749"/>
      <c r="HH79" s="749"/>
      <c r="HI79" s="749"/>
      <c r="HJ79" s="749"/>
      <c r="HK79" s="749"/>
      <c r="HL79" s="749"/>
      <c r="HM79" s="749"/>
      <c r="HN79" s="749"/>
      <c r="HO79" s="749"/>
      <c r="HP79" s="749"/>
      <c r="HQ79" s="749"/>
      <c r="HR79" s="749"/>
      <c r="HS79" s="749"/>
      <c r="HT79" s="749"/>
      <c r="HU79" s="749"/>
      <c r="HV79" s="749"/>
      <c r="HW79" s="749"/>
      <c r="HX79" s="749"/>
      <c r="HY79" s="749"/>
      <c r="HZ79" s="749"/>
      <c r="IA79" s="749"/>
      <c r="IB79" s="749"/>
      <c r="IC79" s="749"/>
      <c r="ID79" s="749"/>
      <c r="IE79" s="749"/>
      <c r="IF79" s="749"/>
      <c r="IG79" s="749"/>
      <c r="IH79" s="749"/>
      <c r="II79" s="749"/>
      <c r="IJ79" s="749"/>
      <c r="IK79" s="749"/>
      <c r="IL79" s="749"/>
      <c r="IM79" s="749"/>
      <c r="IN79" s="749"/>
      <c r="IO79" s="749"/>
      <c r="IP79" s="749"/>
      <c r="IQ79" s="749"/>
      <c r="IR79" s="749"/>
      <c r="IS79" s="749"/>
      <c r="IT79" s="749"/>
    </row>
    <row r="80" spans="1:254" s="801" customFormat="1" ht="20.100000000000001" customHeight="1">
      <c r="A80" s="1139"/>
      <c r="B80" s="162">
        <v>8</v>
      </c>
      <c r="C80" s="802">
        <v>6.3</v>
      </c>
      <c r="D80" s="802">
        <v>6.79</v>
      </c>
      <c r="E80" s="802">
        <v>6.38</v>
      </c>
      <c r="F80" s="802">
        <v>6.79</v>
      </c>
      <c r="G80" s="802">
        <v>6.46</v>
      </c>
      <c r="H80" s="802">
        <v>6.79</v>
      </c>
      <c r="I80" s="802">
        <v>6.54</v>
      </c>
      <c r="J80" s="802">
        <v>6.79</v>
      </c>
      <c r="K80" s="802">
        <v>6.62</v>
      </c>
      <c r="L80" s="802">
        <v>6.79</v>
      </c>
      <c r="O80" s="799"/>
      <c r="P80" s="874"/>
      <c r="Q80" s="874"/>
      <c r="R80" s="874"/>
      <c r="S80" s="877"/>
      <c r="T80" s="877"/>
      <c r="U80" s="876"/>
      <c r="V80" s="876"/>
      <c r="W80" s="876"/>
      <c r="X80" s="876"/>
      <c r="Y80" s="876"/>
      <c r="Z80" s="876"/>
      <c r="AA80" s="876"/>
      <c r="AB80" s="876"/>
      <c r="AC80" s="876"/>
      <c r="AD80" s="876"/>
      <c r="AE80" s="876"/>
      <c r="AF80" s="876"/>
      <c r="AG80" s="876"/>
      <c r="AH80" s="876"/>
      <c r="AI80" s="876"/>
      <c r="AJ80" s="876"/>
      <c r="AK80" s="876"/>
      <c r="AL80" s="876"/>
      <c r="AM80" s="876"/>
      <c r="AN80" s="876"/>
      <c r="AO80" s="876"/>
      <c r="AP80" s="876"/>
      <c r="AQ80" s="876"/>
      <c r="AR80" s="876"/>
      <c r="AS80" s="876"/>
      <c r="AT80" s="876"/>
      <c r="AU80" s="876"/>
      <c r="AV80" s="876"/>
      <c r="AW80" s="876"/>
      <c r="AX80" s="876"/>
      <c r="AY80" s="876"/>
      <c r="AZ80" s="876"/>
      <c r="BA80" s="876"/>
      <c r="BB80" s="876"/>
      <c r="BC80" s="876"/>
      <c r="BD80" s="876"/>
      <c r="BE80" s="876"/>
      <c r="BF80" s="876"/>
      <c r="BG80" s="876"/>
      <c r="BH80" s="876"/>
      <c r="BI80" s="876"/>
      <c r="BJ80" s="876"/>
      <c r="BK80" s="876"/>
      <c r="BL80" s="876"/>
      <c r="BM80" s="876"/>
      <c r="BN80" s="876"/>
      <c r="BO80" s="876"/>
      <c r="BP80" s="749"/>
      <c r="BQ80" s="749"/>
      <c r="BR80" s="749"/>
      <c r="BS80" s="749"/>
      <c r="BT80" s="749"/>
      <c r="BU80" s="749"/>
      <c r="BV80" s="749"/>
      <c r="BW80" s="749"/>
      <c r="BX80" s="749"/>
      <c r="BY80" s="749"/>
      <c r="BZ80" s="749"/>
      <c r="CA80" s="749"/>
      <c r="CB80" s="749"/>
      <c r="CC80" s="749"/>
      <c r="CD80" s="749"/>
      <c r="CE80" s="749"/>
      <c r="CF80" s="749"/>
      <c r="CG80" s="749"/>
      <c r="CH80" s="749"/>
      <c r="CI80" s="749"/>
      <c r="CJ80" s="749"/>
      <c r="CK80" s="749"/>
      <c r="CL80" s="749"/>
      <c r="CM80" s="749"/>
      <c r="CN80" s="749"/>
      <c r="CO80" s="749"/>
      <c r="CP80" s="749"/>
      <c r="CQ80" s="749"/>
      <c r="CR80" s="749"/>
      <c r="CS80" s="749"/>
      <c r="CT80" s="749"/>
      <c r="CU80" s="749"/>
      <c r="CV80" s="749"/>
      <c r="CW80" s="749"/>
      <c r="CX80" s="749"/>
      <c r="CY80" s="749"/>
      <c r="CZ80" s="749"/>
      <c r="DA80" s="749"/>
      <c r="DB80" s="749"/>
      <c r="DC80" s="749"/>
      <c r="DD80" s="749"/>
      <c r="DE80" s="749"/>
      <c r="DF80" s="749"/>
      <c r="DG80" s="749"/>
      <c r="DH80" s="749"/>
      <c r="DI80" s="749"/>
      <c r="DJ80" s="749"/>
      <c r="DK80" s="749"/>
      <c r="DL80" s="749"/>
      <c r="DM80" s="749"/>
      <c r="DN80" s="749"/>
      <c r="DO80" s="749"/>
      <c r="DP80" s="749"/>
      <c r="DQ80" s="749"/>
      <c r="DR80" s="749"/>
      <c r="DS80" s="749"/>
      <c r="DT80" s="749"/>
      <c r="DU80" s="749"/>
      <c r="DV80" s="749"/>
      <c r="DW80" s="749"/>
      <c r="DX80" s="749"/>
      <c r="DY80" s="749"/>
      <c r="DZ80" s="749"/>
      <c r="EA80" s="749"/>
      <c r="EB80" s="749"/>
      <c r="EC80" s="749"/>
      <c r="ED80" s="749"/>
      <c r="EE80" s="749"/>
      <c r="EF80" s="749"/>
      <c r="EG80" s="749"/>
      <c r="EH80" s="749"/>
      <c r="EI80" s="749"/>
      <c r="EJ80" s="749"/>
      <c r="EK80" s="749"/>
      <c r="EL80" s="749"/>
      <c r="EM80" s="749"/>
      <c r="EN80" s="749"/>
      <c r="EO80" s="749"/>
      <c r="EP80" s="749"/>
      <c r="EQ80" s="749"/>
      <c r="ER80" s="749"/>
      <c r="ES80" s="749"/>
      <c r="ET80" s="749"/>
      <c r="EU80" s="749"/>
      <c r="EV80" s="749"/>
      <c r="EW80" s="749"/>
      <c r="EX80" s="749"/>
      <c r="EY80" s="749"/>
      <c r="EZ80" s="749"/>
      <c r="FA80" s="749"/>
      <c r="FB80" s="749"/>
      <c r="FC80" s="749"/>
      <c r="FD80" s="749"/>
      <c r="FE80" s="749"/>
      <c r="FF80" s="749"/>
      <c r="FG80" s="749"/>
      <c r="FH80" s="749"/>
      <c r="FI80" s="749"/>
      <c r="FJ80" s="749"/>
      <c r="FK80" s="749"/>
      <c r="FL80" s="749"/>
      <c r="FM80" s="749"/>
      <c r="FN80" s="749"/>
      <c r="FO80" s="749"/>
      <c r="FP80" s="749"/>
      <c r="FQ80" s="749"/>
      <c r="FR80" s="749"/>
      <c r="FS80" s="749"/>
      <c r="FT80" s="749"/>
      <c r="FU80" s="749"/>
      <c r="FV80" s="749"/>
      <c r="FW80" s="749"/>
      <c r="FX80" s="749"/>
      <c r="FY80" s="749"/>
      <c r="FZ80" s="749"/>
      <c r="GA80" s="749"/>
      <c r="GB80" s="749"/>
      <c r="GC80" s="749"/>
      <c r="GD80" s="749"/>
      <c r="GE80" s="749"/>
      <c r="GF80" s="749"/>
      <c r="GG80" s="749"/>
      <c r="GH80" s="749"/>
      <c r="GI80" s="749"/>
      <c r="GJ80" s="749"/>
      <c r="GK80" s="749"/>
      <c r="GL80" s="749"/>
      <c r="GM80" s="749"/>
      <c r="GN80" s="749"/>
      <c r="GO80" s="749"/>
      <c r="GP80" s="749"/>
      <c r="GQ80" s="749"/>
      <c r="GR80" s="749"/>
      <c r="GS80" s="749"/>
      <c r="GT80" s="749"/>
      <c r="GU80" s="749"/>
      <c r="GV80" s="749"/>
      <c r="GW80" s="749"/>
      <c r="GX80" s="749"/>
      <c r="GY80" s="749"/>
      <c r="GZ80" s="749"/>
      <c r="HA80" s="749"/>
      <c r="HB80" s="749"/>
      <c r="HC80" s="749"/>
      <c r="HD80" s="749"/>
      <c r="HE80" s="749"/>
      <c r="HF80" s="749"/>
      <c r="HG80" s="749"/>
      <c r="HH80" s="749"/>
      <c r="HI80" s="749"/>
      <c r="HJ80" s="749"/>
      <c r="HK80" s="749"/>
      <c r="HL80" s="749"/>
      <c r="HM80" s="749"/>
      <c r="HN80" s="749"/>
      <c r="HO80" s="749"/>
      <c r="HP80" s="749"/>
      <c r="HQ80" s="749"/>
      <c r="HR80" s="749"/>
      <c r="HS80" s="749"/>
      <c r="HT80" s="749"/>
      <c r="HU80" s="749"/>
      <c r="HV80" s="749"/>
      <c r="HW80" s="749"/>
      <c r="HX80" s="749"/>
      <c r="HY80" s="749"/>
      <c r="HZ80" s="749"/>
      <c r="IA80" s="749"/>
      <c r="IB80" s="749"/>
      <c r="IC80" s="749"/>
      <c r="ID80" s="749"/>
      <c r="IE80" s="749"/>
      <c r="IF80" s="749"/>
      <c r="IG80" s="749"/>
      <c r="IH80" s="749"/>
      <c r="II80" s="749"/>
      <c r="IJ80" s="749"/>
      <c r="IK80" s="749"/>
      <c r="IL80" s="749"/>
      <c r="IM80" s="749"/>
      <c r="IN80" s="749"/>
      <c r="IO80" s="749"/>
      <c r="IP80" s="749"/>
      <c r="IQ80" s="749"/>
      <c r="IR80" s="749"/>
      <c r="IS80" s="749"/>
      <c r="IT80" s="749"/>
    </row>
    <row r="81" spans="1:20" ht="20.100000000000001" customHeight="1">
      <c r="A81" s="1114" t="s">
        <v>102</v>
      </c>
      <c r="B81" s="1114"/>
      <c r="C81" s="1169">
        <v>6</v>
      </c>
      <c r="D81" s="1169"/>
      <c r="E81" s="1169"/>
      <c r="F81" s="1169"/>
      <c r="G81" s="1169"/>
      <c r="H81" s="1170">
        <v>6</v>
      </c>
      <c r="I81" s="1170"/>
      <c r="J81" s="1170"/>
      <c r="K81" s="1170"/>
      <c r="L81" s="1170"/>
    </row>
    <row r="82" spans="1:20" ht="20.100000000000001" customHeight="1">
      <c r="A82" s="1114" t="s">
        <v>103</v>
      </c>
      <c r="B82" s="1114"/>
      <c r="C82" s="1170">
        <f>MAX(C17:D17)</f>
        <v>26.3</v>
      </c>
      <c r="D82" s="1170"/>
      <c r="E82" s="1170"/>
      <c r="F82" s="1170"/>
      <c r="G82" s="1170"/>
      <c r="H82" s="1170">
        <f>MIN(C17:D17)</f>
        <v>26.2</v>
      </c>
      <c r="I82" s="1171"/>
      <c r="J82" s="1171"/>
      <c r="K82" s="1171"/>
      <c r="L82" s="1171"/>
    </row>
    <row r="83" spans="1:20" ht="20.100000000000001" customHeight="1">
      <c r="K83" s="794"/>
      <c r="L83" s="794"/>
      <c r="O83" s="165">
        <f>(37.2+37.2)/2</f>
        <v>37.200000000000003</v>
      </c>
    </row>
    <row r="84" spans="1:20" ht="20.100000000000001" customHeight="1">
      <c r="A84" s="1167"/>
      <c r="B84" s="1167" t="s">
        <v>54</v>
      </c>
      <c r="C84" s="1168" t="s">
        <v>324</v>
      </c>
      <c r="D84" s="1168"/>
      <c r="E84" s="1168"/>
      <c r="F84" s="1168"/>
      <c r="G84" s="1168"/>
      <c r="H84" s="1168"/>
      <c r="I84" s="1168"/>
      <c r="J84" s="1168"/>
      <c r="K84" s="1168"/>
      <c r="L84" s="1168"/>
      <c r="M84" s="1136" t="s">
        <v>325</v>
      </c>
      <c r="N84" s="1167" t="s">
        <v>326</v>
      </c>
      <c r="O84" s="1167" t="s">
        <v>327</v>
      </c>
      <c r="Q84" s="1179" t="s">
        <v>98</v>
      </c>
      <c r="R84" s="1179" t="s">
        <v>99</v>
      </c>
      <c r="S84" s="1179" t="s">
        <v>100</v>
      </c>
      <c r="T84" s="1180" t="s">
        <v>101</v>
      </c>
    </row>
    <row r="85" spans="1:20" ht="19.5" customHeight="1">
      <c r="A85" s="1167"/>
      <c r="B85" s="1167"/>
      <c r="C85" s="688" t="s">
        <v>328</v>
      </c>
      <c r="D85" s="688" t="s">
        <v>329</v>
      </c>
      <c r="E85" s="688" t="s">
        <v>330</v>
      </c>
      <c r="F85" s="688" t="s">
        <v>331</v>
      </c>
      <c r="G85" s="688" t="s">
        <v>332</v>
      </c>
      <c r="H85" s="688" t="s">
        <v>333</v>
      </c>
      <c r="I85" s="688" t="s">
        <v>334</v>
      </c>
      <c r="J85" s="688" t="s">
        <v>335</v>
      </c>
      <c r="K85" s="688" t="s">
        <v>336</v>
      </c>
      <c r="L85" s="688" t="s">
        <v>337</v>
      </c>
      <c r="M85" s="1136"/>
      <c r="N85" s="1167"/>
      <c r="O85" s="1167"/>
      <c r="Q85" s="1179"/>
      <c r="R85" s="1179"/>
      <c r="S85" s="1179"/>
      <c r="T85" s="1180"/>
    </row>
    <row r="86" spans="1:20" ht="20.100000000000001" customHeight="1">
      <c r="A86" s="1130"/>
      <c r="B86" s="689">
        <v>1</v>
      </c>
      <c r="C86" s="414">
        <f>'Data Standar'!D298</f>
        <v>6.080148105160891</v>
      </c>
      <c r="D86" s="414">
        <f>'Data Standar'!J298</f>
        <v>6.6048981543238092</v>
      </c>
      <c r="E86" s="414">
        <f>'Data Standar'!D311</f>
        <v>6.123518240434997</v>
      </c>
      <c r="F86" s="414">
        <f>'Data Standar'!J311</f>
        <v>6.6048981543238092</v>
      </c>
      <c r="G86" s="414">
        <f>'Data Standar'!D324</f>
        <v>6.2037482260831327</v>
      </c>
      <c r="H86" s="414">
        <f>'Data Standar'!J324</f>
        <v>6.6048981543238092</v>
      </c>
      <c r="I86" s="414">
        <f>'Data Standar'!D337</f>
        <v>6.2839782117312684</v>
      </c>
      <c r="J86" s="414">
        <f>'Data Standar'!J337</f>
        <v>6.6048981543238092</v>
      </c>
      <c r="K86" s="414">
        <f>'Data Standar'!D350</f>
        <v>6.3642081973794031</v>
      </c>
      <c r="L86" s="414">
        <f>'Data Standar'!J350</f>
        <v>6.6048981543238092</v>
      </c>
      <c r="M86" s="414">
        <f t="shared" ref="M86:M93" si="1">STDEV(C86:L86)</f>
        <v>0.22142946321167109</v>
      </c>
      <c r="N86" s="414">
        <f t="shared" ref="N86:N93" si="2">MAX(C86:L86)-MIN(C86:L86)</f>
        <v>0.52475004916291823</v>
      </c>
      <c r="O86" s="414">
        <f>AVERAGE(C86:L86)</f>
        <v>6.4080091752408732</v>
      </c>
      <c r="Q86" s="878">
        <f>36.03-35.94</f>
        <v>9.0000000000003411E-2</v>
      </c>
      <c r="R86" s="879">
        <f>(36.03+35.94)/2</f>
        <v>35.984999999999999</v>
      </c>
      <c r="S86" s="878">
        <f>35.99+0.13</f>
        <v>36.120000000000005</v>
      </c>
      <c r="T86" s="880" t="e">
        <f>#REF!</f>
        <v>#REF!</v>
      </c>
    </row>
    <row r="87" spans="1:20" ht="20.100000000000001" customHeight="1">
      <c r="A87" s="1131"/>
      <c r="B87" s="689">
        <v>2</v>
      </c>
      <c r="C87" s="414">
        <f>'Data Standar'!D299</f>
        <v>6.1498847025241998</v>
      </c>
      <c r="D87" s="414">
        <f>'Data Standar'!J299</f>
        <v>6.5996956600874626</v>
      </c>
      <c r="E87" s="414">
        <f>'Data Standar'!D312</f>
        <v>6.1284151659308961</v>
      </c>
      <c r="F87" s="414">
        <f>'Data Standar'!J312</f>
        <v>6.5996956600874626</v>
      </c>
      <c r="G87" s="414">
        <f>'Data Standar'!D325</f>
        <v>6.2086331223830777</v>
      </c>
      <c r="H87" s="414">
        <f>'Data Standar'!J325</f>
        <v>6.5996956600874626</v>
      </c>
      <c r="I87" s="414">
        <f>'Data Standar'!D338</f>
        <v>6.2888510788352594</v>
      </c>
      <c r="J87" s="414">
        <f>'Data Standar'!J338</f>
        <v>6.5996956600874626</v>
      </c>
      <c r="K87" s="414">
        <f>'Data Standar'!D351</f>
        <v>6.3690690352874402</v>
      </c>
      <c r="L87" s="414">
        <f>'Data Standar'!J351</f>
        <v>6.5996956600874626</v>
      </c>
      <c r="M87" s="414">
        <f t="shared" si="1"/>
        <v>0.20644759015902833</v>
      </c>
      <c r="N87" s="414">
        <f t="shared" si="2"/>
        <v>0.47128049415656648</v>
      </c>
      <c r="O87" s="414">
        <f t="shared" ref="O87:O93" si="3">AVERAGE(C87:L87)</f>
        <v>6.414333140539819</v>
      </c>
      <c r="Q87" s="878">
        <f>36.12-35.97</f>
        <v>0.14999999999999858</v>
      </c>
      <c r="R87" s="879">
        <f>(36.12+35.97)/2</f>
        <v>36.045000000000002</v>
      </c>
      <c r="S87" s="878">
        <f>36.05+0.14</f>
        <v>36.19</v>
      </c>
      <c r="T87" s="880" t="e">
        <f>#REF!</f>
        <v>#REF!</v>
      </c>
    </row>
    <row r="88" spans="1:20" ht="20.100000000000001" customHeight="1">
      <c r="A88" s="1131"/>
      <c r="B88" s="689">
        <v>3</v>
      </c>
      <c r="C88" s="414">
        <f>'Data Standar'!D300</f>
        <v>6.0988600406935589</v>
      </c>
      <c r="D88" s="414">
        <f>'Data Standar'!J300</f>
        <v>6.6150639805250435</v>
      </c>
      <c r="E88" s="414">
        <f>'Data Standar'!D313</f>
        <v>6.1542565472779218</v>
      </c>
      <c r="F88" s="414">
        <f>'Data Standar'!J313</f>
        <v>6.6150639805250435</v>
      </c>
      <c r="G88" s="414">
        <f>'Data Standar'!D326</f>
        <v>6.2343969704513347</v>
      </c>
      <c r="H88" s="414">
        <f>'Data Standar'!J326</f>
        <v>6.6150639805250435</v>
      </c>
      <c r="I88" s="414">
        <f>'Data Standar'!D339</f>
        <v>6.3145373936247466</v>
      </c>
      <c r="J88" s="414">
        <f>'Data Standar'!J339</f>
        <v>6.6150639805250435</v>
      </c>
      <c r="K88" s="414">
        <f>'Data Standar'!D352</f>
        <v>6.3946778167981595</v>
      </c>
      <c r="L88" s="414">
        <f>'Data Standar'!J352</f>
        <v>6.6150639805250435</v>
      </c>
      <c r="M88" s="414">
        <f t="shared" si="1"/>
        <v>0.21335760184787991</v>
      </c>
      <c r="N88" s="414">
        <f t="shared" si="2"/>
        <v>0.5162039398314846</v>
      </c>
      <c r="O88" s="414">
        <f t="shared" si="3"/>
        <v>6.4272048671470943</v>
      </c>
      <c r="Q88" s="878">
        <f>36.07-35.95</f>
        <v>0.11999999999999744</v>
      </c>
      <c r="R88" s="879">
        <f>(36.07+35.95)/2</f>
        <v>36.010000000000005</v>
      </c>
      <c r="S88" s="878">
        <f>36.01+0.14</f>
        <v>36.15</v>
      </c>
      <c r="T88" s="880" t="e">
        <f>#REF!</f>
        <v>#REF!</v>
      </c>
    </row>
    <row r="89" spans="1:20" ht="20.100000000000001" customHeight="1">
      <c r="A89" s="1131"/>
      <c r="B89" s="689">
        <v>4</v>
      </c>
      <c r="C89" s="414">
        <f>'Data Standar'!D301</f>
        <v>6.2057094488910804</v>
      </c>
      <c r="D89" s="414">
        <f>'Data Standar'!J301</f>
        <v>6.654444448886875</v>
      </c>
      <c r="E89" s="414">
        <f>'Data Standar'!D314</f>
        <v>6.2034396676855934</v>
      </c>
      <c r="F89" s="414">
        <f>'Data Standar'!J314</f>
        <v>6.654444448886875</v>
      </c>
      <c r="G89" s="414">
        <f>'Data Standar'!D327</f>
        <v>6.2836182954547102</v>
      </c>
      <c r="H89" s="414">
        <f>'Data Standar'!J327</f>
        <v>6.654444448886875</v>
      </c>
      <c r="I89" s="414">
        <f>'Data Standar'!D340</f>
        <v>6.363796923223827</v>
      </c>
      <c r="J89" s="414">
        <f>'Data Standar'!J340</f>
        <v>6.654444448886875</v>
      </c>
      <c r="K89" s="414">
        <f>'Data Standar'!D353</f>
        <v>6.4439755509929437</v>
      </c>
      <c r="L89" s="414">
        <f>'Data Standar'!J353</f>
        <v>6.654444448886875</v>
      </c>
      <c r="M89" s="414">
        <f t="shared" si="1"/>
        <v>0.19921171102368196</v>
      </c>
      <c r="N89" s="414">
        <f t="shared" si="2"/>
        <v>0.45100478120128162</v>
      </c>
      <c r="O89" s="414">
        <f t="shared" si="3"/>
        <v>6.4772762130682535</v>
      </c>
      <c r="Q89" s="878">
        <f>36.08-35.96</f>
        <v>0.11999999999999744</v>
      </c>
      <c r="R89" s="879">
        <f>(36.08+35.96)/2</f>
        <v>36.019999999999996</v>
      </c>
      <c r="S89" s="881">
        <f>36.02+0.14</f>
        <v>36.160000000000004</v>
      </c>
      <c r="T89" s="880" t="e">
        <f>#REF!</f>
        <v>#REF!</v>
      </c>
    </row>
    <row r="90" spans="1:20" ht="20.100000000000001" customHeight="1">
      <c r="A90" s="1131"/>
      <c r="B90" s="689">
        <v>5</v>
      </c>
      <c r="C90" s="414">
        <f>'Data Standar'!D302</f>
        <v>6.1881561402155443</v>
      </c>
      <c r="D90" s="414">
        <f>'Data Standar'!J302</f>
        <v>6.6523824219607253</v>
      </c>
      <c r="E90" s="414">
        <f>'Data Standar'!D315</f>
        <v>6.2112698126344119</v>
      </c>
      <c r="F90" s="414">
        <f>'Data Standar'!J315</f>
        <v>6.6523824219607253</v>
      </c>
      <c r="G90" s="414">
        <f>'Data Standar'!D328</f>
        <v>6.2914721052391958</v>
      </c>
      <c r="H90" s="414">
        <f>'Data Standar'!J328</f>
        <v>6.6523824219607253</v>
      </c>
      <c r="I90" s="414">
        <f>'Data Standar'!D341</f>
        <v>6.3716743978439805</v>
      </c>
      <c r="J90" s="414">
        <f>'Data Standar'!J341</f>
        <v>6.6523824219607253</v>
      </c>
      <c r="K90" s="414">
        <f>'Data Standar'!D354</f>
        <v>6.4518766904487643</v>
      </c>
      <c r="L90" s="414">
        <f>'Data Standar'!J354</f>
        <v>6.6523824219607253</v>
      </c>
      <c r="M90" s="414">
        <f t="shared" si="1"/>
        <v>0.19832058609043085</v>
      </c>
      <c r="N90" s="414">
        <f t="shared" si="2"/>
        <v>0.46422628174518099</v>
      </c>
      <c r="O90" s="414">
        <f t="shared" si="3"/>
        <v>6.4776361256185524</v>
      </c>
      <c r="Q90" s="878">
        <f>36.04-35.95</f>
        <v>8.9999999999996305E-2</v>
      </c>
      <c r="R90" s="879">
        <f>(36.04+35.95)/2</f>
        <v>35.995000000000005</v>
      </c>
      <c r="S90" s="878">
        <f>36+0.13</f>
        <v>36.130000000000003</v>
      </c>
      <c r="T90" s="880" t="e">
        <f>#REF!</f>
        <v>#REF!</v>
      </c>
    </row>
    <row r="91" spans="1:20" ht="20.100000000000001" customHeight="1">
      <c r="A91" s="1131"/>
      <c r="B91" s="689">
        <v>6</v>
      </c>
      <c r="C91" s="414">
        <f>'Data Standar'!D303</f>
        <v>6.1319937388589905</v>
      </c>
      <c r="D91" s="414">
        <f>'Data Standar'!J303</f>
        <v>6.6133426910312583</v>
      </c>
      <c r="E91" s="414">
        <f>'Data Standar'!D316</f>
        <v>6.1822092447167227</v>
      </c>
      <c r="F91" s="414">
        <f>'Data Standar'!J316</f>
        <v>6.6133426910312583</v>
      </c>
      <c r="G91" s="414">
        <f>'Data Standar'!D329</f>
        <v>6.2624201184496595</v>
      </c>
      <c r="H91" s="414">
        <f>'Data Standar'!J329</f>
        <v>6.6133426910312583</v>
      </c>
      <c r="I91" s="414">
        <f>'Data Standar'!D342</f>
        <v>6.3426309921825954</v>
      </c>
      <c r="J91" s="414">
        <f>'Data Standar'!J342</f>
        <v>6.6133426910312583</v>
      </c>
      <c r="K91" s="414">
        <f>'Data Standar'!D355</f>
        <v>6.4228418659155322</v>
      </c>
      <c r="L91" s="414">
        <f>'Data Standar'!J355</f>
        <v>6.6133426910312583</v>
      </c>
      <c r="M91" s="414">
        <f t="shared" si="1"/>
        <v>0.19800795496973228</v>
      </c>
      <c r="N91" s="414">
        <f t="shared" si="2"/>
        <v>0.48134895217226781</v>
      </c>
      <c r="O91" s="414">
        <f t="shared" si="3"/>
        <v>6.4408809415279791</v>
      </c>
      <c r="Q91" s="878">
        <f>36.15-36.03</f>
        <v>0.11999999999999744</v>
      </c>
      <c r="R91" s="878">
        <f>(36.15+36.03)/2</f>
        <v>36.090000000000003</v>
      </c>
      <c r="S91" s="878">
        <f>36.09+0.14</f>
        <v>36.230000000000004</v>
      </c>
      <c r="T91" s="880" t="e">
        <f>#REF!</f>
        <v>#REF!</v>
      </c>
    </row>
    <row r="92" spans="1:20" ht="20.100000000000001" customHeight="1">
      <c r="A92" s="1131"/>
      <c r="B92" s="689">
        <v>7</v>
      </c>
      <c r="C92" s="414">
        <f>'Data Standar'!D304</f>
        <v>6.1447164194464063</v>
      </c>
      <c r="D92" s="414">
        <f>'Data Standar'!J304</f>
        <v>6.598828935052258</v>
      </c>
      <c r="E92" s="414">
        <f>'Data Standar'!D317</f>
        <v>6.1776538308544655</v>
      </c>
      <c r="F92" s="414">
        <f>'Data Standar'!J317</f>
        <v>6.598828935052258</v>
      </c>
      <c r="G92" s="414">
        <f>'Data Standar'!D330</f>
        <v>6.257877660225474</v>
      </c>
      <c r="H92" s="414">
        <f>'Data Standar'!J330</f>
        <v>6.598828935052258</v>
      </c>
      <c r="I92" s="414">
        <f>'Data Standar'!D343</f>
        <v>6.3381014895964816</v>
      </c>
      <c r="J92" s="414">
        <f>'Data Standar'!J343</f>
        <v>6.598828935052258</v>
      </c>
      <c r="K92" s="414">
        <f>'Data Standar'!D356</f>
        <v>6.41832531896749</v>
      </c>
      <c r="L92" s="414">
        <f>'Data Standar'!J356</f>
        <v>6.598828935052258</v>
      </c>
      <c r="M92" s="414">
        <f t="shared" si="1"/>
        <v>0.1902320535277717</v>
      </c>
      <c r="N92" s="414">
        <f t="shared" si="2"/>
        <v>0.45411251560585164</v>
      </c>
      <c r="O92" s="414">
        <f t="shared" si="3"/>
        <v>6.4330819394351604</v>
      </c>
      <c r="Q92" s="878">
        <f>36.07-35.97</f>
        <v>0.10000000000000142</v>
      </c>
      <c r="R92" s="879">
        <f>(36.07+35.97)/2</f>
        <v>36.019999999999996</v>
      </c>
      <c r="S92" s="878">
        <f>36.02+0.19</f>
        <v>36.21</v>
      </c>
      <c r="T92" s="880" t="e">
        <f>#REF!</f>
        <v>#REF!</v>
      </c>
    </row>
    <row r="93" spans="1:20" ht="20.100000000000001" customHeight="1">
      <c r="A93" s="1132"/>
      <c r="B93" s="689">
        <v>8</v>
      </c>
      <c r="C93" s="414">
        <f>'Data Standar'!D305</f>
        <v>6.1454603794423175</v>
      </c>
      <c r="D93" s="414">
        <f>'Data Standar'!J305</f>
        <v>6.5990069147945523</v>
      </c>
      <c r="E93" s="414">
        <f>'Data Standar'!D318</f>
        <v>6.1880804682396597</v>
      </c>
      <c r="F93" s="414">
        <f>'Data Standar'!J318</f>
        <v>6.5990069147945523</v>
      </c>
      <c r="G93" s="414">
        <f>'Data Standar'!D331</f>
        <v>6.2682612382991509</v>
      </c>
      <c r="H93" s="414">
        <f>'Data Standar'!J331</f>
        <v>6.5990069147945523</v>
      </c>
      <c r="I93" s="414">
        <f>'Data Standar'!D344</f>
        <v>6.3484420083586421</v>
      </c>
      <c r="J93" s="414">
        <f>'Data Standar'!J344</f>
        <v>6.5990069147945523</v>
      </c>
      <c r="K93" s="414">
        <f>'Data Standar'!D357</f>
        <v>6.4286227784181333</v>
      </c>
      <c r="L93" s="414">
        <f>'Data Standar'!J357</f>
        <v>6.5990069147945523</v>
      </c>
      <c r="M93" s="414">
        <f t="shared" si="1"/>
        <v>0.18695555893479973</v>
      </c>
      <c r="N93" s="414">
        <f t="shared" si="2"/>
        <v>0.45354653535223477</v>
      </c>
      <c r="O93" s="414">
        <f t="shared" si="3"/>
        <v>6.4373901446730653</v>
      </c>
      <c r="Q93" s="878"/>
      <c r="R93" s="879"/>
      <c r="S93" s="878"/>
      <c r="T93" s="880"/>
    </row>
    <row r="94" spans="1:20" ht="20.100000000000001" customHeight="1">
      <c r="A94" s="1168" t="s">
        <v>102</v>
      </c>
      <c r="B94" s="1168"/>
      <c r="C94" s="1135">
        <f>C81</f>
        <v>6</v>
      </c>
      <c r="D94" s="1135"/>
      <c r="E94" s="1135"/>
      <c r="F94" s="1135"/>
      <c r="G94" s="1135"/>
      <c r="H94" s="1135">
        <f>H81</f>
        <v>6</v>
      </c>
      <c r="I94" s="1135"/>
      <c r="J94" s="1135"/>
      <c r="K94" s="1135"/>
      <c r="L94" s="1135"/>
      <c r="M94" s="1133">
        <f>MAX(M86:M92)</f>
        <v>0.22142946321167109</v>
      </c>
      <c r="N94" s="414">
        <f t="shared" ref="N94:N95" si="4">MAX(C94:L94)-MIN(C94:L94)</f>
        <v>0</v>
      </c>
      <c r="O94" s="414">
        <f t="shared" ref="O94:O95" si="5">AVERAGE(C94:L94)</f>
        <v>6</v>
      </c>
      <c r="Q94" s="868">
        <f>37-37</f>
        <v>0</v>
      </c>
      <c r="R94" s="868">
        <f>(37+37)/2</f>
        <v>37</v>
      </c>
      <c r="S94" s="863"/>
      <c r="T94" s="880" t="e">
        <f>#REF!</f>
        <v>#REF!</v>
      </c>
    </row>
    <row r="95" spans="1:20" ht="20.100000000000001" customHeight="1">
      <c r="A95" s="1168" t="s">
        <v>103</v>
      </c>
      <c r="B95" s="1168"/>
      <c r="C95" s="1135">
        <f>C82</f>
        <v>26.3</v>
      </c>
      <c r="D95" s="1135"/>
      <c r="E95" s="1135"/>
      <c r="F95" s="1135"/>
      <c r="G95" s="1135"/>
      <c r="H95" s="1135">
        <f>H82</f>
        <v>26.2</v>
      </c>
      <c r="I95" s="1135"/>
      <c r="J95" s="1135"/>
      <c r="K95" s="1135"/>
      <c r="L95" s="1135"/>
      <c r="M95" s="1134"/>
      <c r="N95" s="414">
        <f t="shared" si="4"/>
        <v>0.10000000000000142</v>
      </c>
      <c r="O95" s="414">
        <f t="shared" si="5"/>
        <v>26.25</v>
      </c>
      <c r="Q95" s="868">
        <f>25.2-25</f>
        <v>0.19999999999999929</v>
      </c>
      <c r="R95" s="868">
        <f>(25.2+25)/2</f>
        <v>25.1</v>
      </c>
      <c r="S95" s="863"/>
      <c r="T95" s="880" t="e">
        <f>#REF!</f>
        <v>#REF!</v>
      </c>
    </row>
    <row r="96" spans="1:20" ht="20.100000000000001" customHeight="1">
      <c r="A96" s="1125">
        <v>1</v>
      </c>
      <c r="B96" s="1126"/>
      <c r="C96" s="1173" t="s">
        <v>375</v>
      </c>
      <c r="D96" s="1173"/>
      <c r="E96" s="1173"/>
      <c r="F96" s="1173"/>
      <c r="G96" s="1173"/>
      <c r="H96" s="1173"/>
      <c r="I96" s="1173"/>
      <c r="J96" s="1173"/>
      <c r="K96" s="1175">
        <f>O94</f>
        <v>6</v>
      </c>
      <c r="L96" s="1175"/>
      <c r="M96" s="278"/>
      <c r="N96" s="278"/>
      <c r="O96" s="415">
        <f>37.57-37.13</f>
        <v>0.43999999999999773</v>
      </c>
    </row>
    <row r="97" spans="1:17" ht="20.100000000000001" customHeight="1">
      <c r="A97" s="1125">
        <v>2</v>
      </c>
      <c r="B97" s="1126"/>
      <c r="C97" s="1173" t="s">
        <v>376</v>
      </c>
      <c r="D97" s="1173"/>
      <c r="E97" s="1173"/>
      <c r="F97" s="1173"/>
      <c r="G97" s="1173"/>
      <c r="H97" s="1173"/>
      <c r="I97" s="1173"/>
      <c r="J97" s="1173"/>
      <c r="K97" s="1184">
        <f>(MAX(O86:O93)+(MIN(O86:O93)))/2</f>
        <v>6.4428226504297132</v>
      </c>
      <c r="L97" s="1184"/>
      <c r="M97" s="278"/>
      <c r="N97" s="278"/>
      <c r="O97" s="415"/>
    </row>
    <row r="98" spans="1:17" ht="20.100000000000001" customHeight="1">
      <c r="A98" s="1125">
        <v>3</v>
      </c>
      <c r="B98" s="1126"/>
      <c r="C98" s="1173" t="s">
        <v>104</v>
      </c>
      <c r="D98" s="1173"/>
      <c r="E98" s="1173"/>
      <c r="F98" s="1173"/>
      <c r="G98" s="1173"/>
      <c r="H98" s="1173"/>
      <c r="I98" s="1173"/>
      <c r="J98" s="1173"/>
      <c r="K98" s="1184">
        <f>MAX(O86:O92)-MIN(O86:O92)</f>
        <v>6.9626950377679186E-2</v>
      </c>
      <c r="L98" s="1184"/>
      <c r="M98" s="278"/>
      <c r="N98" s="278"/>
      <c r="O98" s="415"/>
    </row>
    <row r="99" spans="1:17" ht="20.100000000000001" customHeight="1">
      <c r="A99" s="1125">
        <v>4</v>
      </c>
      <c r="B99" s="1126"/>
      <c r="C99" s="1172" t="s">
        <v>105</v>
      </c>
      <c r="D99" s="1172"/>
      <c r="E99" s="1172"/>
      <c r="F99" s="1172"/>
      <c r="G99" s="1172"/>
      <c r="H99" s="1172"/>
      <c r="I99" s="1172"/>
      <c r="J99" s="1172"/>
      <c r="K99" s="1174">
        <f>MAX(N86:N92)</f>
        <v>0.52475004916291823</v>
      </c>
      <c r="L99" s="1168"/>
      <c r="M99" s="278"/>
      <c r="N99" s="803"/>
      <c r="O99" s="415"/>
    </row>
    <row r="100" spans="1:17" ht="20.100000000000001" customHeight="1">
      <c r="A100" s="1125">
        <v>5</v>
      </c>
      <c r="B100" s="1126"/>
      <c r="C100" s="1172" t="s">
        <v>106</v>
      </c>
      <c r="D100" s="1172"/>
      <c r="E100" s="1172"/>
      <c r="F100" s="1172"/>
      <c r="G100" s="1172"/>
      <c r="H100" s="1172"/>
      <c r="I100" s="1172"/>
      <c r="J100" s="1172"/>
      <c r="K100" s="1174">
        <f>MAX(C86:L92)-MIN(C86:L92)</f>
        <v>0.57429634372598404</v>
      </c>
      <c r="L100" s="1168"/>
      <c r="M100" s="278"/>
      <c r="N100" s="278"/>
      <c r="O100" s="415"/>
    </row>
    <row r="101" spans="1:17" ht="20.100000000000001" customHeight="1">
      <c r="A101" s="1125">
        <v>6</v>
      </c>
      <c r="B101" s="1126"/>
      <c r="C101" s="1173" t="s">
        <v>65</v>
      </c>
      <c r="D101" s="1173"/>
      <c r="E101" s="1173"/>
      <c r="F101" s="1173"/>
      <c r="G101" s="1173"/>
      <c r="H101" s="1173"/>
      <c r="I101" s="1173"/>
      <c r="J101" s="1173"/>
      <c r="K101" s="1135">
        <f>O95</f>
        <v>26.25</v>
      </c>
      <c r="L101" s="1135"/>
      <c r="M101" s="278"/>
      <c r="N101" s="278"/>
      <c r="O101" s="415"/>
    </row>
    <row r="102" spans="1:17" ht="20.100000000000001" customHeight="1">
      <c r="A102" s="1125">
        <v>7</v>
      </c>
      <c r="B102" s="1126"/>
      <c r="C102" s="1173" t="s">
        <v>107</v>
      </c>
      <c r="D102" s="1173"/>
      <c r="E102" s="1173"/>
      <c r="F102" s="1173"/>
      <c r="G102" s="1173"/>
      <c r="H102" s="1173"/>
      <c r="I102" s="1173"/>
      <c r="J102" s="1173"/>
      <c r="K102" s="1184">
        <f>K100/2</f>
        <v>0.28714817186299202</v>
      </c>
      <c r="L102" s="1184"/>
      <c r="M102" s="278"/>
      <c r="N102" s="278"/>
      <c r="O102" s="415"/>
    </row>
    <row r="103" spans="1:17" ht="20.100000000000001" customHeight="1">
      <c r="A103" s="1125">
        <v>8</v>
      </c>
      <c r="B103" s="1126"/>
      <c r="C103" s="1172" t="s">
        <v>338</v>
      </c>
      <c r="D103" s="1172"/>
      <c r="E103" s="1172"/>
      <c r="F103" s="1172"/>
      <c r="G103" s="1172"/>
      <c r="H103" s="1172"/>
      <c r="I103" s="1172"/>
      <c r="J103" s="1172"/>
      <c r="K103" s="1174">
        <f>A86-K97</f>
        <v>-6.4428226504297132</v>
      </c>
      <c r="L103" s="1168"/>
      <c r="M103" s="278"/>
      <c r="N103" s="278"/>
      <c r="O103" s="415"/>
    </row>
    <row r="104" spans="1:17" ht="20.100000000000001" customHeight="1">
      <c r="K104" s="49"/>
      <c r="L104" s="49"/>
      <c r="O104" s="165"/>
    </row>
    <row r="105" spans="1:17" ht="20.100000000000001" customHeight="1">
      <c r="A105" s="804" t="s">
        <v>66</v>
      </c>
      <c r="D105" s="49"/>
      <c r="E105" s="795"/>
      <c r="F105" s="795"/>
      <c r="G105" s="795"/>
      <c r="M105" s="1177"/>
      <c r="N105" s="1177"/>
      <c r="O105" s="1177"/>
    </row>
    <row r="106" spans="1:17" ht="20.100000000000001" customHeight="1">
      <c r="A106" s="692" t="s">
        <v>108</v>
      </c>
      <c r="D106" s="49"/>
      <c r="E106" s="795"/>
      <c r="F106" s="795"/>
      <c r="G106" s="795"/>
      <c r="M106" s="1177"/>
      <c r="N106" s="1177"/>
      <c r="O106" s="1177"/>
    </row>
    <row r="107" spans="1:17" ht="20.100000000000001" customHeight="1">
      <c r="A107" s="793" t="str">
        <f>'DB Kelistrikan'!N311</f>
        <v>Hasil pengukuran keselamatan listrik tertelusur ke Satuan Internasional ( SI ) melalui PT. Kaliman (LK-032-IDN)</v>
      </c>
      <c r="D107" s="49"/>
      <c r="E107" s="795"/>
      <c r="F107" s="795"/>
      <c r="G107" s="795"/>
      <c r="M107" s="805"/>
      <c r="N107" s="805"/>
      <c r="O107" s="805"/>
    </row>
    <row r="108" spans="1:17" ht="19.5" customHeight="1">
      <c r="A108" s="43" t="str">
        <f>'Data Alat'!A32</f>
        <v>Hasil pengujian kinerja suhu ke Sistem Internasional ( SI ) melalui PT. Kaliman ( LK-032-IDN )</v>
      </c>
      <c r="D108" s="49"/>
      <c r="E108" s="795"/>
      <c r="F108" s="795"/>
      <c r="G108" s="795"/>
      <c r="M108" s="805"/>
      <c r="N108" s="805"/>
      <c r="O108" s="805"/>
      <c r="P108" s="882"/>
    </row>
    <row r="109" spans="1:17" ht="19.5" customHeight="1">
      <c r="A109" s="692" t="str">
        <f>IF(AND(I27="-",I28="-",I30="-"),"Tidak dilakukan pengujian keselamatan listrik karena alat tidak boleh dalam kondisi off",IF(AND(I30&lt;=K30,P27=""),"",IF(AND(I30&gt;K30,P27&lt;=100),"Alat tidak boleh digunakan pada instalasi tanpa dilengkapi grounding",IF(AND(I30="-",P27="-"),"Tidak terdapat grounding", IF(OR(I30&lt;K30,P27&gt;=100),"")))))</f>
        <v>Tidak terdapat grounding</v>
      </c>
      <c r="B109" s="692"/>
      <c r="C109" s="692"/>
      <c r="D109" s="692"/>
      <c r="E109" s="692"/>
      <c r="F109" s="692"/>
      <c r="G109" s="692"/>
      <c r="H109" s="692"/>
      <c r="I109" s="692"/>
      <c r="J109" s="692"/>
      <c r="K109" s="692"/>
      <c r="L109" s="692"/>
      <c r="M109" s="805"/>
      <c r="N109" s="805"/>
      <c r="O109" s="805"/>
      <c r="P109" s="882"/>
    </row>
    <row r="110" spans="1:17" ht="19.5" customHeight="1">
      <c r="D110" s="49"/>
      <c r="E110" s="795"/>
      <c r="F110" s="795"/>
      <c r="G110" s="795"/>
      <c r="M110" s="805"/>
      <c r="N110" s="805"/>
      <c r="O110" s="805"/>
      <c r="P110" s="882"/>
    </row>
    <row r="111" spans="1:17" ht="19.5" customHeight="1">
      <c r="A111" s="806" t="s">
        <v>67</v>
      </c>
      <c r="B111" s="749"/>
      <c r="C111" s="749"/>
      <c r="D111" s="796"/>
      <c r="E111" s="797"/>
      <c r="F111" s="797"/>
      <c r="G111" s="797"/>
      <c r="H111" s="749"/>
      <c r="M111" s="805"/>
      <c r="N111" s="805"/>
      <c r="O111" s="805"/>
      <c r="P111" s="882"/>
      <c r="Q111" s="834" t="s">
        <v>451</v>
      </c>
    </row>
    <row r="112" spans="1:17" ht="19.5" customHeight="1">
      <c r="A112" s="1181" t="s">
        <v>380</v>
      </c>
      <c r="B112" s="1181"/>
      <c r="C112" s="1181"/>
      <c r="D112" s="1181"/>
      <c r="E112" s="1181"/>
      <c r="F112" s="1181"/>
      <c r="G112" s="1181"/>
      <c r="H112" s="1181"/>
      <c r="I112" s="749"/>
      <c r="J112" s="749"/>
      <c r="K112" s="749"/>
      <c r="L112" s="749"/>
      <c r="M112" s="805"/>
      <c r="N112" s="805"/>
      <c r="O112" s="805"/>
      <c r="P112" s="882"/>
      <c r="Q112" s="834" t="s">
        <v>452</v>
      </c>
    </row>
    <row r="113" spans="1:19" ht="19.5" customHeight="1">
      <c r="A113" s="1181" t="s">
        <v>408</v>
      </c>
      <c r="B113" s="1181"/>
      <c r="C113" s="1181"/>
      <c r="D113" s="1181"/>
      <c r="E113" s="1181"/>
      <c r="F113" s="1181"/>
      <c r="G113" s="1181"/>
      <c r="H113" s="1181"/>
      <c r="I113" s="749"/>
      <c r="J113" s="749"/>
      <c r="K113" s="749"/>
      <c r="L113" s="749"/>
      <c r="M113" s="805"/>
      <c r="N113" s="805"/>
      <c r="O113" s="805"/>
      <c r="P113" s="882"/>
      <c r="Q113" s="834" t="s">
        <v>455</v>
      </c>
    </row>
    <row r="114" spans="1:19" ht="15" customHeight="1">
      <c r="A114" s="1181" t="s">
        <v>436</v>
      </c>
      <c r="B114" s="1181"/>
      <c r="C114" s="1181"/>
      <c r="D114" s="1181"/>
      <c r="E114" s="1181"/>
      <c r="F114" s="1181"/>
      <c r="G114" s="1181"/>
      <c r="H114" s="1181"/>
      <c r="I114" s="749"/>
      <c r="J114" s="749"/>
      <c r="K114" s="749"/>
      <c r="L114" s="749"/>
      <c r="M114" s="805"/>
      <c r="N114" s="805"/>
      <c r="O114" s="805"/>
      <c r="P114" s="882"/>
    </row>
    <row r="115" spans="1:19" ht="21" customHeight="1">
      <c r="A115" s="1181" t="s">
        <v>291</v>
      </c>
      <c r="B115" s="1181"/>
      <c r="C115" s="1181"/>
      <c r="D115" s="1181"/>
      <c r="E115" s="1181"/>
      <c r="F115" s="1181"/>
      <c r="G115" s="1181"/>
      <c r="H115" s="1181"/>
      <c r="I115" s="749"/>
      <c r="J115" s="749"/>
      <c r="K115" s="749"/>
      <c r="L115" s="749"/>
      <c r="M115" s="805"/>
      <c r="N115" s="805"/>
      <c r="O115" s="805"/>
      <c r="P115" s="882"/>
    </row>
    <row r="116" spans="1:19" ht="19.5" customHeight="1">
      <c r="I116" s="749"/>
      <c r="J116" s="749"/>
      <c r="K116" s="749"/>
      <c r="L116" s="749"/>
      <c r="M116" s="805"/>
      <c r="N116" s="805"/>
      <c r="O116" s="805"/>
      <c r="P116" s="882"/>
    </row>
    <row r="117" spans="1:19" ht="19.5" customHeight="1">
      <c r="A117" s="807" t="s">
        <v>70</v>
      </c>
      <c r="D117" s="49"/>
      <c r="E117" s="795"/>
      <c r="F117" s="795"/>
      <c r="G117" s="795"/>
      <c r="M117" s="805"/>
      <c r="N117" s="245"/>
      <c r="O117" s="805"/>
      <c r="P117" s="882"/>
    </row>
    <row r="118" spans="1:19" ht="35.4" customHeight="1">
      <c r="A118" s="1182" t="str">
        <f>'Data Alat'!E42</f>
        <v>Alat yang diuji dalam batas toleransi dan dinyatakan LAIK PAKAI, dimana hasil atau skor akhir sama dengan atau melampaui 70% berdasarkan Keputusan Direktur Jenderal Pelayanan Kesehatan No : HK.02.02 / V / 0412 / 2020</v>
      </c>
      <c r="B118" s="1183"/>
      <c r="C118" s="1183"/>
      <c r="D118" s="1183"/>
      <c r="E118" s="1183"/>
      <c r="F118" s="1183"/>
      <c r="G118" s="1183"/>
      <c r="H118" s="1183"/>
      <c r="I118" s="1183"/>
      <c r="J118" s="1183"/>
      <c r="K118" s="1183"/>
      <c r="L118" s="1183"/>
      <c r="M118" s="1183"/>
      <c r="N118" s="1183"/>
      <c r="O118" s="805"/>
      <c r="P118" s="882"/>
    </row>
    <row r="119" spans="1:19" ht="19.5" customHeight="1">
      <c r="I119" s="749"/>
      <c r="J119" s="749"/>
      <c r="K119" s="749"/>
      <c r="L119" s="748"/>
      <c r="M119" s="805"/>
      <c r="N119" s="805"/>
      <c r="O119" s="805"/>
    </row>
    <row r="120" spans="1:19" ht="16.5" customHeight="1">
      <c r="A120" s="808" t="s">
        <v>371</v>
      </c>
      <c r="D120" s="49"/>
      <c r="E120" s="795"/>
      <c r="F120" s="795"/>
      <c r="G120" s="795"/>
      <c r="L120" s="692"/>
      <c r="M120" s="805"/>
      <c r="N120" s="245"/>
      <c r="O120" s="1178"/>
    </row>
    <row r="121" spans="1:19" ht="19.5" customHeight="1">
      <c r="A121" s="1181" t="s">
        <v>231</v>
      </c>
      <c r="B121" s="1181"/>
      <c r="C121" s="1181"/>
      <c r="O121" s="1178"/>
    </row>
    <row r="122" spans="1:19" ht="19.95" customHeight="1"/>
    <row r="123" spans="1:19" ht="16.5" customHeight="1">
      <c r="A123" s="753" t="s">
        <v>110</v>
      </c>
      <c r="D123" s="49"/>
      <c r="E123" s="795"/>
      <c r="F123" s="795"/>
      <c r="G123" s="795"/>
    </row>
    <row r="124" spans="1:19" ht="20.100000000000001" customHeight="1">
      <c r="A124" s="819" t="s">
        <v>323</v>
      </c>
      <c r="D124" s="49"/>
      <c r="E124" s="795"/>
      <c r="F124" s="795"/>
      <c r="G124" s="795"/>
      <c r="L124" s="794"/>
    </row>
    <row r="125" spans="1:19" ht="20.100000000000001" customHeight="1">
      <c r="D125" s="796"/>
      <c r="E125" s="797"/>
      <c r="F125" s="795"/>
      <c r="G125" s="795"/>
      <c r="L125" s="809"/>
    </row>
    <row r="126" spans="1:19" ht="16.5" customHeight="1">
      <c r="A126" s="692"/>
      <c r="D126" s="49"/>
      <c r="E126" s="795"/>
      <c r="F126" s="795"/>
      <c r="G126" s="795"/>
    </row>
    <row r="127" spans="1:19" ht="20.100000000000001" customHeight="1">
      <c r="D127" s="792"/>
      <c r="E127" s="792"/>
      <c r="F127" s="792"/>
      <c r="G127" s="792"/>
      <c r="H127" s="792"/>
      <c r="I127" s="792"/>
      <c r="J127" s="792"/>
    </row>
    <row r="128" spans="1:19" ht="20.100000000000001" customHeight="1">
      <c r="B128" s="749"/>
      <c r="C128" s="749"/>
      <c r="D128" s="749"/>
      <c r="L128" s="49"/>
      <c r="M128" s="771"/>
      <c r="N128" s="771"/>
      <c r="O128" s="49"/>
      <c r="P128" s="883"/>
      <c r="Q128" s="844"/>
      <c r="R128" s="844"/>
      <c r="S128" s="844"/>
    </row>
    <row r="129" spans="2:40" ht="20.25" customHeight="1">
      <c r="L129" s="49"/>
      <c r="M129" s="771"/>
      <c r="N129" s="771"/>
      <c r="O129" s="49"/>
      <c r="P129" s="883"/>
      <c r="Q129" s="844"/>
      <c r="R129" s="844"/>
      <c r="S129" s="844"/>
    </row>
    <row r="130" spans="2:40" ht="20.25" customHeight="1">
      <c r="L130" s="49"/>
      <c r="M130" s="49"/>
      <c r="N130" s="49"/>
      <c r="O130" s="49"/>
      <c r="P130" s="844"/>
      <c r="Q130" s="844"/>
      <c r="R130" s="844"/>
      <c r="S130" s="844"/>
    </row>
    <row r="131" spans="2:40" ht="20.25" customHeight="1">
      <c r="Q131" s="844"/>
      <c r="R131" s="844"/>
      <c r="S131" s="844"/>
      <c r="Y131" s="844"/>
      <c r="Z131" s="884"/>
      <c r="AA131" s="884"/>
      <c r="AB131" s="884"/>
    </row>
    <row r="132" spans="2:40" ht="20.25" customHeight="1">
      <c r="Q132" s="844"/>
      <c r="R132" s="844"/>
      <c r="S132" s="844"/>
    </row>
    <row r="133" spans="2:40" ht="20.25" customHeight="1"/>
    <row r="134" spans="2:40" ht="20.25" customHeight="1">
      <c r="B134" s="744"/>
      <c r="C134" s="744"/>
      <c r="D134" s="744"/>
      <c r="E134" s="744"/>
      <c r="F134" s="744"/>
      <c r="G134" s="744"/>
      <c r="H134" s="744"/>
    </row>
    <row r="135" spans="2:40" ht="20.25" customHeight="1"/>
    <row r="136" spans="2:40" ht="20.25" customHeight="1"/>
    <row r="137" spans="2:40" ht="20.25" customHeight="1"/>
    <row r="139" spans="2:40" ht="17.399999999999999">
      <c r="K139" s="811"/>
      <c r="L139" s="49"/>
    </row>
    <row r="140" spans="2:40" ht="17.399999999999999">
      <c r="K140" s="811"/>
      <c r="L140" s="49"/>
      <c r="Y140" s="844"/>
      <c r="Z140" s="844"/>
      <c r="AA140" s="844"/>
      <c r="AB140" s="844"/>
      <c r="AC140" s="844"/>
      <c r="AD140" s="844"/>
      <c r="AE140" s="844"/>
      <c r="AF140" s="844"/>
      <c r="AG140" s="844"/>
      <c r="AH140" s="844"/>
      <c r="AI140" s="844"/>
      <c r="AJ140" s="844"/>
      <c r="AK140" s="844"/>
      <c r="AL140" s="844"/>
      <c r="AM140" s="844"/>
      <c r="AN140" s="844"/>
    </row>
    <row r="141" spans="2:40" ht="17.399999999999999">
      <c r="K141" s="811"/>
      <c r="L141" s="49"/>
      <c r="Y141" s="844"/>
      <c r="Z141" s="844"/>
      <c r="AA141" s="844"/>
      <c r="AB141" s="844"/>
      <c r="AC141" s="844"/>
      <c r="AD141" s="844"/>
      <c r="AE141" s="844"/>
      <c r="AF141" s="844"/>
      <c r="AG141" s="844"/>
      <c r="AH141" s="844"/>
      <c r="AI141" s="844"/>
      <c r="AJ141" s="844"/>
      <c r="AK141" s="844"/>
      <c r="AL141" s="844"/>
      <c r="AM141" s="844"/>
      <c r="AN141" s="844"/>
    </row>
    <row r="142" spans="2:40">
      <c r="K142" s="49"/>
      <c r="L142" s="49"/>
      <c r="Y142" s="844"/>
      <c r="Z142" s="844"/>
      <c r="AA142" s="844"/>
      <c r="AB142" s="844"/>
      <c r="AC142" s="844"/>
      <c r="AD142" s="844"/>
      <c r="AE142" s="844"/>
      <c r="AF142" s="844"/>
      <c r="AG142" s="844"/>
      <c r="AH142" s="844"/>
      <c r="AI142" s="844"/>
      <c r="AJ142" s="844"/>
      <c r="AK142" s="844"/>
      <c r="AL142" s="844"/>
      <c r="AM142" s="844"/>
      <c r="AN142" s="844"/>
    </row>
    <row r="143" spans="2:40">
      <c r="K143" s="812"/>
      <c r="L143" s="49"/>
      <c r="Y143" s="844"/>
      <c r="Z143" s="844"/>
      <c r="AA143" s="844"/>
      <c r="AB143" s="844"/>
      <c r="AC143" s="844"/>
      <c r="AD143" s="844"/>
      <c r="AE143" s="844"/>
      <c r="AF143" s="844"/>
      <c r="AG143" s="844"/>
      <c r="AH143" s="844"/>
      <c r="AI143" s="844"/>
      <c r="AJ143" s="844"/>
      <c r="AK143" s="844"/>
      <c r="AL143" s="844"/>
      <c r="AM143" s="844"/>
      <c r="AN143" s="844"/>
    </row>
    <row r="144" spans="2:40" ht="17.399999999999999">
      <c r="K144" s="810"/>
      <c r="L144" s="49"/>
      <c r="Y144" s="844"/>
      <c r="Z144" s="1166"/>
      <c r="AA144" s="1166"/>
      <c r="AB144" s="1166"/>
      <c r="AC144" s="1166"/>
      <c r="AD144" s="1166"/>
      <c r="AE144" s="1166"/>
      <c r="AF144" s="1166"/>
      <c r="AG144" s="1166"/>
      <c r="AH144" s="1166"/>
      <c r="AI144" s="1166"/>
      <c r="AJ144" s="1166"/>
      <c r="AK144" s="1166"/>
      <c r="AL144" s="844"/>
      <c r="AM144" s="844"/>
      <c r="AN144" s="844"/>
    </row>
    <row r="145" spans="1:40" ht="17.399999999999999">
      <c r="K145" s="810"/>
      <c r="L145" s="49"/>
      <c r="Y145" s="844"/>
      <c r="Z145" s="1166"/>
      <c r="AA145" s="1166"/>
      <c r="AB145" s="1166"/>
      <c r="AC145" s="1166"/>
      <c r="AD145" s="1166"/>
      <c r="AE145" s="1166"/>
      <c r="AF145" s="1166"/>
      <c r="AG145" s="1166"/>
      <c r="AH145" s="885"/>
      <c r="AI145" s="885"/>
      <c r="AJ145" s="886"/>
      <c r="AK145" s="886"/>
      <c r="AL145" s="844"/>
      <c r="AM145" s="844"/>
      <c r="AN145" s="844"/>
    </row>
    <row r="146" spans="1:40">
      <c r="K146" s="786"/>
      <c r="L146" s="49"/>
      <c r="Y146" s="844"/>
      <c r="Z146" s="1166"/>
      <c r="AA146" s="1166"/>
      <c r="AB146" s="1166"/>
      <c r="AC146" s="1166"/>
      <c r="AD146" s="1166"/>
      <c r="AE146" s="1166"/>
      <c r="AF146" s="1166"/>
      <c r="AG146" s="1166"/>
      <c r="AH146" s="887"/>
      <c r="AI146" s="885"/>
      <c r="AJ146" s="886"/>
      <c r="AK146" s="886"/>
      <c r="AL146" s="844"/>
      <c r="AM146" s="844"/>
      <c r="AN146" s="844"/>
    </row>
    <row r="147" spans="1:40">
      <c r="K147" s="49"/>
      <c r="L147" s="49"/>
      <c r="Y147" s="844"/>
      <c r="Z147" s="844"/>
      <c r="AA147" s="844"/>
      <c r="AB147" s="844"/>
      <c r="AC147" s="844"/>
      <c r="AD147" s="888"/>
      <c r="AE147" s="888"/>
      <c r="AF147" s="888"/>
      <c r="AG147" s="844"/>
      <c r="AH147" s="844"/>
      <c r="AI147" s="844"/>
      <c r="AJ147" s="844"/>
      <c r="AK147" s="844"/>
      <c r="AL147" s="844"/>
      <c r="AM147" s="844"/>
      <c r="AN147" s="844"/>
    </row>
    <row r="148" spans="1:40" ht="17.399999999999999">
      <c r="A148" s="749"/>
      <c r="B148" s="749"/>
      <c r="C148" s="749"/>
      <c r="D148" s="749"/>
      <c r="E148" s="749"/>
      <c r="F148" s="749"/>
      <c r="G148" s="749"/>
      <c r="H148" s="749"/>
      <c r="I148" s="749"/>
      <c r="J148" s="749"/>
      <c r="K148" s="796"/>
      <c r="L148" s="796"/>
      <c r="M148" s="749"/>
      <c r="N148" s="749"/>
      <c r="O148" s="749"/>
      <c r="Y148" s="844"/>
      <c r="Z148" s="1113"/>
      <c r="AA148" s="1113"/>
      <c r="AB148" s="1113"/>
      <c r="AC148" s="887"/>
      <c r="AD148" s="888"/>
      <c r="AE148" s="888"/>
      <c r="AF148" s="888"/>
      <c r="AG148" s="844"/>
      <c r="AH148" s="844"/>
      <c r="AI148" s="886"/>
      <c r="AJ148" s="1176"/>
      <c r="AK148" s="1176"/>
      <c r="AL148" s="844"/>
      <c r="AM148" s="844"/>
      <c r="AN148" s="844"/>
    </row>
    <row r="149" spans="1:40" ht="17.399999999999999">
      <c r="A149" s="749"/>
      <c r="B149" s="749"/>
      <c r="C149" s="749"/>
      <c r="D149" s="749"/>
      <c r="E149" s="749"/>
      <c r="F149" s="749"/>
      <c r="G149" s="749"/>
      <c r="H149" s="749"/>
      <c r="I149" s="749"/>
      <c r="J149" s="749"/>
      <c r="K149" s="796"/>
      <c r="L149" s="796"/>
      <c r="M149" s="749"/>
      <c r="N149" s="749"/>
      <c r="O149" s="749"/>
      <c r="Y149" s="844"/>
      <c r="Z149" s="1113"/>
      <c r="AA149" s="1113"/>
      <c r="AB149" s="1113"/>
      <c r="AC149" s="887"/>
      <c r="AD149" s="888"/>
      <c r="AE149" s="888"/>
      <c r="AF149" s="888"/>
      <c r="AG149" s="844"/>
      <c r="AH149" s="844"/>
      <c r="AI149" s="886"/>
      <c r="AJ149" s="1176"/>
      <c r="AK149" s="1176"/>
      <c r="AL149" s="844"/>
      <c r="AM149" s="844"/>
      <c r="AN149" s="844"/>
    </row>
    <row r="150" spans="1:40" ht="17.399999999999999">
      <c r="A150" s="749"/>
      <c r="B150" s="813"/>
      <c r="C150" s="749"/>
      <c r="D150" s="749"/>
      <c r="E150" s="749"/>
      <c r="F150" s="749"/>
      <c r="G150" s="749"/>
      <c r="H150" s="749"/>
      <c r="I150" s="749"/>
      <c r="J150" s="749"/>
      <c r="K150" s="796"/>
      <c r="L150" s="796"/>
      <c r="M150" s="749"/>
      <c r="N150" s="749"/>
      <c r="O150" s="749"/>
      <c r="Y150" s="844"/>
      <c r="Z150" s="1113"/>
      <c r="AA150" s="1113"/>
      <c r="AB150" s="1113"/>
      <c r="AC150" s="889"/>
      <c r="AD150" s="844"/>
      <c r="AE150" s="844"/>
      <c r="AF150" s="844"/>
      <c r="AG150" s="844"/>
      <c r="AH150" s="844"/>
      <c r="AI150" s="846"/>
      <c r="AJ150" s="1176"/>
      <c r="AK150" s="1176"/>
      <c r="AL150" s="844"/>
      <c r="AM150" s="844"/>
      <c r="AN150" s="844"/>
    </row>
    <row r="151" spans="1:40" ht="17.399999999999999">
      <c r="A151" s="749"/>
      <c r="B151" s="749"/>
      <c r="C151" s="749"/>
      <c r="D151" s="749"/>
      <c r="E151" s="749"/>
      <c r="F151" s="749"/>
      <c r="G151" s="749" t="s">
        <v>111</v>
      </c>
      <c r="H151" s="749"/>
      <c r="I151" s="749"/>
      <c r="J151" s="749"/>
      <c r="K151" s="796"/>
      <c r="L151" s="796"/>
      <c r="M151" s="749"/>
      <c r="N151" s="749"/>
      <c r="O151" s="749"/>
      <c r="Y151" s="844"/>
      <c r="Z151" s="1113"/>
      <c r="AA151" s="1113"/>
      <c r="AB151" s="1113"/>
      <c r="AC151" s="890"/>
      <c r="AD151" s="844"/>
      <c r="AE151" s="844"/>
      <c r="AF151" s="845"/>
      <c r="AG151" s="845"/>
      <c r="AH151" s="844"/>
      <c r="AI151" s="846"/>
      <c r="AJ151" s="1176"/>
      <c r="AK151" s="1176"/>
      <c r="AL151" s="844"/>
      <c r="AM151" s="844"/>
      <c r="AN151" s="844"/>
    </row>
    <row r="152" spans="1:40" ht="17.399999999999999" outlineLevel="1">
      <c r="A152" s="749"/>
      <c r="B152" s="749"/>
      <c r="C152" s="749"/>
      <c r="D152" s="749"/>
      <c r="E152" s="749"/>
      <c r="F152" s="749"/>
      <c r="G152" s="749"/>
      <c r="H152" s="749"/>
      <c r="I152" s="749"/>
      <c r="J152" s="749"/>
      <c r="K152" s="749"/>
      <c r="L152" s="749"/>
      <c r="M152" s="749"/>
      <c r="N152" s="749"/>
      <c r="O152" s="749"/>
      <c r="Y152" s="844"/>
      <c r="Z152" s="1113"/>
      <c r="AA152" s="1113"/>
      <c r="AB152" s="1113"/>
      <c r="AC152" s="890"/>
      <c r="AD152" s="844"/>
      <c r="AE152" s="844"/>
      <c r="AF152" s="845"/>
      <c r="AG152" s="845"/>
      <c r="AH152" s="844"/>
      <c r="AI152" s="887"/>
      <c r="AJ152" s="1176"/>
      <c r="AK152" s="1176"/>
      <c r="AL152" s="844"/>
      <c r="AM152" s="844"/>
      <c r="AN152" s="844"/>
    </row>
    <row r="153" spans="1:40">
      <c r="A153" s="749"/>
      <c r="B153" s="749"/>
      <c r="C153" s="749"/>
      <c r="D153" s="749"/>
      <c r="E153" s="749"/>
      <c r="F153" s="749"/>
      <c r="G153" s="749"/>
      <c r="H153" s="749"/>
      <c r="I153" s="749"/>
      <c r="J153" s="749"/>
      <c r="K153" s="749"/>
      <c r="L153" s="749"/>
      <c r="M153" s="749"/>
      <c r="N153" s="749"/>
      <c r="O153" s="749"/>
      <c r="Y153" s="844"/>
      <c r="Z153" s="1113"/>
      <c r="AA153" s="1113"/>
      <c r="AB153" s="1113"/>
      <c r="AC153" s="887"/>
      <c r="AD153" s="844"/>
    </row>
    <row r="154" spans="1:40" hidden="1">
      <c r="A154" s="749"/>
      <c r="B154" s="749"/>
      <c r="C154" s="749"/>
      <c r="D154" s="749"/>
      <c r="E154" s="749"/>
      <c r="F154" s="749"/>
      <c r="G154" s="749"/>
      <c r="H154" s="749"/>
      <c r="I154" s="749"/>
      <c r="J154" s="749"/>
      <c r="K154" s="749"/>
      <c r="L154" s="749"/>
      <c r="M154" s="749"/>
      <c r="N154" s="749"/>
      <c r="O154" s="749"/>
      <c r="Y154" s="844"/>
      <c r="Z154" s="1113"/>
      <c r="AA154" s="1113"/>
      <c r="AB154" s="1113"/>
      <c r="AC154" s="887"/>
      <c r="AD154" s="844"/>
    </row>
    <row r="155" spans="1:40">
      <c r="A155" s="749"/>
      <c r="B155" s="749"/>
      <c r="C155" s="814"/>
      <c r="D155" s="749"/>
      <c r="E155" s="749"/>
      <c r="F155" s="749"/>
      <c r="G155" s="749"/>
      <c r="H155" s="749"/>
      <c r="I155" s="749"/>
      <c r="J155" s="749"/>
      <c r="K155" s="749"/>
      <c r="L155" s="749"/>
      <c r="M155" s="749"/>
      <c r="N155" s="749"/>
      <c r="O155" s="749"/>
      <c r="Y155" s="844"/>
      <c r="Z155" s="1113"/>
      <c r="AA155" s="1113"/>
      <c r="AB155" s="1113"/>
      <c r="AC155" s="887"/>
      <c r="AD155" s="844"/>
    </row>
    <row r="156" spans="1:40">
      <c r="A156" s="749"/>
      <c r="B156" s="813"/>
      <c r="C156" s="814"/>
      <c r="D156" s="749"/>
      <c r="E156" s="749"/>
      <c r="F156" s="749"/>
      <c r="G156" s="749"/>
      <c r="H156" s="749"/>
      <c r="I156" s="749"/>
      <c r="J156" s="749"/>
      <c r="K156" s="749"/>
      <c r="L156" s="749"/>
      <c r="M156" s="749"/>
      <c r="N156" s="749"/>
      <c r="O156" s="749"/>
      <c r="Y156" s="844"/>
      <c r="Z156" s="844"/>
      <c r="AA156" s="844"/>
      <c r="AB156" s="844"/>
      <c r="AC156" s="844"/>
      <c r="AD156" s="844"/>
    </row>
    <row r="157" spans="1:40">
      <c r="A157" s="749"/>
      <c r="B157" s="813"/>
      <c r="C157" s="814"/>
      <c r="D157" s="749"/>
      <c r="E157" s="749"/>
      <c r="F157" s="749"/>
      <c r="G157" s="749"/>
      <c r="H157" s="749"/>
      <c r="I157" s="749"/>
      <c r="J157" s="749"/>
      <c r="K157" s="749"/>
      <c r="L157" s="749"/>
      <c r="M157" s="749"/>
      <c r="N157" s="749"/>
      <c r="O157" s="749"/>
      <c r="Y157" s="844"/>
      <c r="Z157" s="844"/>
      <c r="AA157" s="844"/>
      <c r="AB157" s="844"/>
      <c r="AC157" s="844"/>
      <c r="AD157" s="844"/>
    </row>
    <row r="158" spans="1:40">
      <c r="A158" s="749"/>
      <c r="B158" s="813"/>
      <c r="C158" s="814"/>
      <c r="D158" s="749"/>
      <c r="E158" s="749"/>
      <c r="F158" s="749"/>
      <c r="G158" s="749"/>
      <c r="H158" s="749"/>
      <c r="I158" s="749"/>
      <c r="J158" s="749"/>
      <c r="K158" s="749"/>
      <c r="L158" s="749"/>
      <c r="M158" s="749"/>
      <c r="N158" s="749"/>
      <c r="O158" s="749"/>
      <c r="Y158" s="844"/>
      <c r="Z158" s="844"/>
      <c r="AA158" s="844"/>
      <c r="AB158" s="844"/>
      <c r="AC158" s="844"/>
      <c r="AD158" s="844"/>
    </row>
    <row r="159" spans="1:40">
      <c r="A159" s="749"/>
      <c r="B159" s="813"/>
      <c r="C159" s="814"/>
      <c r="D159" s="749"/>
      <c r="E159" s="749"/>
      <c r="F159" s="749"/>
      <c r="G159" s="749"/>
      <c r="H159" s="749"/>
      <c r="I159" s="749"/>
      <c r="J159" s="749"/>
      <c r="K159" s="749"/>
      <c r="L159" s="749"/>
      <c r="M159" s="749"/>
      <c r="N159" s="749"/>
      <c r="O159" s="749"/>
      <c r="Y159" s="844"/>
      <c r="Z159" s="844"/>
      <c r="AA159" s="844"/>
      <c r="AB159" s="844"/>
      <c r="AC159" s="844"/>
      <c r="AD159" s="844"/>
    </row>
    <row r="160" spans="1:40">
      <c r="A160" s="749"/>
      <c r="B160" s="813"/>
      <c r="C160" s="814"/>
      <c r="D160" s="749"/>
      <c r="E160" s="749"/>
      <c r="F160" s="749"/>
      <c r="G160" s="749"/>
      <c r="H160" s="749"/>
      <c r="I160" s="749"/>
      <c r="J160" s="749"/>
      <c r="K160" s="749"/>
      <c r="L160" s="749"/>
      <c r="M160" s="749"/>
      <c r="N160" s="749"/>
      <c r="O160" s="749"/>
    </row>
    <row r="161" spans="1:22">
      <c r="A161" s="749"/>
      <c r="B161" s="813"/>
      <c r="C161" s="814"/>
      <c r="D161" s="749"/>
      <c r="E161" s="749"/>
      <c r="F161" s="749"/>
      <c r="G161" s="749"/>
      <c r="H161" s="749"/>
      <c r="I161" s="749"/>
      <c r="J161" s="749"/>
      <c r="K161" s="749"/>
      <c r="L161" s="749"/>
      <c r="M161" s="749"/>
      <c r="N161" s="749"/>
      <c r="O161" s="749"/>
    </row>
    <row r="162" spans="1:22">
      <c r="A162" s="749"/>
      <c r="B162" s="815"/>
      <c r="C162" s="749"/>
      <c r="D162" s="749"/>
      <c r="E162" s="749"/>
      <c r="F162" s="749"/>
      <c r="G162" s="749"/>
      <c r="H162" s="749"/>
      <c r="I162" s="749"/>
      <c r="J162" s="749"/>
      <c r="K162" s="749"/>
      <c r="L162" s="749"/>
      <c r="M162" s="749"/>
      <c r="N162" s="749"/>
      <c r="O162" s="749"/>
    </row>
    <row r="163" spans="1:22">
      <c r="A163" s="749"/>
      <c r="B163" s="815"/>
      <c r="C163" s="749"/>
      <c r="D163" s="749"/>
      <c r="E163" s="749"/>
      <c r="F163" s="749"/>
      <c r="G163" s="749"/>
      <c r="H163" s="749"/>
      <c r="I163" s="749"/>
      <c r="J163" s="749"/>
      <c r="K163" s="749"/>
      <c r="L163" s="749"/>
      <c r="M163" s="749"/>
      <c r="N163" s="749"/>
      <c r="O163" s="749"/>
    </row>
    <row r="164" spans="1:22">
      <c r="A164" s="749"/>
      <c r="B164" s="749"/>
      <c r="C164" s="749"/>
      <c r="D164" s="749"/>
      <c r="E164" s="749"/>
      <c r="F164" s="749"/>
      <c r="G164" s="749"/>
      <c r="H164" s="749"/>
      <c r="I164" s="749"/>
      <c r="J164" s="749"/>
      <c r="K164" s="749"/>
      <c r="L164" s="749"/>
      <c r="M164" s="749"/>
      <c r="N164" s="749"/>
      <c r="O164" s="749"/>
    </row>
    <row r="167" spans="1:22">
      <c r="L167" s="49"/>
      <c r="M167" s="49"/>
      <c r="N167" s="49"/>
      <c r="O167" s="49"/>
      <c r="P167" s="844"/>
      <c r="Q167" s="844"/>
      <c r="R167" s="844"/>
      <c r="S167" s="844"/>
      <c r="T167" s="844"/>
      <c r="U167" s="844"/>
      <c r="V167" s="844"/>
    </row>
    <row r="168" spans="1:22">
      <c r="L168" s="49"/>
      <c r="M168" s="49"/>
      <c r="N168" s="49"/>
      <c r="O168" s="49"/>
      <c r="P168" s="844"/>
      <c r="Q168" s="844"/>
      <c r="R168" s="844"/>
      <c r="S168" s="844"/>
      <c r="T168" s="844"/>
      <c r="U168" s="844"/>
      <c r="V168" s="844"/>
    </row>
    <row r="169" spans="1:22" ht="17.399999999999999">
      <c r="L169" s="49"/>
      <c r="M169" s="49"/>
      <c r="N169" s="49"/>
      <c r="O169" s="49"/>
      <c r="P169" s="888"/>
      <c r="Q169" s="888"/>
      <c r="R169" s="844"/>
      <c r="S169" s="844"/>
      <c r="T169" s="886"/>
      <c r="U169" s="1176"/>
      <c r="V169" s="1176"/>
    </row>
    <row r="170" spans="1:22" ht="17.399999999999999">
      <c r="L170" s="49"/>
      <c r="M170" s="49"/>
      <c r="N170" s="49"/>
      <c r="O170" s="49"/>
      <c r="P170" s="888"/>
      <c r="Q170" s="888"/>
      <c r="R170" s="844"/>
      <c r="S170" s="844"/>
      <c r="T170" s="886"/>
      <c r="U170" s="1176"/>
      <c r="V170" s="1176"/>
    </row>
    <row r="171" spans="1:22" ht="17.399999999999999">
      <c r="L171" s="49"/>
      <c r="M171" s="49"/>
      <c r="N171" s="49"/>
      <c r="O171" s="49"/>
      <c r="P171" s="844"/>
      <c r="Q171" s="844"/>
      <c r="R171" s="844"/>
      <c r="S171" s="844"/>
      <c r="T171" s="846"/>
      <c r="U171" s="1176"/>
      <c r="V171" s="1176"/>
    </row>
    <row r="172" spans="1:22" ht="17.399999999999999">
      <c r="L172" s="49"/>
      <c r="M172" s="49"/>
      <c r="N172" s="49"/>
      <c r="O172" s="49"/>
      <c r="P172" s="844"/>
      <c r="Q172" s="845"/>
      <c r="R172" s="845"/>
      <c r="S172" s="844"/>
      <c r="T172" s="846"/>
      <c r="U172" s="1176"/>
      <c r="V172" s="1176"/>
    </row>
    <row r="173" spans="1:22" ht="17.399999999999999">
      <c r="L173" s="49"/>
      <c r="M173" s="49"/>
      <c r="N173" s="49"/>
      <c r="O173" s="49"/>
      <c r="P173" s="844"/>
      <c r="Q173" s="845"/>
      <c r="R173" s="845"/>
      <c r="S173" s="844"/>
      <c r="T173" s="887"/>
      <c r="U173" s="1176"/>
      <c r="V173" s="1176"/>
    </row>
    <row r="174" spans="1:22" ht="17.399999999999999">
      <c r="L174" s="49"/>
      <c r="M174" s="49"/>
      <c r="N174" s="49"/>
      <c r="O174" s="49"/>
      <c r="P174" s="844"/>
      <c r="Q174" s="845"/>
      <c r="R174" s="845"/>
      <c r="S174" s="844"/>
      <c r="T174" s="887"/>
      <c r="U174" s="1176"/>
      <c r="V174" s="1176"/>
    </row>
    <row r="175" spans="1:22" ht="17.399999999999999">
      <c r="L175" s="49"/>
      <c r="M175" s="49"/>
      <c r="N175" s="49"/>
      <c r="O175" s="49"/>
      <c r="P175" s="844"/>
      <c r="Q175" s="845"/>
      <c r="R175" s="845"/>
      <c r="S175" s="844"/>
      <c r="T175" s="886"/>
      <c r="U175" s="1176"/>
      <c r="V175" s="1176"/>
    </row>
    <row r="176" spans="1:22" ht="17.399999999999999">
      <c r="L176" s="49"/>
      <c r="M176" s="49"/>
      <c r="N176" s="49"/>
      <c r="O176" s="49"/>
      <c r="P176" s="844"/>
      <c r="Q176" s="845"/>
      <c r="R176" s="845"/>
      <c r="S176" s="844"/>
      <c r="T176" s="886"/>
      <c r="U176" s="1176"/>
      <c r="V176" s="1176"/>
    </row>
    <row r="177" spans="12:22">
      <c r="L177" s="49"/>
      <c r="M177" s="49"/>
      <c r="N177" s="49"/>
      <c r="O177" s="49"/>
      <c r="P177" s="844"/>
      <c r="Q177" s="844"/>
      <c r="R177" s="844"/>
      <c r="S177" s="844"/>
      <c r="T177" s="844"/>
      <c r="U177" s="844"/>
      <c r="V177" s="844"/>
    </row>
    <row r="178" spans="12:22">
      <c r="L178" s="49"/>
      <c r="M178" s="49"/>
      <c r="N178" s="49"/>
      <c r="O178" s="49"/>
      <c r="P178" s="844"/>
      <c r="Q178" s="844"/>
      <c r="R178" s="844"/>
      <c r="S178" s="844"/>
      <c r="T178" s="844"/>
      <c r="U178" s="844"/>
      <c r="V178" s="844"/>
    </row>
    <row r="179" spans="12:22">
      <c r="L179" s="49"/>
      <c r="M179" s="49"/>
      <c r="N179" s="49"/>
      <c r="O179" s="49"/>
      <c r="P179" s="844"/>
      <c r="Q179" s="844"/>
      <c r="R179" s="844"/>
      <c r="S179" s="844"/>
      <c r="T179" s="844"/>
      <c r="U179" s="844"/>
      <c r="V179" s="844"/>
    </row>
  </sheetData>
  <sheetProtection formatCells="0" formatColumns="0" formatRows="0" insertColumns="0" insertRows="0" deleteColumns="0" deleteRows="0"/>
  <mergeCells count="123">
    <mergeCell ref="A113:H113"/>
    <mergeCell ref="A102:B102"/>
    <mergeCell ref="A101:B101"/>
    <mergeCell ref="A100:B100"/>
    <mergeCell ref="A99:B99"/>
    <mergeCell ref="A98:B98"/>
    <mergeCell ref="A97:B97"/>
    <mergeCell ref="U173:V173"/>
    <mergeCell ref="K102:L102"/>
    <mergeCell ref="K101:L101"/>
    <mergeCell ref="K100:L100"/>
    <mergeCell ref="U174:V174"/>
    <mergeCell ref="U175:V175"/>
    <mergeCell ref="U176:V176"/>
    <mergeCell ref="A71:A72"/>
    <mergeCell ref="B71:B72"/>
    <mergeCell ref="M105:M106"/>
    <mergeCell ref="N105:N106"/>
    <mergeCell ref="O105:O106"/>
    <mergeCell ref="O120:O121"/>
    <mergeCell ref="Q84:Q85"/>
    <mergeCell ref="R84:R85"/>
    <mergeCell ref="S84:S85"/>
    <mergeCell ref="T84:T85"/>
    <mergeCell ref="A112:H112"/>
    <mergeCell ref="A114:H114"/>
    <mergeCell ref="A115:H115"/>
    <mergeCell ref="A118:N118"/>
    <mergeCell ref="A121:C121"/>
    <mergeCell ref="C101:J101"/>
    <mergeCell ref="C100:J100"/>
    <mergeCell ref="C99:J99"/>
    <mergeCell ref="K98:L98"/>
    <mergeCell ref="K97:L97"/>
    <mergeCell ref="K103:L103"/>
    <mergeCell ref="Z152:AB152"/>
    <mergeCell ref="AJ152:AK152"/>
    <mergeCell ref="Z153:AB153"/>
    <mergeCell ref="Z154:AB154"/>
    <mergeCell ref="Z155:AB155"/>
    <mergeCell ref="U169:V169"/>
    <mergeCell ref="U170:V170"/>
    <mergeCell ref="U171:V171"/>
    <mergeCell ref="U172:V172"/>
    <mergeCell ref="Z145:AG145"/>
    <mergeCell ref="Z146:AG146"/>
    <mergeCell ref="Z148:AB148"/>
    <mergeCell ref="AJ148:AK148"/>
    <mergeCell ref="Z149:AB149"/>
    <mergeCell ref="AJ149:AK149"/>
    <mergeCell ref="Z150:AB150"/>
    <mergeCell ref="AJ150:AK150"/>
    <mergeCell ref="Z151:AB151"/>
    <mergeCell ref="AJ151:AK151"/>
    <mergeCell ref="Z144:AK144"/>
    <mergeCell ref="A81:B81"/>
    <mergeCell ref="A82:B82"/>
    <mergeCell ref="A103:B103"/>
    <mergeCell ref="A84:A85"/>
    <mergeCell ref="B84:B85"/>
    <mergeCell ref="C84:L84"/>
    <mergeCell ref="A94:B94"/>
    <mergeCell ref="A95:B95"/>
    <mergeCell ref="C81:G81"/>
    <mergeCell ref="H81:L81"/>
    <mergeCell ref="C82:G82"/>
    <mergeCell ref="H82:L82"/>
    <mergeCell ref="C94:G94"/>
    <mergeCell ref="H94:L94"/>
    <mergeCell ref="N84:N85"/>
    <mergeCell ref="O84:O85"/>
    <mergeCell ref="C103:J103"/>
    <mergeCell ref="C102:J102"/>
    <mergeCell ref="K99:L99"/>
    <mergeCell ref="C98:J98"/>
    <mergeCell ref="C97:J97"/>
    <mergeCell ref="C96:J96"/>
    <mergeCell ref="K96:L96"/>
    <mergeCell ref="S37:X37"/>
    <mergeCell ref="C39:D39"/>
    <mergeCell ref="E39:F39"/>
    <mergeCell ref="H39:J39"/>
    <mergeCell ref="K39:O39"/>
    <mergeCell ref="C40:D40"/>
    <mergeCell ref="E40:F40"/>
    <mergeCell ref="H40:J40"/>
    <mergeCell ref="L40:M40"/>
    <mergeCell ref="N40:O40"/>
    <mergeCell ref="P40:Q40"/>
    <mergeCell ref="A1:O1"/>
    <mergeCell ref="C13:J13"/>
    <mergeCell ref="C14:J14"/>
    <mergeCell ref="C22:D22"/>
    <mergeCell ref="C23:D23"/>
    <mergeCell ref="B26:H26"/>
    <mergeCell ref="I26:J26"/>
    <mergeCell ref="K26:L26"/>
    <mergeCell ref="G22:K23"/>
    <mergeCell ref="A96:B96"/>
    <mergeCell ref="B30:H30"/>
    <mergeCell ref="A86:A93"/>
    <mergeCell ref="M94:M95"/>
    <mergeCell ref="C95:G95"/>
    <mergeCell ref="H95:L95"/>
    <mergeCell ref="M84:M85"/>
    <mergeCell ref="A73:A80"/>
    <mergeCell ref="K32:L32"/>
    <mergeCell ref="C41:D41"/>
    <mergeCell ref="E41:F41"/>
    <mergeCell ref="H41:J41"/>
    <mergeCell ref="A70:B70"/>
    <mergeCell ref="C70:H70"/>
    <mergeCell ref="P70:R70"/>
    <mergeCell ref="C71:L71"/>
    <mergeCell ref="P27:P30"/>
    <mergeCell ref="K27:L27"/>
    <mergeCell ref="K28:L28"/>
    <mergeCell ref="K29:L29"/>
    <mergeCell ref="K30:L30"/>
    <mergeCell ref="K31:L31"/>
    <mergeCell ref="I5:J5"/>
    <mergeCell ref="I6:J6"/>
    <mergeCell ref="N27:O31"/>
  </mergeCells>
  <dataValidations count="8">
    <dataValidation type="list" allowBlank="1" showInputMessage="1" showErrorMessage="1" sqref="C24" xr:uid="{00000000-0002-0000-0100-000000000000}">
      <formula1>$N$25:$N$26</formula1>
    </dataValidation>
    <dataValidation type="list" allowBlank="1" showInputMessage="1" showErrorMessage="1" sqref="E157 L123:L124 C22:C23 L117 L119:L120 A114:H115" xr:uid="{00000000-0002-0000-0100-000002000000}">
      <formula1>#REF!</formula1>
    </dataValidation>
    <dataValidation type="list" allowBlank="1" showInputMessage="1" showErrorMessage="1" sqref="L126" xr:uid="{00000000-0002-0000-0100-000004000000}">
      <formula1>$G$151:$G$152</formula1>
    </dataValidation>
    <dataValidation type="list" allowBlank="1" showInputMessage="1" showErrorMessage="1" sqref="E156" xr:uid="{00000000-0002-0000-0100-000005000000}">
      <formula1>$M$150:$M$154</formula1>
    </dataValidation>
    <dataValidation type="list" allowBlank="1" showInputMessage="1" showErrorMessage="1" sqref="L118" xr:uid="{00000000-0002-0000-0100-000007000000}">
      <formula1>$R$96:$R$96</formula1>
    </dataValidation>
    <dataValidation type="list" allowBlank="1" showInputMessage="1" showErrorMessage="1" sqref="C109:L109" xr:uid="{B7A6B64C-A625-4245-8521-04F85FF22499}">
      <formula1>$Q$111:$Q$112</formula1>
    </dataValidation>
    <dataValidation type="list" allowBlank="1" showInputMessage="1" showErrorMessage="1" sqref="E8" xr:uid="{31AE67BD-6144-4113-A4B9-06FE73917578}">
      <formula1>$P$9:$P$10</formula1>
    </dataValidation>
    <dataValidation type="list" allowBlank="1" showInputMessage="1" showErrorMessage="1" sqref="B30:H30" xr:uid="{02B46C6F-08CA-47AB-8535-0DCE2EADD0D8}">
      <formula1>$P$19:$P$20</formula1>
    </dataValidation>
  </dataValidations>
  <printOptions horizontalCentered="1"/>
  <pageMargins left="0.23622047244094491" right="0.23622047244094491" top="0.59055118110236227" bottom="0.23622047244094491" header="0.23622047244094491" footer="0.23622047244094491"/>
  <pageSetup paperSize="9" scale="55" orientation="portrait" r:id="rId1"/>
  <headerFooter>
    <oddHeader>&amp;R&amp;"-,Regular"&amp;8SH.ID - 032-18 / Rev 0</oddHeader>
  </headerFooter>
  <rowBreaks count="1" manualBreakCount="1">
    <brk id="68" max="14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D000000}">
          <x14:formula1>
            <xm:f>'Data Alat'!$O$6:$O$25</xm:f>
          </x14:formula1>
          <xm:sqref>A121:C121</xm:sqref>
        </x14:dataValidation>
        <x14:dataValidation type="list" allowBlank="1" showInputMessage="1" showErrorMessage="1" xr:uid="{3A530EE3-F94A-4182-BBC9-AC82AA1388BD}">
          <x14:formula1>
            <xm:f>'Data Alat'!$A$4:$A$19</xm:f>
          </x14:formula1>
          <xm:sqref>A112:H112</xm:sqref>
        </x14:dataValidation>
        <x14:dataValidation type="list" allowBlank="1" showInputMessage="1" showErrorMessage="1" xr:uid="{CF0D1843-DE91-40DB-B8D9-C70BD21CB21D}">
          <x14:formula1>
            <xm:f>'Data Alat'!$A$20:$A$25</xm:f>
          </x14:formula1>
          <xm:sqref>A113:H113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2:IP88"/>
  <sheetViews>
    <sheetView showGridLines="0" view="pageBreakPreview" topLeftCell="A4" zoomScale="115" zoomScaleNormal="80" zoomScaleSheetLayoutView="115" workbookViewId="0">
      <selection activeCell="F9" sqref="F9"/>
    </sheetView>
  </sheetViews>
  <sheetFormatPr defaultColWidth="9" defaultRowHeight="13.8"/>
  <cols>
    <col min="1" max="1" width="14.88671875" style="87" customWidth="1"/>
    <col min="2" max="2" width="14.109375" style="87" customWidth="1"/>
    <col min="3" max="3" width="4" style="87" customWidth="1"/>
    <col min="4" max="4" width="6.6640625" style="87" customWidth="1"/>
    <col min="5" max="5" width="10.5546875" style="87" customWidth="1"/>
    <col min="6" max="6" width="8.33203125" style="87" customWidth="1"/>
    <col min="7" max="7" width="9.33203125" style="87" customWidth="1"/>
    <col min="8" max="8" width="11.44140625" style="87" customWidth="1"/>
    <col min="9" max="9" width="8.109375" style="87" customWidth="1"/>
    <col min="10" max="10" width="4" style="87" hidden="1"/>
    <col min="11" max="11" width="12.5546875" style="87" customWidth="1"/>
    <col min="12" max="12" width="8.6640625" style="87" customWidth="1"/>
    <col min="13" max="13" width="19.5546875" style="87" customWidth="1"/>
    <col min="14" max="14" width="20.33203125" style="87" customWidth="1"/>
    <col min="15" max="21" width="9.109375" style="87" customWidth="1"/>
    <col min="22" max="22" width="17.6640625" style="87" customWidth="1"/>
    <col min="23" max="250" width="9.109375" style="87" customWidth="1"/>
  </cols>
  <sheetData>
    <row r="2" spans="1:14" ht="18">
      <c r="A2" s="1185" t="s">
        <v>112</v>
      </c>
      <c r="B2" s="1185"/>
      <c r="C2" s="1185"/>
      <c r="D2" s="1185"/>
      <c r="E2" s="1185"/>
      <c r="F2" s="1185"/>
      <c r="G2" s="1185"/>
      <c r="H2" s="1185"/>
      <c r="I2" s="1185"/>
      <c r="J2" s="1185"/>
      <c r="K2" s="1185"/>
      <c r="L2" s="1185"/>
      <c r="M2" s="1185"/>
      <c r="N2" s="1185"/>
    </row>
    <row r="3" spans="1:14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</row>
    <row r="4" spans="1:14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</row>
    <row r="5" spans="1:14" ht="18" customHeight="1">
      <c r="A5" s="89" t="s">
        <v>113</v>
      </c>
      <c r="B5" s="90">
        <f>ID!C8</f>
        <v>1</v>
      </c>
      <c r="C5" s="91" t="s">
        <v>114</v>
      </c>
      <c r="D5" s="92"/>
      <c r="E5" s="89"/>
      <c r="F5" s="89"/>
      <c r="G5" s="89"/>
      <c r="H5" s="89"/>
      <c r="I5" s="89"/>
      <c r="J5" s="89"/>
      <c r="K5" s="89"/>
      <c r="L5" s="89"/>
      <c r="M5" s="89"/>
      <c r="N5" s="89"/>
    </row>
    <row r="6" spans="1:14" ht="18" customHeight="1">
      <c r="A6" s="89" t="s">
        <v>115</v>
      </c>
      <c r="B6" s="442">
        <f>ID!A73</f>
        <v>0</v>
      </c>
      <c r="C6" s="91" t="s">
        <v>114</v>
      </c>
      <c r="D6" s="89"/>
      <c r="E6" s="89"/>
      <c r="F6" s="89"/>
      <c r="G6" s="89"/>
      <c r="H6" s="89"/>
      <c r="I6" s="119"/>
      <c r="J6" s="89"/>
      <c r="K6" s="89"/>
      <c r="L6" s="89"/>
      <c r="M6" s="89"/>
      <c r="N6" s="89"/>
    </row>
    <row r="7" spans="1:14" ht="18" customHeight="1">
      <c r="A7" s="1190" t="s">
        <v>116</v>
      </c>
      <c r="B7" s="1190"/>
      <c r="C7" s="1190"/>
      <c r="D7" s="1190" t="s">
        <v>117</v>
      </c>
      <c r="E7" s="1190" t="s">
        <v>118</v>
      </c>
      <c r="F7" s="1190" t="s">
        <v>119</v>
      </c>
      <c r="G7" s="1190" t="s">
        <v>120</v>
      </c>
      <c r="H7" s="1190" t="s">
        <v>121</v>
      </c>
      <c r="I7" s="1190" t="s">
        <v>122</v>
      </c>
      <c r="J7" s="1190"/>
      <c r="K7" s="1191" t="s">
        <v>123</v>
      </c>
      <c r="L7" s="1190" t="s">
        <v>124</v>
      </c>
      <c r="M7" s="1190" t="s">
        <v>125</v>
      </c>
      <c r="N7" s="1191" t="s">
        <v>126</v>
      </c>
    </row>
    <row r="8" spans="1:14" ht="18" customHeight="1">
      <c r="A8" s="1190"/>
      <c r="B8" s="1190"/>
      <c r="C8" s="1190"/>
      <c r="D8" s="1190"/>
      <c r="E8" s="1190"/>
      <c r="F8" s="1190"/>
      <c r="G8" s="1190"/>
      <c r="H8" s="1190"/>
      <c r="I8" s="1190"/>
      <c r="J8" s="1190"/>
      <c r="K8" s="1191"/>
      <c r="L8" s="1190"/>
      <c r="M8" s="1190"/>
      <c r="N8" s="1191"/>
    </row>
    <row r="9" spans="1:14" ht="18" customHeight="1">
      <c r="A9" s="1186" t="s">
        <v>127</v>
      </c>
      <c r="B9" s="1187"/>
      <c r="C9" s="1188"/>
      <c r="D9" s="94" t="s">
        <v>128</v>
      </c>
      <c r="E9" s="93" t="s">
        <v>129</v>
      </c>
      <c r="F9" s="95">
        <f>'Data Standar'!C292</f>
        <v>0.47</v>
      </c>
      <c r="G9" s="237">
        <v>2</v>
      </c>
      <c r="H9" s="237">
        <f>F9/G9</f>
        <v>0.23499999999999999</v>
      </c>
      <c r="I9" s="93">
        <v>1</v>
      </c>
      <c r="J9" s="93"/>
      <c r="K9" s="236">
        <f t="shared" ref="K9:K15" si="0">H9*I9</f>
        <v>0.23499999999999999</v>
      </c>
      <c r="L9" s="120">
        <v>50</v>
      </c>
      <c r="M9" s="121">
        <f>(H9*I9)^2</f>
        <v>5.5224999999999996E-2</v>
      </c>
      <c r="N9" s="248">
        <f t="shared" ref="N9:N15" si="1">(K9)^4/L9</f>
        <v>6.0996012499999994E-5</v>
      </c>
    </row>
    <row r="10" spans="1:14" ht="18" customHeight="1">
      <c r="A10" s="1186" t="s">
        <v>130</v>
      </c>
      <c r="B10" s="1187"/>
      <c r="C10" s="1188"/>
      <c r="D10" s="94" t="s">
        <v>128</v>
      </c>
      <c r="E10" s="93" t="s">
        <v>131</v>
      </c>
      <c r="F10" s="96">
        <f>'Data Standar'!C291</f>
        <v>0.12995449410100518</v>
      </c>
      <c r="G10" s="121">
        <f t="shared" ref="G10:G15" si="2">SQRT(3)</f>
        <v>1.7320508075688772</v>
      </c>
      <c r="H10" s="237">
        <f>F10/G10</f>
        <v>7.5029262151616982E-2</v>
      </c>
      <c r="I10" s="120">
        <v>1</v>
      </c>
      <c r="J10" s="93"/>
      <c r="K10" s="236">
        <f t="shared" si="0"/>
        <v>7.5029262151616982E-2</v>
      </c>
      <c r="L10" s="120">
        <v>50</v>
      </c>
      <c r="M10" s="121">
        <f>(H10*I10)^2</f>
        <v>5.6293901790160647E-3</v>
      </c>
      <c r="N10" s="248">
        <f t="shared" si="1"/>
        <v>6.3380067575205036E-7</v>
      </c>
    </row>
    <row r="11" spans="1:14" ht="18" customHeight="1">
      <c r="A11" s="1189" t="s">
        <v>132</v>
      </c>
      <c r="B11" s="1189"/>
      <c r="C11" s="1189"/>
      <c r="D11" s="94" t="s">
        <v>128</v>
      </c>
      <c r="E11" s="93" t="s">
        <v>131</v>
      </c>
      <c r="F11" s="95">
        <f>B5/2</f>
        <v>0.5</v>
      </c>
      <c r="G11" s="237">
        <f t="shared" si="2"/>
        <v>1.7320508075688772</v>
      </c>
      <c r="H11" s="237">
        <f t="shared" ref="H9:H15" si="3">F11/G11</f>
        <v>0.28867513459481292</v>
      </c>
      <c r="I11" s="93">
        <v>1</v>
      </c>
      <c r="J11" s="94"/>
      <c r="K11" s="236">
        <f t="shared" si="0"/>
        <v>0.28867513459481292</v>
      </c>
      <c r="L11" s="120">
        <v>50</v>
      </c>
      <c r="M11" s="121">
        <f t="shared" ref="M9:M15" si="4">(H11*I11)^2</f>
        <v>8.3333333333333356E-2</v>
      </c>
      <c r="N11" s="248">
        <f t="shared" si="1"/>
        <v>1.3888888888888897E-4</v>
      </c>
    </row>
    <row r="12" spans="1:14" ht="18" customHeight="1">
      <c r="A12" s="1189" t="s">
        <v>133</v>
      </c>
      <c r="B12" s="1189"/>
      <c r="C12" s="1189"/>
      <c r="D12" s="94" t="s">
        <v>128</v>
      </c>
      <c r="E12" s="93" t="s">
        <v>131</v>
      </c>
      <c r="F12" s="95">
        <f>ID!K98/2</f>
        <v>3.4813475188839593E-2</v>
      </c>
      <c r="G12" s="237">
        <f t="shared" si="2"/>
        <v>1.7320508075688772</v>
      </c>
      <c r="H12" s="237">
        <f t="shared" si="3"/>
        <v>2.0099569271702897E-2</v>
      </c>
      <c r="I12" s="93">
        <v>1</v>
      </c>
      <c r="J12" s="94"/>
      <c r="K12" s="236">
        <f t="shared" si="0"/>
        <v>2.0099569271702897E-2</v>
      </c>
      <c r="L12" s="120">
        <v>50</v>
      </c>
      <c r="M12" s="121">
        <f t="shared" si="4"/>
        <v>4.0399268490798335E-4</v>
      </c>
      <c r="N12" s="248">
        <f t="shared" si="1"/>
        <v>3.2642017891832223E-9</v>
      </c>
    </row>
    <row r="13" spans="1:14" ht="18" customHeight="1">
      <c r="A13" s="1186" t="s">
        <v>134</v>
      </c>
      <c r="B13" s="1187"/>
      <c r="C13" s="1188"/>
      <c r="D13" s="94" t="s">
        <v>128</v>
      </c>
      <c r="E13" s="93" t="s">
        <v>131</v>
      </c>
      <c r="F13" s="95">
        <f>ID!K99/2</f>
        <v>0.26237502458145912</v>
      </c>
      <c r="G13" s="237">
        <f t="shared" si="2"/>
        <v>1.7320508075688772</v>
      </c>
      <c r="H13" s="237">
        <f t="shared" si="3"/>
        <v>0.1514822910707401</v>
      </c>
      <c r="I13" s="93">
        <v>1</v>
      </c>
      <c r="J13" s="94"/>
      <c r="K13" s="236">
        <f t="shared" si="0"/>
        <v>0.1514822910707401</v>
      </c>
      <c r="L13" s="120">
        <v>50</v>
      </c>
      <c r="M13" s="121">
        <f t="shared" si="4"/>
        <v>2.2946884508040426E-2</v>
      </c>
      <c r="N13" s="248">
        <f>(K13)^4/L13</f>
        <v>1.0531190172506914E-5</v>
      </c>
    </row>
    <row r="14" spans="1:14" ht="18" customHeight="1">
      <c r="A14" s="425" t="s">
        <v>437</v>
      </c>
      <c r="B14" s="426"/>
      <c r="C14" s="427"/>
      <c r="D14" s="94" t="s">
        <v>128</v>
      </c>
      <c r="E14" s="424" t="s">
        <v>131</v>
      </c>
      <c r="F14" s="95">
        <f>ID!K100/2</f>
        <v>0.28714817186299202</v>
      </c>
      <c r="G14" s="237">
        <f t="shared" si="2"/>
        <v>1.7320508075688772</v>
      </c>
      <c r="H14" s="237">
        <f t="shared" si="3"/>
        <v>0.16578507432240738</v>
      </c>
      <c r="I14" s="424">
        <v>1</v>
      </c>
      <c r="J14" s="94"/>
      <c r="K14" s="236">
        <f t="shared" si="0"/>
        <v>0.16578507432240738</v>
      </c>
      <c r="L14" s="120">
        <v>50</v>
      </c>
      <c r="M14" s="121">
        <f t="shared" si="4"/>
        <v>2.748469086808614E-2</v>
      </c>
      <c r="N14" s="248">
        <f>(K14)^4/L14</f>
        <v>1.5108164642285154E-5</v>
      </c>
    </row>
    <row r="15" spans="1:14" ht="18" customHeight="1">
      <c r="A15" s="1189" t="s">
        <v>135</v>
      </c>
      <c r="B15" s="1189"/>
      <c r="C15" s="1189"/>
      <c r="D15" s="94" t="s">
        <v>128</v>
      </c>
      <c r="E15" s="93" t="s">
        <v>131</v>
      </c>
      <c r="F15" s="95">
        <f>ID!N94/2</f>
        <v>0</v>
      </c>
      <c r="G15" s="237">
        <f t="shared" si="2"/>
        <v>1.7320508075688772</v>
      </c>
      <c r="H15" s="237">
        <f t="shared" si="3"/>
        <v>0</v>
      </c>
      <c r="I15" s="93">
        <v>1</v>
      </c>
      <c r="J15" s="94"/>
      <c r="K15" s="236">
        <f t="shared" si="0"/>
        <v>0</v>
      </c>
      <c r="L15" s="120">
        <v>50</v>
      </c>
      <c r="M15" s="121">
        <f t="shared" si="4"/>
        <v>0</v>
      </c>
      <c r="N15" s="248">
        <f t="shared" si="1"/>
        <v>0</v>
      </c>
    </row>
    <row r="16" spans="1:14" ht="18" customHeight="1">
      <c r="A16" s="1189"/>
      <c r="B16" s="1189"/>
      <c r="C16" s="1189"/>
      <c r="D16" s="94"/>
      <c r="E16" s="93"/>
      <c r="F16" s="95"/>
      <c r="G16" s="95"/>
      <c r="H16" s="95"/>
      <c r="I16" s="93"/>
      <c r="J16" s="94"/>
      <c r="K16" s="96"/>
      <c r="L16" s="120"/>
      <c r="M16" s="121"/>
      <c r="N16" s="122"/>
    </row>
    <row r="17" spans="1:22" ht="18" customHeight="1">
      <c r="A17" s="91"/>
      <c r="B17" s="91"/>
      <c r="C17" s="91"/>
      <c r="D17" s="91"/>
      <c r="E17" s="92"/>
      <c r="F17" s="91"/>
      <c r="G17" s="91"/>
      <c r="H17" s="1189" t="s">
        <v>136</v>
      </c>
      <c r="I17" s="1189"/>
      <c r="J17" s="1189"/>
      <c r="K17" s="1189"/>
      <c r="L17" s="1189"/>
      <c r="M17" s="123">
        <f>SQRT(SUM(M9:M16))</f>
        <v>0.44161441504256171</v>
      </c>
      <c r="N17" s="249">
        <f>SUM(N9:N16)</f>
        <v>2.2616132108122227E-4</v>
      </c>
    </row>
    <row r="18" spans="1:22" ht="18" customHeight="1">
      <c r="A18" s="91"/>
      <c r="B18" s="91"/>
      <c r="C18" s="91"/>
      <c r="D18" s="91"/>
      <c r="E18" s="91"/>
      <c r="F18" s="91"/>
      <c r="G18" s="91"/>
      <c r="H18" s="1189" t="s">
        <v>137</v>
      </c>
      <c r="I18" s="1189"/>
      <c r="J18" s="1189"/>
      <c r="K18" s="1189"/>
      <c r="L18" s="1189"/>
      <c r="M18" s="124"/>
      <c r="N18" s="123">
        <f>M17^4/N17</f>
        <v>168.17236508119706</v>
      </c>
      <c r="Q18" s="83"/>
      <c r="R18" s="83"/>
      <c r="S18" s="83"/>
      <c r="T18" s="83"/>
      <c r="U18" s="83"/>
      <c r="V18" s="83"/>
    </row>
    <row r="19" spans="1:22" ht="18" customHeight="1">
      <c r="A19" s="91"/>
      <c r="B19" s="91"/>
      <c r="C19" s="91"/>
      <c r="D19" s="91"/>
      <c r="E19" s="91"/>
      <c r="F19" s="91"/>
      <c r="G19" s="91"/>
      <c r="H19" s="1189" t="s">
        <v>138</v>
      </c>
      <c r="I19" s="1189"/>
      <c r="J19" s="1189"/>
      <c r="K19" s="1189"/>
      <c r="L19" s="1189"/>
      <c r="M19" s="125"/>
      <c r="N19" s="126">
        <f>1.95996+(2.37356/N18)+(2.818745/N18^2)+(2.546662/N18^3)+(1.761829/N18^4)+(0.245458/N18^5)+(1.000764/N18^6)</f>
        <v>1.9741740562903731</v>
      </c>
      <c r="Q19" s="83"/>
      <c r="R19" s="83"/>
      <c r="S19" s="83"/>
      <c r="T19" s="83"/>
      <c r="U19" s="83"/>
      <c r="V19" s="83"/>
    </row>
    <row r="20" spans="1:22" ht="18" customHeight="1">
      <c r="A20" s="91"/>
      <c r="B20" s="91"/>
      <c r="C20" s="91"/>
      <c r="D20" s="91"/>
      <c r="E20" s="91"/>
      <c r="F20" s="91"/>
      <c r="G20" s="91"/>
      <c r="H20" s="1192" t="s">
        <v>139</v>
      </c>
      <c r="I20" s="1192"/>
      <c r="J20" s="1192"/>
      <c r="K20" s="1192"/>
      <c r="L20" s="1192"/>
      <c r="M20" s="127"/>
      <c r="N20" s="128">
        <f>M17*N19</f>
        <v>0.87182372106087447</v>
      </c>
      <c r="Q20" s="83"/>
      <c r="R20" s="83"/>
      <c r="S20" s="83"/>
      <c r="T20" s="83"/>
      <c r="U20" s="83"/>
      <c r="V20" s="83"/>
    </row>
    <row r="21" spans="1:22" ht="18" customHeight="1">
      <c r="E21" s="97"/>
      <c r="Q21" s="83"/>
      <c r="R21" s="83"/>
      <c r="S21" s="83"/>
      <c r="T21" s="83"/>
      <c r="U21" s="83"/>
      <c r="V21" s="83"/>
    </row>
    <row r="22" spans="1:22" s="83" customFormat="1" ht="18" customHeight="1"/>
    <row r="23" spans="1:22" s="84" customFormat="1" ht="18" customHeight="1">
      <c r="A23" s="1193" t="s">
        <v>140</v>
      </c>
      <c r="B23" s="1193"/>
      <c r="C23" s="1193"/>
      <c r="D23" s="1193"/>
      <c r="E23" s="1193"/>
      <c r="F23" s="1193"/>
      <c r="G23" s="1193"/>
      <c r="H23" s="1193"/>
      <c r="I23" s="1193"/>
      <c r="J23" s="1193"/>
      <c r="K23" s="1193"/>
      <c r="L23" s="1193"/>
      <c r="M23" s="1193"/>
      <c r="N23" s="1193"/>
    </row>
    <row r="24" spans="1:22" s="83" customFormat="1" ht="18" customHeight="1">
      <c r="A24" s="98" t="s">
        <v>113</v>
      </c>
      <c r="B24" s="99">
        <f>ID!$C$8</f>
        <v>1</v>
      </c>
      <c r="C24" s="100" t="s">
        <v>114</v>
      </c>
      <c r="D24" s="99"/>
      <c r="E24" s="98"/>
      <c r="F24" s="98"/>
      <c r="G24" s="98"/>
      <c r="H24" s="98"/>
      <c r="I24" s="98"/>
      <c r="J24" s="98"/>
      <c r="K24" s="98"/>
      <c r="L24" s="98"/>
      <c r="M24" s="98"/>
      <c r="N24" s="98"/>
    </row>
    <row r="25" spans="1:22" s="83" customFormat="1" ht="15.9" customHeight="1">
      <c r="A25" s="98" t="s">
        <v>115</v>
      </c>
      <c r="B25" s="101">
        <f>ID!A73</f>
        <v>0</v>
      </c>
      <c r="C25" s="100" t="s">
        <v>114</v>
      </c>
      <c r="D25" s="98"/>
      <c r="E25" s="98"/>
      <c r="F25" s="98"/>
      <c r="G25" s="98"/>
      <c r="H25" s="98"/>
      <c r="I25" s="129"/>
      <c r="J25" s="98"/>
      <c r="K25" s="98"/>
      <c r="L25" s="98"/>
      <c r="M25" s="98"/>
      <c r="N25" s="98"/>
    </row>
    <row r="26" spans="1:22" s="83" customFormat="1" ht="15.9" customHeight="1">
      <c r="A26" s="1202" t="s">
        <v>116</v>
      </c>
      <c r="B26" s="1198"/>
      <c r="C26" s="1203"/>
      <c r="D26" s="1218" t="s">
        <v>117</v>
      </c>
      <c r="E26" s="1198" t="s">
        <v>118</v>
      </c>
      <c r="F26" s="1198" t="s">
        <v>119</v>
      </c>
      <c r="G26" s="1198" t="s">
        <v>120</v>
      </c>
      <c r="H26" s="1198" t="s">
        <v>141</v>
      </c>
      <c r="I26" s="1198" t="s">
        <v>142</v>
      </c>
      <c r="J26" s="1198"/>
      <c r="K26" s="1198" t="s">
        <v>143</v>
      </c>
      <c r="L26" s="1198" t="s">
        <v>144</v>
      </c>
      <c r="M26" s="1198" t="s">
        <v>145</v>
      </c>
      <c r="N26" s="1200" t="s">
        <v>146</v>
      </c>
      <c r="Q26" s="1194"/>
      <c r="R26" s="1194"/>
      <c r="S26" s="1194"/>
      <c r="T26" s="1194"/>
    </row>
    <row r="27" spans="1:22" s="83" customFormat="1" ht="15.9" customHeight="1">
      <c r="A27" s="1204"/>
      <c r="B27" s="1205"/>
      <c r="C27" s="1206"/>
      <c r="D27" s="1219"/>
      <c r="E27" s="1199"/>
      <c r="F27" s="1199"/>
      <c r="G27" s="1199"/>
      <c r="H27" s="1199"/>
      <c r="I27" s="1199"/>
      <c r="J27" s="1199"/>
      <c r="K27" s="1199"/>
      <c r="L27" s="1199"/>
      <c r="M27" s="1199"/>
      <c r="N27" s="1201"/>
      <c r="Q27" s="144"/>
      <c r="R27" s="144"/>
      <c r="S27" s="144"/>
      <c r="T27" s="144"/>
    </row>
    <row r="28" spans="1:22" s="83" customFormat="1" ht="15.9" customHeight="1">
      <c r="A28" s="103" t="s">
        <v>127</v>
      </c>
      <c r="B28" s="104"/>
      <c r="C28" s="105"/>
      <c r="D28" s="106" t="s">
        <v>147</v>
      </c>
      <c r="E28" s="102" t="s">
        <v>129</v>
      </c>
      <c r="F28" s="238">
        <v>0.28999999999999998</v>
      </c>
      <c r="G28" s="238">
        <v>2</v>
      </c>
      <c r="H28" s="239">
        <f>0.29/2</f>
        <v>0.14499999999999999</v>
      </c>
      <c r="I28" s="102">
        <v>1</v>
      </c>
      <c r="J28" s="102"/>
      <c r="K28" s="235">
        <f>0.145*1</f>
        <v>0.14499999999999999</v>
      </c>
      <c r="L28" s="130">
        <f t="shared" ref="L28:L33" si="5">((100/10)^2)*0.5</f>
        <v>50</v>
      </c>
      <c r="M28" s="131">
        <f>(0.145*1)^2</f>
        <v>2.1024999999999999E-2</v>
      </c>
      <c r="N28" s="132">
        <f t="shared" ref="N28:N33" si="6">(K28)^4/L28</f>
        <v>8.8410124999999981E-6</v>
      </c>
    </row>
    <row r="29" spans="1:22" s="83" customFormat="1" ht="15.9" customHeight="1">
      <c r="A29" s="103" t="s">
        <v>130</v>
      </c>
      <c r="B29" s="104"/>
      <c r="C29" s="105"/>
      <c r="D29" s="106" t="s">
        <v>147</v>
      </c>
      <c r="E29" s="102" t="s">
        <v>131</v>
      </c>
      <c r="F29" s="238">
        <f>0.0943/2</f>
        <v>4.7149999999999997E-2</v>
      </c>
      <c r="G29" s="238">
        <v>1.7321</v>
      </c>
      <c r="H29" s="239">
        <f>0.04716/1.73205</f>
        <v>2.7227851389971421E-2</v>
      </c>
      <c r="I29" s="130">
        <v>1</v>
      </c>
      <c r="J29" s="102"/>
      <c r="K29" s="235">
        <f>0.0272*1</f>
        <v>2.7199999999999998E-2</v>
      </c>
      <c r="L29" s="130">
        <f t="shared" si="5"/>
        <v>50</v>
      </c>
      <c r="M29" s="131">
        <f>(0.0272*1)^2</f>
        <v>7.3983999999999996E-4</v>
      </c>
      <c r="N29" s="132">
        <f t="shared" si="6"/>
        <v>1.0947264511999999E-8</v>
      </c>
    </row>
    <row r="30" spans="1:22" s="83" customFormat="1" ht="15.9" customHeight="1">
      <c r="A30" s="1195" t="s">
        <v>132</v>
      </c>
      <c r="B30" s="1196"/>
      <c r="C30" s="1197"/>
      <c r="D30" s="106" t="s">
        <v>147</v>
      </c>
      <c r="E30" s="102" t="s">
        <v>131</v>
      </c>
      <c r="F30" s="238">
        <f>0.5/2</f>
        <v>0.25</v>
      </c>
      <c r="G30" s="238">
        <v>1.7321</v>
      </c>
      <c r="H30" s="239">
        <f>0.25/1.7321</f>
        <v>0.14433346804457017</v>
      </c>
      <c r="I30" s="102">
        <v>1</v>
      </c>
      <c r="J30" s="133"/>
      <c r="K30" s="235">
        <f>0.1443*1</f>
        <v>0.14430000000000001</v>
      </c>
      <c r="L30" s="130">
        <f t="shared" si="5"/>
        <v>50</v>
      </c>
      <c r="M30" s="131">
        <f>(0.1443*1)^2</f>
        <v>2.0822490000000003E-2</v>
      </c>
      <c r="N30" s="132">
        <f t="shared" si="6"/>
        <v>8.6715217960020013E-6</v>
      </c>
    </row>
    <row r="31" spans="1:22" s="83" customFormat="1" ht="15.9" customHeight="1">
      <c r="A31" s="1195" t="s">
        <v>133</v>
      </c>
      <c r="B31" s="1196"/>
      <c r="C31" s="1197"/>
      <c r="D31" s="106" t="s">
        <v>147</v>
      </c>
      <c r="E31" s="102" t="s">
        <v>129</v>
      </c>
      <c r="F31" s="240">
        <f>(0.2006)/2</f>
        <v>0.1003</v>
      </c>
      <c r="G31" s="238">
        <v>1.7321</v>
      </c>
      <c r="H31" s="239">
        <f>0.1003/1.7321</f>
        <v>5.7906587379481553E-2</v>
      </c>
      <c r="I31" s="102">
        <v>1</v>
      </c>
      <c r="J31" s="133"/>
      <c r="K31" s="235">
        <f>0.0579*1</f>
        <v>5.79E-2</v>
      </c>
      <c r="L31" s="130">
        <f t="shared" si="5"/>
        <v>50</v>
      </c>
      <c r="M31" s="131">
        <f>(0.0579*1)^2</f>
        <v>3.3524100000000001E-3</v>
      </c>
      <c r="N31" s="132">
        <f t="shared" si="6"/>
        <v>2.2477305616200002E-7</v>
      </c>
    </row>
    <row r="32" spans="1:22" s="83" customFormat="1" ht="15.9" customHeight="1">
      <c r="A32" s="107" t="s">
        <v>134</v>
      </c>
      <c r="B32" s="108"/>
      <c r="C32" s="109"/>
      <c r="D32" s="106" t="s">
        <v>147</v>
      </c>
      <c r="E32" s="102" t="s">
        <v>129</v>
      </c>
      <c r="F32" s="241">
        <f>0.15/2</f>
        <v>7.4999999999999997E-2</v>
      </c>
      <c r="G32" s="238">
        <v>1.7321</v>
      </c>
      <c r="H32" s="239">
        <f>0.075/1.7321</f>
        <v>4.3300040413371051E-2</v>
      </c>
      <c r="I32" s="102">
        <v>1</v>
      </c>
      <c r="J32" s="133"/>
      <c r="K32" s="235">
        <f>0.0433*1</f>
        <v>4.3299999999999998E-2</v>
      </c>
      <c r="L32" s="130">
        <f t="shared" si="5"/>
        <v>50</v>
      </c>
      <c r="M32" s="131">
        <f>(0.0433*1)^2</f>
        <v>1.8748899999999999E-3</v>
      </c>
      <c r="N32" s="132">
        <f t="shared" si="6"/>
        <v>7.0304250241999999E-8</v>
      </c>
    </row>
    <row r="33" spans="1:22" s="83" customFormat="1" ht="15.9" customHeight="1">
      <c r="A33" s="1207" t="s">
        <v>135</v>
      </c>
      <c r="B33" s="1208"/>
      <c r="C33" s="1209"/>
      <c r="D33" s="110" t="s">
        <v>147</v>
      </c>
      <c r="E33" s="111" t="s">
        <v>131</v>
      </c>
      <c r="F33" s="242">
        <f>0/2</f>
        <v>0</v>
      </c>
      <c r="G33" s="238">
        <v>1.7321</v>
      </c>
      <c r="H33" s="239">
        <f>0/1.7321</f>
        <v>0</v>
      </c>
      <c r="I33" s="111">
        <v>1</v>
      </c>
      <c r="J33" s="134"/>
      <c r="K33" s="235">
        <f>0*1</f>
        <v>0</v>
      </c>
      <c r="L33" s="130">
        <f t="shared" si="5"/>
        <v>50</v>
      </c>
      <c r="M33" s="131">
        <f>(0*1)^2</f>
        <v>0</v>
      </c>
      <c r="N33" s="132">
        <f t="shared" si="6"/>
        <v>0</v>
      </c>
      <c r="V33" s="151"/>
    </row>
    <row r="34" spans="1:22" s="83" customFormat="1" ht="15.9" customHeight="1">
      <c r="A34" s="100"/>
      <c r="B34" s="100"/>
      <c r="C34" s="100"/>
      <c r="D34" s="100"/>
      <c r="E34" s="99"/>
      <c r="F34" s="100"/>
      <c r="G34" s="100"/>
      <c r="H34" s="1210" t="s">
        <v>136</v>
      </c>
      <c r="I34" s="1211"/>
      <c r="J34" s="1211"/>
      <c r="K34" s="1211"/>
      <c r="L34" s="1211"/>
      <c r="M34" s="135">
        <f>SQRT(SUM(M28:M33))</f>
        <v>0.21866556656227334</v>
      </c>
      <c r="N34" s="136">
        <f>SUM(N28:N33)</f>
        <v>1.7818558866917999E-5</v>
      </c>
    </row>
    <row r="35" spans="1:22" s="83" customFormat="1" ht="15.9" customHeight="1">
      <c r="A35" s="100"/>
      <c r="B35" s="100"/>
      <c r="C35" s="100"/>
      <c r="D35" s="100"/>
      <c r="E35" s="100"/>
      <c r="F35" s="100"/>
      <c r="G35" s="100"/>
      <c r="H35" s="1195" t="s">
        <v>137</v>
      </c>
      <c r="I35" s="1196"/>
      <c r="J35" s="1196"/>
      <c r="K35" s="1196"/>
      <c r="L35" s="1196"/>
      <c r="M35" s="137"/>
      <c r="N35" s="138">
        <f>M34^4/N34</f>
        <v>128.30660768428018</v>
      </c>
    </row>
    <row r="36" spans="1:22" s="83" customFormat="1" ht="15.9" customHeight="1">
      <c r="A36" s="100"/>
      <c r="B36" s="100"/>
      <c r="C36" s="100"/>
      <c r="D36" s="100"/>
      <c r="E36" s="100"/>
      <c r="F36" s="100"/>
      <c r="G36" s="100"/>
      <c r="H36" s="1195" t="s">
        <v>138</v>
      </c>
      <c r="I36" s="1196"/>
      <c r="J36" s="1196"/>
      <c r="K36" s="1196"/>
      <c r="L36" s="1196"/>
      <c r="M36" s="139"/>
      <c r="N36" s="140">
        <f>1.95996+(2.37356/N35)+(2.818745/N35^2)+(2.546662/N35^3)+(1.761829/N35^4)+(0.245458/N35^5)+(1.000764/N35^6)</f>
        <v>1.9786315586515477</v>
      </c>
    </row>
    <row r="37" spans="1:22" s="83" customFormat="1" ht="15.9" customHeight="1">
      <c r="A37" s="100"/>
      <c r="B37" s="100"/>
      <c r="C37" s="100"/>
      <c r="D37" s="100"/>
      <c r="E37" s="100"/>
      <c r="F37" s="100"/>
      <c r="G37" s="100"/>
      <c r="H37" s="1212" t="s">
        <v>139</v>
      </c>
      <c r="I37" s="1213"/>
      <c r="J37" s="1213"/>
      <c r="K37" s="1213"/>
      <c r="L37" s="1213"/>
      <c r="M37" s="141"/>
      <c r="N37" s="142">
        <f>M34*N36</f>
        <v>0.43265859079053465</v>
      </c>
    </row>
    <row r="38" spans="1:22" s="83" customFormat="1" ht="15.9" customHeight="1">
      <c r="A38" s="112"/>
      <c r="B38" s="112"/>
      <c r="C38" s="112"/>
      <c r="D38" s="112"/>
      <c r="E38" s="113"/>
      <c r="F38" s="112"/>
      <c r="G38" s="112"/>
      <c r="H38" s="112"/>
      <c r="I38" s="112"/>
      <c r="J38" s="112"/>
      <c r="K38" s="112"/>
      <c r="L38" s="112"/>
      <c r="M38" s="112"/>
      <c r="N38" s="112"/>
    </row>
    <row r="39" spans="1:22" s="83" customFormat="1" ht="15.9" customHeight="1"/>
    <row r="40" spans="1:22" s="83" customFormat="1" ht="15.9" customHeight="1"/>
    <row r="41" spans="1:22" s="83" customFormat="1" ht="15.9" customHeight="1"/>
    <row r="42" spans="1:22" s="83" customFormat="1" ht="15.9" customHeight="1">
      <c r="A42" s="1215"/>
      <c r="B42" s="1215"/>
      <c r="M42" s="143"/>
      <c r="N42" s="143"/>
      <c r="O42" s="143"/>
    </row>
    <row r="43" spans="1:22" s="83" customFormat="1" ht="15.9" customHeight="1">
      <c r="A43" s="1215"/>
      <c r="B43" s="1215"/>
      <c r="C43" s="114"/>
      <c r="D43" s="114"/>
      <c r="E43" s="114"/>
      <c r="F43" s="114"/>
      <c r="G43" s="114"/>
      <c r="H43" s="114"/>
      <c r="I43" s="114"/>
      <c r="J43" s="114"/>
      <c r="K43" s="114"/>
      <c r="M43" s="144"/>
      <c r="N43" s="144"/>
      <c r="O43" s="144"/>
    </row>
    <row r="44" spans="1:22" s="83" customFormat="1" ht="15.9" customHeight="1">
      <c r="A44" s="1214"/>
      <c r="B44" s="1214"/>
      <c r="C44" s="115"/>
      <c r="D44" s="115"/>
      <c r="E44" s="115"/>
      <c r="F44" s="115"/>
      <c r="G44" s="115"/>
      <c r="H44" s="115"/>
      <c r="I44" s="115"/>
      <c r="J44" s="145"/>
      <c r="K44" s="115"/>
      <c r="M44" s="146"/>
      <c r="N44" s="144"/>
      <c r="O44" s="146"/>
    </row>
    <row r="45" spans="1:22" s="83" customFormat="1" ht="15.9" customHeight="1">
      <c r="A45" s="1214"/>
      <c r="B45" s="1214"/>
      <c r="C45" s="115"/>
      <c r="D45" s="115"/>
      <c r="E45" s="115"/>
      <c r="F45" s="115"/>
      <c r="G45" s="115"/>
      <c r="H45" s="115"/>
      <c r="I45" s="116"/>
      <c r="J45" s="147"/>
      <c r="K45" s="116"/>
      <c r="L45" s="85"/>
      <c r="M45" s="148"/>
      <c r="N45" s="148"/>
      <c r="O45" s="148"/>
    </row>
    <row r="46" spans="1:22" s="83" customFormat="1" ht="15.9" customHeight="1">
      <c r="A46" s="1214"/>
      <c r="B46" s="1214"/>
      <c r="C46" s="115"/>
      <c r="D46" s="115"/>
      <c r="E46" s="115"/>
      <c r="F46" s="115"/>
      <c r="G46" s="115"/>
      <c r="H46" s="115"/>
      <c r="I46" s="116"/>
      <c r="J46" s="147"/>
      <c r="K46" s="116"/>
      <c r="L46" s="85"/>
      <c r="M46" s="85"/>
      <c r="N46" s="85"/>
      <c r="O46" s="85"/>
    </row>
    <row r="47" spans="1:22" s="83" customFormat="1" ht="15.9" customHeight="1">
      <c r="A47" s="1214"/>
      <c r="B47" s="1214"/>
      <c r="C47" s="115"/>
      <c r="D47" s="115"/>
      <c r="E47" s="115"/>
      <c r="F47" s="115"/>
      <c r="G47" s="115"/>
      <c r="H47" s="115"/>
      <c r="I47" s="116"/>
      <c r="J47" s="147"/>
      <c r="K47" s="116"/>
      <c r="L47" s="85"/>
      <c r="M47" s="85"/>
      <c r="N47" s="85"/>
      <c r="O47" s="85"/>
    </row>
    <row r="48" spans="1:22" s="83" customFormat="1" ht="15.9" customHeight="1">
      <c r="A48" s="1214"/>
      <c r="B48" s="1214"/>
      <c r="C48" s="116"/>
      <c r="D48" s="116"/>
      <c r="E48" s="116"/>
      <c r="F48" s="116"/>
      <c r="G48" s="116"/>
      <c r="H48" s="116"/>
      <c r="I48" s="116"/>
      <c r="J48" s="147"/>
      <c r="K48" s="116"/>
      <c r="L48" s="85"/>
      <c r="M48" s="149"/>
      <c r="N48" s="149"/>
      <c r="O48" s="149"/>
      <c r="P48" s="149"/>
      <c r="Q48" s="149"/>
    </row>
    <row r="49" spans="1:18" s="83" customFormat="1" ht="15.9" customHeight="1">
      <c r="A49" s="1214"/>
      <c r="B49" s="1214"/>
      <c r="C49" s="117"/>
      <c r="D49" s="117"/>
      <c r="E49" s="116"/>
      <c r="F49" s="116"/>
      <c r="G49" s="116"/>
      <c r="H49" s="116"/>
      <c r="I49" s="116"/>
      <c r="J49" s="147"/>
      <c r="K49" s="116"/>
      <c r="L49" s="85"/>
      <c r="M49" s="149"/>
      <c r="N49" s="149"/>
      <c r="O49" s="149"/>
      <c r="P49" s="149"/>
      <c r="Q49" s="149"/>
    </row>
    <row r="50" spans="1:18" s="85" customFormat="1" ht="15.9" customHeight="1">
      <c r="A50" s="1216"/>
      <c r="B50" s="1216"/>
      <c r="C50" s="117"/>
      <c r="D50" s="117"/>
      <c r="E50" s="116"/>
      <c r="F50" s="116"/>
      <c r="G50" s="116"/>
      <c r="H50" s="116"/>
      <c r="I50" s="116"/>
      <c r="J50" s="147"/>
      <c r="K50" s="116"/>
      <c r="M50" s="149"/>
      <c r="N50" s="149"/>
      <c r="O50" s="149"/>
      <c r="P50" s="149"/>
      <c r="Q50" s="149"/>
    </row>
    <row r="51" spans="1:18" s="85" customFormat="1" ht="15.9" customHeight="1">
      <c r="A51" s="1216"/>
      <c r="B51" s="1216"/>
      <c r="C51" s="117"/>
      <c r="D51" s="117"/>
      <c r="E51" s="116"/>
      <c r="F51" s="116"/>
      <c r="G51" s="116"/>
      <c r="H51" s="116"/>
      <c r="I51" s="116"/>
      <c r="J51" s="147"/>
      <c r="K51" s="116"/>
      <c r="M51" s="149"/>
      <c r="N51" s="149"/>
      <c r="O51" s="149"/>
      <c r="P51" s="149"/>
      <c r="Q51" s="149"/>
    </row>
    <row r="52" spans="1:18" s="85" customFormat="1" ht="15.9" customHeight="1">
      <c r="A52" s="1216"/>
      <c r="B52" s="1216"/>
      <c r="C52" s="117"/>
      <c r="D52" s="117"/>
      <c r="E52" s="116"/>
      <c r="F52" s="116"/>
      <c r="G52" s="116"/>
      <c r="H52" s="116"/>
      <c r="I52" s="116"/>
      <c r="J52" s="147"/>
      <c r="K52" s="116"/>
      <c r="M52" s="149"/>
      <c r="N52" s="149"/>
      <c r="O52" s="149"/>
      <c r="P52" s="149"/>
      <c r="Q52" s="149"/>
    </row>
    <row r="53" spans="1:18" s="83" customFormat="1" ht="15.9" customHeight="1">
      <c r="A53" s="1214"/>
      <c r="B53" s="1214"/>
      <c r="C53" s="117"/>
      <c r="D53" s="117"/>
      <c r="E53" s="116"/>
      <c r="F53" s="116"/>
      <c r="G53" s="116"/>
      <c r="H53" s="116"/>
      <c r="I53" s="116"/>
      <c r="J53" s="147"/>
      <c r="K53" s="116"/>
      <c r="L53" s="85"/>
      <c r="M53" s="149"/>
      <c r="N53" s="149"/>
      <c r="O53" s="149"/>
      <c r="P53" s="149"/>
      <c r="Q53" s="149"/>
    </row>
    <row r="54" spans="1:18" s="83" customFormat="1" ht="15.9" customHeight="1">
      <c r="A54" s="1215"/>
      <c r="B54" s="1215"/>
      <c r="C54" s="114"/>
      <c r="D54" s="114"/>
      <c r="E54" s="114"/>
      <c r="F54" s="114"/>
      <c r="G54" s="114"/>
      <c r="H54" s="114"/>
      <c r="I54" s="148"/>
      <c r="J54" s="85"/>
      <c r="K54" s="148"/>
      <c r="L54" s="85"/>
      <c r="M54" s="149"/>
      <c r="N54" s="149"/>
      <c r="O54" s="149"/>
      <c r="P54" s="149"/>
      <c r="Q54" s="149"/>
    </row>
    <row r="55" spans="1:18" s="83" customFormat="1" ht="15.9" customHeight="1">
      <c r="I55" s="85"/>
      <c r="J55" s="85"/>
      <c r="K55" s="85"/>
      <c r="L55" s="85"/>
      <c r="M55" s="149"/>
      <c r="N55" s="149"/>
      <c r="O55" s="149"/>
      <c r="P55" s="149"/>
      <c r="Q55" s="149"/>
    </row>
    <row r="56" spans="1:18" s="83" customFormat="1" ht="15.9" customHeight="1">
      <c r="I56" s="85"/>
      <c r="J56" s="85"/>
      <c r="K56" s="85"/>
      <c r="L56" s="85"/>
      <c r="M56" s="149"/>
      <c r="N56" s="149"/>
      <c r="O56" s="149"/>
      <c r="P56" s="149"/>
      <c r="Q56" s="149"/>
    </row>
    <row r="57" spans="1:18" s="83" customFormat="1" ht="15.9" customHeight="1">
      <c r="I57" s="85"/>
      <c r="J57" s="85"/>
      <c r="K57" s="85"/>
      <c r="L57" s="85"/>
      <c r="M57" s="149"/>
      <c r="N57" s="149"/>
      <c r="O57" s="149"/>
      <c r="P57" s="149"/>
      <c r="Q57" s="149"/>
    </row>
    <row r="58" spans="1:18" s="83" customFormat="1" ht="15.9" customHeight="1">
      <c r="I58" s="85"/>
      <c r="J58" s="85"/>
      <c r="K58" s="85"/>
      <c r="L58" s="85"/>
      <c r="M58" s="149"/>
      <c r="N58" s="149"/>
      <c r="O58" s="149"/>
      <c r="P58" s="149"/>
      <c r="Q58" s="149"/>
    </row>
    <row r="59" spans="1:18" s="83" customFormat="1" ht="15.9" customHeight="1">
      <c r="I59" s="85"/>
      <c r="J59" s="85"/>
      <c r="K59" s="85"/>
      <c r="L59" s="85"/>
      <c r="M59" s="149"/>
      <c r="N59" s="149"/>
      <c r="O59" s="149"/>
      <c r="P59" s="149"/>
      <c r="Q59" s="149"/>
    </row>
    <row r="60" spans="1:18" ht="15.9" customHeight="1">
      <c r="A60" s="86"/>
      <c r="B60" s="86"/>
      <c r="C60" s="86"/>
      <c r="D60" s="86"/>
      <c r="E60" s="86"/>
      <c r="F60" s="86"/>
      <c r="G60" s="86"/>
      <c r="H60" s="86"/>
      <c r="I60" s="150"/>
      <c r="J60" s="150"/>
      <c r="K60" s="150"/>
      <c r="L60" s="150"/>
      <c r="M60" s="149"/>
      <c r="N60" s="149"/>
      <c r="O60" s="149"/>
      <c r="P60" s="149"/>
      <c r="Q60" s="149"/>
      <c r="R60" s="86"/>
    </row>
    <row r="61" spans="1:18" ht="15.9" customHeight="1">
      <c r="A61" s="86"/>
      <c r="B61" s="86"/>
      <c r="C61" s="86"/>
      <c r="D61" s="86"/>
      <c r="E61" s="86"/>
      <c r="F61" s="86"/>
      <c r="G61" s="86"/>
      <c r="H61" s="86"/>
      <c r="I61" s="150"/>
      <c r="J61" s="150"/>
      <c r="K61" s="150"/>
      <c r="L61" s="150"/>
      <c r="M61" s="149"/>
      <c r="N61" s="149"/>
      <c r="O61" s="149"/>
      <c r="P61" s="149"/>
      <c r="Q61" s="149"/>
      <c r="R61" s="86"/>
    </row>
    <row r="62" spans="1:18" ht="15.9" customHeight="1">
      <c r="A62" s="86"/>
      <c r="B62" s="86"/>
      <c r="C62" s="86"/>
      <c r="D62" s="86"/>
      <c r="E62" s="86"/>
      <c r="F62" s="86"/>
      <c r="G62" s="86"/>
      <c r="H62" s="86"/>
      <c r="I62" s="150"/>
      <c r="J62" s="150"/>
      <c r="K62" s="150"/>
      <c r="L62" s="150"/>
      <c r="M62" s="149"/>
      <c r="N62" s="149"/>
      <c r="O62" s="149"/>
      <c r="P62" s="149"/>
      <c r="Q62" s="149"/>
      <c r="R62" s="86"/>
    </row>
    <row r="63" spans="1:18" ht="15.9" customHeight="1">
      <c r="A63" s="86"/>
      <c r="B63" s="86"/>
      <c r="C63" s="86"/>
      <c r="D63" s="86"/>
      <c r="E63" s="86"/>
      <c r="F63" s="86"/>
      <c r="G63" s="86"/>
      <c r="H63" s="86"/>
      <c r="I63" s="150"/>
      <c r="J63" s="150"/>
      <c r="K63" s="150"/>
      <c r="L63" s="150"/>
      <c r="M63" s="149"/>
      <c r="N63" s="149"/>
      <c r="O63" s="149"/>
      <c r="P63" s="149"/>
      <c r="Q63" s="149"/>
      <c r="R63" s="86"/>
    </row>
    <row r="64" spans="1:18" ht="15.9" customHeight="1">
      <c r="A64" s="86"/>
      <c r="B64" s="86"/>
      <c r="C64" s="86"/>
      <c r="D64" s="86"/>
      <c r="E64" s="86"/>
      <c r="F64" s="86"/>
      <c r="G64" s="86"/>
      <c r="H64" s="86"/>
      <c r="I64" s="150"/>
      <c r="J64" s="150"/>
      <c r="K64" s="150"/>
      <c r="L64" s="150"/>
      <c r="M64" s="149"/>
      <c r="N64" s="149"/>
      <c r="O64" s="149"/>
      <c r="P64" s="149"/>
      <c r="Q64" s="149"/>
      <c r="R64" s="86"/>
    </row>
    <row r="65" spans="1:18" ht="15.9" customHeight="1">
      <c r="A65" s="86"/>
      <c r="B65" s="86"/>
      <c r="C65" s="86"/>
      <c r="D65" s="86"/>
      <c r="E65" s="86"/>
      <c r="F65" s="86"/>
      <c r="G65" s="86"/>
      <c r="H65" s="86"/>
      <c r="I65" s="150"/>
      <c r="J65" s="150"/>
      <c r="K65" s="150"/>
      <c r="L65" s="150"/>
      <c r="M65" s="149"/>
      <c r="N65" s="149"/>
      <c r="O65" s="149"/>
      <c r="P65" s="149"/>
      <c r="Q65" s="149"/>
      <c r="R65" s="86"/>
    </row>
    <row r="66" spans="1:18" ht="15.9" customHeight="1">
      <c r="A66" s="86"/>
      <c r="B66" s="86"/>
      <c r="C66" s="86"/>
      <c r="D66" s="86"/>
      <c r="E66" s="86"/>
      <c r="F66" s="86"/>
      <c r="G66" s="86"/>
      <c r="H66" s="86"/>
      <c r="I66" s="150"/>
      <c r="J66" s="150"/>
      <c r="K66" s="150"/>
      <c r="L66" s="150"/>
      <c r="M66" s="148"/>
      <c r="N66" s="148"/>
      <c r="O66" s="148"/>
      <c r="P66" s="86"/>
      <c r="Q66" s="86"/>
      <c r="R66" s="86"/>
    </row>
    <row r="67" spans="1:18" ht="15.9" customHeight="1">
      <c r="A67" s="86"/>
      <c r="B67" s="86"/>
      <c r="C67" s="86"/>
      <c r="D67" s="86"/>
      <c r="E67" s="86"/>
      <c r="F67" s="86"/>
      <c r="G67" s="86"/>
      <c r="H67" s="86"/>
      <c r="I67" s="150"/>
      <c r="J67" s="150"/>
      <c r="K67" s="150"/>
      <c r="L67" s="150"/>
      <c r="M67" s="118"/>
      <c r="N67" s="148"/>
      <c r="O67" s="118"/>
      <c r="P67" s="86"/>
      <c r="Q67" s="86"/>
      <c r="R67" s="86"/>
    </row>
    <row r="68" spans="1:18" ht="15.9" customHeight="1">
      <c r="A68" s="86"/>
      <c r="B68" s="86"/>
      <c r="C68" s="86"/>
      <c r="D68" s="86"/>
      <c r="E68" s="86"/>
      <c r="F68" s="86"/>
      <c r="G68" s="86"/>
      <c r="H68" s="86"/>
      <c r="I68" s="150"/>
      <c r="J68" s="150"/>
      <c r="K68" s="150"/>
      <c r="L68" s="150"/>
      <c r="M68" s="148"/>
      <c r="N68" s="148"/>
      <c r="O68" s="148"/>
      <c r="P68" s="86"/>
      <c r="Q68" s="86"/>
      <c r="R68" s="86"/>
    </row>
    <row r="69" spans="1:18" ht="15.9" customHeight="1">
      <c r="A69" s="86"/>
      <c r="B69" s="86"/>
      <c r="C69" s="86"/>
      <c r="D69" s="86"/>
      <c r="E69" s="86"/>
      <c r="F69" s="86"/>
      <c r="G69" s="86"/>
      <c r="H69" s="86"/>
      <c r="I69" s="150"/>
      <c r="J69" s="150"/>
      <c r="K69" s="150"/>
      <c r="L69" s="150"/>
      <c r="M69" s="150"/>
      <c r="N69" s="150"/>
      <c r="O69" s="150"/>
      <c r="P69" s="86"/>
      <c r="Q69" s="86"/>
      <c r="R69" s="86"/>
    </row>
    <row r="70" spans="1:18">
      <c r="A70" s="86"/>
      <c r="B70" s="86"/>
      <c r="C70" s="86"/>
      <c r="D70" s="86"/>
      <c r="E70" s="86"/>
      <c r="F70" s="86"/>
      <c r="G70" s="86"/>
      <c r="H70" s="86"/>
      <c r="I70" s="150"/>
      <c r="J70" s="150"/>
      <c r="K70" s="150"/>
      <c r="L70" s="150"/>
      <c r="M70" s="1217"/>
      <c r="N70" s="1217"/>
      <c r="O70" s="1217"/>
      <c r="P70" s="86"/>
      <c r="Q70" s="86"/>
      <c r="R70" s="86"/>
    </row>
    <row r="71" spans="1:18">
      <c r="A71" s="86"/>
      <c r="B71" s="86"/>
      <c r="C71" s="86"/>
      <c r="D71" s="86"/>
      <c r="E71" s="86"/>
      <c r="F71" s="86"/>
      <c r="G71" s="86"/>
      <c r="H71" s="86"/>
      <c r="I71" s="150"/>
      <c r="J71" s="150"/>
      <c r="K71" s="150"/>
      <c r="L71" s="150"/>
      <c r="M71" s="148"/>
      <c r="N71" s="148"/>
      <c r="O71" s="148"/>
      <c r="P71" s="86"/>
      <c r="Q71" s="86"/>
      <c r="R71" s="86"/>
    </row>
    <row r="72" spans="1:18">
      <c r="A72" s="86"/>
      <c r="B72" s="86"/>
      <c r="C72" s="86"/>
      <c r="D72" s="86"/>
      <c r="E72" s="86"/>
      <c r="F72" s="86"/>
      <c r="G72" s="86"/>
      <c r="H72" s="86"/>
      <c r="I72" s="150"/>
      <c r="J72" s="150"/>
      <c r="K72" s="150"/>
      <c r="L72" s="150"/>
      <c r="M72" s="118"/>
      <c r="N72" s="148"/>
      <c r="O72" s="118"/>
      <c r="P72" s="86"/>
      <c r="Q72" s="86"/>
      <c r="R72" s="86"/>
    </row>
    <row r="73" spans="1:18">
      <c r="A73" s="86"/>
      <c r="B73" s="86"/>
      <c r="C73" s="86"/>
      <c r="D73" s="86"/>
      <c r="E73" s="86"/>
      <c r="F73" s="86"/>
      <c r="G73" s="86"/>
      <c r="H73" s="86"/>
      <c r="I73" s="150"/>
      <c r="J73" s="150"/>
      <c r="K73" s="150"/>
      <c r="L73" s="150"/>
      <c r="M73" s="148"/>
      <c r="N73" s="148"/>
      <c r="O73" s="148"/>
      <c r="P73" s="86"/>
      <c r="Q73" s="86"/>
      <c r="R73" s="86"/>
    </row>
    <row r="74" spans="1:18">
      <c r="A74" s="86"/>
      <c r="B74" s="86"/>
      <c r="C74" s="86"/>
      <c r="D74" s="86"/>
      <c r="E74" s="86"/>
      <c r="F74" s="86"/>
      <c r="G74" s="86"/>
      <c r="H74" s="86"/>
      <c r="I74" s="150"/>
      <c r="J74" s="150"/>
      <c r="K74" s="150"/>
      <c r="L74" s="150"/>
      <c r="M74" s="150"/>
      <c r="N74" s="150"/>
      <c r="O74" s="150"/>
      <c r="P74" s="86"/>
      <c r="Q74" s="86"/>
      <c r="R74" s="86"/>
    </row>
    <row r="75" spans="1:18">
      <c r="A75" s="86"/>
      <c r="B75" s="86"/>
      <c r="C75" s="86"/>
      <c r="D75" s="86"/>
      <c r="E75" s="86"/>
      <c r="F75" s="86"/>
      <c r="G75" s="86"/>
      <c r="H75" s="86"/>
      <c r="I75" s="150"/>
      <c r="J75" s="150"/>
      <c r="K75" s="150"/>
      <c r="L75" s="150"/>
      <c r="M75" s="1217"/>
      <c r="N75" s="1217"/>
      <c r="O75" s="1217"/>
      <c r="P75" s="86"/>
      <c r="Q75" s="86"/>
      <c r="R75" s="86"/>
    </row>
    <row r="76" spans="1:18">
      <c r="A76" s="86"/>
      <c r="B76" s="86"/>
      <c r="C76" s="86"/>
      <c r="D76" s="86"/>
      <c r="E76" s="86"/>
      <c r="F76" s="86"/>
      <c r="G76" s="86"/>
      <c r="H76" s="86"/>
      <c r="I76" s="150"/>
      <c r="J76" s="150"/>
      <c r="K76" s="150"/>
      <c r="L76" s="150"/>
      <c r="M76" s="148"/>
      <c r="N76" s="148"/>
      <c r="O76" s="148"/>
      <c r="P76" s="86"/>
      <c r="Q76" s="86"/>
      <c r="R76" s="86"/>
    </row>
    <row r="77" spans="1:18">
      <c r="A77" s="86"/>
      <c r="B77" s="86"/>
      <c r="C77" s="86"/>
      <c r="D77" s="86"/>
      <c r="E77" s="86"/>
      <c r="F77" s="86"/>
      <c r="G77" s="86"/>
      <c r="H77" s="86"/>
      <c r="I77" s="150"/>
      <c r="J77" s="150"/>
      <c r="K77" s="150"/>
      <c r="L77" s="150"/>
      <c r="M77" s="118"/>
      <c r="N77" s="148"/>
      <c r="O77" s="118"/>
      <c r="P77" s="86"/>
      <c r="Q77" s="86"/>
      <c r="R77" s="86"/>
    </row>
    <row r="78" spans="1:18">
      <c r="A78" s="86"/>
      <c r="B78" s="86"/>
      <c r="C78" s="86"/>
      <c r="D78" s="86"/>
      <c r="E78" s="86"/>
      <c r="F78" s="86"/>
      <c r="G78" s="86"/>
      <c r="H78" s="86"/>
      <c r="I78" s="150"/>
      <c r="J78" s="150"/>
      <c r="K78" s="150"/>
      <c r="L78" s="150"/>
      <c r="M78" s="148"/>
      <c r="N78" s="148"/>
      <c r="O78" s="148"/>
      <c r="P78" s="86"/>
      <c r="Q78" s="86"/>
      <c r="R78" s="86"/>
    </row>
    <row r="79" spans="1:18">
      <c r="A79" s="86"/>
      <c r="B79" s="86"/>
      <c r="C79" s="86"/>
      <c r="D79" s="86"/>
      <c r="E79" s="86"/>
      <c r="F79" s="86"/>
      <c r="G79" s="86"/>
      <c r="H79" s="86"/>
      <c r="I79" s="150"/>
      <c r="J79" s="150"/>
      <c r="K79" s="150"/>
      <c r="L79" s="150"/>
      <c r="M79" s="150"/>
      <c r="N79" s="150"/>
      <c r="O79" s="150"/>
      <c r="P79" s="86"/>
      <c r="Q79" s="86"/>
      <c r="R79" s="86"/>
    </row>
    <row r="80" spans="1:18">
      <c r="I80" s="153"/>
      <c r="J80" s="153"/>
      <c r="K80" s="153"/>
      <c r="L80" s="153"/>
      <c r="M80" s="153"/>
      <c r="N80" s="153"/>
      <c r="O80" s="153"/>
    </row>
    <row r="85" spans="1:9" s="86" customFormat="1">
      <c r="A85" s="87"/>
      <c r="B85" s="87"/>
      <c r="C85" s="87"/>
      <c r="D85" s="87"/>
      <c r="E85" s="87"/>
      <c r="F85" s="87"/>
      <c r="G85" s="87"/>
      <c r="H85" s="87"/>
      <c r="I85" s="87"/>
    </row>
    <row r="86" spans="1:9" s="86" customFormat="1">
      <c r="A86" s="87"/>
      <c r="B86" s="87"/>
      <c r="C86" s="87"/>
      <c r="D86" s="87"/>
      <c r="E86" s="87"/>
      <c r="F86" s="87"/>
      <c r="G86" s="87"/>
      <c r="H86" s="87"/>
      <c r="I86" s="87"/>
    </row>
    <row r="88" spans="1:9">
      <c r="A88" s="152"/>
      <c r="H88" s="152"/>
    </row>
  </sheetData>
  <mergeCells count="57">
    <mergeCell ref="A53:B53"/>
    <mergeCell ref="A54:B54"/>
    <mergeCell ref="M70:O70"/>
    <mergeCell ref="M75:O75"/>
    <mergeCell ref="D7:D8"/>
    <mergeCell ref="D26:D27"/>
    <mergeCell ref="E7:E8"/>
    <mergeCell ref="E26:E27"/>
    <mergeCell ref="F7:F8"/>
    <mergeCell ref="F26:F27"/>
    <mergeCell ref="G7:G8"/>
    <mergeCell ref="G26:G27"/>
    <mergeCell ref="H7:H8"/>
    <mergeCell ref="H26:H27"/>
    <mergeCell ref="K7:K8"/>
    <mergeCell ref="K26:K27"/>
    <mergeCell ref="A48:B48"/>
    <mergeCell ref="A49:B49"/>
    <mergeCell ref="A50:B50"/>
    <mergeCell ref="A51:B51"/>
    <mergeCell ref="A52:B52"/>
    <mergeCell ref="H37:L37"/>
    <mergeCell ref="A44:B44"/>
    <mergeCell ref="A45:B45"/>
    <mergeCell ref="A46:B46"/>
    <mergeCell ref="A47:B47"/>
    <mergeCell ref="A42:B43"/>
    <mergeCell ref="A31:C31"/>
    <mergeCell ref="A33:C33"/>
    <mergeCell ref="H34:L34"/>
    <mergeCell ref="H35:L35"/>
    <mergeCell ref="H36:L36"/>
    <mergeCell ref="H19:L19"/>
    <mergeCell ref="H20:L20"/>
    <mergeCell ref="A23:N23"/>
    <mergeCell ref="Q26:T26"/>
    <mergeCell ref="A30:C30"/>
    <mergeCell ref="L26:L27"/>
    <mergeCell ref="M26:M27"/>
    <mergeCell ref="N26:N27"/>
    <mergeCell ref="A26:C27"/>
    <mergeCell ref="I26:J27"/>
    <mergeCell ref="A13:C13"/>
    <mergeCell ref="A15:C15"/>
    <mergeCell ref="A16:C16"/>
    <mergeCell ref="H17:L17"/>
    <mergeCell ref="H18:L18"/>
    <mergeCell ref="A2:N2"/>
    <mergeCell ref="A9:C9"/>
    <mergeCell ref="A10:C10"/>
    <mergeCell ref="A11:C11"/>
    <mergeCell ref="A12:C12"/>
    <mergeCell ref="L7:L8"/>
    <mergeCell ref="M7:M8"/>
    <mergeCell ref="N7:N8"/>
    <mergeCell ref="I7:J8"/>
    <mergeCell ref="A7:C8"/>
  </mergeCells>
  <printOptions horizontalCentered="1"/>
  <pageMargins left="0.51181102362204722" right="0.23622047244094491" top="0.51181102362204722" bottom="0.23622047244094491" header="0.23622047244094491" footer="0.23622047244094491"/>
  <pageSetup paperSize="9" scale="64" orientation="portrait" r:id="rId1"/>
  <headerFooter>
    <oddHeader>&amp;R&amp;"-,Regular"&amp;8SH.UB - 032-18 / Rev  : 0</oddHeader>
    <oddFooter>&amp;C&amp;"-,Regular"&amp;8&amp;K00-022Software Laboratorium Incubator 2017&amp;R&amp;K00-03422/9/2017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IX75"/>
  <sheetViews>
    <sheetView showGridLines="0" view="pageBreakPreview" topLeftCell="C25" zoomScaleNormal="100" zoomScaleSheetLayoutView="100" workbookViewId="0">
      <selection activeCell="J42" sqref="J42:K42"/>
    </sheetView>
  </sheetViews>
  <sheetFormatPr defaultColWidth="9" defaultRowHeight="15.6"/>
  <cols>
    <col min="1" max="1" width="4.6640625" style="38" customWidth="1"/>
    <col min="2" max="2" width="12.33203125" style="38" customWidth="1"/>
    <col min="3" max="3" width="12.6640625" style="39" customWidth="1"/>
    <col min="4" max="4" width="14.6640625" style="39" customWidth="1"/>
    <col min="5" max="6" width="12.109375" style="39" customWidth="1"/>
    <col min="7" max="7" width="11.44140625" style="39" customWidth="1"/>
    <col min="8" max="8" width="8.6640625" style="39" customWidth="1"/>
    <col min="9" max="9" width="7.88671875" style="39" customWidth="1"/>
    <col min="10" max="10" width="8.5546875" style="39" customWidth="1"/>
    <col min="11" max="11" width="7.109375" style="39" customWidth="1"/>
    <col min="12" max="12" width="10" style="39" customWidth="1"/>
    <col min="13" max="13" width="24.44140625" style="39" customWidth="1"/>
    <col min="14" max="14" width="13.88671875" style="39" customWidth="1"/>
    <col min="15" max="15" width="11.88671875" style="39" customWidth="1"/>
    <col min="16" max="16" width="9.33203125" style="39" customWidth="1"/>
    <col min="17" max="17" width="15.44140625" style="39" customWidth="1"/>
    <col min="18" max="18" width="16.109375" style="39" customWidth="1"/>
    <col min="19" max="258" width="9.109375" style="39" customWidth="1"/>
    <col min="259" max="16384" width="9" style="38"/>
  </cols>
  <sheetData>
    <row r="1" spans="1:258" s="1" customFormat="1" ht="19.5" customHeight="1">
      <c r="A1" s="1235" t="s">
        <v>366</v>
      </c>
      <c r="B1" s="1235"/>
      <c r="C1" s="1235"/>
      <c r="D1" s="1235"/>
      <c r="E1" s="1235"/>
      <c r="F1" s="1235"/>
      <c r="G1" s="1235"/>
      <c r="H1" s="1235"/>
      <c r="I1" s="1235"/>
      <c r="J1" s="1235"/>
      <c r="K1" s="1235"/>
      <c r="L1" s="1235"/>
      <c r="M1" s="253"/>
      <c r="N1" s="254"/>
      <c r="O1" s="254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</row>
    <row r="2" spans="1:258" s="1" customFormat="1" ht="18.75" customHeight="1">
      <c r="A2" s="1234" t="str">
        <f>ID!H2&amp;" "&amp;ID!I2</f>
        <v>Nomor Sertifikat : 31 / 1 / IX - 20 / E - 024.34 DL</v>
      </c>
      <c r="B2" s="1234"/>
      <c r="C2" s="1234"/>
      <c r="D2" s="1234"/>
      <c r="E2" s="1234"/>
      <c r="F2" s="1234"/>
      <c r="G2" s="1234"/>
      <c r="H2" s="1234"/>
      <c r="I2" s="1234"/>
      <c r="J2" s="1234"/>
      <c r="K2" s="1234"/>
      <c r="L2" s="1234"/>
      <c r="M2" s="255"/>
      <c r="N2" s="254"/>
      <c r="O2" s="254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  <c r="IU2" s="37"/>
      <c r="IV2" s="37"/>
      <c r="IW2" s="37"/>
      <c r="IX2" s="37"/>
    </row>
    <row r="3" spans="1:258" ht="15.75" customHeight="1">
      <c r="A3" s="256"/>
      <c r="B3" s="256"/>
      <c r="C3" s="257"/>
      <c r="D3" s="257"/>
      <c r="E3" s="257"/>
      <c r="F3" s="257"/>
      <c r="G3" s="257"/>
      <c r="H3" s="257"/>
      <c r="I3" s="257"/>
      <c r="J3" s="257"/>
      <c r="K3" s="257"/>
      <c r="L3" s="258"/>
      <c r="M3" s="258"/>
      <c r="N3" s="258"/>
      <c r="O3" s="258"/>
    </row>
    <row r="4" spans="1:258" s="37" customFormat="1" ht="15.75" customHeight="1">
      <c r="A4" s="259" t="s">
        <v>148</v>
      </c>
      <c r="B4" s="254"/>
      <c r="C4" s="254"/>
      <c r="D4" s="260" t="s">
        <v>1</v>
      </c>
      <c r="E4" s="261" t="str">
        <f>ID!C5</f>
        <v>Binder</v>
      </c>
      <c r="F4" s="254"/>
      <c r="G4" s="254"/>
      <c r="H4" s="254"/>
      <c r="I4" s="254"/>
      <c r="J4" s="260"/>
      <c r="K4" s="254"/>
      <c r="L4" s="254"/>
      <c r="M4" s="254"/>
      <c r="N4" s="254"/>
      <c r="O4" s="254"/>
    </row>
    <row r="5" spans="1:258" s="37" customFormat="1" ht="15.75" customHeight="1">
      <c r="A5" s="259" t="s">
        <v>149</v>
      </c>
      <c r="B5" s="254"/>
      <c r="C5" s="254"/>
      <c r="D5" s="260" t="s">
        <v>1</v>
      </c>
      <c r="E5" s="261" t="str">
        <f>ID!C6</f>
        <v>WTC</v>
      </c>
      <c r="F5" s="254"/>
      <c r="G5" s="254"/>
      <c r="H5" s="254"/>
      <c r="I5" s="254"/>
      <c r="J5" s="260"/>
      <c r="K5" s="254"/>
      <c r="L5" s="254"/>
      <c r="M5" s="254"/>
      <c r="N5" s="254"/>
      <c r="O5" s="254"/>
    </row>
    <row r="6" spans="1:258" s="37" customFormat="1" ht="15.75" customHeight="1">
      <c r="A6" s="259" t="s">
        <v>150</v>
      </c>
      <c r="B6" s="254"/>
      <c r="C6" s="254"/>
      <c r="D6" s="260" t="s">
        <v>1</v>
      </c>
      <c r="E6" s="1069" t="str">
        <f>ID!C7</f>
        <v>900165</v>
      </c>
      <c r="F6" s="254"/>
      <c r="G6" s="254"/>
      <c r="H6" s="254"/>
      <c r="I6" s="254"/>
      <c r="J6" s="260"/>
      <c r="K6" s="254"/>
      <c r="L6" s="254"/>
      <c r="M6" s="254"/>
      <c r="N6" s="254"/>
      <c r="O6" s="254"/>
    </row>
    <row r="7" spans="1:258" s="37" customFormat="1" ht="15.75" customHeight="1">
      <c r="A7" s="259" t="s">
        <v>4</v>
      </c>
      <c r="B7" s="254"/>
      <c r="C7" s="254"/>
      <c r="D7" s="260" t="s">
        <v>1</v>
      </c>
      <c r="E7" s="447" t="str">
        <f>IF(ID!E8="Digital",ID!C8,"-")</f>
        <v>-</v>
      </c>
      <c r="F7" s="259"/>
      <c r="G7" s="259"/>
      <c r="H7" s="259"/>
      <c r="I7" s="260"/>
      <c r="J7" s="254"/>
      <c r="K7" s="254"/>
      <c r="L7" s="254"/>
      <c r="M7" s="254"/>
      <c r="N7" s="254"/>
      <c r="O7" s="254"/>
    </row>
    <row r="8" spans="1:258" s="37" customFormat="1" ht="15.75" customHeight="1">
      <c r="A8" s="259" t="str">
        <f>ID!A9</f>
        <v>Tanggal Penerimaan Alat</v>
      </c>
      <c r="B8" s="254"/>
      <c r="C8" s="254"/>
      <c r="D8" s="260" t="s">
        <v>1</v>
      </c>
      <c r="E8" s="261" t="str">
        <f>ID!C9</f>
        <v>18 Februari 2020</v>
      </c>
      <c r="F8" s="259"/>
      <c r="G8" s="259"/>
      <c r="H8" s="259"/>
      <c r="I8" s="260"/>
      <c r="J8" s="254"/>
      <c r="K8" s="254"/>
      <c r="L8" s="254"/>
      <c r="M8" s="254"/>
      <c r="N8" s="254"/>
      <c r="O8" s="254"/>
    </row>
    <row r="9" spans="1:258" s="37" customFormat="1" ht="15.75" customHeight="1">
      <c r="A9" s="259" t="s">
        <v>483</v>
      </c>
      <c r="B9" s="254"/>
      <c r="C9" s="254"/>
      <c r="D9" s="260" t="s">
        <v>1</v>
      </c>
      <c r="E9" s="261" t="str">
        <f>ID!C10</f>
        <v>18 Februari 2020</v>
      </c>
      <c r="F9" s="254"/>
      <c r="G9" s="259"/>
      <c r="H9" s="259"/>
      <c r="I9" s="260"/>
      <c r="J9" s="254"/>
      <c r="K9" s="254"/>
      <c r="L9" s="254"/>
      <c r="M9" s="254"/>
      <c r="N9" s="254"/>
      <c r="O9" s="254"/>
    </row>
    <row r="10" spans="1:258" s="37" customFormat="1" ht="15.75" customHeight="1">
      <c r="A10" s="259" t="s">
        <v>484</v>
      </c>
      <c r="B10" s="254"/>
      <c r="C10" s="254"/>
      <c r="D10" s="260" t="s">
        <v>1</v>
      </c>
      <c r="E10" s="261" t="str">
        <f>ID!C11</f>
        <v>Laboratorium</v>
      </c>
      <c r="F10" s="254"/>
      <c r="G10" s="259"/>
      <c r="H10" s="259"/>
      <c r="I10" s="260"/>
      <c r="J10" s="254"/>
      <c r="K10" s="254"/>
      <c r="L10" s="254"/>
      <c r="M10" s="254"/>
      <c r="N10" s="254"/>
      <c r="O10" s="254"/>
    </row>
    <row r="11" spans="1:258" s="37" customFormat="1" ht="15.75" customHeight="1">
      <c r="A11" s="259" t="s">
        <v>151</v>
      </c>
      <c r="B11" s="254"/>
      <c r="C11" s="254"/>
      <c r="D11" s="260" t="s">
        <v>1</v>
      </c>
      <c r="E11" s="261" t="str">
        <f>ID!C12</f>
        <v>Laboratorium</v>
      </c>
      <c r="F11" s="254"/>
      <c r="G11" s="259"/>
      <c r="H11" s="259"/>
      <c r="I11" s="260"/>
      <c r="J11" s="254"/>
      <c r="K11" s="254"/>
      <c r="L11" s="254"/>
      <c r="M11" s="254"/>
      <c r="N11" s="254"/>
      <c r="O11" s="254"/>
    </row>
    <row r="12" spans="1:258" s="37" customFormat="1" ht="15.75" customHeight="1">
      <c r="A12" s="259" t="s">
        <v>77</v>
      </c>
      <c r="B12" s="254"/>
      <c r="C12" s="254"/>
      <c r="D12" s="260" t="s">
        <v>1</v>
      </c>
      <c r="E12" s="261" t="str">
        <f>ID!C13</f>
        <v>MK.032-18</v>
      </c>
      <c r="F12" s="254"/>
      <c r="G12" s="259"/>
      <c r="H12" s="259"/>
      <c r="I12" s="260"/>
      <c r="J12" s="254"/>
      <c r="K12" s="254"/>
      <c r="L12" s="254"/>
      <c r="M12" s="254"/>
      <c r="N12" s="254"/>
      <c r="O12" s="254"/>
    </row>
    <row r="13" spans="1:258" s="37" customFormat="1" ht="17.100000000000001" customHeight="1">
      <c r="A13" s="254"/>
      <c r="B13" s="254"/>
      <c r="C13" s="259"/>
      <c r="D13" s="259"/>
      <c r="E13" s="1236"/>
      <c r="F13" s="1236"/>
      <c r="G13" s="1236"/>
      <c r="H13" s="1236"/>
      <c r="I13" s="1236"/>
      <c r="J13" s="1236"/>
      <c r="K13" s="1236"/>
      <c r="L13" s="1236"/>
      <c r="M13" s="254"/>
      <c r="N13" s="254"/>
      <c r="O13" s="254"/>
    </row>
    <row r="14" spans="1:258" s="37" customFormat="1" ht="15.75" customHeight="1">
      <c r="A14" s="262" t="s">
        <v>152</v>
      </c>
      <c r="B14" s="263" t="s">
        <v>153</v>
      </c>
      <c r="C14" s="254"/>
      <c r="D14" s="263"/>
      <c r="E14" s="254"/>
      <c r="F14" s="264"/>
      <c r="G14" s="265"/>
      <c r="H14" s="259"/>
      <c r="I14" s="259"/>
      <c r="J14" s="259"/>
      <c r="K14" s="259"/>
      <c r="L14" s="254"/>
      <c r="M14" s="254"/>
      <c r="N14" s="254"/>
      <c r="O14" s="254"/>
    </row>
    <row r="15" spans="1:258" s="37" customFormat="1" ht="15.75" customHeight="1">
      <c r="A15" s="254"/>
      <c r="B15" s="266" t="s">
        <v>154</v>
      </c>
      <c r="C15" s="254"/>
      <c r="D15" s="267" t="s">
        <v>1</v>
      </c>
      <c r="E15" s="268" t="str">
        <f>'DB Thermohygro'!T381</f>
        <v>( 26.5 ± 0.8 ) °C</v>
      </c>
      <c r="F15" s="269"/>
      <c r="G15" s="270"/>
      <c r="H15" s="271"/>
      <c r="I15" s="272"/>
      <c r="J15" s="272"/>
      <c r="K15" s="272"/>
      <c r="L15" s="272"/>
      <c r="M15" s="254"/>
      <c r="N15" s="254"/>
      <c r="O15" s="254"/>
    </row>
    <row r="16" spans="1:258" s="37" customFormat="1" ht="15.75" customHeight="1">
      <c r="A16" s="254"/>
      <c r="B16" s="266" t="s">
        <v>155</v>
      </c>
      <c r="C16" s="254"/>
      <c r="D16" s="273" t="s">
        <v>1</v>
      </c>
      <c r="E16" s="268" t="str">
        <f>'DB Thermohygro'!T382</f>
        <v>( 58.0 ± 2.6 ) %RH</v>
      </c>
      <c r="F16" s="274"/>
      <c r="G16" s="272"/>
      <c r="H16" s="271"/>
      <c r="I16" s="272"/>
      <c r="J16" s="272"/>
      <c r="K16" s="272"/>
      <c r="L16" s="272"/>
      <c r="M16" s="254"/>
      <c r="N16" s="254"/>
      <c r="O16" s="254"/>
    </row>
    <row r="17" spans="1:18" s="37" customFormat="1" ht="15.75" customHeight="1">
      <c r="A17" s="254"/>
      <c r="B17" s="266" t="s">
        <v>15</v>
      </c>
      <c r="C17" s="254"/>
      <c r="D17" s="273" t="s">
        <v>1</v>
      </c>
      <c r="E17" s="1237" t="str">
        <f>'DB Kelistrikan'!H274</f>
        <v>( 223.3 ± 2.7 ) Volt</v>
      </c>
      <c r="F17" s="1237"/>
      <c r="G17" s="259"/>
      <c r="H17" s="264"/>
      <c r="I17" s="254"/>
      <c r="J17" s="254"/>
      <c r="K17" s="254"/>
      <c r="L17" s="254"/>
      <c r="M17" s="254"/>
      <c r="N17" s="254"/>
      <c r="O17" s="254"/>
    </row>
    <row r="18" spans="1:18" s="37" customFormat="1" ht="9" customHeight="1">
      <c r="A18" s="254"/>
      <c r="B18" s="254"/>
      <c r="C18" s="262"/>
      <c r="D18" s="262"/>
      <c r="E18" s="262"/>
      <c r="F18" s="259"/>
      <c r="G18" s="254"/>
      <c r="H18" s="254"/>
      <c r="I18" s="254"/>
      <c r="J18" s="254"/>
      <c r="K18" s="275"/>
      <c r="L18" s="254"/>
      <c r="M18" s="254"/>
      <c r="N18" s="254"/>
      <c r="O18" s="254"/>
    </row>
    <row r="19" spans="1:18" s="37" customFormat="1" ht="15.75" customHeight="1">
      <c r="A19" s="262" t="s">
        <v>156</v>
      </c>
      <c r="B19" s="262" t="s">
        <v>367</v>
      </c>
      <c r="C19" s="254"/>
      <c r="D19" s="254"/>
      <c r="E19" s="254"/>
      <c r="F19" s="254"/>
      <c r="G19" s="254"/>
      <c r="H19" s="275"/>
      <c r="I19" s="254"/>
      <c r="J19" s="261"/>
      <c r="K19" s="254"/>
      <c r="L19" s="254"/>
      <c r="M19" s="254"/>
      <c r="N19" s="254"/>
      <c r="O19" s="254"/>
    </row>
    <row r="20" spans="1:18" s="37" customFormat="1" ht="15.75" customHeight="1">
      <c r="A20" s="254"/>
      <c r="B20" s="276" t="s">
        <v>158</v>
      </c>
      <c r="C20" s="254"/>
      <c r="D20" s="277" t="s">
        <v>1</v>
      </c>
      <c r="E20" s="278" t="str">
        <f>ID!C22</f>
        <v>Baik</v>
      </c>
      <c r="F20" s="254"/>
      <c r="G20" s="279"/>
      <c r="H20" s="279"/>
      <c r="I20" s="279"/>
      <c r="J20" s="279"/>
      <c r="K20" s="279"/>
      <c r="L20" s="279"/>
      <c r="M20" s="254"/>
      <c r="N20" s="254"/>
      <c r="O20" s="254"/>
    </row>
    <row r="21" spans="1:18" s="37" customFormat="1" ht="15.75" customHeight="1">
      <c r="A21" s="254"/>
      <c r="B21" s="276" t="s">
        <v>159</v>
      </c>
      <c r="C21" s="254"/>
      <c r="D21" s="277" t="s">
        <v>1</v>
      </c>
      <c r="E21" s="278" t="str">
        <f>ID!C23</f>
        <v>Baik</v>
      </c>
      <c r="F21" s="254"/>
      <c r="G21" s="279"/>
      <c r="H21" s="279"/>
      <c r="I21" s="279"/>
      <c r="J21" s="279"/>
      <c r="K21" s="279"/>
      <c r="L21" s="279"/>
      <c r="M21" s="254"/>
      <c r="N21" s="1256" t="s">
        <v>160</v>
      </c>
      <c r="O21" s="1258"/>
    </row>
    <row r="22" spans="1:18" s="37" customFormat="1" ht="9" customHeight="1">
      <c r="A22" s="254"/>
      <c r="B22" s="254"/>
      <c r="C22" s="276"/>
      <c r="D22" s="277"/>
      <c r="E22" s="278"/>
      <c r="F22" s="254"/>
      <c r="G22" s="280"/>
      <c r="H22" s="280"/>
      <c r="I22" s="280"/>
      <c r="J22" s="280"/>
      <c r="K22" s="280"/>
      <c r="L22" s="280"/>
      <c r="M22" s="254"/>
      <c r="N22" s="1257"/>
      <c r="O22" s="1258"/>
    </row>
    <row r="23" spans="1:18" s="37" customFormat="1" ht="15.75" customHeight="1">
      <c r="A23" s="262" t="s">
        <v>161</v>
      </c>
      <c r="B23" s="262" t="s">
        <v>368</v>
      </c>
      <c r="C23" s="254"/>
      <c r="D23" s="254"/>
      <c r="E23" s="254"/>
      <c r="F23" s="259"/>
      <c r="G23" s="254"/>
      <c r="H23" s="254"/>
      <c r="I23" s="254"/>
      <c r="J23" s="254"/>
      <c r="K23" s="275"/>
      <c r="L23" s="254"/>
      <c r="M23" s="254"/>
      <c r="N23" s="281" t="s">
        <v>162</v>
      </c>
      <c r="O23" s="282">
        <f>IF(E20="Tidak Baik",0,5%)</f>
        <v>0.05</v>
      </c>
    </row>
    <row r="24" spans="1:18" s="37" customFormat="1" ht="32.25" customHeight="1">
      <c r="A24" s="254"/>
      <c r="B24" s="283" t="s">
        <v>22</v>
      </c>
      <c r="C24" s="1238" t="s">
        <v>23</v>
      </c>
      <c r="D24" s="1238"/>
      <c r="E24" s="1238"/>
      <c r="F24" s="1238"/>
      <c r="G24" s="1238"/>
      <c r="H24" s="1239" t="s">
        <v>24</v>
      </c>
      <c r="I24" s="1239"/>
      <c r="J24" s="1239" t="s">
        <v>25</v>
      </c>
      <c r="K24" s="1240"/>
      <c r="L24" s="254"/>
      <c r="M24" s="254"/>
      <c r="N24" s="281" t="s">
        <v>163</v>
      </c>
      <c r="O24" s="282">
        <f>IF(E21="Tidak Baik",0,5%)</f>
        <v>0.05</v>
      </c>
    </row>
    <row r="25" spans="1:18" s="37" customFormat="1" ht="15.75" customHeight="1">
      <c r="A25" s="254"/>
      <c r="B25" s="284">
        <v>1</v>
      </c>
      <c r="C25" s="285" t="s">
        <v>354</v>
      </c>
      <c r="D25" s="286"/>
      <c r="E25" s="287"/>
      <c r="F25" s="287"/>
      <c r="G25" s="288"/>
      <c r="H25" s="1228" t="str">
        <f>'DB Kelistrikan'!O269</f>
        <v>OL</v>
      </c>
      <c r="I25" s="1229"/>
      <c r="J25" s="1225" t="s">
        <v>85</v>
      </c>
      <c r="K25" s="1225"/>
      <c r="L25" s="254"/>
      <c r="M25" s="254"/>
      <c r="N25" s="254"/>
      <c r="O25" s="282">
        <f>SUM(O23:O24)</f>
        <v>0.1</v>
      </c>
    </row>
    <row r="26" spans="1:18" s="37" customFormat="1" ht="15.75" customHeight="1">
      <c r="A26" s="254"/>
      <c r="B26" s="284">
        <v>2</v>
      </c>
      <c r="C26" s="289" t="s">
        <v>321</v>
      </c>
      <c r="D26" s="290"/>
      <c r="E26" s="291"/>
      <c r="F26" s="291"/>
      <c r="G26" s="292"/>
      <c r="H26" s="1232">
        <f>'DB Kelistrikan'!O270</f>
        <v>0.12424980198019801</v>
      </c>
      <c r="I26" s="1233"/>
      <c r="J26" s="1225" t="s">
        <v>31</v>
      </c>
      <c r="K26" s="1225"/>
      <c r="L26" s="293"/>
      <c r="M26" s="293"/>
      <c r="N26" s="293"/>
      <c r="O26" s="254"/>
    </row>
    <row r="27" spans="1:18" s="37" customFormat="1" ht="15.75" customHeight="1">
      <c r="A27" s="254"/>
      <c r="B27" s="284">
        <v>3</v>
      </c>
      <c r="C27" s="1220" t="str">
        <f>ID!B30</f>
        <v>Arus bocor peralatan untuk peralatan elektromedik kelas I</v>
      </c>
      <c r="D27" s="1221"/>
      <c r="E27" s="1221"/>
      <c r="F27" s="1221"/>
      <c r="G27" s="1222"/>
      <c r="H27" s="1230" t="str">
        <f>'DB Kelistrikan'!O271</f>
        <v>-</v>
      </c>
      <c r="I27" s="1231"/>
      <c r="J27" s="1223">
        <f>ID!K30</f>
        <v>500</v>
      </c>
      <c r="K27" s="1223"/>
      <c r="L27" s="293"/>
      <c r="M27" s="1227"/>
      <c r="N27" s="1227"/>
      <c r="O27" s="254"/>
    </row>
    <row r="28" spans="1:18" s="37" customFormat="1" ht="9" customHeight="1">
      <c r="A28" s="254"/>
      <c r="B28" s="293"/>
      <c r="C28" s="294"/>
      <c r="D28" s="295"/>
      <c r="E28" s="295"/>
      <c r="F28" s="295"/>
      <c r="G28" s="295"/>
      <c r="H28" s="264"/>
      <c r="I28" s="296"/>
      <c r="J28" s="1226"/>
      <c r="K28" s="1226"/>
      <c r="L28" s="297"/>
      <c r="M28" s="297"/>
      <c r="N28" s="298"/>
      <c r="O28" s="254"/>
      <c r="P28" s="47"/>
      <c r="Q28" s="47"/>
      <c r="R28" s="47"/>
    </row>
    <row r="29" spans="1:18" s="37" customFormat="1" ht="15.75" customHeight="1">
      <c r="A29" s="262" t="s">
        <v>164</v>
      </c>
      <c r="B29" s="262" t="s">
        <v>369</v>
      </c>
      <c r="C29" s="254"/>
      <c r="D29" s="254"/>
      <c r="E29" s="254"/>
      <c r="F29" s="254"/>
      <c r="G29" s="254"/>
      <c r="H29" s="254"/>
      <c r="I29" s="254"/>
      <c r="J29" s="293"/>
      <c r="K29" s="293"/>
      <c r="L29" s="299"/>
      <c r="M29" s="1227"/>
      <c r="N29" s="1227"/>
      <c r="O29" s="254"/>
      <c r="P29" s="26"/>
      <c r="Q29" s="26"/>
      <c r="R29" s="69"/>
    </row>
    <row r="30" spans="1:18" s="37" customFormat="1" ht="15.75" customHeight="1">
      <c r="A30" s="254"/>
      <c r="B30" s="254"/>
      <c r="C30" s="254"/>
      <c r="D30" s="254"/>
      <c r="E30" s="254"/>
      <c r="F30" s="254"/>
      <c r="G30" s="254"/>
      <c r="H30" s="254"/>
      <c r="I30" s="254"/>
      <c r="J30" s="293"/>
      <c r="K30" s="1224"/>
      <c r="L30" s="1224"/>
      <c r="M30" s="1224"/>
      <c r="N30" s="305" t="s">
        <v>160</v>
      </c>
      <c r="O30" s="300"/>
    </row>
    <row r="31" spans="1:18" s="37" customFormat="1" ht="15.75" customHeight="1">
      <c r="A31" s="254"/>
      <c r="B31" s="254"/>
      <c r="C31" s="254"/>
      <c r="D31" s="254"/>
      <c r="E31" s="254"/>
      <c r="F31" s="254"/>
      <c r="G31" s="301" t="s">
        <v>165</v>
      </c>
      <c r="H31" s="302">
        <f>ID!A37</f>
        <v>0.48</v>
      </c>
      <c r="I31" s="303" t="s">
        <v>166</v>
      </c>
      <c r="J31" s="293"/>
      <c r="K31" s="1224"/>
      <c r="L31" s="304"/>
      <c r="M31" s="304"/>
      <c r="N31" s="305">
        <v>1</v>
      </c>
      <c r="O31" s="306">
        <f>IF(H25&gt;2,10%,0)</f>
        <v>0.1</v>
      </c>
    </row>
    <row r="32" spans="1:18" s="37" customFormat="1" ht="15.75" customHeight="1">
      <c r="A32" s="254"/>
      <c r="B32" s="254"/>
      <c r="C32" s="254"/>
      <c r="D32" s="254"/>
      <c r="E32" s="254"/>
      <c r="F32" s="254"/>
      <c r="G32" s="307" t="s">
        <v>167</v>
      </c>
      <c r="H32" s="308">
        <f>ID!B37</f>
        <v>0.26</v>
      </c>
      <c r="I32" s="309" t="s">
        <v>166</v>
      </c>
      <c r="J32" s="293"/>
      <c r="K32" s="264"/>
      <c r="L32" s="310"/>
      <c r="M32" s="310"/>
      <c r="N32" s="305">
        <v>2</v>
      </c>
      <c r="O32" s="453">
        <f>IF(OR(H26&lt;=0.2,H26="-",H26="OL"),10%,0)</f>
        <v>0.1</v>
      </c>
    </row>
    <row r="33" spans="1:19" s="37" customFormat="1" ht="15.75" customHeight="1">
      <c r="A33" s="254"/>
      <c r="B33" s="254"/>
      <c r="C33" s="254"/>
      <c r="D33" s="254"/>
      <c r="E33" s="254"/>
      <c r="F33" s="254"/>
      <c r="G33" s="307" t="s">
        <v>168</v>
      </c>
      <c r="H33" s="308">
        <f>ID!C37</f>
        <v>0.28499999999999998</v>
      </c>
      <c r="I33" s="309" t="s">
        <v>166</v>
      </c>
      <c r="J33" s="311"/>
      <c r="K33" s="264"/>
      <c r="L33" s="310"/>
      <c r="M33" s="310"/>
      <c r="N33" s="300">
        <v>3</v>
      </c>
      <c r="O33" s="306">
        <f>IF(OR(H27&lt;=J27,),20%,0)</f>
        <v>0</v>
      </c>
    </row>
    <row r="34" spans="1:19" s="37" customFormat="1" ht="15.75" customHeight="1">
      <c r="A34" s="254"/>
      <c r="B34" s="254"/>
      <c r="C34" s="254"/>
      <c r="D34" s="254"/>
      <c r="E34" s="254"/>
      <c r="F34" s="254"/>
      <c r="G34" s="312" t="s">
        <v>169</v>
      </c>
      <c r="H34" s="313">
        <f>ID!D37</f>
        <v>3.5567999999999995E-2</v>
      </c>
      <c r="I34" s="314" t="s">
        <v>170</v>
      </c>
      <c r="J34" s="293"/>
      <c r="K34" s="264"/>
      <c r="L34" s="310"/>
      <c r="M34" s="310"/>
      <c r="N34" s="454"/>
      <c r="O34" s="315">
        <f>IF(OR(ID!P27&lt;=100,H27&lt;=J27,H27="-"),SUM(O31:O33),0%)</f>
        <v>0.2</v>
      </c>
    </row>
    <row r="35" spans="1:19" s="37" customFormat="1" ht="15.75" customHeight="1">
      <c r="A35" s="254"/>
      <c r="B35" s="254"/>
      <c r="C35" s="254"/>
      <c r="D35" s="254"/>
      <c r="E35" s="254"/>
      <c r="F35" s="254"/>
      <c r="G35" s="254"/>
      <c r="H35" s="254"/>
      <c r="I35" s="254"/>
      <c r="J35" s="293"/>
      <c r="K35" s="264"/>
      <c r="L35" s="310"/>
      <c r="M35" s="310"/>
      <c r="N35" s="254"/>
      <c r="O35" s="452">
        <f>IF(N54="Tidak dilakukan Pengujian Keselamatan Listrik karena Alat tidak boleh dalam kondisi off",10%,O34)</f>
        <v>0.2</v>
      </c>
    </row>
    <row r="36" spans="1:19" s="37" customFormat="1" ht="15.75" customHeight="1">
      <c r="A36" s="254"/>
      <c r="B36" s="254"/>
      <c r="C36" s="254"/>
      <c r="D36" s="254"/>
      <c r="E36" s="254"/>
      <c r="F36" s="254"/>
      <c r="G36" s="301" t="s">
        <v>171</v>
      </c>
      <c r="H36" s="316">
        <f>ID!A40</f>
        <v>2</v>
      </c>
      <c r="I36" s="317" t="s">
        <v>80</v>
      </c>
      <c r="J36" s="254"/>
      <c r="K36" s="264"/>
      <c r="L36" s="310"/>
      <c r="M36" s="310"/>
      <c r="N36" s="254"/>
      <c r="O36" s="254"/>
    </row>
    <row r="37" spans="1:19" s="37" customFormat="1" ht="15.75" customHeight="1">
      <c r="A37" s="254"/>
      <c r="B37" s="254"/>
      <c r="C37" s="254"/>
      <c r="D37" s="254"/>
      <c r="E37" s="254"/>
      <c r="F37" s="254"/>
      <c r="G37" s="312" t="s">
        <v>440</v>
      </c>
      <c r="H37" s="318">
        <f>ID!B40</f>
        <v>4</v>
      </c>
      <c r="I37" s="314" t="s">
        <v>80</v>
      </c>
      <c r="J37" s="254"/>
      <c r="K37" s="264"/>
      <c r="L37" s="310"/>
      <c r="M37" s="310"/>
      <c r="N37" s="319"/>
      <c r="O37" s="264"/>
      <c r="P37" s="51"/>
      <c r="Q37" s="51"/>
    </row>
    <row r="38" spans="1:19" s="37" customFormat="1" ht="15" customHeight="1">
      <c r="A38" s="254"/>
      <c r="B38" s="254"/>
      <c r="C38" s="254"/>
      <c r="D38" s="254"/>
      <c r="E38" s="254"/>
      <c r="F38" s="254"/>
      <c r="G38" s="254"/>
      <c r="H38" s="254"/>
      <c r="I38" s="254"/>
      <c r="J38" s="254"/>
      <c r="K38" s="264"/>
      <c r="L38" s="310"/>
      <c r="M38" s="310"/>
      <c r="N38" s="320"/>
      <c r="O38" s="293"/>
      <c r="P38" s="28"/>
      <c r="Q38" s="28"/>
    </row>
    <row r="39" spans="1:19" s="37" customFormat="1" ht="33.6" customHeight="1">
      <c r="A39" s="254"/>
      <c r="B39" s="1244" t="s">
        <v>172</v>
      </c>
      <c r="C39" s="1244" t="s">
        <v>445</v>
      </c>
      <c r="D39" s="1252" t="s">
        <v>173</v>
      </c>
      <c r="E39" s="1253"/>
      <c r="F39" s="1254"/>
      <c r="G39" s="1244" t="s">
        <v>447</v>
      </c>
      <c r="H39" s="1262" t="s">
        <v>448</v>
      </c>
      <c r="I39" s="1263"/>
      <c r="J39" s="1264" t="s">
        <v>356</v>
      </c>
      <c r="K39" s="1265"/>
      <c r="M39" s="293"/>
      <c r="N39" s="284" t="s">
        <v>160</v>
      </c>
      <c r="O39" s="300"/>
    </row>
    <row r="40" spans="1:19" s="37" customFormat="1" ht="15.75" customHeight="1">
      <c r="A40" s="254"/>
      <c r="B40" s="1244"/>
      <c r="C40" s="1244"/>
      <c r="D40" s="1245" t="s">
        <v>174</v>
      </c>
      <c r="E40" s="1245" t="s">
        <v>175</v>
      </c>
      <c r="F40" s="1245" t="s">
        <v>106</v>
      </c>
      <c r="G40" s="1244"/>
      <c r="H40" s="1244" t="s">
        <v>439</v>
      </c>
      <c r="I40" s="1244"/>
      <c r="J40" s="1266"/>
      <c r="K40" s="1267"/>
      <c r="M40" s="293"/>
      <c r="N40" s="1244" t="s">
        <v>176</v>
      </c>
      <c r="O40" s="1259">
        <f>IF(AND(C42&gt;=2,C42&lt;=8),50%,0)</f>
        <v>0.5</v>
      </c>
    </row>
    <row r="41" spans="1:19" s="37" customFormat="1" ht="21" customHeight="1">
      <c r="A41" s="254"/>
      <c r="B41" s="1244"/>
      <c r="C41" s="1244"/>
      <c r="D41" s="1245"/>
      <c r="E41" s="1245"/>
      <c r="F41" s="1245"/>
      <c r="G41" s="1244"/>
      <c r="H41" s="1244"/>
      <c r="I41" s="1244"/>
      <c r="J41" s="1268"/>
      <c r="K41" s="1269"/>
      <c r="M41" s="293"/>
      <c r="N41" s="1244"/>
      <c r="O41" s="1260"/>
      <c r="R41" s="1255"/>
      <c r="S41" s="1255"/>
    </row>
    <row r="42" spans="1:19" s="37" customFormat="1" ht="33" customHeight="1">
      <c r="A42" s="254"/>
      <c r="B42" s="428" t="str">
        <f>O50</f>
        <v>-</v>
      </c>
      <c r="C42" s="155">
        <f>ID!K97</f>
        <v>6.4428226504297132</v>
      </c>
      <c r="D42" s="50">
        <f>ID!K98</f>
        <v>6.9626950377679186E-2</v>
      </c>
      <c r="E42" s="50">
        <f>ID!K99</f>
        <v>0.52475004916291823</v>
      </c>
      <c r="F42" s="50">
        <f>ID!K100</f>
        <v>0.57429634372598404</v>
      </c>
      <c r="G42" s="321" t="str">
        <f>O49</f>
        <v>-</v>
      </c>
      <c r="H42" s="1244"/>
      <c r="I42" s="1244"/>
      <c r="J42" s="1270">
        <f>'Uncertainty Budget'!N20</f>
        <v>0.87182372106087447</v>
      </c>
      <c r="K42" s="1271"/>
      <c r="M42" s="293"/>
      <c r="N42" s="1256" t="s">
        <v>387</v>
      </c>
      <c r="O42" s="1259">
        <f>IF(F42&lt;=4,50%,0)</f>
        <v>0.5</v>
      </c>
      <c r="R42" s="421"/>
      <c r="S42" s="47"/>
    </row>
    <row r="43" spans="1:19" s="37" customFormat="1" ht="9" customHeight="1">
      <c r="A43" s="254"/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93"/>
      <c r="N43" s="1257"/>
      <c r="O43" s="1260"/>
      <c r="P43" s="40"/>
      <c r="Q43" s="42"/>
    </row>
    <row r="44" spans="1:19" s="37" customFormat="1">
      <c r="A44" s="55" t="s">
        <v>177</v>
      </c>
      <c r="B44" s="322" t="s">
        <v>178</v>
      </c>
      <c r="C44" s="52"/>
      <c r="D44" s="250"/>
      <c r="E44" s="163"/>
      <c r="F44" s="54"/>
      <c r="G44" s="52"/>
      <c r="H44" s="52"/>
      <c r="I44" s="52"/>
      <c r="J44" s="52"/>
      <c r="K44" s="52"/>
      <c r="L44" s="52"/>
      <c r="M44" s="47"/>
      <c r="N44" s="28"/>
      <c r="O44" s="65"/>
      <c r="P44" s="32"/>
      <c r="Q44" s="32"/>
    </row>
    <row r="45" spans="1:19" s="37" customFormat="1" ht="15">
      <c r="A45" s="52"/>
      <c r="B45" s="53" t="str">
        <f>ID!A106</f>
        <v>Ketidakpastian pengukuran dilaporkan pada tingkat kepercayaan 95% dengan faktor cakupan k=2</v>
      </c>
      <c r="C45" s="52"/>
      <c r="D45" s="52"/>
      <c r="E45" s="250"/>
      <c r="F45" s="54"/>
      <c r="G45" s="52"/>
      <c r="H45" s="52"/>
      <c r="I45" s="52"/>
      <c r="J45" s="52"/>
      <c r="K45" s="52"/>
      <c r="L45" s="52"/>
      <c r="M45" s="47"/>
      <c r="N45" s="58" t="s">
        <v>179</v>
      </c>
      <c r="O45" s="65">
        <f>IF(AND(O40=50%,O42=50%),50%,0)</f>
        <v>0.5</v>
      </c>
      <c r="P45" s="32"/>
      <c r="Q45" s="32"/>
    </row>
    <row r="46" spans="1:19" s="37" customFormat="1" ht="15">
      <c r="A46" s="52"/>
      <c r="B46" s="53" t="str">
        <f>ID!A107</f>
        <v>Hasil pengukuran keselamatan listrik tertelusur ke Satuan Internasional ( SI ) melalui PT. Kaliman (LK-032-IDN)</v>
      </c>
      <c r="C46" s="52"/>
      <c r="D46" s="52"/>
      <c r="E46" s="250"/>
      <c r="F46" s="54"/>
      <c r="G46" s="52"/>
      <c r="H46" s="52"/>
      <c r="I46" s="52"/>
      <c r="J46" s="52"/>
      <c r="K46" s="52"/>
      <c r="L46" s="52"/>
      <c r="M46" s="47"/>
      <c r="N46" s="58"/>
      <c r="O46" s="28"/>
      <c r="P46" s="32"/>
      <c r="Q46" s="32"/>
    </row>
    <row r="47" spans="1:19" s="37" customFormat="1" ht="15">
      <c r="A47" s="52"/>
      <c r="B47" s="53" t="str">
        <f>ID!A108</f>
        <v>Hasil pengujian kinerja suhu ke Sistem Internasional ( SI ) melalui PT. Kaliman ( LK-032-IDN )</v>
      </c>
      <c r="C47" s="52"/>
      <c r="D47" s="52"/>
      <c r="E47" s="250"/>
      <c r="F47" s="54"/>
      <c r="G47" s="52"/>
      <c r="H47" s="52"/>
      <c r="I47" s="52"/>
      <c r="J47" s="52"/>
      <c r="K47" s="52"/>
      <c r="L47" s="52"/>
      <c r="N47" s="58"/>
      <c r="O47" s="65"/>
      <c r="P47" s="32"/>
      <c r="Q47" s="32"/>
      <c r="R47" s="70"/>
    </row>
    <row r="48" spans="1:19" s="37" customFormat="1" ht="15">
      <c r="A48" s="52"/>
      <c r="B48" s="53" t="str">
        <f>ID!A109</f>
        <v>Tidak terdapat grounding</v>
      </c>
      <c r="C48" s="52"/>
      <c r="D48" s="52"/>
      <c r="E48" s="418"/>
      <c r="F48" s="54"/>
      <c r="G48" s="52"/>
      <c r="H48" s="52"/>
      <c r="I48" s="52"/>
      <c r="J48" s="52"/>
      <c r="K48" s="52"/>
      <c r="L48" s="52"/>
      <c r="N48" s="58"/>
      <c r="O48" s="63">
        <f>ID!K96</f>
        <v>6</v>
      </c>
      <c r="P48" s="32"/>
      <c r="Q48" s="32"/>
      <c r="R48" s="70"/>
    </row>
    <row r="49" spans="1:19" s="37" customFormat="1" ht="15">
      <c r="A49" s="52"/>
      <c r="B49" s="53"/>
      <c r="C49" s="52"/>
      <c r="D49" s="52"/>
      <c r="E49" s="418"/>
      <c r="F49" s="54"/>
      <c r="G49" s="52"/>
      <c r="H49" s="52"/>
      <c r="I49" s="52"/>
      <c r="J49" s="52"/>
      <c r="K49" s="52"/>
      <c r="L49" s="52"/>
      <c r="N49" s="58" t="s">
        <v>243</v>
      </c>
      <c r="O49" s="64" t="str">
        <f>IF(ID!E8="Digital",'Lembar Penyelia'!C42-'Lembar Penyelia'!B42,"-")</f>
        <v>-</v>
      </c>
      <c r="P49" s="32"/>
      <c r="Q49" s="32"/>
      <c r="R49" s="70"/>
    </row>
    <row r="50" spans="1:19" s="37" customFormat="1" ht="15">
      <c r="A50" s="52"/>
      <c r="B50" s="53"/>
      <c r="C50" s="52"/>
      <c r="D50" s="52"/>
      <c r="E50" s="418"/>
      <c r="F50" s="54"/>
      <c r="G50" s="52"/>
      <c r="H50" s="52"/>
      <c r="I50" s="52"/>
      <c r="J50" s="52"/>
      <c r="K50" s="52"/>
      <c r="L50" s="52"/>
      <c r="N50" s="58" t="s">
        <v>446</v>
      </c>
      <c r="O50" s="63" t="str">
        <f>IF(ID!E8="Digital",O48,"-")</f>
        <v>-</v>
      </c>
      <c r="P50" s="32"/>
      <c r="Q50" s="32"/>
      <c r="R50" s="70"/>
    </row>
    <row r="51" spans="1:19" s="37" customFormat="1" ht="15">
      <c r="A51" s="52"/>
      <c r="B51" s="53"/>
      <c r="C51" s="52"/>
      <c r="D51" s="52"/>
      <c r="E51" s="418"/>
      <c r="F51" s="54"/>
      <c r="G51" s="52"/>
      <c r="H51" s="52"/>
      <c r="I51" s="52"/>
      <c r="J51" s="52"/>
      <c r="K51" s="52"/>
      <c r="L51" s="52"/>
      <c r="N51" s="58"/>
      <c r="O51" s="419"/>
      <c r="P51" s="32"/>
      <c r="Q51" s="32"/>
      <c r="R51" s="70"/>
    </row>
    <row r="52" spans="1:19" s="37" customFormat="1" ht="9" customHeight="1">
      <c r="A52" s="52"/>
      <c r="B52" s="52"/>
      <c r="C52" s="53"/>
      <c r="D52" s="52"/>
      <c r="E52" s="250"/>
      <c r="F52" s="54"/>
      <c r="G52" s="52"/>
      <c r="H52" s="52"/>
      <c r="I52" s="52"/>
      <c r="J52" s="52"/>
      <c r="K52" s="52"/>
      <c r="L52" s="52"/>
      <c r="N52" s="58"/>
      <c r="O52" s="28"/>
      <c r="P52" s="32"/>
      <c r="Q52" s="32"/>
    </row>
    <row r="53" spans="1:19" s="37" customFormat="1">
      <c r="A53" s="55" t="s">
        <v>180</v>
      </c>
      <c r="B53" s="56" t="s">
        <v>181</v>
      </c>
      <c r="C53" s="52"/>
      <c r="D53" s="52"/>
      <c r="E53" s="57"/>
      <c r="F53" s="52"/>
      <c r="G53" s="52"/>
      <c r="H53" s="52"/>
      <c r="I53" s="52"/>
      <c r="J53" s="52"/>
      <c r="K53" s="52"/>
      <c r="L53" s="52"/>
      <c r="M53" s="66"/>
      <c r="N53" s="24"/>
      <c r="O53" s="24"/>
      <c r="P53" s="58"/>
      <c r="Q53" s="33"/>
    </row>
    <row r="54" spans="1:19" s="37" customFormat="1" ht="15">
      <c r="A54" s="52"/>
      <c r="B54" s="323" t="str">
        <f>ID!A112</f>
        <v>Thermocouple Data Logger, Merek : MADGETECH, Model : OctTemp 2000, SN : P41878</v>
      </c>
      <c r="C54" s="52"/>
      <c r="D54" s="250"/>
      <c r="E54" s="54"/>
      <c r="F54" s="52"/>
      <c r="G54" s="52"/>
      <c r="H54" s="52"/>
      <c r="I54" s="52"/>
      <c r="J54" s="52"/>
      <c r="K54" s="167"/>
      <c r="L54" s="52"/>
      <c r="N54" s="37" t="str">
        <f>ID!A109</f>
        <v>Tidak terdapat grounding</v>
      </c>
    </row>
    <row r="55" spans="1:19" s="37" customFormat="1" ht="15">
      <c r="A55" s="52"/>
      <c r="B55" s="1261" t="str">
        <f>IF('Data Alat'!A67="OK",ID!A113,"")</f>
        <v/>
      </c>
      <c r="C55" s="1261"/>
      <c r="D55" s="1261"/>
      <c r="E55" s="1261"/>
      <c r="F55" s="1261"/>
      <c r="G55" s="1261"/>
      <c r="H55" s="1261"/>
      <c r="I55" s="1261"/>
      <c r="J55" s="52"/>
      <c r="K55" s="167"/>
      <c r="L55" s="52"/>
    </row>
    <row r="56" spans="1:19" s="37" customFormat="1" ht="15.75" customHeight="1">
      <c r="A56" s="52"/>
      <c r="B56" s="323" t="str">
        <f>ID!A114</f>
        <v>Electrical Safety Analyzer, Merek : Fluke, Model : ESA 615, SN : 4669058</v>
      </c>
      <c r="C56" s="52"/>
      <c r="D56" s="250"/>
      <c r="E56" s="54"/>
      <c r="F56" s="52"/>
      <c r="G56" s="52"/>
      <c r="H56" s="52"/>
      <c r="I56" s="52"/>
      <c r="J56" s="52"/>
      <c r="K56" s="167"/>
      <c r="L56" s="52"/>
    </row>
    <row r="57" spans="1:19" s="37" customFormat="1" ht="15">
      <c r="A57" s="52"/>
      <c r="B57" s="323" t="str">
        <f>ID!A115</f>
        <v>Thermohygrolight, Merek : Greisinger, Model : GFTB 200, SN : 34903046</v>
      </c>
      <c r="C57" s="52"/>
      <c r="D57" s="250"/>
      <c r="E57" s="54"/>
      <c r="F57" s="52"/>
      <c r="G57" s="52"/>
      <c r="H57" s="52"/>
      <c r="I57" s="52"/>
      <c r="J57" s="52"/>
      <c r="K57" s="167"/>
      <c r="L57" s="52"/>
    </row>
    <row r="58" spans="1:19" s="37" customFormat="1" ht="9" customHeight="1">
      <c r="A58" s="52"/>
      <c r="B58" s="52"/>
      <c r="C58" s="323"/>
      <c r="D58" s="250"/>
      <c r="E58" s="54"/>
      <c r="F58" s="52"/>
      <c r="G58" s="52"/>
      <c r="H58" s="52"/>
      <c r="I58" s="52"/>
      <c r="J58" s="52"/>
      <c r="K58" s="167"/>
      <c r="L58" s="52"/>
    </row>
    <row r="59" spans="1:19" s="37" customFormat="1">
      <c r="A59" s="55" t="s">
        <v>182</v>
      </c>
      <c r="B59" s="324" t="s">
        <v>183</v>
      </c>
      <c r="C59" s="52"/>
      <c r="D59" s="250"/>
      <c r="E59" s="54"/>
      <c r="F59" s="52"/>
      <c r="G59" s="52"/>
      <c r="H59" s="52"/>
      <c r="I59" s="52"/>
      <c r="J59" s="52"/>
      <c r="K59" s="167"/>
      <c r="L59" s="52"/>
      <c r="N59" s="417"/>
      <c r="O59" s="515"/>
    </row>
    <row r="60" spans="1:19" s="37" customFormat="1" ht="15">
      <c r="A60" s="52"/>
      <c r="B60" s="1246" t="str">
        <f>ID!A118</f>
        <v>Alat yang diuji dalam batas toleransi dan dinyatakan LAIK PAKAI, dimana hasil atau skor akhir sama dengan atau melampaui 70% berdasarkan Keputusan Direktur Jenderal Pelayanan Kesehatan No : HK.02.02 / V / 0412 / 2020</v>
      </c>
      <c r="C60" s="1247"/>
      <c r="D60" s="1247"/>
      <c r="E60" s="1247"/>
      <c r="F60" s="1247"/>
      <c r="G60" s="1247"/>
      <c r="H60" s="1247"/>
      <c r="I60" s="1247"/>
      <c r="J60" s="1247"/>
      <c r="K60" s="167"/>
      <c r="L60" s="52"/>
    </row>
    <row r="61" spans="1:19" s="37" customFormat="1" ht="9" customHeight="1">
      <c r="A61" s="52"/>
      <c r="B61" s="1247"/>
      <c r="C61" s="1247"/>
      <c r="D61" s="1247"/>
      <c r="E61" s="1247"/>
      <c r="F61" s="1247"/>
      <c r="G61" s="1247"/>
      <c r="H61" s="1247"/>
      <c r="I61" s="1247"/>
      <c r="J61" s="1247"/>
      <c r="K61" s="167"/>
      <c r="L61" s="52"/>
    </row>
    <row r="62" spans="1:19" s="37" customFormat="1" ht="20.25" customHeight="1">
      <c r="A62" s="52"/>
      <c r="B62" s="1247"/>
      <c r="C62" s="1247"/>
      <c r="D62" s="1247"/>
      <c r="E62" s="1247"/>
      <c r="F62" s="1247"/>
      <c r="G62" s="1247"/>
      <c r="H62" s="1247"/>
      <c r="I62" s="1247"/>
      <c r="J62" s="1247"/>
      <c r="K62" s="167"/>
      <c r="L62" s="52"/>
    </row>
    <row r="63" spans="1:19" s="37" customFormat="1" ht="20.25" customHeight="1">
      <c r="A63" s="52"/>
      <c r="B63" s="325"/>
      <c r="C63" s="325"/>
      <c r="D63" s="325"/>
      <c r="E63" s="325"/>
      <c r="F63" s="325"/>
      <c r="G63" s="325"/>
      <c r="H63" s="325"/>
      <c r="I63" s="325"/>
      <c r="J63" s="325"/>
      <c r="K63" s="167"/>
      <c r="L63" s="52"/>
      <c r="Q63" s="420"/>
      <c r="R63" s="416" t="str">
        <f>IF(O63="Ya",#REF!-B42,"")</f>
        <v/>
      </c>
      <c r="S63" s="416"/>
    </row>
    <row r="64" spans="1:19" s="37" customFormat="1">
      <c r="A64" s="55" t="s">
        <v>184</v>
      </c>
      <c r="B64" s="326" t="s">
        <v>370</v>
      </c>
      <c r="C64" s="52"/>
      <c r="D64" s="251"/>
      <c r="E64" s="327"/>
      <c r="F64" s="1249"/>
      <c r="G64" s="1249"/>
      <c r="H64" s="1249"/>
      <c r="I64" s="52"/>
      <c r="J64" s="52"/>
      <c r="K64" s="52"/>
      <c r="L64" s="52"/>
      <c r="O64" s="416"/>
      <c r="S64" s="416"/>
    </row>
    <row r="65" spans="1:15" s="37" customFormat="1" ht="18" customHeight="1">
      <c r="A65" s="52"/>
      <c r="B65" s="251" t="str">
        <f>ID!A121</f>
        <v>Muhammad Zaenuri Sugiasmoro</v>
      </c>
      <c r="C65" s="52"/>
      <c r="D65" s="250"/>
      <c r="E65" s="54"/>
      <c r="F65" s="59"/>
      <c r="G65" s="328"/>
      <c r="H65" s="59"/>
      <c r="I65" s="52"/>
      <c r="J65" s="52"/>
      <c r="K65" s="52"/>
      <c r="L65" s="52"/>
    </row>
    <row r="66" spans="1:15" hidden="1">
      <c r="A66" s="60"/>
      <c r="B66" s="60"/>
      <c r="C66" s="61"/>
      <c r="D66" s="61"/>
      <c r="E66" s="61"/>
      <c r="F66" s="61"/>
      <c r="G66" s="61"/>
      <c r="H66" s="61"/>
      <c r="I66" s="61"/>
      <c r="J66" s="61"/>
      <c r="K66" s="62"/>
      <c r="L66" s="62"/>
    </row>
    <row r="67" spans="1:15" hidden="1">
      <c r="A67" s="60"/>
      <c r="B67" s="60"/>
      <c r="C67" s="62"/>
      <c r="D67" s="62"/>
      <c r="E67" s="62"/>
      <c r="F67" s="62"/>
      <c r="G67" s="62"/>
      <c r="H67" s="62"/>
      <c r="I67" s="62"/>
      <c r="J67" s="61"/>
      <c r="K67" s="62"/>
      <c r="L67" s="62"/>
      <c r="M67" s="67"/>
    </row>
    <row r="68" spans="1:15">
      <c r="A68" s="60"/>
      <c r="B68" s="60"/>
      <c r="C68" s="62"/>
      <c r="D68" s="62"/>
      <c r="E68" s="62"/>
      <c r="F68" s="62"/>
      <c r="G68" s="62"/>
      <c r="H68" s="62"/>
      <c r="I68" s="62"/>
      <c r="J68" s="62"/>
      <c r="K68" s="62"/>
      <c r="L68" s="62"/>
    </row>
    <row r="69" spans="1:15">
      <c r="A69" s="60"/>
      <c r="B69" s="1250" t="s">
        <v>185</v>
      </c>
      <c r="C69" s="1250"/>
      <c r="D69" s="1250"/>
      <c r="E69" s="1242" t="s">
        <v>186</v>
      </c>
      <c r="F69" s="1242"/>
      <c r="G69" s="252" t="s">
        <v>187</v>
      </c>
      <c r="H69" s="1251" t="s">
        <v>188</v>
      </c>
      <c r="I69" s="1251"/>
      <c r="J69" s="62"/>
      <c r="K69" s="62"/>
      <c r="L69" s="62"/>
      <c r="O69" s="68"/>
    </row>
    <row r="70" spans="1:15">
      <c r="A70" s="60"/>
      <c r="B70" s="71" t="s">
        <v>189</v>
      </c>
      <c r="C70" s="72" t="str">
        <f>ID!A121</f>
        <v>Muhammad Zaenuri Sugiasmoro</v>
      </c>
      <c r="D70" s="73"/>
      <c r="E70" s="1241" t="str">
        <f>ID!A124</f>
        <v>24 Mei 2019</v>
      </c>
      <c r="F70" s="1242"/>
      <c r="G70" s="252"/>
      <c r="H70" s="1248">
        <f>O45+O35+O25</f>
        <v>0.79999999999999993</v>
      </c>
      <c r="I70" s="1248"/>
      <c r="J70" s="62"/>
      <c r="K70" s="62"/>
      <c r="L70" s="62"/>
      <c r="O70" s="68"/>
    </row>
    <row r="71" spans="1:15">
      <c r="A71" s="60"/>
      <c r="B71" s="1243" t="s">
        <v>190</v>
      </c>
      <c r="C71" s="1243"/>
      <c r="D71" s="1243"/>
      <c r="E71" s="1242"/>
      <c r="F71" s="1242"/>
      <c r="G71" s="252"/>
      <c r="H71" s="1248"/>
      <c r="I71" s="1248"/>
      <c r="J71" s="77"/>
      <c r="K71" s="78"/>
      <c r="L71" s="62"/>
      <c r="N71" s="79"/>
      <c r="O71" s="79"/>
    </row>
    <row r="72" spans="1:15">
      <c r="A72" s="60"/>
      <c r="B72" s="60"/>
      <c r="C72" s="74"/>
      <c r="D72" s="74"/>
      <c r="E72" s="74"/>
      <c r="F72" s="74"/>
      <c r="G72" s="74"/>
      <c r="H72" s="74"/>
      <c r="I72" s="74"/>
      <c r="J72" s="62"/>
      <c r="K72" s="78"/>
      <c r="N72" s="422"/>
    </row>
    <row r="73" spans="1:15">
      <c r="A73" s="60"/>
      <c r="B73" s="60"/>
      <c r="C73" s="74"/>
      <c r="D73" s="74"/>
      <c r="E73" s="74"/>
      <c r="F73" s="74"/>
      <c r="G73" s="74"/>
      <c r="H73" s="74"/>
      <c r="I73" s="74"/>
      <c r="J73" s="62"/>
      <c r="K73" s="78"/>
    </row>
    <row r="74" spans="1:15">
      <c r="A74" s="60"/>
      <c r="B74" s="60"/>
      <c r="C74" s="75"/>
      <c r="D74" s="75"/>
      <c r="E74" s="74"/>
      <c r="F74" s="74"/>
      <c r="G74" s="74"/>
      <c r="H74" s="74"/>
      <c r="I74" s="74"/>
      <c r="J74" s="62"/>
      <c r="K74" s="80"/>
      <c r="N74" s="81"/>
    </row>
    <row r="75" spans="1:15">
      <c r="C75" s="76"/>
      <c r="D75" s="76"/>
      <c r="E75" s="76"/>
      <c r="F75" s="76"/>
      <c r="G75" s="76"/>
      <c r="H75" s="76"/>
      <c r="I75" s="76"/>
      <c r="K75" s="82"/>
      <c r="N75" s="81"/>
    </row>
  </sheetData>
  <sheetProtection formatCells="0" formatColumns="0" formatRows="0" insertColumns="0" insertRows="0" deleteColumns="0" deleteRows="0"/>
  <mergeCells count="47">
    <mergeCell ref="B55:I55"/>
    <mergeCell ref="H40:I42"/>
    <mergeCell ref="H39:I39"/>
    <mergeCell ref="J39:K41"/>
    <mergeCell ref="J42:K42"/>
    <mergeCell ref="R41:S41"/>
    <mergeCell ref="N42:N43"/>
    <mergeCell ref="O21:O22"/>
    <mergeCell ref="O40:O41"/>
    <mergeCell ref="O42:O43"/>
    <mergeCell ref="N21:N22"/>
    <mergeCell ref="N40:N41"/>
    <mergeCell ref="M27:N27"/>
    <mergeCell ref="E70:F70"/>
    <mergeCell ref="B71:D71"/>
    <mergeCell ref="E71:F71"/>
    <mergeCell ref="B39:B41"/>
    <mergeCell ref="C39:C41"/>
    <mergeCell ref="D40:D41"/>
    <mergeCell ref="E40:E41"/>
    <mergeCell ref="B60:J62"/>
    <mergeCell ref="H70:I71"/>
    <mergeCell ref="F64:H64"/>
    <mergeCell ref="B69:D69"/>
    <mergeCell ref="E69:F69"/>
    <mergeCell ref="F40:F41"/>
    <mergeCell ref="H69:I69"/>
    <mergeCell ref="D39:F39"/>
    <mergeCell ref="G39:G41"/>
    <mergeCell ref="A2:L2"/>
    <mergeCell ref="A1:L1"/>
    <mergeCell ref="E13:L13"/>
    <mergeCell ref="E17:F17"/>
    <mergeCell ref="C24:G24"/>
    <mergeCell ref="H24:I24"/>
    <mergeCell ref="J24:K24"/>
    <mergeCell ref="C27:G27"/>
    <mergeCell ref="J27:K27"/>
    <mergeCell ref="L30:M30"/>
    <mergeCell ref="J25:K25"/>
    <mergeCell ref="J26:K26"/>
    <mergeCell ref="J28:K28"/>
    <mergeCell ref="M29:N29"/>
    <mergeCell ref="K30:K31"/>
    <mergeCell ref="H25:I25"/>
    <mergeCell ref="H27:I27"/>
    <mergeCell ref="H26:I26"/>
  </mergeCells>
  <dataValidations disablePrompts="1" count="1">
    <dataValidation allowBlank="1" showInputMessage="1" sqref="H70:I71" xr:uid="{D4A17809-9AE4-4C52-A68E-7091FE3AC09F}"/>
  </dataValidations>
  <printOptions horizontalCentered="1"/>
  <pageMargins left="0.51181102362204722" right="0.23622047244094491" top="0.51181102362204722" bottom="0.23622047244094491" header="0.23622047244094491" footer="0.23622047244094491"/>
  <pageSetup paperSize="9" scale="74" orientation="portrait" r:id="rId1"/>
  <headerFooter>
    <oddHeader>&amp;R&amp;"-,Regular"&amp;8SH.LP - 032-18 / Rev  : 0</oddHeader>
    <oddFooter>&amp;R&amp;K00-034Lab Incu 22/9/2017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E0892848-6289-4D98-8EAC-B04046299B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$H$65</xm:f>
              </x14:cfvo>
              <x14:cfIcon iconSet="3Symbols" iconId="2"/>
              <x14:cfIcon iconSet="3Symbols" iconId="2"/>
              <x14:cfIcon iconSet="3Symbols" iconId="0"/>
            </x14:iconSet>
          </x14:cfRule>
          <xm:sqref>F65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AA93"/>
  <sheetViews>
    <sheetView showGridLines="0" view="pageBreakPreview" zoomScaleNormal="100" zoomScaleSheetLayoutView="100" workbookViewId="0">
      <selection activeCell="D9" sqref="D9"/>
    </sheetView>
  </sheetViews>
  <sheetFormatPr defaultColWidth="9" defaultRowHeight="13.8"/>
  <cols>
    <col min="1" max="1" width="4.44140625" style="4" customWidth="1"/>
    <col min="2" max="2" width="5.5546875" style="4" customWidth="1"/>
    <col min="3" max="3" width="14.5546875" style="4" customWidth="1"/>
    <col min="4" max="4" width="5.33203125" style="4" customWidth="1"/>
    <col min="5" max="5" width="9.33203125" style="4" customWidth="1"/>
    <col min="6" max="6" width="11.33203125" style="4" customWidth="1"/>
    <col min="7" max="7" width="10" style="4" customWidth="1"/>
    <col min="8" max="8" width="11.5546875" style="4" customWidth="1"/>
    <col min="9" max="9" width="10.33203125" style="4" customWidth="1"/>
    <col min="10" max="10" width="8.109375" style="4" customWidth="1"/>
    <col min="11" max="11" width="6.5546875" style="4" customWidth="1"/>
    <col min="12" max="12" width="8.33203125" style="4" customWidth="1"/>
    <col min="13" max="14" width="8" style="4" customWidth="1"/>
    <col min="15" max="15" width="7.88671875" style="4" customWidth="1"/>
    <col min="16" max="16" width="9.109375" style="4" customWidth="1"/>
    <col min="17" max="18" width="9.33203125" style="4" customWidth="1"/>
    <col min="19" max="258" width="9.109375" style="4" customWidth="1"/>
    <col min="259" max="16384" width="9" style="4"/>
  </cols>
  <sheetData>
    <row r="1" spans="1:15" ht="19.5" customHeight="1">
      <c r="A1" s="1235" t="str">
        <f>'Lembar Penyelia'!A1:K1</f>
        <v>HASIL PENGUJIAN LABORATORIUM REFRIGERATOR</v>
      </c>
      <c r="B1" s="1235"/>
      <c r="C1" s="1235"/>
      <c r="D1" s="1235"/>
      <c r="E1" s="1235"/>
      <c r="F1" s="1235"/>
      <c r="G1" s="1235"/>
      <c r="H1" s="1235"/>
      <c r="I1" s="1235"/>
      <c r="J1" s="1235"/>
      <c r="K1" s="1235"/>
      <c r="L1" s="1235"/>
      <c r="M1" s="1235"/>
      <c r="N1" s="1235"/>
      <c r="O1" s="330"/>
    </row>
    <row r="2" spans="1:15" ht="18.75" customHeight="1">
      <c r="A2" s="1234" t="str">
        <f>'Lembar Penyelia'!A2:M2</f>
        <v>Nomor Sertifikat : 31 / 1 / IX - 20 / E - 024.34 DL</v>
      </c>
      <c r="B2" s="1234"/>
      <c r="C2" s="1234"/>
      <c r="D2" s="1234"/>
      <c r="E2" s="1234"/>
      <c r="F2" s="1234"/>
      <c r="G2" s="1234"/>
      <c r="H2" s="1234"/>
      <c r="I2" s="1234"/>
      <c r="J2" s="1234"/>
      <c r="K2" s="1234"/>
      <c r="L2" s="1234"/>
      <c r="M2" s="1234"/>
      <c r="N2" s="1234"/>
      <c r="O2" s="330"/>
    </row>
    <row r="3" spans="1:15" ht="14.1" customHeight="1">
      <c r="A3" s="330"/>
      <c r="B3" s="330"/>
      <c r="C3" s="330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0"/>
      <c r="O3" s="330"/>
    </row>
    <row r="4" spans="1:15" s="2" customFormat="1" ht="15.75" customHeight="1">
      <c r="A4" s="337" t="s">
        <v>191</v>
      </c>
      <c r="B4" s="337"/>
      <c r="C4" s="330"/>
      <c r="D4" s="338" t="s">
        <v>1</v>
      </c>
      <c r="E4" s="332" t="str">
        <f>'Lembar Penyelia'!E4</f>
        <v>Binder</v>
      </c>
      <c r="F4" s="332"/>
      <c r="G4" s="330"/>
      <c r="H4" s="330"/>
      <c r="I4" s="330"/>
      <c r="J4" s="330"/>
      <c r="K4" s="330"/>
      <c r="L4" s="333"/>
      <c r="M4" s="338"/>
      <c r="N4" s="330"/>
      <c r="O4" s="330"/>
    </row>
    <row r="5" spans="1:15" s="2" customFormat="1" ht="15.75" customHeight="1">
      <c r="A5" s="337" t="s">
        <v>2</v>
      </c>
      <c r="B5" s="337"/>
      <c r="C5" s="330"/>
      <c r="D5" s="338" t="s">
        <v>1</v>
      </c>
      <c r="E5" s="332" t="str">
        <f>'Lembar Penyelia'!E5</f>
        <v>WTC</v>
      </c>
      <c r="F5" s="332"/>
      <c r="G5" s="330"/>
      <c r="H5" s="330"/>
      <c r="I5" s="330"/>
      <c r="J5" s="330"/>
      <c r="K5" s="330"/>
      <c r="L5" s="333"/>
      <c r="M5" s="338"/>
      <c r="N5" s="330"/>
      <c r="O5" s="330"/>
    </row>
    <row r="6" spans="1:15" s="2" customFormat="1" ht="15.75" customHeight="1">
      <c r="A6" s="337" t="s">
        <v>192</v>
      </c>
      <c r="B6" s="337"/>
      <c r="C6" s="330"/>
      <c r="D6" s="338" t="s">
        <v>1</v>
      </c>
      <c r="E6" s="339" t="str">
        <f>'Lembar Penyelia'!E6</f>
        <v>900165</v>
      </c>
      <c r="F6" s="332"/>
      <c r="G6" s="330"/>
      <c r="H6" s="330"/>
      <c r="I6" s="330"/>
      <c r="J6" s="330"/>
      <c r="K6" s="330"/>
      <c r="L6" s="333"/>
      <c r="M6" s="338"/>
      <c r="N6" s="330"/>
      <c r="O6" s="330"/>
    </row>
    <row r="7" spans="1:15" s="2" customFormat="1" ht="15.75" customHeight="1">
      <c r="A7" s="337" t="s">
        <v>4</v>
      </c>
      <c r="B7" s="337"/>
      <c r="C7" s="330"/>
      <c r="D7" s="338" t="s">
        <v>1</v>
      </c>
      <c r="E7" s="448" t="str">
        <f>'Lembar Penyelia'!E7</f>
        <v>-</v>
      </c>
      <c r="F7" s="333"/>
      <c r="G7" s="330"/>
      <c r="H7" s="330"/>
      <c r="I7" s="333"/>
      <c r="J7" s="333"/>
      <c r="K7" s="338"/>
      <c r="L7" s="330"/>
      <c r="M7" s="330"/>
      <c r="N7" s="330"/>
      <c r="O7" s="330"/>
    </row>
    <row r="8" spans="1:15" s="2" customFormat="1" ht="13.2" customHeight="1">
      <c r="A8" s="337" t="str">
        <f>'Lembar Penyelia'!A8</f>
        <v>Tanggal Penerimaan Alat</v>
      </c>
      <c r="B8" s="337"/>
      <c r="C8" s="330"/>
      <c r="D8" s="338" t="s">
        <v>1</v>
      </c>
      <c r="E8" s="339" t="str">
        <f>'Lembar Penyelia'!E8</f>
        <v>18 Februari 2020</v>
      </c>
      <c r="F8" s="333"/>
      <c r="G8" s="330"/>
      <c r="H8" s="330"/>
      <c r="I8" s="333"/>
      <c r="J8" s="333"/>
      <c r="K8" s="338"/>
      <c r="L8" s="330"/>
      <c r="M8" s="330"/>
      <c r="N8" s="330"/>
      <c r="O8" s="330"/>
    </row>
    <row r="9" spans="1:15" s="2" customFormat="1" ht="15.75" customHeight="1">
      <c r="A9" s="337" t="s">
        <v>480</v>
      </c>
      <c r="B9" s="337"/>
      <c r="C9" s="330"/>
      <c r="D9" s="338" t="s">
        <v>1</v>
      </c>
      <c r="E9" s="339" t="str">
        <f>'Lembar Penyelia'!E9</f>
        <v>18 Februari 2020</v>
      </c>
      <c r="F9" s="332"/>
      <c r="G9" s="330"/>
      <c r="H9" s="330"/>
      <c r="I9" s="333"/>
      <c r="J9" s="333"/>
      <c r="K9" s="338"/>
      <c r="L9" s="330"/>
      <c r="M9" s="330"/>
      <c r="N9" s="330"/>
      <c r="O9" s="330"/>
    </row>
    <row r="10" spans="1:15" s="2" customFormat="1" ht="15.75" customHeight="1">
      <c r="A10" s="337" t="s">
        <v>477</v>
      </c>
      <c r="B10" s="337"/>
      <c r="C10" s="330"/>
      <c r="D10" s="338" t="s">
        <v>1</v>
      </c>
      <c r="E10" s="339" t="str">
        <f>'Lembar Penyelia'!E10</f>
        <v>Laboratorium</v>
      </c>
      <c r="F10" s="332"/>
      <c r="G10" s="330"/>
      <c r="H10" s="330"/>
      <c r="I10" s="333"/>
      <c r="J10" s="333"/>
      <c r="K10" s="338"/>
      <c r="L10" s="330"/>
      <c r="M10" s="330"/>
      <c r="N10" s="330"/>
      <c r="O10" s="330"/>
    </row>
    <row r="11" spans="1:15" s="2" customFormat="1" ht="15.75" customHeight="1">
      <c r="A11" s="337" t="s">
        <v>76</v>
      </c>
      <c r="B11" s="337"/>
      <c r="C11" s="330"/>
      <c r="D11" s="338" t="s">
        <v>1</v>
      </c>
      <c r="E11" s="339" t="str">
        <f>'Lembar Penyelia'!E11</f>
        <v>Laboratorium</v>
      </c>
      <c r="F11" s="332"/>
      <c r="G11" s="330"/>
      <c r="H11" s="330"/>
      <c r="I11" s="333"/>
      <c r="J11" s="333"/>
      <c r="K11" s="338"/>
      <c r="L11" s="330"/>
      <c r="M11" s="330"/>
      <c r="N11" s="330"/>
      <c r="O11" s="330"/>
    </row>
    <row r="12" spans="1:15" s="2" customFormat="1" ht="15.75" customHeight="1">
      <c r="A12" s="337" t="s">
        <v>193</v>
      </c>
      <c r="B12" s="337"/>
      <c r="C12" s="330"/>
      <c r="D12" s="338" t="s">
        <v>1</v>
      </c>
      <c r="E12" s="330" t="str">
        <f>'Lembar Penyelia'!E12</f>
        <v>MK.032-18</v>
      </c>
      <c r="F12" s="330"/>
      <c r="G12" s="330"/>
      <c r="H12" s="330"/>
      <c r="I12" s="333"/>
      <c r="J12" s="333"/>
      <c r="K12" s="338"/>
      <c r="L12" s="330"/>
      <c r="M12" s="330"/>
      <c r="N12" s="330"/>
      <c r="O12" s="330"/>
    </row>
    <row r="13" spans="1:15" s="2" customFormat="1" ht="14.1" customHeight="1">
      <c r="A13" s="330"/>
      <c r="B13" s="330"/>
      <c r="C13" s="330"/>
      <c r="D13" s="333"/>
      <c r="E13" s="1273"/>
      <c r="F13" s="1273"/>
      <c r="G13" s="1273"/>
      <c r="H13" s="1273"/>
      <c r="I13" s="1273"/>
      <c r="J13" s="1273"/>
      <c r="K13" s="1273"/>
      <c r="L13" s="1273"/>
      <c r="M13" s="332"/>
      <c r="N13" s="330"/>
      <c r="O13" s="330"/>
    </row>
    <row r="14" spans="1:15" s="2" customFormat="1" ht="15.75" customHeight="1">
      <c r="A14" s="340" t="s">
        <v>194</v>
      </c>
      <c r="B14" s="334" t="s">
        <v>153</v>
      </c>
      <c r="C14" s="341"/>
      <c r="D14" s="330"/>
      <c r="E14" s="334"/>
      <c r="F14" s="330"/>
      <c r="G14" s="330"/>
      <c r="H14" s="518"/>
      <c r="I14" s="342"/>
      <c r="J14" s="521"/>
      <c r="K14" s="333"/>
      <c r="L14" s="333"/>
      <c r="M14" s="333"/>
      <c r="N14" s="330"/>
      <c r="O14" s="330"/>
    </row>
    <row r="15" spans="1:15" s="2" customFormat="1" ht="15.75" customHeight="1">
      <c r="A15" s="330"/>
      <c r="B15" s="333" t="s">
        <v>12</v>
      </c>
      <c r="C15" s="330"/>
      <c r="D15" s="338" t="s">
        <v>1</v>
      </c>
      <c r="E15" s="343" t="str">
        <f>'Lembar Penyelia'!E15</f>
        <v>( 26.5 ± 0.8 ) °C</v>
      </c>
      <c r="F15" s="344"/>
      <c r="G15" s="344"/>
      <c r="H15" s="330"/>
      <c r="I15" s="345"/>
      <c r="J15" s="330"/>
      <c r="K15" s="330"/>
      <c r="L15" s="330"/>
      <c r="M15" s="330"/>
      <c r="N15" s="330"/>
      <c r="O15" s="330" t="s">
        <v>30</v>
      </c>
    </row>
    <row r="16" spans="1:15" s="2" customFormat="1" ht="15.75" customHeight="1">
      <c r="A16" s="330"/>
      <c r="B16" s="521" t="s">
        <v>195</v>
      </c>
      <c r="C16" s="330"/>
      <c r="D16" s="338" t="s">
        <v>1</v>
      </c>
      <c r="E16" s="346" t="str">
        <f>'Lembar Penyelia'!E16</f>
        <v>( 58.0 ± 2.6 ) %RH</v>
      </c>
      <c r="F16" s="347"/>
      <c r="G16" s="347"/>
      <c r="H16" s="330"/>
      <c r="I16" s="333"/>
      <c r="J16" s="330"/>
      <c r="K16" s="330"/>
      <c r="L16" s="330"/>
      <c r="M16" s="330"/>
      <c r="N16" s="330"/>
      <c r="O16" s="330" t="s">
        <v>438</v>
      </c>
    </row>
    <row r="17" spans="1:20" s="2" customFormat="1" ht="15.75" customHeight="1">
      <c r="A17" s="330"/>
      <c r="B17" s="521" t="s">
        <v>15</v>
      </c>
      <c r="C17" s="330"/>
      <c r="D17" s="338" t="s">
        <v>1</v>
      </c>
      <c r="E17" s="1274" t="str">
        <f>'Lembar Penyelia'!E17</f>
        <v>( 223.3 ± 2.7 ) Volt</v>
      </c>
      <c r="F17" s="1274"/>
      <c r="G17" s="348"/>
      <c r="H17" s="348"/>
      <c r="I17" s="330"/>
      <c r="J17" s="333"/>
      <c r="K17" s="330"/>
      <c r="L17" s="330"/>
      <c r="M17" s="330"/>
      <c r="N17" s="330"/>
      <c r="O17" s="330"/>
    </row>
    <row r="18" spans="1:20" s="2" customFormat="1" ht="9.9" customHeight="1">
      <c r="A18" s="330"/>
      <c r="B18" s="330"/>
      <c r="C18" s="330"/>
      <c r="D18" s="340"/>
      <c r="E18" s="340"/>
      <c r="F18" s="340"/>
      <c r="G18" s="340"/>
      <c r="H18" s="333"/>
      <c r="I18" s="330"/>
      <c r="J18" s="330"/>
      <c r="K18" s="330"/>
      <c r="L18" s="330"/>
      <c r="M18" s="349"/>
      <c r="N18" s="330"/>
      <c r="O18" s="330"/>
    </row>
    <row r="19" spans="1:20" s="2" customFormat="1" ht="15.75" customHeight="1">
      <c r="A19" s="340" t="s">
        <v>156</v>
      </c>
      <c r="B19" s="340" t="s">
        <v>157</v>
      </c>
      <c r="C19" s="341"/>
      <c r="D19" s="330"/>
      <c r="E19" s="330"/>
      <c r="F19" s="330"/>
      <c r="G19" s="330"/>
      <c r="H19" s="330"/>
      <c r="I19" s="330"/>
      <c r="J19" s="349"/>
      <c r="K19" s="330"/>
      <c r="L19" s="332"/>
      <c r="M19" s="330"/>
      <c r="N19" s="330"/>
      <c r="O19" s="330"/>
    </row>
    <row r="20" spans="1:20" s="2" customFormat="1" ht="15.75" customHeight="1">
      <c r="A20" s="330"/>
      <c r="B20" s="336" t="s">
        <v>196</v>
      </c>
      <c r="C20" s="330"/>
      <c r="D20" s="350" t="s">
        <v>1</v>
      </c>
      <c r="E20" s="336" t="str">
        <f>'Lembar Penyelia'!E20</f>
        <v>Baik</v>
      </c>
      <c r="F20" s="330"/>
      <c r="G20" s="330"/>
      <c r="H20" s="330"/>
      <c r="I20" s="330"/>
      <c r="J20" s="351"/>
      <c r="K20" s="351"/>
      <c r="L20" s="351"/>
      <c r="M20" s="351"/>
      <c r="N20" s="351"/>
      <c r="O20" s="351"/>
    </row>
    <row r="21" spans="1:20" s="2" customFormat="1" ht="15.75" customHeight="1">
      <c r="A21" s="330"/>
      <c r="B21" s="336" t="s">
        <v>159</v>
      </c>
      <c r="C21" s="330"/>
      <c r="D21" s="350" t="s">
        <v>1</v>
      </c>
      <c r="E21" s="336" t="str">
        <f>'Lembar Penyelia'!E21</f>
        <v>Baik</v>
      </c>
      <c r="F21" s="330"/>
      <c r="G21" s="330"/>
      <c r="H21" s="330"/>
      <c r="I21" s="351"/>
      <c r="J21" s="351"/>
      <c r="K21" s="351"/>
      <c r="L21" s="351"/>
      <c r="M21" s="351"/>
      <c r="N21" s="351"/>
      <c r="O21" s="351"/>
    </row>
    <row r="22" spans="1:20" s="2" customFormat="1" ht="9.9" customHeight="1">
      <c r="A22" s="330"/>
      <c r="B22" s="330"/>
      <c r="C22" s="330"/>
      <c r="D22" s="330"/>
      <c r="E22" s="336"/>
      <c r="F22" s="352"/>
      <c r="G22" s="352"/>
      <c r="H22" s="336"/>
      <c r="I22" s="351"/>
      <c r="J22" s="353"/>
      <c r="K22" s="353"/>
      <c r="L22" s="353"/>
      <c r="M22" s="353"/>
      <c r="N22" s="353"/>
      <c r="O22" s="353"/>
    </row>
    <row r="23" spans="1:20" s="2" customFormat="1" ht="15.75" customHeight="1">
      <c r="A23" s="340" t="s">
        <v>161</v>
      </c>
      <c r="B23" s="340" t="str">
        <f>'Lembar Penyelia'!B23</f>
        <v>Pengujian Keselamatan Listrik</v>
      </c>
      <c r="C23" s="341"/>
      <c r="D23" s="330"/>
      <c r="E23" s="330"/>
      <c r="F23" s="330"/>
      <c r="G23" s="330"/>
      <c r="H23" s="333"/>
      <c r="I23" s="330"/>
      <c r="J23" s="330"/>
      <c r="K23" s="330"/>
      <c r="L23" s="330"/>
      <c r="M23" s="349"/>
      <c r="N23" s="330"/>
      <c r="O23" s="330"/>
    </row>
    <row r="24" spans="1:20" s="2" customFormat="1" ht="30" customHeight="1">
      <c r="A24" s="330"/>
      <c r="B24" s="520" t="s">
        <v>22</v>
      </c>
      <c r="C24" s="1275" t="s">
        <v>23</v>
      </c>
      <c r="D24" s="1275"/>
      <c r="E24" s="1275"/>
      <c r="F24" s="1275"/>
      <c r="G24" s="1275"/>
      <c r="H24" s="1275"/>
      <c r="I24" s="1275"/>
      <c r="J24" s="1275" t="s">
        <v>24</v>
      </c>
      <c r="K24" s="1275"/>
      <c r="L24" s="1275" t="s">
        <v>25</v>
      </c>
      <c r="M24" s="1275"/>
      <c r="N24" s="330"/>
      <c r="O24" s="330"/>
    </row>
    <row r="25" spans="1:20" s="2" customFormat="1" ht="15" customHeight="1">
      <c r="A25" s="330"/>
      <c r="B25" s="519">
        <v>1</v>
      </c>
      <c r="C25" s="354" t="s">
        <v>26</v>
      </c>
      <c r="D25" s="355"/>
      <c r="E25" s="355"/>
      <c r="F25" s="355"/>
      <c r="G25" s="356"/>
      <c r="H25" s="356"/>
      <c r="I25" s="357"/>
      <c r="J25" s="446" t="str">
        <f>'Lembar Penyelia'!H25</f>
        <v>OL</v>
      </c>
      <c r="K25" s="445" t="str">
        <f>IF(OR(J25="-",J25="OL")," ","MΩ")</f>
        <v xml:space="preserve"> </v>
      </c>
      <c r="L25" s="1225" t="str">
        <f>'Lembar Penyelia'!J25</f>
        <v>&gt; 2 MΩ</v>
      </c>
      <c r="M25" s="1225"/>
      <c r="N25" s="330"/>
      <c r="O25" s="330"/>
    </row>
    <row r="26" spans="1:20" s="2" customFormat="1" ht="15" customHeight="1">
      <c r="A26" s="330"/>
      <c r="B26" s="519">
        <v>2</v>
      </c>
      <c r="C26" s="354" t="s">
        <v>197</v>
      </c>
      <c r="D26" s="355"/>
      <c r="E26" s="355"/>
      <c r="F26" s="355"/>
      <c r="G26" s="356"/>
      <c r="H26" s="356"/>
      <c r="I26" s="357"/>
      <c r="J26" s="443">
        <f>'Lembar Penyelia'!H26</f>
        <v>0.12424980198019801</v>
      </c>
      <c r="K26" s="389" t="str">
        <f>IF(J26="-"," ","Ω")</f>
        <v>Ω</v>
      </c>
      <c r="L26" s="1225" t="s">
        <v>31</v>
      </c>
      <c r="M26" s="1225"/>
      <c r="N26" s="330"/>
      <c r="O26" s="330"/>
    </row>
    <row r="27" spans="1:20" s="2" customFormat="1" ht="15" customHeight="1">
      <c r="A27" s="330"/>
      <c r="B27" s="519">
        <v>3</v>
      </c>
      <c r="C27" s="354" t="s">
        <v>35</v>
      </c>
      <c r="D27" s="355"/>
      <c r="E27" s="355"/>
      <c r="F27" s="355"/>
      <c r="G27" s="356"/>
      <c r="H27" s="356"/>
      <c r="I27" s="357"/>
      <c r="J27" s="444" t="str">
        <f>'Lembar Penyelia'!H27</f>
        <v>-</v>
      </c>
      <c r="K27" s="389" t="str">
        <f>IF(J27="-"," ","µA")</f>
        <v xml:space="preserve"> </v>
      </c>
      <c r="L27" s="1225" t="s">
        <v>37</v>
      </c>
      <c r="M27" s="1225"/>
      <c r="N27" s="330"/>
      <c r="O27" s="330"/>
    </row>
    <row r="28" spans="1:20" s="2" customFormat="1" ht="15" hidden="1" customHeight="1">
      <c r="A28" s="330"/>
      <c r="B28" s="358"/>
      <c r="C28" s="359"/>
      <c r="D28" s="360"/>
      <c r="E28" s="360"/>
      <c r="F28" s="360"/>
      <c r="G28" s="361"/>
      <c r="H28" s="361"/>
      <c r="I28" s="362"/>
      <c r="J28" s="363"/>
      <c r="K28" s="364"/>
      <c r="L28" s="1278"/>
      <c r="M28" s="1278"/>
      <c r="N28" s="330"/>
      <c r="O28" s="330"/>
    </row>
    <row r="29" spans="1:20" s="2" customFormat="1" ht="15" hidden="1" customHeight="1">
      <c r="A29" s="330"/>
      <c r="B29" s="365"/>
      <c r="C29" s="366"/>
      <c r="D29" s="367"/>
      <c r="E29" s="367"/>
      <c r="F29" s="367"/>
      <c r="G29" s="368"/>
      <c r="H29" s="368"/>
      <c r="I29" s="369"/>
      <c r="J29" s="370"/>
      <c r="K29" s="371"/>
      <c r="L29" s="1279"/>
      <c r="M29" s="1279"/>
      <c r="N29" s="330"/>
      <c r="O29" s="330"/>
    </row>
    <row r="30" spans="1:20" s="2" customFormat="1" ht="15" hidden="1" customHeight="1">
      <c r="A30" s="330"/>
      <c r="B30" s="372"/>
      <c r="C30" s="373"/>
      <c r="D30" s="374"/>
      <c r="E30" s="374"/>
      <c r="F30" s="374"/>
      <c r="G30" s="375"/>
      <c r="H30" s="375"/>
      <c r="I30" s="376"/>
      <c r="J30" s="377"/>
      <c r="K30" s="378"/>
      <c r="L30" s="1280"/>
      <c r="M30" s="1280"/>
      <c r="N30" s="330"/>
      <c r="O30" s="330"/>
      <c r="R30" s="19"/>
      <c r="S30" s="19"/>
      <c r="T30" s="19"/>
    </row>
    <row r="31" spans="1:20" s="2" customFormat="1" ht="9.9" customHeight="1">
      <c r="A31" s="330"/>
      <c r="B31" s="330"/>
      <c r="C31" s="330"/>
      <c r="D31" s="379"/>
      <c r="E31" s="380"/>
      <c r="F31" s="380"/>
      <c r="G31" s="380"/>
      <c r="H31" s="380"/>
      <c r="I31" s="380"/>
      <c r="J31" s="518"/>
      <c r="K31" s="381"/>
      <c r="L31" s="382"/>
      <c r="M31" s="383"/>
      <c r="N31" s="384"/>
      <c r="O31" s="381"/>
      <c r="P31" s="15"/>
      <c r="R31" s="19"/>
      <c r="S31" s="19"/>
      <c r="T31" s="19"/>
    </row>
    <row r="32" spans="1:20" s="2" customFormat="1" ht="15.75" customHeight="1">
      <c r="A32" s="329" t="s">
        <v>164</v>
      </c>
      <c r="B32" s="340" t="str">
        <f>'Lembar Penyelia'!B29</f>
        <v>Pengujian Kinerja</v>
      </c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1"/>
      <c r="O32" s="331"/>
      <c r="P32" s="15"/>
      <c r="R32" s="26"/>
      <c r="S32" s="26"/>
      <c r="T32" s="27"/>
    </row>
    <row r="33" spans="1:27" s="2" customFormat="1" ht="15.75" customHeight="1">
      <c r="A33" s="330"/>
      <c r="B33" s="330"/>
      <c r="C33" s="330"/>
      <c r="D33" s="330"/>
      <c r="E33" s="330"/>
      <c r="F33" s="330"/>
      <c r="G33" s="385"/>
      <c r="H33" s="1225" t="s">
        <v>198</v>
      </c>
      <c r="I33" s="1225"/>
      <c r="J33" s="1225"/>
      <c r="K33" s="330"/>
      <c r="L33" s="330"/>
      <c r="M33" s="1227"/>
      <c r="N33" s="1227"/>
      <c r="O33" s="1227"/>
      <c r="P33" s="16"/>
    </row>
    <row r="34" spans="1:27" s="2" customFormat="1" ht="15.75" customHeight="1">
      <c r="A34" s="330"/>
      <c r="B34" s="330"/>
      <c r="C34" s="330"/>
      <c r="D34" s="330"/>
      <c r="E34" s="330"/>
      <c r="F34" s="330"/>
      <c r="G34" s="385"/>
      <c r="H34" s="519" t="s">
        <v>199</v>
      </c>
      <c r="I34" s="386">
        <f>'Lembar Penyelia'!H31</f>
        <v>0.48</v>
      </c>
      <c r="J34" s="387" t="s">
        <v>200</v>
      </c>
      <c r="K34" s="330"/>
      <c r="L34" s="330"/>
      <c r="M34" s="1227"/>
      <c r="N34" s="388"/>
      <c r="O34" s="388"/>
      <c r="P34" s="16"/>
    </row>
    <row r="35" spans="1:27" s="2" customFormat="1" ht="15.75" customHeight="1">
      <c r="A35" s="330"/>
      <c r="B35" s="330"/>
      <c r="C35" s="330"/>
      <c r="D35" s="330"/>
      <c r="E35" s="330"/>
      <c r="F35" s="330"/>
      <c r="G35" s="385"/>
      <c r="H35" s="519" t="s">
        <v>167</v>
      </c>
      <c r="I35" s="386">
        <f>'Lembar Penyelia'!H32</f>
        <v>0.26</v>
      </c>
      <c r="J35" s="389" t="s">
        <v>200</v>
      </c>
      <c r="K35" s="330"/>
      <c r="L35" s="330"/>
      <c r="M35" s="518"/>
      <c r="N35" s="390"/>
      <c r="O35" s="390"/>
      <c r="P35" s="16"/>
    </row>
    <row r="36" spans="1:27" s="2" customFormat="1" ht="15.75" customHeight="1">
      <c r="A36" s="330"/>
      <c r="B36" s="330"/>
      <c r="C36" s="330"/>
      <c r="D36" s="330"/>
      <c r="E36" s="330"/>
      <c r="F36" s="330"/>
      <c r="G36" s="385"/>
      <c r="H36" s="519" t="s">
        <v>201</v>
      </c>
      <c r="I36" s="386">
        <f>'Lembar Penyelia'!H33</f>
        <v>0.28499999999999998</v>
      </c>
      <c r="J36" s="389" t="s">
        <v>200</v>
      </c>
      <c r="K36" s="330"/>
      <c r="L36" s="330"/>
      <c r="M36" s="518"/>
      <c r="N36" s="390"/>
      <c r="O36" s="390"/>
    </row>
    <row r="37" spans="1:27" s="2" customFormat="1" ht="15.75" customHeight="1">
      <c r="A37" s="330"/>
      <c r="B37" s="330"/>
      <c r="C37" s="330"/>
      <c r="D37" s="330"/>
      <c r="E37" s="330"/>
      <c r="F37" s="330"/>
      <c r="G37" s="385"/>
      <c r="H37" s="519" t="s">
        <v>169</v>
      </c>
      <c r="I37" s="386">
        <f>'Lembar Penyelia'!H34</f>
        <v>3.5567999999999995E-2</v>
      </c>
      <c r="J37" s="389" t="s">
        <v>202</v>
      </c>
      <c r="K37" s="330"/>
      <c r="L37" s="330"/>
      <c r="M37" s="518"/>
      <c r="N37" s="390"/>
      <c r="O37" s="390"/>
    </row>
    <row r="38" spans="1:27" s="2" customFormat="1" ht="12" customHeight="1">
      <c r="A38" s="330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518"/>
      <c r="N38" s="390"/>
      <c r="O38" s="390"/>
    </row>
    <row r="39" spans="1:27" s="2" customFormat="1" ht="15.75" customHeight="1">
      <c r="A39" s="330"/>
      <c r="B39" s="330"/>
      <c r="C39" s="330"/>
      <c r="D39" s="330"/>
      <c r="E39" s="330"/>
      <c r="F39" s="330"/>
      <c r="G39" s="330"/>
      <c r="H39" s="519" t="s">
        <v>203</v>
      </c>
      <c r="I39" s="391">
        <f>'Lembar Penyelia'!H36</f>
        <v>2</v>
      </c>
      <c r="J39" s="389" t="s">
        <v>80</v>
      </c>
      <c r="K39" s="330"/>
      <c r="L39" s="330"/>
      <c r="M39" s="518"/>
      <c r="N39" s="390"/>
      <c r="O39" s="390"/>
    </row>
    <row r="40" spans="1:27" s="2" customFormat="1" ht="15.75" customHeight="1">
      <c r="A40" s="330"/>
      <c r="B40" s="330"/>
      <c r="C40" s="330"/>
      <c r="D40" s="330"/>
      <c r="E40" s="330"/>
      <c r="F40" s="330"/>
      <c r="G40" s="330"/>
      <c r="H40" s="519" t="s">
        <v>204</v>
      </c>
      <c r="I40" s="391">
        <f>'Lembar Penyelia'!H37</f>
        <v>4</v>
      </c>
      <c r="J40" s="389" t="s">
        <v>80</v>
      </c>
      <c r="K40" s="330"/>
      <c r="L40" s="330"/>
      <c r="M40" s="518"/>
      <c r="N40" s="390"/>
      <c r="O40" s="390"/>
      <c r="P40" s="17"/>
      <c r="Q40" s="517"/>
      <c r="R40" s="29"/>
      <c r="S40" s="29"/>
    </row>
    <row r="41" spans="1:27" s="2" customFormat="1" ht="12" customHeight="1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518"/>
      <c r="N41" s="390"/>
      <c r="O41" s="390"/>
      <c r="P41" s="18"/>
      <c r="Q41" s="19"/>
      <c r="R41" s="517"/>
      <c r="S41" s="517"/>
      <c r="T41" s="19"/>
      <c r="U41" s="19"/>
      <c r="V41" s="19"/>
      <c r="W41" s="19"/>
      <c r="X41" s="19"/>
      <c r="Y41" s="19"/>
      <c r="Z41" s="19"/>
      <c r="AA41" s="19"/>
    </row>
    <row r="42" spans="1:27" s="2" customFormat="1" ht="24.9" customHeight="1">
      <c r="A42" s="330"/>
      <c r="B42" s="1283" t="s">
        <v>532</v>
      </c>
      <c r="C42" s="1284"/>
      <c r="D42" s="1275" t="s">
        <v>531</v>
      </c>
      <c r="E42" s="1275"/>
      <c r="F42" s="1294" t="s">
        <v>173</v>
      </c>
      <c r="G42" s="1295"/>
      <c r="H42" s="1295"/>
      <c r="I42" s="1296" t="s">
        <v>533</v>
      </c>
      <c r="J42" s="1276" t="s">
        <v>441</v>
      </c>
      <c r="K42" s="1276"/>
      <c r="L42" s="1275" t="s">
        <v>355</v>
      </c>
      <c r="M42" s="1275"/>
      <c r="N42" s="451"/>
      <c r="O42" s="390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spans="1:27" s="2" customFormat="1" ht="15.75" customHeight="1">
      <c r="A43" s="330"/>
      <c r="B43" s="1285"/>
      <c r="C43" s="1286"/>
      <c r="D43" s="1275"/>
      <c r="E43" s="1275"/>
      <c r="F43" s="1290" t="s">
        <v>174</v>
      </c>
      <c r="G43" s="1290" t="s">
        <v>175</v>
      </c>
      <c r="H43" s="1291" t="s">
        <v>106</v>
      </c>
      <c r="I43" s="1297"/>
      <c r="J43" s="1244" t="s">
        <v>529</v>
      </c>
      <c r="K43" s="1244"/>
      <c r="L43" s="1275"/>
      <c r="M43" s="1275"/>
      <c r="N43" s="451"/>
      <c r="O43" s="330"/>
      <c r="P43" s="18"/>
      <c r="Q43" s="1282"/>
    </row>
    <row r="44" spans="1:27" s="2" customFormat="1" ht="30" customHeight="1">
      <c r="A44" s="330"/>
      <c r="B44" s="1287"/>
      <c r="C44" s="1288"/>
      <c r="D44" s="1275"/>
      <c r="E44" s="1275"/>
      <c r="F44" s="1290"/>
      <c r="G44" s="1290"/>
      <c r="H44" s="1292"/>
      <c r="I44" s="1298"/>
      <c r="J44" s="1244"/>
      <c r="K44" s="1244"/>
      <c r="L44" s="1275"/>
      <c r="M44" s="1275"/>
      <c r="N44" s="451"/>
      <c r="O44" s="330"/>
      <c r="P44" s="18"/>
      <c r="Q44" s="1282"/>
    </row>
    <row r="45" spans="1:27" s="2" customFormat="1" ht="31.2" customHeight="1">
      <c r="A45" s="330"/>
      <c r="B45" s="1289" t="str">
        <f>'Lembar Penyelia'!B42</f>
        <v>-</v>
      </c>
      <c r="C45" s="1289"/>
      <c r="D45" s="1293">
        <f>'Lembar Penyelia'!C42</f>
        <v>6.4428226504297132</v>
      </c>
      <c r="E45" s="1111"/>
      <c r="F45" s="5">
        <f>'Lembar Penyelia'!D42</f>
        <v>6.9626950377679186E-2</v>
      </c>
      <c r="G45" s="5">
        <f>'Lembar Penyelia'!E42</f>
        <v>0.52475004916291823</v>
      </c>
      <c r="H45" s="5">
        <f>'Lembar Penyelia'!F42</f>
        <v>0.57429634372598404</v>
      </c>
      <c r="I45" s="392" t="str">
        <f>'Lembar Penyelia'!G42</f>
        <v>-</v>
      </c>
      <c r="J45" s="1244"/>
      <c r="K45" s="1244"/>
      <c r="L45" s="1277">
        <f>'Lembar Penyelia'!J42</f>
        <v>0.87182372106087447</v>
      </c>
      <c r="M45" s="1277"/>
      <c r="N45" s="679"/>
      <c r="O45" s="330"/>
      <c r="P45" s="20"/>
      <c r="Q45" s="1282"/>
    </row>
    <row r="46" spans="1:27" s="2" customFormat="1" ht="9.9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21"/>
      <c r="Q46" s="31"/>
    </row>
    <row r="47" spans="1:27" s="2" customFormat="1" ht="15.75" customHeight="1">
      <c r="A47" s="13" t="s">
        <v>177</v>
      </c>
      <c r="B47" s="393" t="s">
        <v>178</v>
      </c>
      <c r="C47" s="8"/>
      <c r="D47" s="8"/>
      <c r="E47" s="9"/>
      <c r="F47" s="394"/>
      <c r="G47" s="394"/>
      <c r="H47" s="10"/>
      <c r="I47" s="8"/>
      <c r="J47" s="8"/>
      <c r="K47" s="8"/>
      <c r="L47" s="8"/>
      <c r="M47" s="8"/>
      <c r="N47" s="8"/>
      <c r="O47" s="4"/>
      <c r="P47" s="22"/>
      <c r="Q47" s="517"/>
      <c r="R47" s="32"/>
      <c r="S47" s="32"/>
      <c r="T47" s="19"/>
      <c r="U47" s="19"/>
      <c r="V47" s="19"/>
      <c r="W47" s="19"/>
      <c r="X47" s="19"/>
      <c r="Y47" s="19"/>
      <c r="Z47" s="19"/>
      <c r="AA47" s="19"/>
    </row>
    <row r="48" spans="1:27" s="2" customFormat="1" ht="15.75" customHeight="1">
      <c r="A48" s="6"/>
      <c r="B48" s="7" t="str">
        <f>'Lembar Penyelia'!B45</f>
        <v>Ketidakpastian pengukuran dilaporkan pada tingkat kepercayaan 95% dengan faktor cakupan k=2</v>
      </c>
      <c r="C48" s="8"/>
      <c r="D48" s="8"/>
      <c r="E48" s="8"/>
      <c r="F48" s="9"/>
      <c r="G48" s="9"/>
      <c r="H48" s="10"/>
      <c r="I48" s="8"/>
      <c r="J48" s="8"/>
      <c r="K48" s="8"/>
      <c r="L48" s="8"/>
      <c r="M48" s="8"/>
      <c r="N48" s="8"/>
      <c r="O48" s="4"/>
      <c r="P48" s="22"/>
      <c r="Q48" s="517"/>
      <c r="R48" s="32"/>
      <c r="S48" s="32"/>
      <c r="T48" s="19"/>
      <c r="U48" s="19"/>
      <c r="V48" s="19"/>
      <c r="W48" s="19"/>
      <c r="X48" s="19"/>
      <c r="Y48" s="19"/>
      <c r="Z48" s="19"/>
      <c r="AA48" s="19"/>
    </row>
    <row r="49" spans="1:27" s="2" customFormat="1" ht="15.75" customHeight="1">
      <c r="A49" s="6"/>
      <c r="B49" s="7" t="str">
        <f>'Lembar Penyelia'!B46</f>
        <v>Hasil pengukuran keselamatan listrik tertelusur ke Satuan Internasional ( SI ) melalui PT. Kaliman (LK-032-IDN)</v>
      </c>
      <c r="C49" s="8"/>
      <c r="D49" s="8"/>
      <c r="E49" s="8"/>
      <c r="F49" s="9"/>
      <c r="G49" s="9"/>
      <c r="H49" s="10"/>
      <c r="I49" s="8"/>
      <c r="J49" s="8"/>
      <c r="K49" s="8"/>
      <c r="L49" s="8"/>
      <c r="M49" s="8"/>
      <c r="N49" s="8"/>
      <c r="O49" s="4"/>
      <c r="P49" s="22"/>
      <c r="Q49" s="517"/>
      <c r="R49" s="32"/>
      <c r="S49" s="32"/>
      <c r="T49" s="19"/>
      <c r="U49" s="19"/>
      <c r="V49" s="19"/>
      <c r="W49" s="19"/>
      <c r="X49" s="19"/>
      <c r="Y49" s="19"/>
      <c r="Z49" s="19"/>
      <c r="AA49" s="19"/>
    </row>
    <row r="50" spans="1:27" s="2" customFormat="1" ht="15.75" customHeight="1">
      <c r="A50" s="6"/>
      <c r="B50" s="7" t="str">
        <f>'Lembar Penyelia'!B47</f>
        <v>Hasil pengujian kinerja suhu ke Sistem Internasional ( SI ) melalui PT. Kaliman ( LK-032-IDN )</v>
      </c>
      <c r="C50" s="8"/>
      <c r="D50" s="8"/>
      <c r="E50" s="8"/>
      <c r="F50" s="9"/>
      <c r="G50" s="9"/>
      <c r="H50" s="10"/>
      <c r="I50" s="8"/>
      <c r="J50" s="8"/>
      <c r="K50" s="8"/>
      <c r="L50" s="8"/>
      <c r="M50" s="8"/>
      <c r="N50" s="8"/>
      <c r="O50" s="4"/>
      <c r="P50" s="22"/>
      <c r="Q50" s="517"/>
      <c r="R50" s="32"/>
      <c r="S50" s="32"/>
      <c r="T50" s="19"/>
      <c r="U50" s="19"/>
      <c r="V50" s="19"/>
      <c r="W50" s="19"/>
      <c r="X50" s="19"/>
      <c r="Y50" s="19"/>
      <c r="Z50" s="19"/>
      <c r="AA50" s="19"/>
    </row>
    <row r="51" spans="1:27" s="2" customFormat="1" ht="12" customHeight="1">
      <c r="A51" s="6"/>
      <c r="B51" s="7" t="str">
        <f>ID!A109</f>
        <v>Tidak terdapat grounding</v>
      </c>
      <c r="C51" s="8"/>
      <c r="D51" s="8"/>
      <c r="E51" s="8"/>
      <c r="F51" s="9"/>
      <c r="G51" s="9"/>
      <c r="H51" s="10"/>
      <c r="I51" s="8"/>
      <c r="J51" s="8"/>
      <c r="K51" s="8"/>
      <c r="L51" s="8"/>
      <c r="M51" s="8"/>
      <c r="N51" s="8"/>
      <c r="O51" s="4"/>
      <c r="P51" s="22"/>
      <c r="Q51" s="517"/>
      <c r="R51" s="32"/>
      <c r="S51" s="32"/>
    </row>
    <row r="52" spans="1:27" s="2" customFormat="1" ht="9.9" hidden="1" customHeight="1">
      <c r="A52" s="6"/>
      <c r="B52" s="8"/>
      <c r="C52" s="8"/>
      <c r="D52" s="7"/>
      <c r="E52" s="8"/>
      <c r="F52" s="11"/>
      <c r="G52" s="11"/>
      <c r="H52" s="12"/>
      <c r="I52" s="8"/>
      <c r="J52" s="8"/>
      <c r="K52" s="8"/>
      <c r="L52" s="8"/>
      <c r="M52" s="8"/>
      <c r="N52" s="8"/>
      <c r="O52" s="4"/>
      <c r="P52" s="23"/>
      <c r="Q52" s="24"/>
      <c r="R52" s="33"/>
      <c r="S52" s="33"/>
    </row>
    <row r="53" spans="1:27" s="2" customFormat="1" ht="15.75" customHeight="1">
      <c r="A53" s="6"/>
      <c r="B53" s="8"/>
      <c r="C53" s="8"/>
      <c r="D53" s="7"/>
      <c r="E53" s="8"/>
      <c r="F53" s="11"/>
      <c r="G53" s="11"/>
      <c r="H53" s="12"/>
      <c r="I53" s="8"/>
      <c r="J53" s="8"/>
      <c r="K53" s="8"/>
      <c r="L53" s="8"/>
      <c r="M53" s="8"/>
      <c r="N53" s="8"/>
      <c r="O53" s="4"/>
      <c r="P53" s="23"/>
      <c r="Q53" s="24"/>
      <c r="R53" s="33"/>
      <c r="S53" s="33"/>
    </row>
    <row r="54" spans="1:27" s="2" customFormat="1" ht="15.75" customHeight="1">
      <c r="A54" s="13" t="s">
        <v>205</v>
      </c>
      <c r="B54" s="14" t="s">
        <v>181</v>
      </c>
      <c r="C54" s="8"/>
      <c r="D54" s="7"/>
      <c r="E54" s="8"/>
      <c r="F54" s="11"/>
      <c r="G54" s="11"/>
      <c r="H54" s="12"/>
      <c r="I54" s="8"/>
      <c r="J54" s="8"/>
      <c r="K54" s="8"/>
      <c r="L54" s="8"/>
      <c r="M54" s="8"/>
      <c r="N54" s="8"/>
      <c r="O54" s="4"/>
      <c r="P54" s="23"/>
      <c r="Q54" s="24"/>
      <c r="R54" s="33"/>
      <c r="S54" s="33"/>
    </row>
    <row r="55" spans="1:27" s="2" customFormat="1" ht="15.75" customHeight="1">
      <c r="A55" s="6"/>
      <c r="B55" s="11" t="str">
        <f>'Lembar Penyelia'!B54</f>
        <v>Thermocouple Data Logger, Merek : MADGETECH, Model : OctTemp 2000, SN : P41878</v>
      </c>
      <c r="C55" s="8"/>
      <c r="D55" s="7"/>
      <c r="E55" s="8"/>
      <c r="F55" s="11"/>
      <c r="G55" s="11"/>
      <c r="H55" s="12"/>
      <c r="I55" s="8"/>
      <c r="J55" s="8"/>
      <c r="K55" s="8"/>
      <c r="L55" s="8"/>
      <c r="M55" s="8"/>
      <c r="N55" s="8"/>
      <c r="O55" s="4"/>
      <c r="P55" s="23"/>
      <c r="Q55" s="24"/>
      <c r="R55" s="33"/>
      <c r="S55" s="33"/>
    </row>
    <row r="56" spans="1:27" s="2" customFormat="1" ht="15.75" customHeight="1">
      <c r="A56" s="6"/>
      <c r="B56" s="1281" t="str">
        <f>IF('Lembar Penyelia'!B55="",'Lembar Penyelia'!B56,'Lembar Penyelia'!B55)</f>
        <v>Electrical Safety Analyzer, Merek : Fluke, Model : ESA 615, SN : 4669058</v>
      </c>
      <c r="C56" s="1281"/>
      <c r="D56" s="1281"/>
      <c r="E56" s="1281"/>
      <c r="F56" s="1281"/>
      <c r="G56" s="1281"/>
      <c r="H56" s="1281"/>
      <c r="I56" s="1281"/>
      <c r="J56" s="8"/>
      <c r="K56" s="8"/>
      <c r="L56" s="8"/>
      <c r="M56" s="8"/>
      <c r="N56" s="8"/>
      <c r="O56" s="4"/>
      <c r="P56" s="23"/>
      <c r="Q56" s="24"/>
      <c r="R56" s="33"/>
      <c r="S56" s="33"/>
    </row>
    <row r="57" spans="1:27" s="2" customFormat="1" ht="13.2" customHeight="1">
      <c r="A57" s="6"/>
      <c r="B57" s="397" t="str">
        <f>IF('Lembar Penyelia'!B55="","",'Lembar Penyelia'!B56)</f>
        <v/>
      </c>
      <c r="C57" s="8"/>
      <c r="D57" s="7"/>
      <c r="E57" s="8"/>
      <c r="F57" s="11"/>
      <c r="G57" s="11"/>
      <c r="H57" s="12"/>
      <c r="I57" s="8"/>
      <c r="J57" s="8"/>
      <c r="K57" s="8"/>
      <c r="L57" s="8"/>
      <c r="M57" s="8"/>
      <c r="N57" s="8"/>
      <c r="O57" s="4"/>
      <c r="P57" s="23"/>
      <c r="Q57" s="24"/>
      <c r="R57" s="33"/>
      <c r="S57" s="33"/>
    </row>
    <row r="58" spans="1:27" s="2" customFormat="1" ht="15.75" customHeight="1">
      <c r="C58" s="8"/>
      <c r="D58" s="8"/>
      <c r="E58" s="8"/>
      <c r="F58" s="11"/>
      <c r="G58" s="11"/>
      <c r="H58" s="8"/>
      <c r="I58" s="8"/>
      <c r="J58" s="8"/>
      <c r="K58" s="8"/>
      <c r="L58" s="8"/>
      <c r="M58" s="8"/>
      <c r="N58" s="8"/>
      <c r="O58" s="4"/>
      <c r="P58" s="24"/>
      <c r="Q58" s="24"/>
      <c r="R58" s="22"/>
      <c r="S58" s="33"/>
    </row>
    <row r="59" spans="1:27" s="2" customFormat="1" ht="15.75" customHeight="1">
      <c r="A59" s="13" t="s">
        <v>206</v>
      </c>
      <c r="B59" s="400" t="s">
        <v>183</v>
      </c>
      <c r="C59" s="8"/>
      <c r="D59" s="8"/>
      <c r="E59" s="8"/>
      <c r="F59" s="395"/>
      <c r="G59" s="395"/>
      <c r="H59" s="8"/>
      <c r="I59" s="8"/>
      <c r="J59" s="8"/>
      <c r="K59" s="8"/>
      <c r="L59" s="8"/>
      <c r="M59" s="396"/>
      <c r="N59" s="8"/>
      <c r="O59" s="4"/>
      <c r="P59" s="19"/>
      <c r="Q59" s="19"/>
      <c r="R59" s="19"/>
      <c r="S59" s="19"/>
    </row>
    <row r="60" spans="1:27" s="2" customFormat="1" ht="40.5" customHeight="1">
      <c r="A60" s="6"/>
      <c r="B60" s="1272" t="str">
        <f>'Lembar Penyelia'!B60</f>
        <v>Alat yang diuji dalam batas toleransi dan dinyatakan LAIK PAKAI, dimana hasil atau skor akhir sama dengan atau melampaui 70% berdasarkan Keputusan Direktur Jenderal Pelayanan Kesehatan No : HK.02.02 / V / 0412 / 2020</v>
      </c>
      <c r="C60" s="1272"/>
      <c r="D60" s="1272"/>
      <c r="E60" s="1272"/>
      <c r="F60" s="1272"/>
      <c r="G60" s="1272"/>
      <c r="H60" s="1272"/>
      <c r="I60" s="1272"/>
      <c r="J60" s="1272"/>
      <c r="K60" s="1272"/>
      <c r="L60" s="1272"/>
      <c r="M60" s="1272"/>
      <c r="N60" s="1272"/>
      <c r="O60" s="4"/>
    </row>
    <row r="61" spans="1:27" s="2" customFormat="1" ht="8.1" customHeight="1">
      <c r="A61" s="6"/>
      <c r="B61" s="8"/>
      <c r="C61" s="8"/>
      <c r="D61" s="399"/>
      <c r="E61" s="9"/>
      <c r="F61" s="398"/>
      <c r="G61" s="398"/>
      <c r="H61" s="8"/>
      <c r="I61" s="8"/>
      <c r="J61" s="8"/>
      <c r="K61" s="8"/>
      <c r="L61" s="8"/>
      <c r="M61" s="396"/>
      <c r="N61" s="8"/>
      <c r="O61" s="4"/>
    </row>
    <row r="62" spans="1:27" s="2" customFormat="1" ht="15.75" customHeight="1">
      <c r="A62" s="13" t="s">
        <v>184</v>
      </c>
      <c r="B62" s="404" t="str">
        <f>'Lembar Penyelia'!B64</f>
        <v>Petugas Pengujian</v>
      </c>
      <c r="C62" s="8"/>
      <c r="D62" s="8"/>
      <c r="E62" s="9"/>
      <c r="F62" s="10"/>
      <c r="G62" s="10"/>
      <c r="H62" s="8"/>
      <c r="I62" s="8"/>
      <c r="J62" s="8"/>
      <c r="K62" s="8"/>
      <c r="L62" s="8"/>
      <c r="M62" s="396"/>
      <c r="N62" s="8"/>
      <c r="O62" s="4"/>
    </row>
    <row r="63" spans="1:27" s="3" customFormat="1" ht="21.6" customHeight="1">
      <c r="A63" s="401"/>
      <c r="B63" s="397" t="str">
        <f>'Lembar Penyelia'!B65</f>
        <v>Muhammad Zaenuri Sugiasmoro</v>
      </c>
      <c r="N63" s="402"/>
      <c r="O63" s="25"/>
    </row>
    <row r="64" spans="1:27" s="2" customFormat="1" ht="10.5" customHeight="1">
      <c r="A64" s="6"/>
      <c r="B64" s="403"/>
      <c r="C64" s="403"/>
      <c r="D64" s="403"/>
      <c r="E64" s="403"/>
      <c r="F64" s="403"/>
      <c r="G64" s="403"/>
      <c r="H64" s="403"/>
      <c r="I64" s="403"/>
      <c r="J64" s="403"/>
      <c r="K64" s="403"/>
      <c r="L64" s="8"/>
      <c r="M64" s="396"/>
      <c r="N64" s="8"/>
      <c r="O64" s="4"/>
    </row>
    <row r="65" spans="1:17" s="2" customFormat="1" ht="15.75" customHeight="1">
      <c r="C65" s="8"/>
      <c r="D65" s="8"/>
      <c r="E65" s="9"/>
      <c r="F65" s="10"/>
      <c r="G65" s="10"/>
      <c r="H65" s="8"/>
      <c r="I65" s="8"/>
      <c r="J65" s="8"/>
      <c r="K65" s="8"/>
      <c r="L65" s="8"/>
      <c r="M65" s="396"/>
      <c r="N65" s="8"/>
      <c r="O65" s="4"/>
    </row>
    <row r="66" spans="1:17" s="2" customFormat="1" ht="15.75" customHeight="1">
      <c r="A66" s="8"/>
      <c r="C66" s="8"/>
      <c r="D66" s="8"/>
      <c r="E66" s="397"/>
      <c r="F66" s="12"/>
      <c r="G66" s="12"/>
      <c r="H66" s="8"/>
      <c r="I66" s="8"/>
      <c r="J66" s="8"/>
      <c r="K66" s="8"/>
      <c r="L66" s="8"/>
      <c r="M66" s="8"/>
      <c r="N66" s="8"/>
      <c r="O66" s="4"/>
    </row>
    <row r="67" spans="1:17" s="2" customFormat="1" ht="14.1" hidden="1" customHeight="1">
      <c r="A67" s="8"/>
      <c r="B67" s="8"/>
      <c r="C67" s="8"/>
      <c r="D67" s="397"/>
      <c r="E67" s="397"/>
      <c r="F67" s="12"/>
      <c r="G67" s="12"/>
      <c r="H67" s="8"/>
      <c r="I67" s="8"/>
      <c r="J67" s="8"/>
      <c r="K67" s="8"/>
      <c r="L67" s="8"/>
      <c r="M67" s="8"/>
      <c r="N67" s="8"/>
      <c r="O67" s="4"/>
    </row>
    <row r="68" spans="1:17" s="2" customFormat="1" ht="14.1" customHeight="1">
      <c r="A68" s="8"/>
      <c r="B68" s="8"/>
      <c r="C68" s="8"/>
      <c r="D68" s="397"/>
      <c r="E68" s="397"/>
      <c r="F68" s="12"/>
      <c r="G68" s="12"/>
      <c r="H68" s="8"/>
      <c r="I68" s="8"/>
      <c r="J68" s="8"/>
      <c r="K68" s="8"/>
      <c r="L68" s="8"/>
      <c r="M68" s="8"/>
      <c r="N68" s="8"/>
      <c r="O68" s="4"/>
    </row>
    <row r="69" spans="1:17" s="2" customFormat="1" ht="14.1" customHeight="1">
      <c r="A69" s="8"/>
      <c r="B69" s="8"/>
      <c r="C69" s="8"/>
      <c r="D69" s="397"/>
      <c r="E69" s="397"/>
      <c r="F69" s="12"/>
      <c r="G69" s="12"/>
      <c r="H69" s="8"/>
      <c r="I69" s="8"/>
      <c r="J69" s="8"/>
      <c r="K69" s="8"/>
      <c r="L69" s="8"/>
      <c r="M69" s="8"/>
      <c r="N69" s="8"/>
      <c r="O69" s="4"/>
    </row>
    <row r="70" spans="1:17" s="2" customFormat="1" ht="14.1" customHeight="1">
      <c r="A70" s="8"/>
      <c r="B70" s="8"/>
      <c r="C70" s="8"/>
      <c r="D70" s="397"/>
      <c r="E70" s="397"/>
      <c r="F70" s="12"/>
      <c r="G70" s="12"/>
      <c r="H70" s="8"/>
      <c r="I70" s="8"/>
      <c r="J70" s="8"/>
      <c r="K70" s="8"/>
      <c r="L70" s="8"/>
      <c r="M70" s="8"/>
      <c r="N70" s="8"/>
      <c r="O70" s="4"/>
    </row>
    <row r="71" spans="1:17" s="2" customFormat="1" ht="14.1" customHeight="1">
      <c r="A71" s="8"/>
      <c r="B71" s="8"/>
      <c r="C71" s="8"/>
      <c r="D71" s="397"/>
      <c r="E71" s="397"/>
      <c r="F71" s="12"/>
      <c r="G71" s="12"/>
      <c r="H71" s="8"/>
      <c r="I71" s="8"/>
      <c r="J71" s="35" t="s">
        <v>207</v>
      </c>
      <c r="K71" s="8"/>
      <c r="L71" s="8"/>
      <c r="M71" s="8"/>
      <c r="N71" s="8"/>
      <c r="O71" s="4"/>
    </row>
    <row r="72" spans="1:17" s="2" customFormat="1" ht="14.1" customHeight="1">
      <c r="A72" s="8"/>
      <c r="B72" s="8"/>
      <c r="C72" s="8"/>
      <c r="D72" s="397"/>
      <c r="E72" s="397"/>
      <c r="F72" s="12"/>
      <c r="G72" s="12"/>
      <c r="H72" s="8"/>
      <c r="J72" s="35" t="s">
        <v>208</v>
      </c>
      <c r="K72" s="8"/>
      <c r="L72" s="8"/>
      <c r="M72" s="8"/>
      <c r="N72" s="8"/>
      <c r="O72" s="4"/>
    </row>
    <row r="73" spans="1:17" s="2" customFormat="1" ht="14.1" customHeight="1">
      <c r="A73" s="8"/>
      <c r="B73" s="8"/>
      <c r="C73" s="8"/>
      <c r="D73" s="397"/>
      <c r="E73" s="397"/>
      <c r="F73" s="12"/>
      <c r="G73" s="12"/>
      <c r="H73" s="8"/>
      <c r="J73" s="35" t="s">
        <v>209</v>
      </c>
      <c r="K73" s="8"/>
      <c r="L73" s="8"/>
      <c r="M73" s="8"/>
      <c r="N73" s="8"/>
      <c r="O73" s="4"/>
    </row>
    <row r="74" spans="1:17" s="2" customFormat="1" ht="15.75" customHeight="1">
      <c r="A74" s="8"/>
      <c r="B74" s="8"/>
      <c r="C74" s="8"/>
      <c r="D74" s="8"/>
      <c r="E74" s="8"/>
      <c r="F74" s="8"/>
      <c r="G74" s="8"/>
      <c r="H74" s="8"/>
      <c r="K74" s="8"/>
      <c r="L74" s="405"/>
      <c r="M74" s="8"/>
      <c r="N74" s="8"/>
      <c r="O74" s="4"/>
      <c r="Q74" s="34"/>
    </row>
    <row r="75" spans="1:17" s="2" customFormat="1" ht="15.75" customHeight="1">
      <c r="A75" s="8"/>
      <c r="B75" s="8"/>
      <c r="C75" s="8"/>
      <c r="D75" s="8"/>
      <c r="E75" s="8"/>
      <c r="F75" s="8"/>
      <c r="G75" s="8"/>
      <c r="H75" s="8"/>
      <c r="K75" s="8"/>
      <c r="L75" s="405"/>
      <c r="M75" s="8"/>
      <c r="N75" s="8"/>
      <c r="O75" s="4"/>
      <c r="Q75" s="34"/>
    </row>
    <row r="76" spans="1:17" s="2" customFormat="1" ht="15.75" customHeight="1">
      <c r="A76" s="8"/>
      <c r="B76" s="8"/>
      <c r="C76" s="8"/>
      <c r="D76" s="8"/>
      <c r="E76" s="8"/>
      <c r="F76" s="8"/>
      <c r="G76" s="8"/>
      <c r="H76" s="8"/>
      <c r="K76" s="8"/>
      <c r="L76" s="405"/>
      <c r="M76" s="8"/>
      <c r="N76" s="8"/>
      <c r="O76" s="4"/>
      <c r="Q76" s="34"/>
    </row>
    <row r="77" spans="1:17" s="2" customFormat="1" ht="15.75" customHeight="1">
      <c r="A77" s="8"/>
      <c r="B77" s="8"/>
      <c r="C77" s="8"/>
      <c r="D77" s="8"/>
      <c r="E77" s="8"/>
      <c r="F77" s="8"/>
      <c r="G77" s="8"/>
      <c r="H77" s="8"/>
      <c r="K77" s="8"/>
      <c r="L77" s="405"/>
      <c r="M77" s="8"/>
      <c r="N77" s="8"/>
      <c r="O77" s="4"/>
      <c r="Q77" s="34"/>
    </row>
    <row r="78" spans="1:17" s="2" customFormat="1" ht="15.75" customHeight="1">
      <c r="A78" s="8"/>
      <c r="B78" s="8"/>
      <c r="C78" s="8"/>
      <c r="D78" s="8"/>
      <c r="E78" s="8"/>
      <c r="F78" s="8"/>
      <c r="G78" s="8"/>
      <c r="H78" s="8"/>
      <c r="K78" s="8"/>
      <c r="L78" s="405"/>
      <c r="M78" s="8"/>
      <c r="N78" s="8"/>
      <c r="O78" s="4"/>
      <c r="Q78" s="34"/>
    </row>
    <row r="79" spans="1:17" s="2" customFormat="1" ht="15.75" customHeight="1">
      <c r="A79" s="8"/>
      <c r="B79" s="8"/>
      <c r="C79" s="8"/>
      <c r="D79" s="406"/>
      <c r="E79" s="406"/>
      <c r="F79" s="407"/>
      <c r="G79" s="407"/>
      <c r="H79" s="407"/>
      <c r="J79" s="8"/>
      <c r="K79" s="407"/>
      <c r="L79" s="408"/>
      <c r="M79" s="8"/>
      <c r="N79" s="8"/>
      <c r="O79" s="4"/>
      <c r="P79" s="34"/>
      <c r="Q79" s="34"/>
    </row>
    <row r="80" spans="1:17" s="2" customFormat="1" ht="15.75" customHeight="1">
      <c r="A80" s="8"/>
      <c r="B80" s="8"/>
      <c r="C80" s="8"/>
      <c r="D80" s="409"/>
      <c r="E80" s="409"/>
      <c r="F80" s="405"/>
      <c r="G80" s="405"/>
      <c r="H80" s="405"/>
      <c r="J80" s="8"/>
      <c r="K80" s="405"/>
      <c r="L80" s="408"/>
      <c r="M80" s="8"/>
      <c r="N80" s="8"/>
      <c r="O80" s="4"/>
      <c r="P80" s="34"/>
      <c r="Q80" s="34"/>
    </row>
    <row r="81" spans="1:17" s="2" customFormat="1" ht="15.75" customHeight="1">
      <c r="A81" s="8"/>
      <c r="B81" s="8"/>
      <c r="C81" s="8"/>
      <c r="D81" s="409"/>
      <c r="E81" s="409"/>
      <c r="F81" s="405"/>
      <c r="G81" s="405"/>
      <c r="H81" s="405"/>
      <c r="J81" s="456" t="s">
        <v>450</v>
      </c>
      <c r="K81" s="405"/>
      <c r="L81" s="408"/>
      <c r="M81" s="8"/>
      <c r="N81" s="8"/>
      <c r="O81" s="4"/>
      <c r="P81" s="34"/>
      <c r="Q81" s="34"/>
    </row>
    <row r="82" spans="1:17" s="2" customFormat="1" ht="15.75" hidden="1" customHeight="1">
      <c r="A82" s="8"/>
      <c r="B82" s="8"/>
      <c r="C82" s="8"/>
      <c r="D82" s="406"/>
      <c r="E82" s="406"/>
      <c r="F82" s="406"/>
      <c r="G82" s="406"/>
      <c r="H82" s="406"/>
      <c r="J82" s="8"/>
      <c r="K82" s="410"/>
      <c r="L82" s="8"/>
      <c r="M82" s="8"/>
      <c r="N82" s="8"/>
      <c r="O82" s="4"/>
    </row>
    <row r="83" spans="1:17" s="2" customFormat="1" ht="15.75" customHeight="1">
      <c r="A83" s="8"/>
      <c r="B83" s="8"/>
      <c r="C83" s="8"/>
      <c r="D83" s="8"/>
      <c r="E83" s="8"/>
      <c r="F83" s="8"/>
      <c r="G83" s="8"/>
      <c r="H83" s="8"/>
      <c r="J83" s="411" t="s">
        <v>347</v>
      </c>
      <c r="K83" s="8"/>
      <c r="L83" s="8"/>
      <c r="M83" s="8"/>
      <c r="N83" s="8"/>
      <c r="O83" s="4"/>
    </row>
    <row r="84" spans="1:17" s="2" customFormat="1" ht="15.75" customHeight="1">
      <c r="A84" s="8"/>
      <c r="B84" s="8"/>
      <c r="C84" s="8"/>
      <c r="D84" s="8"/>
      <c r="E84" s="8"/>
      <c r="F84" s="8"/>
      <c r="G84" s="8"/>
      <c r="H84" s="8"/>
      <c r="K84" s="8"/>
      <c r="L84" s="8"/>
      <c r="M84" s="8"/>
      <c r="N84" s="8"/>
      <c r="O84" s="4"/>
    </row>
    <row r="85" spans="1:17" ht="15.75" hidden="1" customHeight="1">
      <c r="A85" s="8"/>
      <c r="B85" s="8"/>
      <c r="C85" s="8"/>
      <c r="D85" s="8"/>
      <c r="E85" s="8"/>
      <c r="F85" s="8"/>
      <c r="G85" s="8"/>
      <c r="H85" s="8"/>
      <c r="I85" s="35"/>
      <c r="J85" s="8"/>
      <c r="K85" s="8"/>
      <c r="L85" s="8"/>
      <c r="M85" s="8"/>
      <c r="N85" s="8"/>
    </row>
    <row r="86" spans="1:17" ht="0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35"/>
      <c r="N86" s="8"/>
    </row>
    <row r="87" spans="1:1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35"/>
      <c r="N87" s="8"/>
    </row>
    <row r="88" spans="1:17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455"/>
      <c r="N88" s="36" t="s">
        <v>210</v>
      </c>
    </row>
    <row r="89" spans="1:17" ht="21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7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7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7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7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</sheetData>
  <sheetProtection formatCells="0" formatColumns="0" formatRows="0" insertColumns="0" insertRows="0" deleteColumns="0" deleteRows="0"/>
  <mergeCells count="32">
    <mergeCell ref="B56:I56"/>
    <mergeCell ref="Q43:Q45"/>
    <mergeCell ref="B42:C44"/>
    <mergeCell ref="B45:C45"/>
    <mergeCell ref="F43:F44"/>
    <mergeCell ref="G43:G44"/>
    <mergeCell ref="H43:H44"/>
    <mergeCell ref="D42:E44"/>
    <mergeCell ref="D45:E45"/>
    <mergeCell ref="F42:H42"/>
    <mergeCell ref="I42:I44"/>
    <mergeCell ref="N33:O33"/>
    <mergeCell ref="M33:M34"/>
    <mergeCell ref="L28:M28"/>
    <mergeCell ref="L29:M29"/>
    <mergeCell ref="L30:M30"/>
    <mergeCell ref="B60:N60"/>
    <mergeCell ref="L25:M25"/>
    <mergeCell ref="L26:M26"/>
    <mergeCell ref="L27:M27"/>
    <mergeCell ref="A1:N1"/>
    <mergeCell ref="A2:N2"/>
    <mergeCell ref="E13:L13"/>
    <mergeCell ref="E17:F17"/>
    <mergeCell ref="C24:I24"/>
    <mergeCell ref="J24:K24"/>
    <mergeCell ref="L24:M24"/>
    <mergeCell ref="H33:J33"/>
    <mergeCell ref="J42:K42"/>
    <mergeCell ref="J43:K45"/>
    <mergeCell ref="L42:M44"/>
    <mergeCell ref="L45:M45"/>
  </mergeCells>
  <printOptions horizontalCentered="1"/>
  <pageMargins left="0.51181102362204722" right="0.23622047244094491" top="0.62992125984251968" bottom="0.39370078740157483" header="0.23622047244094491" footer="0.23622047244094491"/>
  <pageSetup paperSize="9" scale="61" orientation="portrait" r:id="rId1"/>
  <headerFooter>
    <oddHeader xml:space="preserve">&amp;R&amp;"-,Regular"&amp;8SH.LHK.032-18/Rev-0 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400-000000000000}">
          <x14:formula1>
            <xm:f>'D:\SOFTWARE 2019\SOFTWARE TEKANAN\[TENSIMETER 8-1-2019 KAN.xlsx]Riwayat Revisi'!#REF!</xm:f>
          </x14:formula1>
          <xm:sqref>J83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3852-9F07-4135-9A81-9CADEBA202DB}">
  <sheetPr>
    <tabColor rgb="FF7030A0"/>
  </sheetPr>
  <dimension ref="A1:AA93"/>
  <sheetViews>
    <sheetView showGridLines="0" view="pageBreakPreview" topLeftCell="A6" zoomScale="80" zoomScaleNormal="100" zoomScaleSheetLayoutView="80" workbookViewId="0">
      <selection activeCell="G18" sqref="G18"/>
    </sheetView>
  </sheetViews>
  <sheetFormatPr defaultColWidth="9" defaultRowHeight="13.8"/>
  <cols>
    <col min="1" max="1" width="4.44140625" style="4" customWidth="1"/>
    <col min="2" max="2" width="5.5546875" style="4" customWidth="1"/>
    <col min="3" max="3" width="14.5546875" style="4" customWidth="1"/>
    <col min="4" max="4" width="5.33203125" style="4" customWidth="1"/>
    <col min="5" max="5" width="9.33203125" style="4" customWidth="1"/>
    <col min="6" max="6" width="11.33203125" style="4" customWidth="1"/>
    <col min="7" max="7" width="10" style="4" customWidth="1"/>
    <col min="8" max="8" width="11.5546875" style="4" customWidth="1"/>
    <col min="9" max="9" width="10.33203125" style="4" customWidth="1"/>
    <col min="10" max="10" width="8.109375" style="4" customWidth="1"/>
    <col min="11" max="11" width="7.44140625" style="4" customWidth="1"/>
    <col min="12" max="12" width="8.33203125" style="4" customWidth="1"/>
    <col min="13" max="14" width="8" style="4" customWidth="1"/>
    <col min="15" max="15" width="7.88671875" style="4" customWidth="1"/>
    <col min="16" max="16" width="9.109375" style="4" customWidth="1"/>
    <col min="17" max="18" width="9.33203125" style="4" customWidth="1"/>
    <col min="19" max="258" width="9.109375" style="4" customWidth="1"/>
    <col min="259" max="16384" width="9" style="4"/>
  </cols>
  <sheetData>
    <row r="1" spans="1:15" ht="19.5" customHeight="1">
      <c r="A1" s="1235" t="str">
        <f>'Lembar Penyelia'!A1:K1</f>
        <v>HASIL PENGUJIAN LABORATORIUM REFRIGERATOR</v>
      </c>
      <c r="B1" s="1235"/>
      <c r="C1" s="1235"/>
      <c r="D1" s="1235"/>
      <c r="E1" s="1235"/>
      <c r="F1" s="1235"/>
      <c r="G1" s="1235"/>
      <c r="H1" s="1235"/>
      <c r="I1" s="1235"/>
      <c r="J1" s="1235"/>
      <c r="K1" s="1235"/>
      <c r="L1" s="1235"/>
      <c r="M1" s="1235"/>
      <c r="N1" s="1235"/>
      <c r="O1" s="330"/>
    </row>
    <row r="2" spans="1:15" ht="18.75" customHeight="1">
      <c r="A2" s="1234" t="str">
        <f>'Lembar Penyelia'!A2:M2</f>
        <v>Nomor Sertifikat : 31 / 1 / IX - 20 / E - 024.34 DL</v>
      </c>
      <c r="B2" s="1234"/>
      <c r="C2" s="1234"/>
      <c r="D2" s="1234"/>
      <c r="E2" s="1234"/>
      <c r="F2" s="1234"/>
      <c r="G2" s="1234"/>
      <c r="H2" s="1234"/>
      <c r="I2" s="1234"/>
      <c r="J2" s="1234"/>
      <c r="K2" s="1234"/>
      <c r="L2" s="1234"/>
      <c r="M2" s="1234"/>
      <c r="N2" s="1234"/>
      <c r="O2" s="330"/>
    </row>
    <row r="3" spans="1:15" ht="14.1" customHeight="1">
      <c r="A3" s="330"/>
      <c r="B3" s="330"/>
      <c r="C3" s="330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0"/>
      <c r="O3" s="330"/>
    </row>
    <row r="4" spans="1:15" s="2" customFormat="1" ht="15.75" customHeight="1">
      <c r="A4" s="337" t="s">
        <v>191</v>
      </c>
      <c r="B4" s="337"/>
      <c r="C4" s="330"/>
      <c r="D4" s="338" t="s">
        <v>1</v>
      </c>
      <c r="E4" s="332" t="str">
        <f>'Lembar Penyelia'!E4</f>
        <v>Binder</v>
      </c>
      <c r="F4" s="332"/>
      <c r="G4" s="330"/>
      <c r="H4" s="330"/>
      <c r="I4" s="330"/>
      <c r="J4" s="330"/>
      <c r="K4" s="330"/>
      <c r="L4" s="333"/>
      <c r="M4" s="338"/>
      <c r="N4" s="330"/>
      <c r="O4" s="330"/>
    </row>
    <row r="5" spans="1:15" s="2" customFormat="1" ht="15.75" customHeight="1">
      <c r="A5" s="337" t="s">
        <v>2</v>
      </c>
      <c r="B5" s="337"/>
      <c r="C5" s="330"/>
      <c r="D5" s="338" t="s">
        <v>1</v>
      </c>
      <c r="E5" s="332" t="str">
        <f>'Lembar Penyelia'!E5</f>
        <v>WTC</v>
      </c>
      <c r="F5" s="332"/>
      <c r="G5" s="330"/>
      <c r="H5" s="330"/>
      <c r="I5" s="330"/>
      <c r="J5" s="330"/>
      <c r="K5" s="330"/>
      <c r="L5" s="333"/>
      <c r="M5" s="338"/>
      <c r="N5" s="330"/>
      <c r="O5" s="330"/>
    </row>
    <row r="6" spans="1:15" s="2" customFormat="1" ht="15.75" customHeight="1">
      <c r="A6" s="337" t="s">
        <v>192</v>
      </c>
      <c r="B6" s="337"/>
      <c r="C6" s="330"/>
      <c r="D6" s="338" t="s">
        <v>1</v>
      </c>
      <c r="E6" s="332" t="str">
        <f>'Lembar Penyelia'!E6</f>
        <v>900165</v>
      </c>
      <c r="F6" s="332"/>
      <c r="G6" s="330"/>
      <c r="H6" s="330"/>
      <c r="I6" s="330"/>
      <c r="J6" s="330"/>
      <c r="K6" s="330"/>
      <c r="L6" s="333"/>
      <c r="M6" s="338"/>
      <c r="N6" s="330"/>
      <c r="O6" s="330"/>
    </row>
    <row r="7" spans="1:15" s="2" customFormat="1" ht="15.75" customHeight="1">
      <c r="A7" s="337" t="s">
        <v>4</v>
      </c>
      <c r="B7" s="337"/>
      <c r="C7" s="330"/>
      <c r="D7" s="338" t="s">
        <v>1</v>
      </c>
      <c r="E7" s="332" t="str">
        <f>'Lembar Penyelia'!E7</f>
        <v>-</v>
      </c>
      <c r="F7" s="333"/>
      <c r="G7" s="330"/>
      <c r="H7" s="330"/>
      <c r="I7" s="333"/>
      <c r="J7" s="333"/>
      <c r="K7" s="338"/>
      <c r="L7" s="330"/>
      <c r="M7" s="330"/>
      <c r="N7" s="330"/>
      <c r="O7" s="330"/>
    </row>
    <row r="8" spans="1:15" s="2" customFormat="1" ht="13.2" customHeight="1">
      <c r="A8" s="337" t="str">
        <f>'Lembar Penyelia'!A8</f>
        <v>Tanggal Penerimaan Alat</v>
      </c>
      <c r="B8" s="337"/>
      <c r="C8" s="330"/>
      <c r="D8" s="338" t="s">
        <v>1</v>
      </c>
      <c r="E8" s="332" t="str">
        <f>'Lembar Penyelia'!E8</f>
        <v>18 Februari 2020</v>
      </c>
      <c r="F8" s="333"/>
      <c r="G8" s="330"/>
      <c r="H8" s="330"/>
      <c r="I8" s="333"/>
      <c r="J8" s="333"/>
      <c r="K8" s="338"/>
      <c r="L8" s="330"/>
      <c r="M8" s="330"/>
      <c r="N8" s="330"/>
      <c r="O8" s="330"/>
    </row>
    <row r="9" spans="1:15" s="2" customFormat="1" ht="15.75" customHeight="1">
      <c r="A9" s="337" t="s">
        <v>481</v>
      </c>
      <c r="B9" s="337"/>
      <c r="C9" s="330"/>
      <c r="D9" s="338" t="s">
        <v>1</v>
      </c>
      <c r="E9" s="332" t="str">
        <f>'Lembar Penyelia'!E9</f>
        <v>18 Februari 2020</v>
      </c>
      <c r="F9" s="332"/>
      <c r="G9" s="330"/>
      <c r="H9" s="330"/>
      <c r="I9" s="333"/>
      <c r="J9" s="333"/>
      <c r="K9" s="338"/>
      <c r="L9" s="330"/>
      <c r="M9" s="330"/>
      <c r="N9" s="330"/>
      <c r="O9" s="330"/>
    </row>
    <row r="10" spans="1:15" s="2" customFormat="1" ht="15.75" customHeight="1">
      <c r="A10" s="337" t="s">
        <v>482</v>
      </c>
      <c r="B10" s="337"/>
      <c r="C10" s="330"/>
      <c r="D10" s="338" t="s">
        <v>1</v>
      </c>
      <c r="E10" s="332" t="str">
        <f>'Lembar Penyelia'!E10</f>
        <v>Laboratorium</v>
      </c>
      <c r="F10" s="332"/>
      <c r="G10" s="330"/>
      <c r="H10" s="330"/>
      <c r="I10" s="333"/>
      <c r="J10" s="333"/>
      <c r="K10" s="338"/>
      <c r="L10" s="330"/>
      <c r="M10" s="330"/>
      <c r="N10" s="330"/>
      <c r="O10" s="330"/>
    </row>
    <row r="11" spans="1:15" s="2" customFormat="1" ht="15.75" customHeight="1">
      <c r="A11" s="337" t="s">
        <v>76</v>
      </c>
      <c r="B11" s="337"/>
      <c r="C11" s="330"/>
      <c r="D11" s="338" t="s">
        <v>1</v>
      </c>
      <c r="E11" s="332" t="str">
        <f>'Lembar Penyelia'!E11</f>
        <v>Laboratorium</v>
      </c>
      <c r="F11" s="332"/>
      <c r="G11" s="330"/>
      <c r="H11" s="330"/>
      <c r="I11" s="333"/>
      <c r="J11" s="333"/>
      <c r="K11" s="338"/>
      <c r="L11" s="330"/>
      <c r="M11" s="330"/>
      <c r="N11" s="330"/>
      <c r="O11" s="330"/>
    </row>
    <row r="12" spans="1:15" s="2" customFormat="1" ht="15.75" customHeight="1">
      <c r="A12" s="337" t="s">
        <v>193</v>
      </c>
      <c r="B12" s="337"/>
      <c r="C12" s="330"/>
      <c r="D12" s="338" t="s">
        <v>1</v>
      </c>
      <c r="E12" s="330" t="str">
        <f>'Lembar Penyelia'!E12</f>
        <v>MK.032-18</v>
      </c>
      <c r="F12" s="330"/>
      <c r="G12" s="330"/>
      <c r="H12" s="330"/>
      <c r="I12" s="333"/>
      <c r="J12" s="333"/>
      <c r="K12" s="338"/>
      <c r="L12" s="330"/>
      <c r="M12" s="330"/>
      <c r="N12" s="330"/>
      <c r="O12" s="330"/>
    </row>
    <row r="13" spans="1:15" s="2" customFormat="1" ht="14.1" customHeight="1">
      <c r="A13" s="330"/>
      <c r="B13" s="330"/>
      <c r="C13" s="330"/>
      <c r="D13" s="333"/>
      <c r="E13" s="1273"/>
      <c r="F13" s="1273"/>
      <c r="G13" s="1273"/>
      <c r="H13" s="1273"/>
      <c r="I13" s="1273"/>
      <c r="J13" s="1273"/>
      <c r="K13" s="1273"/>
      <c r="L13" s="1273"/>
      <c r="M13" s="332"/>
      <c r="N13" s="330"/>
      <c r="O13" s="330"/>
    </row>
    <row r="14" spans="1:15" s="2" customFormat="1" ht="15.75" customHeight="1">
      <c r="A14" s="340" t="s">
        <v>194</v>
      </c>
      <c r="B14" s="334" t="s">
        <v>153</v>
      </c>
      <c r="C14" s="341"/>
      <c r="D14" s="330"/>
      <c r="E14" s="334"/>
      <c r="F14" s="330"/>
      <c r="G14" s="330"/>
      <c r="H14" s="518"/>
      <c r="I14" s="342"/>
      <c r="J14" s="521"/>
      <c r="K14" s="333"/>
      <c r="L14" s="333"/>
      <c r="M14" s="333"/>
      <c r="N14" s="330"/>
      <c r="O14" s="330"/>
    </row>
    <row r="15" spans="1:15" s="2" customFormat="1" ht="15.75" customHeight="1">
      <c r="A15" s="330"/>
      <c r="B15" s="333" t="s">
        <v>12</v>
      </c>
      <c r="C15" s="330"/>
      <c r="D15" s="338" t="s">
        <v>1</v>
      </c>
      <c r="E15" s="1072" t="str">
        <f>'DB Thermohygro'!N390</f>
        <v>26.5</v>
      </c>
      <c r="F15" s="457" t="s">
        <v>573</v>
      </c>
      <c r="G15" s="379" t="str">
        <f>'DB Thermohygro'!O390</f>
        <v>0.8</v>
      </c>
      <c r="H15" s="1075" t="str">
        <f>'DB Thermohygro'!P390</f>
        <v xml:space="preserve"> °C</v>
      </c>
      <c r="I15" s="345"/>
      <c r="J15" s="330"/>
      <c r="K15" s="330"/>
      <c r="L15" s="330"/>
      <c r="M15" s="330"/>
      <c r="N15" s="330"/>
      <c r="O15" s="330" t="s">
        <v>30</v>
      </c>
    </row>
    <row r="16" spans="1:15" s="2" customFormat="1" ht="15.75" customHeight="1">
      <c r="A16" s="330"/>
      <c r="B16" s="521" t="s">
        <v>195</v>
      </c>
      <c r="C16" s="330"/>
      <c r="D16" s="338" t="s">
        <v>1</v>
      </c>
      <c r="E16" s="1072" t="str">
        <f>'DB Thermohygro'!N391</f>
        <v>58.0</v>
      </c>
      <c r="F16" s="457" t="s">
        <v>573</v>
      </c>
      <c r="G16" s="379" t="str">
        <f>'DB Thermohygro'!O391</f>
        <v>2.6</v>
      </c>
      <c r="H16" s="1075" t="s">
        <v>14</v>
      </c>
      <c r="I16" s="333"/>
      <c r="J16" s="330"/>
      <c r="K16" s="330"/>
      <c r="L16" s="330"/>
      <c r="M16" s="330"/>
      <c r="N16" s="330"/>
      <c r="O16" s="330" t="s">
        <v>438</v>
      </c>
    </row>
    <row r="17" spans="1:20" s="2" customFormat="1" ht="15.75" customHeight="1">
      <c r="A17" s="330"/>
      <c r="B17" s="521" t="s">
        <v>15</v>
      </c>
      <c r="C17" s="330"/>
      <c r="D17" s="338" t="s">
        <v>1</v>
      </c>
      <c r="E17" s="1073" t="str">
        <f>'DB Kelistrikan'!H272</f>
        <v>223.3</v>
      </c>
      <c r="F17" s="457" t="s">
        <v>573</v>
      </c>
      <c r="G17" s="1074" t="str">
        <f>'DB Kelistrikan'!I272</f>
        <v>2.7</v>
      </c>
      <c r="H17" s="1076" t="s">
        <v>316</v>
      </c>
      <c r="I17" s="330"/>
      <c r="J17" s="333"/>
      <c r="K17" s="330"/>
      <c r="L17" s="330"/>
      <c r="M17" s="330"/>
      <c r="N17" s="330"/>
      <c r="O17" s="330"/>
    </row>
    <row r="18" spans="1:20" s="2" customFormat="1" ht="9.9" customHeight="1">
      <c r="A18" s="330"/>
      <c r="B18" s="330"/>
      <c r="C18" s="330"/>
      <c r="D18" s="340"/>
      <c r="E18" s="340"/>
      <c r="F18" s="340"/>
      <c r="G18" s="340"/>
      <c r="H18" s="333"/>
      <c r="I18" s="330"/>
      <c r="J18" s="330"/>
      <c r="K18" s="330"/>
      <c r="L18" s="330"/>
      <c r="M18" s="349"/>
      <c r="N18" s="330"/>
      <c r="O18" s="330"/>
    </row>
    <row r="19" spans="1:20" s="2" customFormat="1" ht="15.75" customHeight="1">
      <c r="A19" s="340" t="s">
        <v>156</v>
      </c>
      <c r="B19" s="340" t="s">
        <v>157</v>
      </c>
      <c r="C19" s="341"/>
      <c r="D19" s="330"/>
      <c r="E19" s="330"/>
      <c r="F19" s="330"/>
      <c r="G19" s="330"/>
      <c r="H19" s="330"/>
      <c r="I19" s="330"/>
      <c r="J19" s="349"/>
      <c r="K19" s="330"/>
      <c r="L19" s="332"/>
      <c r="M19" s="330"/>
      <c r="N19" s="330"/>
      <c r="O19" s="330"/>
    </row>
    <row r="20" spans="1:20" s="2" customFormat="1" ht="15.75" customHeight="1">
      <c r="A20" s="330"/>
      <c r="B20" s="336" t="s">
        <v>196</v>
      </c>
      <c r="C20" s="330"/>
      <c r="D20" s="350" t="s">
        <v>1</v>
      </c>
      <c r="E20" s="336" t="str">
        <f>'Lembar Penyelia'!E20</f>
        <v>Baik</v>
      </c>
      <c r="F20" s="330"/>
      <c r="G20" s="330"/>
      <c r="H20" s="330"/>
      <c r="I20" s="330"/>
      <c r="J20" s="351"/>
      <c r="K20" s="351"/>
      <c r="L20" s="351"/>
      <c r="M20" s="351"/>
      <c r="N20" s="351"/>
      <c r="O20" s="351"/>
    </row>
    <row r="21" spans="1:20" s="2" customFormat="1" ht="15.75" customHeight="1">
      <c r="A21" s="330"/>
      <c r="B21" s="336" t="s">
        <v>159</v>
      </c>
      <c r="C21" s="330"/>
      <c r="D21" s="350" t="s">
        <v>1</v>
      </c>
      <c r="E21" s="336" t="str">
        <f>'Lembar Penyelia'!E21</f>
        <v>Baik</v>
      </c>
      <c r="F21" s="330"/>
      <c r="G21" s="330"/>
      <c r="H21" s="330"/>
      <c r="I21" s="351"/>
      <c r="J21" s="351"/>
      <c r="K21" s="351"/>
      <c r="L21" s="351"/>
      <c r="M21" s="351"/>
      <c r="N21" s="351"/>
      <c r="O21" s="351"/>
    </row>
    <row r="22" spans="1:20" s="2" customFormat="1" ht="9.9" customHeight="1">
      <c r="A22" s="330"/>
      <c r="B22" s="330"/>
      <c r="C22" s="330"/>
      <c r="D22" s="330"/>
      <c r="E22" s="336"/>
      <c r="F22" s="352"/>
      <c r="G22" s="352"/>
      <c r="H22" s="336"/>
      <c r="I22" s="351"/>
      <c r="J22" s="353"/>
      <c r="K22" s="353"/>
      <c r="L22" s="353"/>
      <c r="M22" s="353"/>
      <c r="N22" s="353"/>
      <c r="O22" s="353"/>
    </row>
    <row r="23" spans="1:20" s="2" customFormat="1" ht="15.75" customHeight="1">
      <c r="A23" s="340" t="s">
        <v>161</v>
      </c>
      <c r="B23" s="340" t="str">
        <f>'Lembar Penyelia'!B23</f>
        <v>Pengujian Keselamatan Listrik</v>
      </c>
      <c r="C23" s="341"/>
      <c r="D23" s="330"/>
      <c r="E23" s="330"/>
      <c r="F23" s="330"/>
      <c r="G23" s="330"/>
      <c r="H23" s="333"/>
      <c r="I23" s="330"/>
      <c r="J23" s="330"/>
      <c r="K23" s="330"/>
      <c r="L23" s="330"/>
      <c r="M23" s="349"/>
      <c r="N23" s="330"/>
      <c r="O23" s="330"/>
    </row>
    <row r="24" spans="1:20" s="2" customFormat="1" ht="30" customHeight="1">
      <c r="A24" s="330"/>
      <c r="B24" s="520" t="s">
        <v>22</v>
      </c>
      <c r="C24" s="1275" t="s">
        <v>23</v>
      </c>
      <c r="D24" s="1275"/>
      <c r="E24" s="1275"/>
      <c r="F24" s="1275"/>
      <c r="G24" s="1275"/>
      <c r="H24" s="1275"/>
      <c r="I24" s="1275"/>
      <c r="J24" s="1275" t="s">
        <v>24</v>
      </c>
      <c r="K24" s="1275"/>
      <c r="L24" s="1275" t="s">
        <v>25</v>
      </c>
      <c r="M24" s="1275"/>
      <c r="N24" s="330"/>
      <c r="O24" s="330"/>
    </row>
    <row r="25" spans="1:20" s="2" customFormat="1" ht="15" customHeight="1">
      <c r="A25" s="330"/>
      <c r="B25" s="519">
        <v>1</v>
      </c>
      <c r="C25" s="354" t="s">
        <v>26</v>
      </c>
      <c r="D25" s="355"/>
      <c r="E25" s="355"/>
      <c r="F25" s="355"/>
      <c r="G25" s="356"/>
      <c r="H25" s="356"/>
      <c r="I25" s="357"/>
      <c r="J25" s="1077" t="str">
        <f>'Lembar Penyelia'!H25</f>
        <v>OL</v>
      </c>
      <c r="K25" s="445" t="str">
        <f>IF(OR(J25="-",J25="OL")," ","MΩ")</f>
        <v xml:space="preserve"> </v>
      </c>
      <c r="L25" s="1225" t="str">
        <f>'Lembar Penyelia'!J25</f>
        <v>&gt; 2 MΩ</v>
      </c>
      <c r="M25" s="1225"/>
      <c r="N25" s="330"/>
      <c r="O25" s="330"/>
    </row>
    <row r="26" spans="1:20" s="2" customFormat="1" ht="15" customHeight="1">
      <c r="A26" s="330"/>
      <c r="B26" s="519">
        <v>2</v>
      </c>
      <c r="C26" s="354" t="s">
        <v>197</v>
      </c>
      <c r="D26" s="355"/>
      <c r="E26" s="355"/>
      <c r="F26" s="355"/>
      <c r="G26" s="356"/>
      <c r="H26" s="356"/>
      <c r="I26" s="357"/>
      <c r="J26" s="1078">
        <f>'Lembar Penyelia'!H26</f>
        <v>0.12424980198019801</v>
      </c>
      <c r="K26" s="389" t="str">
        <f>IF(J26="-"," ","Ω")</f>
        <v>Ω</v>
      </c>
      <c r="L26" s="1225" t="s">
        <v>31</v>
      </c>
      <c r="M26" s="1225"/>
      <c r="N26" s="330"/>
      <c r="O26" s="330"/>
    </row>
    <row r="27" spans="1:20" s="2" customFormat="1" ht="15" customHeight="1">
      <c r="A27" s="330"/>
      <c r="B27" s="519">
        <v>3</v>
      </c>
      <c r="C27" s="354" t="s">
        <v>35</v>
      </c>
      <c r="D27" s="355"/>
      <c r="E27" s="355"/>
      <c r="F27" s="355"/>
      <c r="G27" s="356"/>
      <c r="H27" s="356"/>
      <c r="I27" s="357"/>
      <c r="J27" s="444" t="str">
        <f>'Lembar Penyelia'!H27</f>
        <v>-</v>
      </c>
      <c r="K27" s="389" t="str">
        <f>IF(J27="-"," ","µA")</f>
        <v xml:space="preserve"> </v>
      </c>
      <c r="L27" s="1225" t="s">
        <v>37</v>
      </c>
      <c r="M27" s="1225"/>
      <c r="N27" s="330"/>
      <c r="O27" s="330"/>
    </row>
    <row r="28" spans="1:20" s="2" customFormat="1" ht="15" hidden="1" customHeight="1">
      <c r="A28" s="330"/>
      <c r="B28" s="358"/>
      <c r="C28" s="359"/>
      <c r="D28" s="360"/>
      <c r="E28" s="360"/>
      <c r="F28" s="360"/>
      <c r="G28" s="361"/>
      <c r="H28" s="361"/>
      <c r="I28" s="362"/>
      <c r="J28" s="363"/>
      <c r="K28" s="364"/>
      <c r="L28" s="1278"/>
      <c r="M28" s="1278"/>
      <c r="N28" s="330"/>
      <c r="O28" s="330"/>
    </row>
    <row r="29" spans="1:20" s="2" customFormat="1" ht="15" hidden="1" customHeight="1">
      <c r="A29" s="330"/>
      <c r="B29" s="365"/>
      <c r="C29" s="366"/>
      <c r="D29" s="367"/>
      <c r="E29" s="367"/>
      <c r="F29" s="367"/>
      <c r="G29" s="368"/>
      <c r="H29" s="368"/>
      <c r="I29" s="369"/>
      <c r="J29" s="370"/>
      <c r="K29" s="371"/>
      <c r="L29" s="1279"/>
      <c r="M29" s="1279"/>
      <c r="N29" s="330"/>
      <c r="O29" s="330"/>
    </row>
    <row r="30" spans="1:20" s="2" customFormat="1" ht="15" hidden="1" customHeight="1">
      <c r="A30" s="330"/>
      <c r="B30" s="372"/>
      <c r="C30" s="373"/>
      <c r="D30" s="374"/>
      <c r="E30" s="374"/>
      <c r="F30" s="374"/>
      <c r="G30" s="375"/>
      <c r="H30" s="375"/>
      <c r="I30" s="376"/>
      <c r="J30" s="377"/>
      <c r="K30" s="378"/>
      <c r="L30" s="1280"/>
      <c r="M30" s="1280"/>
      <c r="N30" s="330"/>
      <c r="O30" s="330"/>
      <c r="R30" s="19"/>
      <c r="S30" s="19"/>
      <c r="T30" s="19"/>
    </row>
    <row r="31" spans="1:20" s="2" customFormat="1" ht="9.9" customHeight="1">
      <c r="A31" s="330"/>
      <c r="B31" s="330"/>
      <c r="C31" s="330"/>
      <c r="D31" s="379"/>
      <c r="E31" s="380"/>
      <c r="F31" s="380"/>
      <c r="G31" s="380"/>
      <c r="H31" s="380"/>
      <c r="I31" s="380"/>
      <c r="J31" s="518"/>
      <c r="K31" s="381"/>
      <c r="L31" s="382"/>
      <c r="M31" s="383"/>
      <c r="N31" s="384"/>
      <c r="O31" s="381"/>
      <c r="P31" s="15"/>
      <c r="R31" s="19"/>
      <c r="S31" s="19"/>
      <c r="T31" s="19"/>
    </row>
    <row r="32" spans="1:20" s="2" customFormat="1" ht="15.75" customHeight="1">
      <c r="A32" s="329" t="s">
        <v>164</v>
      </c>
      <c r="B32" s="340" t="str">
        <f>'Lembar Penyelia'!B29</f>
        <v>Pengujian Kinerja</v>
      </c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1"/>
      <c r="O32" s="331"/>
      <c r="P32" s="15"/>
      <c r="R32" s="26"/>
      <c r="S32" s="26"/>
      <c r="T32" s="27"/>
    </row>
    <row r="33" spans="1:27" s="2" customFormat="1" ht="15.75" customHeight="1">
      <c r="A33" s="330"/>
      <c r="B33" s="330"/>
      <c r="C33" s="330"/>
      <c r="D33" s="330"/>
      <c r="E33" s="330"/>
      <c r="F33" s="330"/>
      <c r="G33" s="385"/>
      <c r="H33" s="1225" t="s">
        <v>198</v>
      </c>
      <c r="I33" s="1225"/>
      <c r="J33" s="1225"/>
      <c r="K33" s="330"/>
      <c r="L33" s="330"/>
      <c r="M33" s="1227"/>
      <c r="N33" s="1227"/>
      <c r="O33" s="1227"/>
      <c r="P33" s="16"/>
    </row>
    <row r="34" spans="1:27" s="2" customFormat="1" ht="15.75" customHeight="1">
      <c r="A34" s="330"/>
      <c r="B34" s="330"/>
      <c r="C34" s="330"/>
      <c r="D34" s="330"/>
      <c r="E34" s="330"/>
      <c r="F34" s="330"/>
      <c r="G34" s="385"/>
      <c r="H34" s="519" t="s">
        <v>199</v>
      </c>
      <c r="I34" s="386">
        <f>'Lembar Penyelia'!H31</f>
        <v>0.48</v>
      </c>
      <c r="J34" s="387" t="s">
        <v>200</v>
      </c>
      <c r="K34" s="330"/>
      <c r="L34" s="330"/>
      <c r="M34" s="1227"/>
      <c r="N34" s="388"/>
      <c r="O34" s="388"/>
      <c r="P34" s="16"/>
    </row>
    <row r="35" spans="1:27" s="2" customFormat="1" ht="15.75" customHeight="1">
      <c r="A35" s="330"/>
      <c r="B35" s="330"/>
      <c r="C35" s="330"/>
      <c r="D35" s="330"/>
      <c r="E35" s="330"/>
      <c r="F35" s="330"/>
      <c r="G35" s="385"/>
      <c r="H35" s="519" t="s">
        <v>167</v>
      </c>
      <c r="I35" s="386">
        <f>'Lembar Penyelia'!H32</f>
        <v>0.26</v>
      </c>
      <c r="J35" s="389" t="s">
        <v>200</v>
      </c>
      <c r="K35" s="330"/>
      <c r="L35" s="330"/>
      <c r="M35" s="518"/>
      <c r="N35" s="390"/>
      <c r="O35" s="390"/>
      <c r="P35" s="16"/>
    </row>
    <row r="36" spans="1:27" s="2" customFormat="1" ht="15.75" customHeight="1">
      <c r="A36" s="330"/>
      <c r="B36" s="330"/>
      <c r="C36" s="330"/>
      <c r="D36" s="330"/>
      <c r="E36" s="330"/>
      <c r="F36" s="330"/>
      <c r="G36" s="385"/>
      <c r="H36" s="519" t="s">
        <v>201</v>
      </c>
      <c r="I36" s="386">
        <f>'Lembar Penyelia'!H33</f>
        <v>0.28499999999999998</v>
      </c>
      <c r="J36" s="389" t="s">
        <v>200</v>
      </c>
      <c r="K36" s="330"/>
      <c r="L36" s="330"/>
      <c r="M36" s="518"/>
      <c r="N36" s="390"/>
      <c r="O36" s="390"/>
    </row>
    <row r="37" spans="1:27" s="2" customFormat="1" ht="15.75" customHeight="1">
      <c r="A37" s="330"/>
      <c r="B37" s="330"/>
      <c r="C37" s="330"/>
      <c r="D37" s="330"/>
      <c r="E37" s="330"/>
      <c r="F37" s="330"/>
      <c r="G37" s="385"/>
      <c r="H37" s="519" t="s">
        <v>169</v>
      </c>
      <c r="I37" s="386">
        <f>'Lembar Penyelia'!H34</f>
        <v>3.5567999999999995E-2</v>
      </c>
      <c r="J37" s="389" t="s">
        <v>202</v>
      </c>
      <c r="K37" s="330"/>
      <c r="L37" s="330"/>
      <c r="M37" s="518"/>
      <c r="N37" s="390"/>
      <c r="O37" s="390"/>
    </row>
    <row r="38" spans="1:27" s="2" customFormat="1" ht="12" customHeight="1">
      <c r="A38" s="330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518"/>
      <c r="N38" s="390"/>
      <c r="O38" s="390"/>
    </row>
    <row r="39" spans="1:27" s="2" customFormat="1" ht="15.75" customHeight="1">
      <c r="A39" s="330"/>
      <c r="B39" s="330"/>
      <c r="C39" s="330"/>
      <c r="D39" s="330"/>
      <c r="E39" s="330"/>
      <c r="F39" s="330"/>
      <c r="G39" s="330"/>
      <c r="H39" s="519" t="s">
        <v>203</v>
      </c>
      <c r="I39" s="1079">
        <f>'Lembar Penyelia'!H36</f>
        <v>2</v>
      </c>
      <c r="J39" s="389" t="s">
        <v>80</v>
      </c>
      <c r="K39" s="330"/>
      <c r="L39" s="330"/>
      <c r="M39" s="518"/>
      <c r="N39" s="390"/>
      <c r="O39" s="390"/>
    </row>
    <row r="40" spans="1:27" s="2" customFormat="1" ht="15.75" customHeight="1">
      <c r="A40" s="330"/>
      <c r="B40" s="330"/>
      <c r="C40" s="330"/>
      <c r="D40" s="330"/>
      <c r="E40" s="330"/>
      <c r="F40" s="330"/>
      <c r="G40" s="330"/>
      <c r="H40" s="519" t="s">
        <v>204</v>
      </c>
      <c r="I40" s="1079">
        <f>'Lembar Penyelia'!H37</f>
        <v>4</v>
      </c>
      <c r="J40" s="389" t="s">
        <v>80</v>
      </c>
      <c r="K40" s="330"/>
      <c r="L40" s="330"/>
      <c r="M40" s="518"/>
      <c r="N40" s="390"/>
      <c r="O40" s="390"/>
      <c r="P40" s="17"/>
      <c r="Q40" s="517"/>
      <c r="R40" s="29"/>
      <c r="S40" s="29"/>
    </row>
    <row r="41" spans="1:27" s="2" customFormat="1" ht="12" customHeight="1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518"/>
      <c r="N41" s="390"/>
      <c r="O41" s="390"/>
      <c r="P41" s="18"/>
      <c r="Q41" s="19"/>
      <c r="R41" s="517"/>
      <c r="S41" s="517"/>
      <c r="T41" s="19"/>
      <c r="U41" s="19"/>
      <c r="V41" s="19"/>
      <c r="W41" s="19"/>
      <c r="X41" s="19"/>
      <c r="Y41" s="19"/>
      <c r="Z41" s="19"/>
      <c r="AA41" s="19"/>
    </row>
    <row r="42" spans="1:27" s="2" customFormat="1" ht="24.9" customHeight="1">
      <c r="A42" s="330"/>
      <c r="B42" s="1275" t="s">
        <v>172</v>
      </c>
      <c r="C42" s="1275"/>
      <c r="D42" s="1275" t="s">
        <v>444</v>
      </c>
      <c r="E42" s="1275"/>
      <c r="F42" s="1294" t="s">
        <v>173</v>
      </c>
      <c r="G42" s="1295"/>
      <c r="H42" s="1295"/>
      <c r="I42" s="1275" t="s">
        <v>449</v>
      </c>
      <c r="J42" s="1276" t="s">
        <v>441</v>
      </c>
      <c r="K42" s="1276"/>
      <c r="L42" s="1275" t="s">
        <v>355</v>
      </c>
      <c r="M42" s="1275"/>
      <c r="N42" s="451"/>
      <c r="O42" s="390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spans="1:27" s="2" customFormat="1" ht="15.75" customHeight="1">
      <c r="A43" s="330"/>
      <c r="B43" s="1275"/>
      <c r="C43" s="1275"/>
      <c r="D43" s="1275"/>
      <c r="E43" s="1275"/>
      <c r="F43" s="1290" t="s">
        <v>174</v>
      </c>
      <c r="G43" s="1290" t="s">
        <v>175</v>
      </c>
      <c r="H43" s="1291" t="s">
        <v>106</v>
      </c>
      <c r="I43" s="1275"/>
      <c r="J43" s="1244" t="s">
        <v>530</v>
      </c>
      <c r="K43" s="1244"/>
      <c r="L43" s="1275"/>
      <c r="M43" s="1275"/>
      <c r="N43" s="451"/>
      <c r="O43" s="330"/>
      <c r="P43" s="18"/>
      <c r="Q43" s="1282"/>
    </row>
    <row r="44" spans="1:27" s="2" customFormat="1" ht="30" customHeight="1">
      <c r="A44" s="330"/>
      <c r="B44" s="1275"/>
      <c r="C44" s="1275"/>
      <c r="D44" s="1275"/>
      <c r="E44" s="1275"/>
      <c r="F44" s="1290"/>
      <c r="G44" s="1290"/>
      <c r="H44" s="1292"/>
      <c r="I44" s="1275"/>
      <c r="J44" s="1244"/>
      <c r="K44" s="1244"/>
      <c r="L44" s="1296"/>
      <c r="M44" s="1296"/>
      <c r="N44" s="451"/>
      <c r="O44" s="330"/>
      <c r="P44" s="18"/>
      <c r="Q44" s="1282"/>
    </row>
    <row r="45" spans="1:27" s="2" customFormat="1" ht="31.2" customHeight="1">
      <c r="A45" s="330"/>
      <c r="B45" s="1299" t="str">
        <f>'Lembar Penyelia'!B42</f>
        <v>-</v>
      </c>
      <c r="C45" s="1299"/>
      <c r="D45" s="1293">
        <f>Laporan!D45</f>
        <v>6.4428226504297132</v>
      </c>
      <c r="E45" s="1293"/>
      <c r="F45" s="5">
        <f>'Lembar Penyelia'!D42</f>
        <v>6.9626950377679186E-2</v>
      </c>
      <c r="G45" s="5">
        <f>'Lembar Penyelia'!E42</f>
        <v>0.52475004916291823</v>
      </c>
      <c r="H45" s="5">
        <f>'Lembar Penyelia'!F42</f>
        <v>0.57429634372598404</v>
      </c>
      <c r="I45" s="1080" t="str">
        <f>'Lembar Penyelia'!G42</f>
        <v>-</v>
      </c>
      <c r="J45" s="1244"/>
      <c r="K45" s="1262"/>
      <c r="L45" s="1071" t="s">
        <v>573</v>
      </c>
      <c r="M45" s="1070">
        <f>'Lembar Penyelia'!J42</f>
        <v>0.87182372106087447</v>
      </c>
      <c r="N45" s="679"/>
      <c r="O45" s="330"/>
      <c r="P45" s="20"/>
      <c r="Q45" s="1282"/>
    </row>
    <row r="46" spans="1:27" s="2" customFormat="1" ht="9.9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21"/>
      <c r="Q46" s="31"/>
    </row>
    <row r="47" spans="1:27" s="2" customFormat="1" ht="15.75" customHeight="1">
      <c r="A47" s="13" t="s">
        <v>177</v>
      </c>
      <c r="B47" s="393" t="s">
        <v>178</v>
      </c>
      <c r="C47" s="8"/>
      <c r="D47" s="8"/>
      <c r="E47" s="9"/>
      <c r="F47" s="394"/>
      <c r="G47" s="394"/>
      <c r="H47" s="10"/>
      <c r="I47" s="8"/>
      <c r="J47" s="8"/>
      <c r="K47" s="8"/>
      <c r="L47" s="8"/>
      <c r="M47" s="8"/>
      <c r="N47" s="8"/>
      <c r="O47" s="4"/>
      <c r="P47" s="22"/>
      <c r="Q47" s="517"/>
      <c r="R47" s="32"/>
      <c r="S47" s="32"/>
      <c r="T47" s="19"/>
      <c r="U47" s="19"/>
      <c r="V47" s="19"/>
      <c r="W47" s="19"/>
      <c r="X47" s="19"/>
      <c r="Y47" s="19"/>
      <c r="Z47" s="19"/>
      <c r="AA47" s="19"/>
    </row>
    <row r="48" spans="1:27" s="2" customFormat="1" ht="15.75" customHeight="1">
      <c r="A48" s="6"/>
      <c r="B48" s="1054" t="str">
        <f>'Lembar Penyelia'!B45</f>
        <v>Ketidakpastian pengukuran dilaporkan pada tingkat kepercayaan 95% dengan faktor cakupan k=2</v>
      </c>
      <c r="C48" s="8"/>
      <c r="D48" s="8"/>
      <c r="E48" s="8"/>
      <c r="F48" s="9"/>
      <c r="G48" s="9"/>
      <c r="H48" s="10"/>
      <c r="I48" s="8"/>
      <c r="J48" s="8"/>
      <c r="K48" s="8"/>
      <c r="L48" s="8"/>
      <c r="M48" s="8"/>
      <c r="N48" s="8"/>
      <c r="O48" s="4"/>
      <c r="P48" s="22"/>
      <c r="Q48" s="517"/>
      <c r="R48" s="32"/>
      <c r="S48" s="32"/>
      <c r="T48" s="19"/>
      <c r="U48" s="19"/>
      <c r="V48" s="19"/>
      <c r="W48" s="19"/>
      <c r="X48" s="19"/>
      <c r="Y48" s="19"/>
      <c r="Z48" s="19"/>
      <c r="AA48" s="19"/>
    </row>
    <row r="49" spans="1:27" s="2" customFormat="1" ht="15.75" customHeight="1">
      <c r="A49" s="6"/>
      <c r="B49" s="1054" t="str">
        <f>'Lembar Penyelia'!B46</f>
        <v>Hasil pengukuran keselamatan listrik tertelusur ke Satuan Internasional ( SI ) melalui PT. Kaliman (LK-032-IDN)</v>
      </c>
      <c r="C49" s="8"/>
      <c r="D49" s="8"/>
      <c r="E49" s="8"/>
      <c r="F49" s="9"/>
      <c r="G49" s="9"/>
      <c r="H49" s="10"/>
      <c r="I49" s="8"/>
      <c r="J49" s="8"/>
      <c r="K49" s="8"/>
      <c r="L49" s="8"/>
      <c r="M49" s="8"/>
      <c r="N49" s="8"/>
      <c r="O49" s="4"/>
      <c r="P49" s="22"/>
      <c r="Q49" s="517"/>
      <c r="R49" s="32"/>
      <c r="S49" s="32"/>
      <c r="T49" s="19"/>
      <c r="U49" s="19"/>
      <c r="V49" s="19"/>
      <c r="W49" s="19"/>
      <c r="X49" s="19"/>
      <c r="Y49" s="19"/>
      <c r="Z49" s="19"/>
      <c r="AA49" s="19"/>
    </row>
    <row r="50" spans="1:27" s="2" customFormat="1" ht="15.75" customHeight="1">
      <c r="A50" s="6"/>
      <c r="B50" s="1054" t="str">
        <f>'Lembar Penyelia'!B47</f>
        <v>Hasil pengujian kinerja suhu ke Sistem Internasional ( SI ) melalui PT. Kaliman ( LK-032-IDN )</v>
      </c>
      <c r="C50" s="8"/>
      <c r="D50" s="8"/>
      <c r="E50" s="8"/>
      <c r="F50" s="9"/>
      <c r="G50" s="9"/>
      <c r="H50" s="10"/>
      <c r="I50" s="8"/>
      <c r="J50" s="8"/>
      <c r="K50" s="8"/>
      <c r="L50" s="8"/>
      <c r="M50" s="8"/>
      <c r="N50" s="8"/>
      <c r="O50" s="4"/>
      <c r="P50" s="22"/>
      <c r="Q50" s="517"/>
      <c r="R50" s="32"/>
      <c r="S50" s="32"/>
      <c r="T50" s="19"/>
      <c r="U50" s="19"/>
      <c r="V50" s="19"/>
      <c r="W50" s="19"/>
      <c r="X50" s="19"/>
      <c r="Y50" s="19"/>
      <c r="Z50" s="19"/>
      <c r="AA50" s="19"/>
    </row>
    <row r="51" spans="1:27" s="2" customFormat="1" ht="14.25" customHeight="1">
      <c r="A51" s="6"/>
      <c r="B51" s="1054" t="str">
        <f>Laporan!B51</f>
        <v>Tidak terdapat grounding</v>
      </c>
      <c r="C51" s="8"/>
      <c r="D51" s="8"/>
      <c r="E51" s="8"/>
      <c r="F51" s="9"/>
      <c r="G51" s="9"/>
      <c r="H51" s="10"/>
      <c r="I51" s="8"/>
      <c r="J51" s="8"/>
      <c r="K51" s="8"/>
      <c r="L51" s="8"/>
      <c r="M51" s="8"/>
      <c r="N51" s="8"/>
      <c r="O51" s="4"/>
      <c r="P51" s="22"/>
      <c r="Q51" s="517"/>
      <c r="R51" s="32"/>
      <c r="S51" s="32"/>
    </row>
    <row r="52" spans="1:27" s="2" customFormat="1" ht="9.9" hidden="1" customHeight="1">
      <c r="A52" s="6"/>
      <c r="B52" s="8"/>
      <c r="C52" s="8"/>
      <c r="D52" s="7"/>
      <c r="E52" s="8"/>
      <c r="F52" s="11"/>
      <c r="G52" s="11"/>
      <c r="H52" s="12"/>
      <c r="I52" s="8"/>
      <c r="J52" s="8"/>
      <c r="K52" s="8"/>
      <c r="L52" s="8"/>
      <c r="M52" s="8"/>
      <c r="N52" s="8"/>
      <c r="O52" s="4"/>
      <c r="P52" s="23"/>
      <c r="Q52" s="24"/>
      <c r="R52" s="33"/>
      <c r="S52" s="33"/>
    </row>
    <row r="53" spans="1:27" s="2" customFormat="1" ht="15.75" customHeight="1">
      <c r="A53" s="6"/>
      <c r="B53" s="8"/>
      <c r="C53" s="8"/>
      <c r="D53" s="7"/>
      <c r="E53" s="8"/>
      <c r="F53" s="11"/>
      <c r="G53" s="11"/>
      <c r="H53" s="12"/>
      <c r="I53" s="8"/>
      <c r="J53" s="8"/>
      <c r="K53" s="8"/>
      <c r="L53" s="8"/>
      <c r="M53" s="8"/>
      <c r="N53" s="8"/>
      <c r="O53" s="4"/>
      <c r="P53" s="23"/>
      <c r="Q53" s="24"/>
      <c r="R53" s="33"/>
      <c r="S53" s="33"/>
    </row>
    <row r="54" spans="1:27" s="2" customFormat="1" ht="15.75" customHeight="1">
      <c r="A54" s="13" t="s">
        <v>205</v>
      </c>
      <c r="B54" s="14" t="s">
        <v>181</v>
      </c>
      <c r="C54" s="8"/>
      <c r="D54" s="7"/>
      <c r="E54" s="8"/>
      <c r="F54" s="11"/>
      <c r="G54" s="11"/>
      <c r="H54" s="12"/>
      <c r="I54" s="8"/>
      <c r="J54" s="8"/>
      <c r="K54" s="8"/>
      <c r="L54" s="8"/>
      <c r="M54" s="8"/>
      <c r="N54" s="8"/>
      <c r="O54" s="4"/>
      <c r="P54" s="23"/>
      <c r="Q54" s="24"/>
      <c r="R54" s="33"/>
      <c r="S54" s="33"/>
    </row>
    <row r="55" spans="1:27" s="2" customFormat="1" ht="15.75" customHeight="1">
      <c r="A55" s="6"/>
      <c r="B55" s="11" t="str">
        <f>Laporan!B55</f>
        <v>Thermocouple Data Logger, Merek : MADGETECH, Model : OctTemp 2000, SN : P41878</v>
      </c>
      <c r="C55" s="8"/>
      <c r="D55" s="7"/>
      <c r="E55" s="8"/>
      <c r="F55" s="11"/>
      <c r="G55" s="11"/>
      <c r="H55" s="12"/>
      <c r="I55" s="8"/>
      <c r="J55" s="8"/>
      <c r="K55" s="8"/>
      <c r="L55" s="8"/>
      <c r="M55" s="8"/>
      <c r="N55" s="8"/>
      <c r="O55" s="4"/>
      <c r="P55" s="23"/>
      <c r="Q55" s="24"/>
      <c r="R55" s="33"/>
      <c r="S55" s="33"/>
    </row>
    <row r="56" spans="1:27" s="2" customFormat="1" ht="15.75" customHeight="1">
      <c r="A56" s="6"/>
      <c r="B56" s="11" t="str">
        <f>Laporan!B56</f>
        <v>Electrical Safety Analyzer, Merek : Fluke, Model : ESA 615, SN : 4669058</v>
      </c>
      <c r="C56" s="8"/>
      <c r="D56" s="7"/>
      <c r="E56" s="8"/>
      <c r="F56" s="11"/>
      <c r="G56" s="11"/>
      <c r="H56" s="12"/>
      <c r="I56" s="8"/>
      <c r="J56" s="8"/>
      <c r="K56" s="8"/>
      <c r="L56" s="8"/>
      <c r="M56" s="8"/>
      <c r="N56" s="8"/>
      <c r="O56" s="4"/>
      <c r="P56" s="23"/>
      <c r="Q56" s="24"/>
      <c r="R56" s="33"/>
      <c r="S56" s="33"/>
    </row>
    <row r="57" spans="1:27" s="2" customFormat="1" ht="15" customHeight="1">
      <c r="A57" s="6"/>
      <c r="B57" s="11" t="str">
        <f>Laporan!B57</f>
        <v/>
      </c>
      <c r="C57" s="8"/>
      <c r="D57" s="7"/>
      <c r="E57" s="8"/>
      <c r="F57" s="11"/>
      <c r="G57" s="11"/>
      <c r="H57" s="12"/>
      <c r="I57" s="8"/>
      <c r="J57" s="8"/>
      <c r="K57" s="8"/>
      <c r="L57" s="8"/>
      <c r="M57" s="8"/>
      <c r="N57" s="8"/>
      <c r="O57" s="4"/>
      <c r="P57" s="23"/>
      <c r="Q57" s="24"/>
      <c r="R57" s="33"/>
      <c r="S57" s="33"/>
    </row>
    <row r="58" spans="1:27" s="2" customFormat="1" ht="15.75" customHeight="1">
      <c r="C58" s="8"/>
      <c r="D58" s="8"/>
      <c r="E58" s="8"/>
      <c r="F58" s="11"/>
      <c r="G58" s="11"/>
      <c r="H58" s="8"/>
      <c r="I58" s="8"/>
      <c r="J58" s="8"/>
      <c r="K58" s="8"/>
      <c r="L58" s="8"/>
      <c r="M58" s="8"/>
      <c r="N58" s="8"/>
      <c r="O58" s="4"/>
      <c r="P58" s="24"/>
      <c r="Q58" s="24"/>
      <c r="R58" s="22"/>
      <c r="S58" s="33"/>
    </row>
    <row r="59" spans="1:27" s="2" customFormat="1" ht="15.75" customHeight="1">
      <c r="A59" s="13" t="s">
        <v>206</v>
      </c>
      <c r="B59" s="400" t="s">
        <v>183</v>
      </c>
      <c r="C59" s="8"/>
      <c r="D59" s="8"/>
      <c r="E59" s="8"/>
      <c r="F59" s="395"/>
      <c r="G59" s="395"/>
      <c r="H59" s="8"/>
      <c r="I59" s="8"/>
      <c r="J59" s="8"/>
      <c r="K59" s="8"/>
      <c r="L59" s="8"/>
      <c r="M59" s="396"/>
      <c r="N59" s="8"/>
      <c r="O59" s="4"/>
      <c r="P59" s="19"/>
      <c r="Q59" s="19"/>
      <c r="R59" s="19"/>
      <c r="S59" s="19"/>
    </row>
    <row r="60" spans="1:27" s="2" customFormat="1" ht="45" customHeight="1">
      <c r="A60" s="6"/>
      <c r="B60" s="1068" t="str">
        <f>'Lembar Penyelia'!B60</f>
        <v>Alat yang diuji dalam batas toleransi dan dinyatakan LAIK PAKAI, dimana hasil atau skor akhir sama dengan atau melampaui 70% berdasarkan Keputusan Direktur Jenderal Pelayanan Kesehatan No : HK.02.02 / V / 0412 / 2020</v>
      </c>
      <c r="C60" s="1068"/>
      <c r="D60" s="1068"/>
      <c r="E60" s="1068"/>
      <c r="F60" s="1068"/>
      <c r="G60" s="1068"/>
      <c r="H60" s="1068"/>
      <c r="I60" s="1068"/>
      <c r="J60" s="1068"/>
      <c r="K60" s="1068"/>
      <c r="L60" s="1068"/>
      <c r="M60" s="1068"/>
      <c r="N60" s="1068"/>
      <c r="O60" s="4"/>
    </row>
    <row r="61" spans="1:27" s="2" customFormat="1" ht="8.1" customHeight="1">
      <c r="A61" s="6"/>
      <c r="B61" s="8"/>
      <c r="C61" s="8"/>
      <c r="D61" s="399"/>
      <c r="E61" s="9"/>
      <c r="F61" s="398"/>
      <c r="G61" s="398"/>
      <c r="H61" s="8"/>
      <c r="I61" s="8"/>
      <c r="J61" s="8"/>
      <c r="K61" s="8"/>
      <c r="L61" s="8"/>
      <c r="M61" s="396"/>
      <c r="N61" s="8"/>
      <c r="O61" s="4"/>
    </row>
    <row r="62" spans="1:27" s="2" customFormat="1" ht="15.75" customHeight="1">
      <c r="A62" s="13" t="s">
        <v>184</v>
      </c>
      <c r="B62" s="404" t="str">
        <f>'Lembar Penyelia'!B64</f>
        <v>Petugas Pengujian</v>
      </c>
      <c r="C62" s="8"/>
      <c r="D62" s="8"/>
      <c r="E62" s="9"/>
      <c r="F62" s="10"/>
      <c r="G62" s="10"/>
      <c r="H62" s="8"/>
      <c r="I62" s="8"/>
      <c r="J62" s="8"/>
      <c r="K62" s="8"/>
      <c r="L62" s="8"/>
      <c r="M62" s="396"/>
      <c r="N62" s="8"/>
      <c r="O62" s="4"/>
    </row>
    <row r="63" spans="1:27" s="3" customFormat="1" ht="21.6" customHeight="1">
      <c r="A63" s="401"/>
      <c r="B63" s="397" t="str">
        <f>'Lembar Penyelia'!B65</f>
        <v>Muhammad Zaenuri Sugiasmoro</v>
      </c>
      <c r="N63" s="402"/>
      <c r="O63" s="25"/>
    </row>
    <row r="64" spans="1:27" s="2" customFormat="1" ht="10.5" customHeight="1">
      <c r="A64" s="6"/>
      <c r="B64" s="403"/>
      <c r="C64" s="403"/>
      <c r="D64" s="403"/>
      <c r="E64" s="403"/>
      <c r="F64" s="403"/>
      <c r="G64" s="403"/>
      <c r="H64" s="403"/>
      <c r="I64" s="403"/>
      <c r="J64" s="403"/>
      <c r="K64" s="403"/>
      <c r="L64" s="8"/>
      <c r="M64" s="396"/>
      <c r="N64" s="8"/>
      <c r="O64" s="4"/>
    </row>
    <row r="65" spans="1:17" s="2" customFormat="1" ht="15.75" customHeight="1">
      <c r="C65" s="8"/>
      <c r="D65" s="8"/>
      <c r="E65" s="9"/>
      <c r="F65" s="10"/>
      <c r="G65" s="10"/>
      <c r="H65" s="8"/>
      <c r="I65" s="8"/>
      <c r="J65" s="8"/>
      <c r="K65" s="8"/>
      <c r="L65" s="8"/>
      <c r="M65" s="396"/>
      <c r="N65" s="8"/>
      <c r="O65" s="4"/>
    </row>
    <row r="66" spans="1:17" s="2" customFormat="1" ht="15.75" customHeight="1">
      <c r="A66" s="8"/>
      <c r="C66" s="8"/>
      <c r="D66" s="8"/>
      <c r="E66" s="397"/>
      <c r="F66" s="12"/>
      <c r="G66" s="12"/>
      <c r="H66" s="8"/>
      <c r="I66" s="8"/>
      <c r="J66" s="8"/>
      <c r="K66" s="8"/>
      <c r="L66" s="8"/>
      <c r="M66" s="8"/>
      <c r="N66" s="8"/>
      <c r="O66" s="4"/>
    </row>
    <row r="67" spans="1:17" s="2" customFormat="1" ht="14.1" hidden="1" customHeight="1">
      <c r="A67" s="8"/>
      <c r="B67" s="8"/>
      <c r="C67" s="8"/>
      <c r="D67" s="397"/>
      <c r="E67" s="397"/>
      <c r="F67" s="12"/>
      <c r="G67" s="12"/>
      <c r="H67" s="8"/>
      <c r="I67" s="8"/>
      <c r="J67" s="8"/>
      <c r="K67" s="8"/>
      <c r="L67" s="8"/>
      <c r="M67" s="8"/>
      <c r="N67" s="8"/>
      <c r="O67" s="4"/>
    </row>
    <row r="68" spans="1:17" s="2" customFormat="1" ht="14.1" customHeight="1">
      <c r="A68" s="8"/>
      <c r="B68" s="8"/>
      <c r="C68" s="8"/>
      <c r="D68" s="397"/>
      <c r="E68" s="397"/>
      <c r="F68" s="12"/>
      <c r="G68" s="12"/>
      <c r="H68" s="8"/>
      <c r="I68" s="8"/>
      <c r="J68" s="8"/>
      <c r="K68" s="8"/>
      <c r="L68" s="8"/>
      <c r="M68" s="8"/>
      <c r="N68" s="8"/>
      <c r="O68" s="4"/>
    </row>
    <row r="69" spans="1:17" s="2" customFormat="1" ht="14.1" customHeight="1">
      <c r="A69" s="8"/>
      <c r="B69" s="8"/>
      <c r="C69" s="8"/>
      <c r="D69" s="397"/>
      <c r="E69" s="397"/>
      <c r="F69" s="12"/>
      <c r="G69" s="12"/>
      <c r="H69" s="8"/>
      <c r="I69" s="8"/>
      <c r="J69" s="8"/>
      <c r="K69" s="8"/>
      <c r="L69" s="8"/>
      <c r="M69" s="8"/>
      <c r="N69" s="8"/>
      <c r="O69" s="4"/>
    </row>
    <row r="70" spans="1:17" s="2" customFormat="1" ht="14.1" customHeight="1">
      <c r="A70" s="8"/>
      <c r="B70" s="8"/>
      <c r="C70" s="8"/>
      <c r="D70" s="397"/>
      <c r="E70" s="397"/>
      <c r="F70" s="12"/>
      <c r="G70" s="12"/>
      <c r="H70" s="8"/>
      <c r="I70" s="8"/>
      <c r="J70" s="8"/>
      <c r="K70" s="8"/>
      <c r="L70" s="8"/>
      <c r="M70" s="8"/>
      <c r="N70" s="8"/>
      <c r="O70" s="4"/>
    </row>
    <row r="71" spans="1:17" s="2" customFormat="1" ht="14.1" customHeight="1">
      <c r="A71" s="8"/>
      <c r="B71" s="8"/>
      <c r="C71" s="8"/>
      <c r="D71" s="397"/>
      <c r="E71" s="397"/>
      <c r="F71" s="12"/>
      <c r="G71" s="12"/>
      <c r="H71" s="8"/>
      <c r="I71" s="8"/>
      <c r="J71" s="35" t="s">
        <v>207</v>
      </c>
      <c r="K71" s="8"/>
      <c r="L71" s="8"/>
      <c r="M71" s="8"/>
      <c r="N71" s="8"/>
      <c r="O71" s="4"/>
    </row>
    <row r="72" spans="1:17" s="2" customFormat="1" ht="14.1" customHeight="1">
      <c r="A72" s="8"/>
      <c r="B72" s="8"/>
      <c r="C72" s="8"/>
      <c r="D72" s="397"/>
      <c r="E72" s="397"/>
      <c r="F72" s="12"/>
      <c r="G72" s="12"/>
      <c r="H72" s="8"/>
      <c r="J72" s="35" t="s">
        <v>208</v>
      </c>
      <c r="K72" s="8"/>
      <c r="L72" s="8"/>
      <c r="M72" s="8"/>
      <c r="N72" s="8"/>
      <c r="O72" s="4"/>
    </row>
    <row r="73" spans="1:17" s="2" customFormat="1" ht="14.1" customHeight="1">
      <c r="A73" s="8"/>
      <c r="B73" s="8"/>
      <c r="C73" s="8"/>
      <c r="D73" s="397"/>
      <c r="E73" s="397"/>
      <c r="F73" s="12"/>
      <c r="G73" s="12"/>
      <c r="H73" s="8"/>
      <c r="J73" s="35" t="s">
        <v>209</v>
      </c>
      <c r="K73" s="8"/>
      <c r="L73" s="8"/>
      <c r="M73" s="8"/>
      <c r="N73" s="8"/>
      <c r="O73" s="4"/>
    </row>
    <row r="74" spans="1:17" s="2" customFormat="1" ht="15.75" customHeight="1">
      <c r="A74" s="8"/>
      <c r="B74" s="8"/>
      <c r="C74" s="8"/>
      <c r="D74" s="8"/>
      <c r="E74" s="8"/>
      <c r="F74" s="8"/>
      <c r="G74" s="8"/>
      <c r="H74" s="8"/>
      <c r="K74" s="8"/>
      <c r="L74" s="405"/>
      <c r="M74" s="8"/>
      <c r="N74" s="8"/>
      <c r="O74" s="4"/>
      <c r="Q74" s="34"/>
    </row>
    <row r="75" spans="1:17" s="2" customFormat="1" ht="15.75" customHeight="1">
      <c r="A75" s="8"/>
      <c r="B75" s="8"/>
      <c r="C75" s="8"/>
      <c r="D75" s="8"/>
      <c r="E75" s="8"/>
      <c r="F75" s="8"/>
      <c r="G75" s="8"/>
      <c r="H75" s="8"/>
      <c r="K75" s="8"/>
      <c r="L75" s="405"/>
      <c r="M75" s="8"/>
      <c r="N75" s="8"/>
      <c r="O75" s="4"/>
      <c r="Q75" s="34"/>
    </row>
    <row r="76" spans="1:17" s="2" customFormat="1" ht="15.75" customHeight="1">
      <c r="A76" s="8"/>
      <c r="B76" s="8"/>
      <c r="C76" s="8"/>
      <c r="D76" s="8"/>
      <c r="E76" s="8"/>
      <c r="F76" s="8"/>
      <c r="G76" s="8"/>
      <c r="H76" s="8"/>
      <c r="K76" s="8"/>
      <c r="L76" s="405"/>
      <c r="M76" s="8"/>
      <c r="N76" s="8"/>
      <c r="O76" s="4"/>
      <c r="Q76" s="34"/>
    </row>
    <row r="77" spans="1:17" s="2" customFormat="1" ht="15.75" customHeight="1">
      <c r="A77" s="8"/>
      <c r="B77" s="8"/>
      <c r="C77" s="8"/>
      <c r="D77" s="8"/>
      <c r="E77" s="8"/>
      <c r="F77" s="8"/>
      <c r="G77" s="8"/>
      <c r="H77" s="8"/>
      <c r="K77" s="8"/>
      <c r="L77" s="405"/>
      <c r="M77" s="8"/>
      <c r="N77" s="8"/>
      <c r="O77" s="4"/>
      <c r="Q77" s="34"/>
    </row>
    <row r="78" spans="1:17" s="2" customFormat="1" ht="15.75" customHeight="1">
      <c r="A78" s="8"/>
      <c r="B78" s="8"/>
      <c r="C78" s="8"/>
      <c r="D78" s="8"/>
      <c r="E78" s="8"/>
      <c r="F78" s="8"/>
      <c r="G78" s="8"/>
      <c r="H78" s="8"/>
      <c r="K78" s="8"/>
      <c r="L78" s="405"/>
      <c r="M78" s="8"/>
      <c r="N78" s="8"/>
      <c r="O78" s="4"/>
      <c r="Q78" s="34"/>
    </row>
    <row r="79" spans="1:17" s="2" customFormat="1" ht="15.75" customHeight="1">
      <c r="A79" s="8"/>
      <c r="B79" s="8"/>
      <c r="C79" s="8"/>
      <c r="D79" s="406"/>
      <c r="E79" s="406"/>
      <c r="F79" s="407"/>
      <c r="G79" s="407"/>
      <c r="H79" s="407"/>
      <c r="J79" s="8"/>
      <c r="K79" s="407"/>
      <c r="L79" s="408"/>
      <c r="M79" s="8"/>
      <c r="N79" s="8"/>
      <c r="O79" s="4"/>
      <c r="P79" s="34"/>
      <c r="Q79" s="34"/>
    </row>
    <row r="80" spans="1:17" s="2" customFormat="1" ht="15.75" customHeight="1">
      <c r="A80" s="8"/>
      <c r="B80" s="8"/>
      <c r="C80" s="8"/>
      <c r="D80" s="409"/>
      <c r="E80" s="409"/>
      <c r="F80" s="405"/>
      <c r="G80" s="405"/>
      <c r="H80" s="405"/>
      <c r="J80" s="8"/>
      <c r="K80" s="405"/>
      <c r="L80" s="408"/>
      <c r="M80" s="8"/>
      <c r="N80" s="8"/>
      <c r="O80" s="4"/>
      <c r="P80" s="34"/>
      <c r="Q80" s="34"/>
    </row>
    <row r="81" spans="1:17" s="2" customFormat="1" ht="15.75" customHeight="1">
      <c r="A81" s="8"/>
      <c r="B81" s="8"/>
      <c r="C81" s="8"/>
      <c r="D81" s="409"/>
      <c r="E81" s="409"/>
      <c r="F81" s="405"/>
      <c r="G81" s="405"/>
      <c r="H81" s="405"/>
      <c r="J81" s="456" t="s">
        <v>450</v>
      </c>
      <c r="K81" s="405"/>
      <c r="L81" s="408"/>
      <c r="M81" s="8"/>
      <c r="N81" s="8"/>
      <c r="O81" s="4"/>
      <c r="P81" s="34"/>
      <c r="Q81" s="34"/>
    </row>
    <row r="82" spans="1:17" s="2" customFormat="1" ht="15.75" hidden="1" customHeight="1">
      <c r="A82" s="8"/>
      <c r="B82" s="8"/>
      <c r="C82" s="8"/>
      <c r="D82" s="406"/>
      <c r="E82" s="406"/>
      <c r="F82" s="406"/>
      <c r="G82" s="406"/>
      <c r="H82" s="406"/>
      <c r="J82" s="8"/>
      <c r="K82" s="410"/>
      <c r="L82" s="8"/>
      <c r="M82" s="8"/>
      <c r="N82" s="8"/>
      <c r="O82" s="4"/>
    </row>
    <row r="83" spans="1:17" s="2" customFormat="1" ht="15.75" customHeight="1">
      <c r="A83" s="8"/>
      <c r="B83" s="8"/>
      <c r="C83" s="8"/>
      <c r="D83" s="8"/>
      <c r="E83" s="8"/>
      <c r="F83" s="8"/>
      <c r="G83" s="8"/>
      <c r="H83" s="8"/>
      <c r="J83" s="411" t="s">
        <v>347</v>
      </c>
      <c r="K83" s="8"/>
      <c r="L83" s="8"/>
      <c r="M83" s="8"/>
      <c r="N83" s="8"/>
      <c r="O83" s="4"/>
    </row>
    <row r="84" spans="1:17" s="2" customFormat="1" ht="15.75" customHeight="1">
      <c r="A84" s="8"/>
      <c r="B84" s="8"/>
      <c r="C84" s="8"/>
      <c r="D84" s="8"/>
      <c r="E84" s="8"/>
      <c r="F84" s="8"/>
      <c r="G84" s="8"/>
      <c r="H84" s="8"/>
      <c r="K84" s="8"/>
      <c r="L84" s="8"/>
      <c r="M84" s="8"/>
      <c r="N84" s="36" t="s">
        <v>210</v>
      </c>
      <c r="O84" s="4"/>
    </row>
    <row r="85" spans="1:17" ht="15.75" hidden="1" customHeight="1">
      <c r="A85" s="8"/>
      <c r="B85" s="8"/>
      <c r="C85" s="8"/>
      <c r="D85" s="8"/>
      <c r="E85" s="8"/>
      <c r="F85" s="8"/>
      <c r="G85" s="8"/>
      <c r="H85" s="8"/>
      <c r="I85" s="35"/>
      <c r="J85" s="8"/>
      <c r="K85" s="8"/>
      <c r="L85" s="8"/>
      <c r="M85" s="8"/>
      <c r="N85" s="8"/>
    </row>
    <row r="86" spans="1:17" ht="15.75" hidden="1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35"/>
      <c r="N86" s="8"/>
    </row>
    <row r="87" spans="1:1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35"/>
    </row>
    <row r="88" spans="1:17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455"/>
    </row>
    <row r="89" spans="1:17" ht="21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7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7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7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7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</sheetData>
  <sheetProtection formatCells="0" formatColumns="0" formatRows="0" insertColumns="0" insertRows="0" deleteColumns="0" deleteRows="0"/>
  <mergeCells count="28">
    <mergeCell ref="G43:G44"/>
    <mergeCell ref="H43:H44"/>
    <mergeCell ref="J43:K45"/>
    <mergeCell ref="Q43:Q45"/>
    <mergeCell ref="B45:C45"/>
    <mergeCell ref="D45:E45"/>
    <mergeCell ref="H33:J33"/>
    <mergeCell ref="M33:M34"/>
    <mergeCell ref="N33:O33"/>
    <mergeCell ref="B42:C44"/>
    <mergeCell ref="D42:E44"/>
    <mergeCell ref="F42:H42"/>
    <mergeCell ref="I42:I44"/>
    <mergeCell ref="J42:K42"/>
    <mergeCell ref="L42:M44"/>
    <mergeCell ref="F43:F44"/>
    <mergeCell ref="L30:M30"/>
    <mergeCell ref="A1:N1"/>
    <mergeCell ref="A2:N2"/>
    <mergeCell ref="E13:L13"/>
    <mergeCell ref="C24:I24"/>
    <mergeCell ref="J24:K24"/>
    <mergeCell ref="L24:M24"/>
    <mergeCell ref="L25:M25"/>
    <mergeCell ref="L26:M26"/>
    <mergeCell ref="L27:M27"/>
    <mergeCell ref="L28:M28"/>
    <mergeCell ref="L29:M29"/>
  </mergeCells>
  <printOptions horizontalCentered="1"/>
  <pageMargins left="0.51181102362204722" right="0.23622047244094491" top="0.62992125984251968" bottom="0.39370078740157483" header="0.23622047244094491" footer="0.23622047244094491"/>
  <pageSetup paperSize="9" scale="64" orientation="portrait" r:id="rId1"/>
  <headerFooter>
    <oddHeader xml:space="preserve">&amp;R&amp;"-,Regular"&amp;8SH.032-18 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2C84EA-4B7A-4E2C-A298-CBF4FE31E813}">
          <x14:formula1>
            <xm:f>'D:\SOFTWARE 2019\SOFTWARE TEKANAN\[TENSIMETER 8-1-2019 KAN.xlsx]Riwayat Revisi'!#REF!</xm:f>
          </x14:formula1>
          <xm:sqref>J83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E47B-5A38-44AF-A95B-FB663B5604BA}">
  <dimension ref="A1:F59"/>
  <sheetViews>
    <sheetView view="pageBreakPreview" topLeftCell="A10" zoomScaleNormal="100" zoomScaleSheetLayoutView="100" workbookViewId="0">
      <selection activeCell="D16" sqref="D16:F16"/>
    </sheetView>
  </sheetViews>
  <sheetFormatPr defaultRowHeight="13.2"/>
  <cols>
    <col min="1" max="1" width="18.109375" style="716" customWidth="1"/>
    <col min="2" max="2" width="26.109375" style="716" customWidth="1"/>
    <col min="3" max="3" width="3.109375" style="716" customWidth="1"/>
    <col min="4" max="4" width="11.5546875" style="716" customWidth="1"/>
    <col min="5" max="5" width="9.44140625" style="716" customWidth="1"/>
    <col min="6" max="6" width="22.5546875" style="716" customWidth="1"/>
    <col min="7" max="16384" width="8.88671875" style="716"/>
  </cols>
  <sheetData>
    <row r="1" spans="1:6">
      <c r="A1" s="694"/>
      <c r="B1" s="694"/>
      <c r="C1" s="694"/>
      <c r="D1" s="694"/>
      <c r="E1" s="694"/>
      <c r="F1" s="694"/>
    </row>
    <row r="2" spans="1:6" ht="30">
      <c r="A2" s="1308" t="str">
        <f>B44</f>
        <v>SERTIFIKAT PENGUJIAN</v>
      </c>
      <c r="B2" s="1308"/>
      <c r="C2" s="1308"/>
      <c r="D2" s="1308"/>
      <c r="E2" s="1308"/>
      <c r="F2" s="1308"/>
    </row>
    <row r="3" spans="1:6" ht="13.8">
      <c r="A3" s="1309" t="str">
        <f>LH!A2</f>
        <v>Nomor Sertifikat : 31 / 1 / IX - 20 / E - 024.34 DL</v>
      </c>
      <c r="B3" s="1309"/>
      <c r="C3" s="1309"/>
      <c r="D3" s="1309"/>
      <c r="E3" s="1309"/>
      <c r="F3" s="1309"/>
    </row>
    <row r="4" spans="1:6">
      <c r="A4" s="694"/>
      <c r="B4" s="694"/>
      <c r="C4" s="694" t="s">
        <v>536</v>
      </c>
      <c r="D4" s="1310" t="s">
        <v>567</v>
      </c>
      <c r="E4" s="1310"/>
      <c r="F4" s="1310"/>
    </row>
    <row r="5" spans="1:6">
      <c r="A5" s="694"/>
      <c r="B5" s="694"/>
      <c r="C5" s="694"/>
      <c r="D5" s="694"/>
      <c r="E5" s="694"/>
      <c r="F5" s="694"/>
    </row>
    <row r="6" spans="1:6" ht="13.8">
      <c r="A6" s="695" t="s">
        <v>537</v>
      </c>
      <c r="B6" s="696" t="s">
        <v>568</v>
      </c>
      <c r="C6" s="697"/>
      <c r="D6" s="1311" t="s">
        <v>538</v>
      </c>
      <c r="E6" s="1312"/>
      <c r="F6" s="698" t="str">
        <f>MID(A3,SEARCH("E - ",A3),LEN(A3))</f>
        <v>E - 024.34 DL</v>
      </c>
    </row>
    <row r="7" spans="1:6" ht="13.8">
      <c r="A7" s="699"/>
      <c r="B7" s="699"/>
      <c r="C7" s="699"/>
      <c r="D7" s="694"/>
      <c r="E7" s="694"/>
      <c r="F7" s="694"/>
    </row>
    <row r="8" spans="1:6" ht="13.8">
      <c r="A8" s="1301" t="s">
        <v>0</v>
      </c>
      <c r="B8" s="1301"/>
      <c r="C8" s="700" t="s">
        <v>1</v>
      </c>
      <c r="D8" s="1301" t="str">
        <f>LH!E4</f>
        <v>Binder</v>
      </c>
      <c r="E8" s="1301"/>
      <c r="F8" s="1301"/>
    </row>
    <row r="9" spans="1:6" ht="13.8">
      <c r="A9" s="1301" t="s">
        <v>539</v>
      </c>
      <c r="B9" s="1301"/>
      <c r="C9" s="700" t="s">
        <v>1</v>
      </c>
      <c r="D9" s="1301" t="str">
        <f>LH!E5</f>
        <v>WTC</v>
      </c>
      <c r="E9" s="1301"/>
      <c r="F9" s="1301"/>
    </row>
    <row r="10" spans="1:6" ht="13.8">
      <c r="A10" s="1301" t="s">
        <v>540</v>
      </c>
      <c r="B10" s="1301"/>
      <c r="C10" s="700" t="s">
        <v>1</v>
      </c>
      <c r="D10" s="1301" t="str">
        <f>LH!E6</f>
        <v>900165</v>
      </c>
      <c r="E10" s="1301"/>
      <c r="F10" s="1301"/>
    </row>
    <row r="11" spans="1:6" ht="13.8">
      <c r="A11" s="701"/>
      <c r="B11" s="701"/>
      <c r="C11" s="699"/>
      <c r="D11" s="694"/>
      <c r="E11" s="694"/>
      <c r="F11" s="694"/>
    </row>
    <row r="12" spans="1:6" ht="29.25" customHeight="1">
      <c r="A12" s="702" t="s">
        <v>541</v>
      </c>
      <c r="B12" s="703" t="s">
        <v>486</v>
      </c>
      <c r="C12" s="699"/>
      <c r="D12" s="1311" t="s">
        <v>542</v>
      </c>
      <c r="E12" s="1312"/>
      <c r="F12" s="704" t="s">
        <v>569</v>
      </c>
    </row>
    <row r="13" spans="1:6" ht="14.4">
      <c r="A13" s="717"/>
      <c r="B13" s="699"/>
      <c r="C13" s="699"/>
      <c r="D13" s="699"/>
      <c r="E13" s="699"/>
      <c r="F13" s="694"/>
    </row>
    <row r="14" spans="1:6" ht="13.8">
      <c r="A14" s="1306" t="s">
        <v>543</v>
      </c>
      <c r="B14" s="1306"/>
      <c r="C14" s="705" t="s">
        <v>1</v>
      </c>
      <c r="D14" s="1307" t="s">
        <v>570</v>
      </c>
      <c r="E14" s="1307"/>
      <c r="F14" s="1307"/>
    </row>
    <row r="15" spans="1:6" ht="13.8">
      <c r="A15" s="1301" t="s">
        <v>544</v>
      </c>
      <c r="B15" s="1301"/>
      <c r="C15" s="700" t="s">
        <v>1</v>
      </c>
      <c r="D15" s="1303" t="str">
        <f>LH!E11</f>
        <v>Laboratorium</v>
      </c>
      <c r="E15" s="1303"/>
      <c r="F15" s="1303"/>
    </row>
    <row r="16" spans="1:6" ht="13.8">
      <c r="A16" s="1301" t="s">
        <v>395</v>
      </c>
      <c r="B16" s="1301"/>
      <c r="C16" s="700" t="s">
        <v>1</v>
      </c>
      <c r="D16" s="1305" t="str">
        <f>LH!E8</f>
        <v>18 Februari 2020</v>
      </c>
      <c r="E16" s="1305"/>
      <c r="F16" s="1305"/>
    </row>
    <row r="17" spans="1:6" ht="13.8">
      <c r="A17" s="1301" t="str">
        <f>"Tanggal "&amp;B48</f>
        <v>Tanggal Pengujian</v>
      </c>
      <c r="B17" s="1301"/>
      <c r="C17" s="700" t="s">
        <v>1</v>
      </c>
      <c r="D17" s="1305" t="str">
        <f>LH!E9</f>
        <v>18 Februari 2020</v>
      </c>
      <c r="E17" s="1305"/>
      <c r="F17" s="1305"/>
    </row>
    <row r="18" spans="1:6" ht="13.8">
      <c r="A18" s="1301" t="str">
        <f>"Penanggungjawab "&amp;B48</f>
        <v>Penanggungjawab Pengujian</v>
      </c>
      <c r="B18" s="1301"/>
      <c r="C18" s="700" t="s">
        <v>1</v>
      </c>
      <c r="D18" s="1301" t="str">
        <f>LH!B63</f>
        <v>Muhammad Zaenuri Sugiasmoro</v>
      </c>
      <c r="E18" s="1301"/>
      <c r="F18" s="1301"/>
    </row>
    <row r="19" spans="1:6" ht="13.8">
      <c r="A19" s="1301" t="str">
        <f>"Lokasi "&amp;B48</f>
        <v>Lokasi Pengujian</v>
      </c>
      <c r="B19" s="1301"/>
      <c r="C19" s="700" t="s">
        <v>1</v>
      </c>
      <c r="D19" s="1303" t="str">
        <f>LH!E10</f>
        <v>Laboratorium</v>
      </c>
      <c r="E19" s="1303"/>
      <c r="F19" s="1303"/>
    </row>
    <row r="20" spans="1:6" ht="36" customHeight="1">
      <c r="A20" s="1303" t="str">
        <f>"Hasil "&amp;B48</f>
        <v>Hasil Pengujian</v>
      </c>
      <c r="B20" s="1303"/>
      <c r="C20" s="706" t="s">
        <v>1</v>
      </c>
      <c r="D20" s="1304" t="s">
        <v>545</v>
      </c>
      <c r="E20" s="1304"/>
      <c r="F20" s="1304"/>
    </row>
    <row r="21" spans="1:6" ht="13.8">
      <c r="A21" s="1301" t="s">
        <v>546</v>
      </c>
      <c r="B21" s="1301"/>
      <c r="C21" s="700" t="s">
        <v>1</v>
      </c>
      <c r="D21" s="1301" t="str">
        <f>LH!E12</f>
        <v>MK.032-18</v>
      </c>
      <c r="E21" s="1301"/>
      <c r="F21" s="1301"/>
    </row>
    <row r="22" spans="1:6">
      <c r="A22" s="694"/>
      <c r="B22" s="694"/>
      <c r="C22" s="694"/>
      <c r="D22" s="694"/>
      <c r="E22" s="694"/>
      <c r="F22" s="694"/>
    </row>
    <row r="23" spans="1:6">
      <c r="A23" s="694"/>
      <c r="B23" s="694"/>
      <c r="C23" s="694"/>
      <c r="D23" s="694"/>
      <c r="E23" s="694"/>
      <c r="F23" s="694"/>
    </row>
    <row r="24" spans="1:6" ht="13.8">
      <c r="A24" s="694"/>
      <c r="B24" s="694"/>
      <c r="C24" s="694"/>
      <c r="D24" s="707" t="s">
        <v>547</v>
      </c>
      <c r="E24" s="1302">
        <f ca="1">TODAY()</f>
        <v>44671</v>
      </c>
      <c r="F24" s="1302"/>
    </row>
    <row r="25" spans="1:6" ht="13.8">
      <c r="A25" s="694"/>
      <c r="B25" s="694"/>
      <c r="C25" s="694"/>
      <c r="D25" s="1301" t="s">
        <v>548</v>
      </c>
      <c r="E25" s="1301"/>
      <c r="F25" s="1301"/>
    </row>
    <row r="26" spans="1:6" ht="13.8">
      <c r="A26" s="694"/>
      <c r="B26" s="694"/>
      <c r="C26" s="694"/>
      <c r="D26" s="1301" t="s">
        <v>549</v>
      </c>
      <c r="E26" s="1301"/>
      <c r="F26" s="1301"/>
    </row>
    <row r="27" spans="1:6" ht="13.8">
      <c r="A27" s="694"/>
      <c r="B27" s="694"/>
      <c r="C27" s="694"/>
      <c r="D27" s="708"/>
      <c r="E27" s="708"/>
      <c r="F27" s="694"/>
    </row>
    <row r="28" spans="1:6" ht="13.8">
      <c r="A28" s="694"/>
      <c r="B28" s="694"/>
      <c r="C28" s="694"/>
      <c r="D28" s="708"/>
      <c r="E28" s="708"/>
      <c r="F28" s="694"/>
    </row>
    <row r="29" spans="1:6" ht="13.8">
      <c r="A29" s="694"/>
      <c r="B29" s="694"/>
      <c r="C29" s="694"/>
      <c r="D29" s="708"/>
      <c r="E29" s="708"/>
      <c r="F29" s="694"/>
    </row>
    <row r="30" spans="1:6" ht="13.8">
      <c r="A30" s="694"/>
      <c r="B30" s="694"/>
      <c r="C30" s="694"/>
      <c r="D30" s="1301" t="s">
        <v>550</v>
      </c>
      <c r="E30" s="1301"/>
      <c r="F30" s="1301"/>
    </row>
    <row r="31" spans="1:6" ht="13.8">
      <c r="A31" s="694"/>
      <c r="B31" s="694"/>
      <c r="C31" s="694"/>
      <c r="D31" s="1300" t="s">
        <v>551</v>
      </c>
      <c r="E31" s="1300"/>
      <c r="F31" s="1300"/>
    </row>
    <row r="32" spans="1:6">
      <c r="A32" s="694"/>
      <c r="B32" s="694"/>
      <c r="C32" s="694"/>
      <c r="D32" s="694"/>
      <c r="E32" s="694"/>
      <c r="F32" s="694"/>
    </row>
    <row r="33" spans="1:6">
      <c r="A33" s="694"/>
      <c r="B33" s="694"/>
      <c r="C33" s="694"/>
      <c r="D33" s="694"/>
      <c r="E33" s="694"/>
      <c r="F33" s="694"/>
    </row>
    <row r="34" spans="1:6">
      <c r="A34" s="718"/>
      <c r="B34" s="718"/>
      <c r="C34" s="718"/>
      <c r="D34" s="718"/>
      <c r="E34" s="718"/>
      <c r="F34" s="718"/>
    </row>
    <row r="35" spans="1:6">
      <c r="A35" s="694"/>
      <c r="B35" s="694"/>
      <c r="C35" s="694"/>
      <c r="D35" s="694"/>
      <c r="E35" s="694"/>
      <c r="F35" s="694"/>
    </row>
    <row r="36" spans="1:6">
      <c r="A36" s="694"/>
      <c r="B36" s="694"/>
      <c r="C36" s="694"/>
      <c r="D36" s="694"/>
      <c r="E36" s="694"/>
      <c r="F36" s="694"/>
    </row>
    <row r="37" spans="1:6">
      <c r="A37" s="694"/>
      <c r="B37" s="694"/>
      <c r="C37" s="694"/>
      <c r="D37" s="694"/>
      <c r="E37" s="694"/>
      <c r="F37" s="694"/>
    </row>
    <row r="38" spans="1:6">
      <c r="A38" s="694"/>
      <c r="B38" s="694"/>
      <c r="C38" s="694"/>
      <c r="D38" s="694"/>
      <c r="E38" s="694"/>
      <c r="F38" s="694"/>
    </row>
    <row r="39" spans="1:6">
      <c r="A39" s="694"/>
      <c r="B39" s="694"/>
      <c r="C39" s="694"/>
      <c r="D39" s="694"/>
      <c r="E39" s="694"/>
      <c r="F39" s="694"/>
    </row>
    <row r="40" spans="1:6" ht="13.8" thickBot="1">
      <c r="A40" s="694"/>
      <c r="B40" s="694"/>
      <c r="C40" s="694"/>
      <c r="D40" s="694"/>
      <c r="E40" s="694"/>
      <c r="F40" s="694"/>
    </row>
    <row r="41" spans="1:6">
      <c r="A41" s="709" t="s">
        <v>552</v>
      </c>
      <c r="B41" s="719" t="str">
        <f>MID(ID!I2,SEARCH("E - ",ID!I2),LEN(ID!I2))</f>
        <v>E - 024.34 DL</v>
      </c>
      <c r="C41" s="694"/>
      <c r="D41" s="694"/>
      <c r="E41" s="694"/>
      <c r="F41" s="694"/>
    </row>
    <row r="42" spans="1:6">
      <c r="A42" s="710"/>
      <c r="B42" s="711"/>
      <c r="C42" s="694"/>
      <c r="D42" s="694"/>
      <c r="E42" s="694"/>
      <c r="F42" s="694"/>
    </row>
    <row r="43" spans="1:6" ht="52.8">
      <c r="A43" s="712" t="s">
        <v>553</v>
      </c>
      <c r="B43" s="713" t="str">
        <f>ID!A1</f>
        <v>INPUT DATA HASIL PENGUJIAN LABORATORIUM REFRIGERATOR</v>
      </c>
      <c r="C43" s="694"/>
      <c r="D43" s="694"/>
      <c r="E43" s="694"/>
      <c r="F43" s="694"/>
    </row>
    <row r="44" spans="1:6" ht="26.4">
      <c r="A44" s="712" t="s">
        <v>554</v>
      </c>
      <c r="B44" s="720" t="str">
        <f>IF(B43="INPUT DATA HASIL PENGUJIAN LABORATORIUM REFRIGERATOR",B46,B45)</f>
        <v>SERTIFIKAT PENGUJIAN</v>
      </c>
      <c r="C44" s="694"/>
      <c r="D44" s="694"/>
      <c r="E44" s="694"/>
      <c r="F44" s="694"/>
    </row>
    <row r="45" spans="1:6">
      <c r="A45" s="712" t="s">
        <v>555</v>
      </c>
      <c r="B45" s="711" t="s">
        <v>556</v>
      </c>
      <c r="C45" s="694"/>
      <c r="D45" s="694"/>
      <c r="E45" s="694"/>
      <c r="F45" s="694"/>
    </row>
    <row r="46" spans="1:6">
      <c r="A46" s="710"/>
      <c r="B46" s="711" t="s">
        <v>557</v>
      </c>
      <c r="C46" s="694"/>
      <c r="D46" s="694"/>
      <c r="E46" s="694"/>
      <c r="F46" s="694"/>
    </row>
    <row r="47" spans="1:6">
      <c r="A47" s="710"/>
      <c r="B47" s="711"/>
      <c r="C47" s="694"/>
      <c r="D47" s="694"/>
      <c r="E47" s="694"/>
      <c r="F47" s="694"/>
    </row>
    <row r="48" spans="1:6" ht="39.6">
      <c r="A48" s="712" t="s">
        <v>558</v>
      </c>
      <c r="B48" s="711" t="str">
        <f>IF(RIGHT(A2,10)=" KALIBRASI","Kalibrasi","Pengujian")</f>
        <v>Pengujian</v>
      </c>
      <c r="C48" s="694"/>
      <c r="D48" s="694"/>
      <c r="E48" s="694"/>
      <c r="F48" s="694"/>
    </row>
    <row r="49" spans="1:6">
      <c r="A49" s="710"/>
      <c r="B49" s="711"/>
      <c r="C49" s="694"/>
      <c r="D49" s="694"/>
      <c r="E49" s="694"/>
      <c r="F49" s="694"/>
    </row>
    <row r="50" spans="1:6" ht="27.6">
      <c r="A50" s="712" t="s">
        <v>559</v>
      </c>
      <c r="B50" s="721" t="s">
        <v>560</v>
      </c>
      <c r="C50" s="714"/>
      <c r="D50" s="714"/>
      <c r="E50" s="714"/>
      <c r="F50" s="714"/>
    </row>
    <row r="51" spans="1:6">
      <c r="A51" s="710"/>
      <c r="B51" s="711"/>
      <c r="C51" s="694"/>
      <c r="D51" s="694"/>
      <c r="E51" s="694"/>
      <c r="F51" s="694"/>
    </row>
    <row r="52" spans="1:6" ht="41.4">
      <c r="A52" s="722" t="s">
        <v>561</v>
      </c>
      <c r="B52" s="723" t="e">
        <f>DATE(YEAR(D17)+1,MONTH(D17),DAY(D17))</f>
        <v>#VALUE!</v>
      </c>
      <c r="C52" s="694"/>
      <c r="D52" s="694"/>
      <c r="E52" s="694"/>
      <c r="F52" s="694"/>
    </row>
    <row r="53" spans="1:6" ht="26.4">
      <c r="A53" s="712" t="s">
        <v>562</v>
      </c>
      <c r="B53" s="715" t="e">
        <f>TEXT(B52,"d mmmm yyyy")</f>
        <v>#VALUE!</v>
      </c>
      <c r="C53" s="694"/>
      <c r="D53" s="694"/>
      <c r="E53" s="694"/>
      <c r="F53" s="694"/>
    </row>
    <row r="54" spans="1:6">
      <c r="A54" s="710"/>
      <c r="B54" s="711"/>
      <c r="C54" s="694"/>
      <c r="D54" s="694"/>
      <c r="E54" s="694"/>
      <c r="F54" s="694"/>
    </row>
    <row r="55" spans="1:6" ht="13.8">
      <c r="A55" s="722" t="s">
        <v>563</v>
      </c>
      <c r="B55" s="724" t="e">
        <f>IF(B44=B45,B56,B57)</f>
        <v>#VALUE!</v>
      </c>
      <c r="C55" s="694"/>
      <c r="D55" s="694"/>
      <c r="E55" s="694"/>
      <c r="F55" s="694"/>
    </row>
    <row r="56" spans="1:6" ht="13.8">
      <c r="A56" s="710" t="s">
        <v>564</v>
      </c>
      <c r="B56" s="725" t="e">
        <f>CONCATENATE(B58,B53)</f>
        <v>#VALUE!</v>
      </c>
      <c r="C56" s="694"/>
      <c r="D56" s="694"/>
      <c r="E56" s="694"/>
      <c r="F56" s="694"/>
    </row>
    <row r="57" spans="1:6" ht="13.8">
      <c r="A57" s="710"/>
      <c r="B57" s="725" t="e">
        <f>CONCATENATE(B59,B53)</f>
        <v>#VALUE!</v>
      </c>
      <c r="C57" s="694"/>
      <c r="D57" s="694"/>
      <c r="E57" s="694"/>
      <c r="F57" s="694"/>
    </row>
    <row r="58" spans="1:6" ht="27.6">
      <c r="A58" s="726" t="s">
        <v>555</v>
      </c>
      <c r="B58" s="725" t="s">
        <v>565</v>
      </c>
      <c r="C58" s="694"/>
      <c r="D58" s="694"/>
      <c r="E58" s="694"/>
      <c r="F58" s="694"/>
    </row>
    <row r="59" spans="1:6" ht="28.2" thickBot="1">
      <c r="A59" s="727"/>
      <c r="B59" s="728" t="s">
        <v>566</v>
      </c>
      <c r="C59" s="694"/>
      <c r="D59" s="694"/>
      <c r="E59" s="694"/>
      <c r="F59" s="694"/>
    </row>
  </sheetData>
  <mergeCells count="32">
    <mergeCell ref="A14:B14"/>
    <mergeCell ref="D14:F14"/>
    <mergeCell ref="A2:F2"/>
    <mergeCell ref="A3:F3"/>
    <mergeCell ref="D4:F4"/>
    <mergeCell ref="D6:E6"/>
    <mergeCell ref="A8:B8"/>
    <mergeCell ref="D8:F8"/>
    <mergeCell ref="A9:B9"/>
    <mergeCell ref="D9:F9"/>
    <mergeCell ref="A10:B10"/>
    <mergeCell ref="D10:F10"/>
    <mergeCell ref="D12:E12"/>
    <mergeCell ref="A15:B15"/>
    <mergeCell ref="D15:F15"/>
    <mergeCell ref="A16:B16"/>
    <mergeCell ref="D16:F16"/>
    <mergeCell ref="A17:B17"/>
    <mergeCell ref="D17:F17"/>
    <mergeCell ref="A18:B18"/>
    <mergeCell ref="D18:F18"/>
    <mergeCell ref="A19:B19"/>
    <mergeCell ref="D19:F19"/>
    <mergeCell ref="A20:B20"/>
    <mergeCell ref="D20:F20"/>
    <mergeCell ref="D31:F31"/>
    <mergeCell ref="A21:B21"/>
    <mergeCell ref="D21:F21"/>
    <mergeCell ref="E24:F24"/>
    <mergeCell ref="D25:F25"/>
    <mergeCell ref="D26:F26"/>
    <mergeCell ref="D30:F30"/>
  </mergeCells>
  <dataValidations count="1">
    <dataValidation type="list" allowBlank="1" showInputMessage="1" showErrorMessage="1" sqref="A2:F2" xr:uid="{2BB16F22-CEA1-4212-ABE1-28BF86D29C2A}">
      <formula1>"SERTIFIKAT KALIBRASI,SERTIFIKAT PENGUJIAN"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F1F4F-0AFD-4EA0-BC71-90B238415696}">
  <dimension ref="A1:CS386"/>
  <sheetViews>
    <sheetView topLeftCell="A257" zoomScaleNormal="100" workbookViewId="0">
      <selection activeCell="B261" sqref="B261"/>
    </sheetView>
  </sheetViews>
  <sheetFormatPr defaultColWidth="9" defaultRowHeight="13.2"/>
  <cols>
    <col min="1" max="1" width="9" style="929"/>
    <col min="2" max="2" width="13.5546875" style="934" customWidth="1"/>
    <col min="3" max="3" width="20.6640625" style="934" customWidth="1"/>
    <col min="4" max="4" width="21.33203125" style="934" customWidth="1"/>
    <col min="5" max="5" width="18.5546875" style="934" customWidth="1"/>
    <col min="6" max="18" width="15.5546875" style="934" customWidth="1"/>
    <col min="19" max="19" width="14.88671875" style="934" customWidth="1"/>
    <col min="20" max="28" width="14.6640625" style="972" customWidth="1"/>
    <col min="29" max="29" width="14.6640625" style="934" customWidth="1"/>
    <col min="30" max="30" width="18.5546875" style="934" customWidth="1"/>
    <col min="31" max="31" width="17.33203125" style="934" customWidth="1"/>
    <col min="32" max="33" width="18.5546875" style="934" customWidth="1"/>
    <col min="34" max="34" width="18.5546875" style="972" customWidth="1"/>
    <col min="35" max="35" width="10" style="934" customWidth="1"/>
    <col min="36" max="36" width="10" style="973" customWidth="1"/>
    <col min="37" max="37" width="11.5546875" style="934" customWidth="1"/>
    <col min="38" max="39" width="18.5546875" style="934" customWidth="1"/>
    <col min="40" max="40" width="18.5546875" style="972" customWidth="1"/>
    <col min="41" max="41" width="10" style="934" customWidth="1"/>
    <col min="42" max="42" width="10" style="973" customWidth="1"/>
    <col min="43" max="43" width="10" style="934" customWidth="1"/>
    <col min="44" max="45" width="18.5546875" style="934" customWidth="1"/>
    <col min="46" max="46" width="18.5546875" style="972" customWidth="1"/>
    <col min="47" max="47" width="10" style="934" customWidth="1"/>
    <col min="48" max="48" width="10" style="973" customWidth="1"/>
    <col min="49" max="49" width="10" style="934" customWidth="1"/>
    <col min="50" max="51" width="18.5546875" style="934" customWidth="1"/>
    <col min="52" max="52" width="18.5546875" style="972" customWidth="1"/>
    <col min="53" max="53" width="10" style="934" customWidth="1"/>
    <col min="54" max="54" width="10" style="973" customWidth="1"/>
    <col min="55" max="55" width="10" style="934" customWidth="1"/>
    <col min="56" max="57" width="18.5546875" style="934" customWidth="1"/>
    <col min="58" max="58" width="18.5546875" style="972" customWidth="1"/>
    <col min="59" max="59" width="10" style="934" customWidth="1"/>
    <col min="60" max="60" width="10" style="973" customWidth="1"/>
    <col min="61" max="61" width="10" style="934" customWidth="1"/>
    <col min="62" max="63" width="18.5546875" style="934" customWidth="1"/>
    <col min="64" max="64" width="18.5546875" style="972" customWidth="1"/>
    <col min="65" max="65" width="10" style="934" customWidth="1"/>
    <col min="66" max="66" width="10" style="973" customWidth="1"/>
    <col min="67" max="67" width="10" style="934" customWidth="1"/>
    <col min="68" max="69" width="18.5546875" style="934" customWidth="1"/>
    <col min="70" max="70" width="18.5546875" style="972" customWidth="1"/>
    <col min="71" max="71" width="10" style="934" customWidth="1"/>
    <col min="72" max="72" width="10" style="973" customWidth="1"/>
    <col min="73" max="73" width="10" style="934" customWidth="1"/>
    <col min="74" max="75" width="18.5546875" style="934" customWidth="1"/>
    <col min="76" max="76" width="18.5546875" style="972" customWidth="1"/>
    <col min="77" max="77" width="10" style="934" customWidth="1"/>
    <col min="78" max="78" width="10" style="973" customWidth="1"/>
    <col min="79" max="79" width="10" style="934" customWidth="1"/>
    <col min="80" max="84" width="11.44140625" style="934" customWidth="1"/>
    <col min="85" max="85" width="11.44140625" style="929" customWidth="1"/>
    <col min="86" max="90" width="11.44140625" style="934" customWidth="1"/>
    <col min="91" max="91" width="10" style="929" customWidth="1"/>
    <col min="92" max="92" width="13.21875" style="934" customWidth="1"/>
    <col min="93" max="96" width="10" style="934" customWidth="1"/>
    <col min="97" max="97" width="10" style="929" customWidth="1"/>
    <col min="98" max="316" width="10" style="934" customWidth="1"/>
    <col min="317" max="16384" width="9" style="934"/>
  </cols>
  <sheetData>
    <row r="1" spans="2:96" s="929" customFormat="1" ht="27.6" customHeight="1">
      <c r="B1" s="1318" t="s">
        <v>424</v>
      </c>
      <c r="C1" s="1318"/>
      <c r="D1" s="1318"/>
      <c r="E1" s="1318"/>
      <c r="F1" s="1318"/>
      <c r="H1" s="1318" t="s">
        <v>424</v>
      </c>
      <c r="I1" s="1318"/>
      <c r="J1" s="1318"/>
      <c r="K1" s="1318"/>
      <c r="L1" s="1318"/>
      <c r="N1" s="1318" t="s">
        <v>424</v>
      </c>
      <c r="O1" s="1318"/>
      <c r="P1" s="1318"/>
      <c r="Q1" s="1318"/>
      <c r="R1" s="1318"/>
      <c r="T1" s="1318" t="s">
        <v>424</v>
      </c>
      <c r="U1" s="1318"/>
      <c r="V1" s="1318"/>
      <c r="W1" s="1318"/>
      <c r="X1" s="1318"/>
      <c r="Z1" s="1318" t="s">
        <v>424</v>
      </c>
      <c r="AA1" s="1318"/>
      <c r="AB1" s="1318"/>
      <c r="AC1" s="1318"/>
      <c r="AD1" s="1318"/>
      <c r="AF1" s="1318" t="s">
        <v>424</v>
      </c>
      <c r="AG1" s="1318"/>
      <c r="AH1" s="1318"/>
      <c r="AI1" s="1318"/>
      <c r="AJ1" s="1318"/>
      <c r="AL1" s="1318" t="s">
        <v>424</v>
      </c>
      <c r="AM1" s="1318"/>
      <c r="AN1" s="1318"/>
      <c r="AO1" s="1318"/>
      <c r="AP1" s="1318"/>
      <c r="AR1" s="1318" t="s">
        <v>424</v>
      </c>
      <c r="AS1" s="1318"/>
      <c r="AT1" s="1318"/>
      <c r="AU1" s="1318"/>
      <c r="AV1" s="1318"/>
      <c r="AX1" s="1318" t="s">
        <v>424</v>
      </c>
      <c r="AY1" s="1318"/>
      <c r="AZ1" s="1318"/>
      <c r="BA1" s="1318"/>
      <c r="BB1" s="1318"/>
      <c r="BD1" s="1318" t="s">
        <v>424</v>
      </c>
      <c r="BE1" s="1318"/>
      <c r="BF1" s="1318"/>
      <c r="BG1" s="1318"/>
      <c r="BH1" s="1318"/>
      <c r="BJ1" s="1318" t="s">
        <v>424</v>
      </c>
      <c r="BK1" s="1318"/>
      <c r="BL1" s="1318"/>
      <c r="BM1" s="1318"/>
      <c r="BN1" s="1318"/>
      <c r="BP1" s="1318" t="s">
        <v>424</v>
      </c>
      <c r="BQ1" s="1318"/>
      <c r="BR1" s="1318"/>
      <c r="BS1" s="1318"/>
      <c r="BT1" s="1318"/>
      <c r="BV1" s="1318" t="s">
        <v>424</v>
      </c>
      <c r="BW1" s="1318"/>
      <c r="BX1" s="1318"/>
      <c r="BY1" s="1318"/>
      <c r="BZ1" s="1318"/>
      <c r="CB1" s="1318" t="s">
        <v>424</v>
      </c>
      <c r="CC1" s="1318"/>
      <c r="CD1" s="1318"/>
      <c r="CE1" s="1318"/>
      <c r="CF1" s="1318"/>
      <c r="CH1" s="1318" t="s">
        <v>424</v>
      </c>
      <c r="CI1" s="1318"/>
      <c r="CJ1" s="1318"/>
      <c r="CK1" s="1318"/>
      <c r="CL1" s="1318"/>
      <c r="CN1" s="1318" t="s">
        <v>424</v>
      </c>
      <c r="CO1" s="1318"/>
      <c r="CP1" s="1318"/>
      <c r="CQ1" s="1318"/>
      <c r="CR1" s="1318"/>
    </row>
    <row r="2" spans="2:96" s="929" customFormat="1">
      <c r="P2" s="930"/>
      <c r="R2" s="931"/>
      <c r="V2" s="930"/>
      <c r="X2" s="931"/>
      <c r="AB2" s="930"/>
      <c r="AD2" s="931"/>
      <c r="AH2" s="930"/>
      <c r="AJ2" s="931"/>
      <c r="AN2" s="930"/>
      <c r="AP2" s="931"/>
      <c r="AT2" s="930"/>
      <c r="AV2" s="931"/>
      <c r="AZ2" s="930"/>
      <c r="BB2" s="931"/>
      <c r="BF2" s="930"/>
      <c r="BH2" s="931"/>
      <c r="BL2" s="930"/>
      <c r="BN2" s="931"/>
      <c r="BR2" s="930"/>
      <c r="BT2" s="931"/>
      <c r="BX2" s="930"/>
      <c r="BZ2" s="931"/>
      <c r="CD2" s="930"/>
      <c r="CF2" s="931"/>
      <c r="CJ2" s="930"/>
      <c r="CL2" s="931"/>
      <c r="CP2" s="930"/>
      <c r="CR2" s="931"/>
    </row>
    <row r="3" spans="2:96" ht="27.75" customHeight="1">
      <c r="B3" s="1314" t="s">
        <v>214</v>
      </c>
      <c r="C3" s="1316" t="s">
        <v>381</v>
      </c>
      <c r="D3" s="1316"/>
      <c r="E3" s="1316"/>
      <c r="F3" s="932" t="s">
        <v>572</v>
      </c>
      <c r="G3" s="933"/>
      <c r="H3" s="1314" t="s">
        <v>214</v>
      </c>
      <c r="I3" s="1316" t="s">
        <v>380</v>
      </c>
      <c r="J3" s="1316"/>
      <c r="K3" s="1316"/>
      <c r="L3" s="932" t="s">
        <v>572</v>
      </c>
      <c r="M3" s="933"/>
      <c r="N3" s="1314" t="s">
        <v>214</v>
      </c>
      <c r="O3" s="1316" t="s">
        <v>69</v>
      </c>
      <c r="P3" s="1317"/>
      <c r="Q3" s="1316"/>
      <c r="R3" s="932" t="s">
        <v>572</v>
      </c>
      <c r="S3" s="929"/>
      <c r="T3" s="1314" t="s">
        <v>214</v>
      </c>
      <c r="U3" s="1316" t="str">
        <f>F156</f>
        <v>Wireless Temperature Recorder : Merek : HIOKI, Model : LR 8510, SN : 200936000</v>
      </c>
      <c r="V3" s="1317"/>
      <c r="W3" s="1316"/>
      <c r="X3" s="932" t="s">
        <v>572</v>
      </c>
      <c r="Y3" s="929"/>
      <c r="Z3" s="1314" t="s">
        <v>214</v>
      </c>
      <c r="AA3" s="1316" t="str">
        <f>G156</f>
        <v>Wireless Temperature Recorder : Merek : HIOKI, Model : LR 8510, SN : 200936001</v>
      </c>
      <c r="AB3" s="1317"/>
      <c r="AC3" s="1316"/>
      <c r="AD3" s="932" t="s">
        <v>572</v>
      </c>
      <c r="AE3" s="929"/>
      <c r="AF3" s="1314" t="s">
        <v>214</v>
      </c>
      <c r="AG3" s="1316" t="str">
        <f>H156</f>
        <v>Wireless Temperature Recorder : Merek : HIOKI, Model : LR 8510, SN : 200821397</v>
      </c>
      <c r="AH3" s="1317"/>
      <c r="AI3" s="1316"/>
      <c r="AJ3" s="932" t="s">
        <v>572</v>
      </c>
      <c r="AK3" s="929"/>
      <c r="AL3" s="1314" t="s">
        <v>214</v>
      </c>
      <c r="AM3" s="1316" t="str">
        <f>I156</f>
        <v>Wireless Temperature Recorder : Merek : HIOKI, Model : LR 8510, SN : 210411983</v>
      </c>
      <c r="AN3" s="1317"/>
      <c r="AO3" s="1316"/>
      <c r="AP3" s="932" t="s">
        <v>572</v>
      </c>
      <c r="AQ3" s="929"/>
      <c r="AR3" s="1314" t="s">
        <v>214</v>
      </c>
      <c r="AS3" s="1316" t="str">
        <f>J156</f>
        <v>Wireless Temperature Recorder : Merek : HIOKI, Model : LR 8510, SN : 210411984</v>
      </c>
      <c r="AT3" s="1317"/>
      <c r="AU3" s="1316"/>
      <c r="AV3" s="932" t="s">
        <v>572</v>
      </c>
      <c r="AW3" s="929"/>
      <c r="AX3" s="1314" t="s">
        <v>214</v>
      </c>
      <c r="AY3" s="1316" t="str">
        <f>K156</f>
        <v>Wireless Temperature Recorder : Merek : HIOKI, Model : LR 8510, SN : 210411985</v>
      </c>
      <c r="AZ3" s="1317"/>
      <c r="BA3" s="1316"/>
      <c r="BB3" s="932" t="s">
        <v>572</v>
      </c>
      <c r="BC3" s="929"/>
      <c r="BD3" s="1314" t="s">
        <v>214</v>
      </c>
      <c r="BE3" s="1316" t="str">
        <f>L156</f>
        <v>Wireless Temperature Recorder : Merek : HIOKI, Model : LR 8510, SN : 210746054</v>
      </c>
      <c r="BF3" s="1317"/>
      <c r="BG3" s="1316"/>
      <c r="BH3" s="932" t="s">
        <v>572</v>
      </c>
      <c r="BI3" s="929"/>
      <c r="BJ3" s="1314" t="s">
        <v>214</v>
      </c>
      <c r="BK3" s="1316" t="str">
        <f>M156</f>
        <v>Wireless Temperature Recorder : Merek : HIOKI, Model : LR 8510, SN : 210746055</v>
      </c>
      <c r="BL3" s="1317"/>
      <c r="BM3" s="1316"/>
      <c r="BN3" s="932" t="s">
        <v>572</v>
      </c>
      <c r="BO3" s="929"/>
      <c r="BP3" s="1314" t="s">
        <v>214</v>
      </c>
      <c r="BQ3" s="1316" t="str">
        <f>N156</f>
        <v>Wireless Temperature Recorder : Merek : HIOKI, Model : LR 8510, SN : 210746056</v>
      </c>
      <c r="BR3" s="1317"/>
      <c r="BS3" s="1316"/>
      <c r="BT3" s="932" t="s">
        <v>572</v>
      </c>
      <c r="BU3" s="929"/>
      <c r="BV3" s="1314" t="s">
        <v>214</v>
      </c>
      <c r="BW3" s="1316" t="str">
        <f>O156</f>
        <v>Wireless Temperature Recorder : Merek : HIOKI, Model : LR 8510, SN : x x x</v>
      </c>
      <c r="BX3" s="1317"/>
      <c r="BY3" s="1316"/>
      <c r="BZ3" s="932" t="s">
        <v>572</v>
      </c>
      <c r="CA3" s="929"/>
      <c r="CB3" s="1314" t="s">
        <v>214</v>
      </c>
      <c r="CC3" s="1316" t="str">
        <f>P156</f>
        <v>Reference Thermometer, Merek : APPA, Model : APPA51, SN : 03002948</v>
      </c>
      <c r="CD3" s="1317"/>
      <c r="CE3" s="1316"/>
      <c r="CF3" s="932" t="s">
        <v>572</v>
      </c>
      <c r="CH3" s="1314" t="s">
        <v>214</v>
      </c>
      <c r="CI3" s="1316" t="str">
        <f>Q156</f>
        <v>Reference Thermometer, Merek : FLUKE, Model : 1524, SN : 1803038</v>
      </c>
      <c r="CJ3" s="1317"/>
      <c r="CK3" s="1316"/>
      <c r="CL3" s="932" t="s">
        <v>572</v>
      </c>
      <c r="CN3" s="1314" t="s">
        <v>214</v>
      </c>
      <c r="CO3" s="1316" t="str">
        <f>R156</f>
        <v>Reference Thermometer, Merek : FLUKE, Model : 1524, SN : 1803037</v>
      </c>
      <c r="CP3" s="1317"/>
      <c r="CQ3" s="1316"/>
      <c r="CR3" s="932" t="s">
        <v>572</v>
      </c>
    </row>
    <row r="4" spans="2:96" ht="12.75" customHeight="1">
      <c r="B4" s="1315"/>
      <c r="C4" s="935">
        <v>2019</v>
      </c>
      <c r="D4" s="935">
        <v>2021</v>
      </c>
      <c r="E4" s="936" t="s">
        <v>215</v>
      </c>
      <c r="F4" s="1063">
        <f>B290</f>
        <v>6.4428226504297132</v>
      </c>
      <c r="G4" s="937"/>
      <c r="H4" s="1315"/>
      <c r="I4" s="938">
        <v>2020</v>
      </c>
      <c r="J4" s="935">
        <v>2021</v>
      </c>
      <c r="K4" s="936" t="s">
        <v>215</v>
      </c>
      <c r="L4" s="1063">
        <f>F4</f>
        <v>6.4428226504297132</v>
      </c>
      <c r="M4" s="937"/>
      <c r="N4" s="1315"/>
      <c r="O4" s="938">
        <v>2018</v>
      </c>
      <c r="P4" s="935">
        <v>2021</v>
      </c>
      <c r="Q4" s="936" t="s">
        <v>215</v>
      </c>
      <c r="R4" s="1063">
        <f>L4</f>
        <v>6.4428226504297132</v>
      </c>
      <c r="S4" s="929"/>
      <c r="T4" s="1315"/>
      <c r="U4" s="938">
        <v>2021</v>
      </c>
      <c r="V4" s="935"/>
      <c r="W4" s="936" t="s">
        <v>215</v>
      </c>
      <c r="X4" s="1063">
        <f>R4</f>
        <v>6.4428226504297132</v>
      </c>
      <c r="Y4" s="929"/>
      <c r="Z4" s="1315"/>
      <c r="AA4" s="938">
        <v>2021</v>
      </c>
      <c r="AB4" s="935"/>
      <c r="AC4" s="936" t="s">
        <v>215</v>
      </c>
      <c r="AD4" s="1063">
        <f>X4</f>
        <v>6.4428226504297132</v>
      </c>
      <c r="AE4" s="929"/>
      <c r="AF4" s="1315"/>
      <c r="AG4" s="938">
        <v>2021</v>
      </c>
      <c r="AH4" s="935"/>
      <c r="AI4" s="936" t="s">
        <v>215</v>
      </c>
      <c r="AJ4" s="1063">
        <f>AD4</f>
        <v>6.4428226504297132</v>
      </c>
      <c r="AK4" s="929"/>
      <c r="AL4" s="1315"/>
      <c r="AM4" s="938">
        <v>2021</v>
      </c>
      <c r="AN4" s="935"/>
      <c r="AO4" s="936" t="s">
        <v>215</v>
      </c>
      <c r="AP4" s="1063">
        <f>AJ4</f>
        <v>6.4428226504297132</v>
      </c>
      <c r="AQ4" s="929"/>
      <c r="AR4" s="1315"/>
      <c r="AS4" s="938">
        <v>2021</v>
      </c>
      <c r="AT4" s="935"/>
      <c r="AU4" s="936" t="s">
        <v>215</v>
      </c>
      <c r="AV4" s="1063">
        <f>AP4</f>
        <v>6.4428226504297132</v>
      </c>
      <c r="AW4" s="929"/>
      <c r="AX4" s="1315"/>
      <c r="AY4" s="938">
        <v>2021</v>
      </c>
      <c r="AZ4" s="935"/>
      <c r="BA4" s="936" t="s">
        <v>215</v>
      </c>
      <c r="BB4" s="1063">
        <f>AV4</f>
        <v>6.4428226504297132</v>
      </c>
      <c r="BC4" s="929"/>
      <c r="BD4" s="1315"/>
      <c r="BE4" s="938">
        <v>2021</v>
      </c>
      <c r="BF4" s="935"/>
      <c r="BG4" s="936" t="s">
        <v>215</v>
      </c>
      <c r="BH4" s="1063">
        <f>BB4</f>
        <v>6.4428226504297132</v>
      </c>
      <c r="BI4" s="929"/>
      <c r="BJ4" s="1315"/>
      <c r="BK4" s="938">
        <v>2021</v>
      </c>
      <c r="BL4" s="935"/>
      <c r="BM4" s="936" t="s">
        <v>215</v>
      </c>
      <c r="BN4" s="1063">
        <f>BH4</f>
        <v>6.4428226504297132</v>
      </c>
      <c r="BO4" s="929"/>
      <c r="BP4" s="1315"/>
      <c r="BQ4" s="938">
        <v>2021</v>
      </c>
      <c r="BR4" s="935"/>
      <c r="BS4" s="936" t="s">
        <v>215</v>
      </c>
      <c r="BT4" s="1063">
        <f>BN4</f>
        <v>6.4428226504297132</v>
      </c>
      <c r="BU4" s="929"/>
      <c r="BV4" s="1315"/>
      <c r="BW4" s="938">
        <v>2021</v>
      </c>
      <c r="BX4" s="935"/>
      <c r="BY4" s="936" t="s">
        <v>215</v>
      </c>
      <c r="BZ4" s="1063">
        <f>BT4</f>
        <v>6.4428226504297132</v>
      </c>
      <c r="CA4" s="929"/>
      <c r="CB4" s="1315"/>
      <c r="CC4" s="938">
        <v>2020</v>
      </c>
      <c r="CD4" s="935"/>
      <c r="CE4" s="936" t="s">
        <v>215</v>
      </c>
      <c r="CF4" s="1063">
        <f>BZ4</f>
        <v>6.4428226504297132</v>
      </c>
      <c r="CH4" s="1315"/>
      <c r="CI4" s="938">
        <v>2021</v>
      </c>
      <c r="CJ4" s="935"/>
      <c r="CK4" s="936" t="s">
        <v>215</v>
      </c>
      <c r="CL4" s="1063">
        <f>CF4</f>
        <v>6.4428226504297132</v>
      </c>
      <c r="CN4" s="1315"/>
      <c r="CO4" s="938">
        <v>2021</v>
      </c>
      <c r="CP4" s="935"/>
      <c r="CQ4" s="936" t="s">
        <v>215</v>
      </c>
      <c r="CR4" s="1063">
        <f>CL4</f>
        <v>6.4428226504297132</v>
      </c>
    </row>
    <row r="5" spans="2:96">
      <c r="B5" s="939">
        <v>-20</v>
      </c>
      <c r="C5" s="940">
        <v>-0.24</v>
      </c>
      <c r="D5" s="940">
        <f t="shared" ref="D5:D16" si="0">C158</f>
        <v>-0.43</v>
      </c>
      <c r="E5" s="1057">
        <f t="shared" ref="E5:E16" si="1">IF(OR(C5=0,D5=0),$C$170/3,((MAX(C5:D5)-(MIN(C5:D5)))))</f>
        <v>0.19</v>
      </c>
      <c r="F5" s="1061">
        <f>IF(F4&lt;=B6,B5,IF(F4&lt;=B7,B6,IF(F4&lt;=B8,B7,IF(F4&lt;=B9,B8,IF(F4&lt;=B10,B9)))))</f>
        <v>2</v>
      </c>
      <c r="G5" s="942"/>
      <c r="H5" s="939">
        <v>-20</v>
      </c>
      <c r="I5" s="891">
        <v>-0.24</v>
      </c>
      <c r="J5" s="940">
        <f t="shared" ref="J5:J16" si="2">D158</f>
        <v>-0.69</v>
      </c>
      <c r="K5" s="925">
        <f t="shared" ref="K5:K16" si="3">IF(OR(I5=0,J5=0),$D$170/3,((MAX(I5:J5)-(MIN(I5:J5)))))</f>
        <v>0.44999999999999996</v>
      </c>
      <c r="L5" s="1061">
        <f>IF(L4&lt;=H6,H5,IF(L4&lt;=H7,H6,IF(L4&lt;=H8,H7,IF(L4&lt;=H9,H8,IF(L4&lt;=H10,H9)))))</f>
        <v>2</v>
      </c>
      <c r="M5" s="942"/>
      <c r="N5" s="939">
        <v>-20</v>
      </c>
      <c r="O5" s="891"/>
      <c r="P5" s="940">
        <f t="shared" ref="P5:P16" si="4">E158</f>
        <v>1E-3</v>
      </c>
      <c r="Q5" s="925">
        <f t="shared" ref="Q5:Q16" si="5">IF(OR(O5=0,P5=0),$E$170/3,((MAX(O5:P5)-(MIN(O5:P5)))))</f>
        <v>0.13</v>
      </c>
      <c r="R5" s="1061">
        <f>IF(R4&lt;=N6,N5,IF(R4&lt;=N7,N6,IF(R4&lt;=N8,N7,IF(R4&lt;=N9,N8,IF(R4&lt;=N10,N9)))))</f>
        <v>2</v>
      </c>
      <c r="S5" s="943"/>
      <c r="T5" s="939">
        <v>-20</v>
      </c>
      <c r="U5" s="891">
        <f t="shared" ref="U5:U16" si="6">F158</f>
        <v>1</v>
      </c>
      <c r="V5" s="940"/>
      <c r="W5" s="925">
        <f t="shared" ref="W5:W16" si="7">IF(OR(U5=0,V5=0),$F$170/3,((MAX(U5:V5)-(MIN(U5:V5)))))</f>
        <v>3.3333333333333332E-4</v>
      </c>
      <c r="X5" s="1061">
        <f>IF(X4&lt;=T6,T5,IF(X4&lt;=T7,T6,IF(X4&lt;=T8,T7,IF(X4&lt;=T9,T8,IF(X4&lt;=T10,T9)))))</f>
        <v>2</v>
      </c>
      <c r="Y5" s="943"/>
      <c r="Z5" s="939">
        <v>-20</v>
      </c>
      <c r="AA5" s="891">
        <f t="shared" ref="AA5:AA16" si="8">G158</f>
        <v>1E-3</v>
      </c>
      <c r="AB5" s="940"/>
      <c r="AC5" s="925">
        <f t="shared" ref="AC5:AC16" si="9">IF(OR(AA5=0,AB5=0),$G$170/3,((MAX(AA5:AB5)-(MIN(AA5:AB5)))))</f>
        <v>3.3333333333333332E-4</v>
      </c>
      <c r="AD5" s="1061">
        <f>IF(AD4&lt;=Z6,Z5,IF(AD4&lt;=Z7,Z6,IF(AD4&lt;=Z8,Z7,IF(AD4&lt;=Z9,Z8,IF(AD4&lt;=Z10,Z9)))))</f>
        <v>2</v>
      </c>
      <c r="AE5" s="943"/>
      <c r="AF5" s="939">
        <v>-20</v>
      </c>
      <c r="AG5" s="891">
        <f t="shared" ref="AG5:AG16" si="10">H158</f>
        <v>-0.05</v>
      </c>
      <c r="AH5" s="940"/>
      <c r="AI5" s="925">
        <f t="shared" ref="AI5:AI16" si="11">IF(OR(AG5=0,AH5=0),$H$170/3,((MAX(AG5:AH5)-(MIN(AG5:AH5)))))</f>
        <v>0.3066666666666667</v>
      </c>
      <c r="AJ5" s="1061">
        <f>IF(AJ4&lt;=AF6,AF5,IF(AJ4&lt;=AF7,AF6,IF(AJ4&lt;=AF8,AF7,IF(AJ4&lt;=AF9,AF8,IF(AJ4&lt;=AF10,AF9)))))</f>
        <v>2</v>
      </c>
      <c r="AK5" s="943"/>
      <c r="AL5" s="939">
        <v>-20</v>
      </c>
      <c r="AM5" s="891">
        <f t="shared" ref="AM5:AM16" si="12">I158</f>
        <v>1E-3</v>
      </c>
      <c r="AN5" s="940"/>
      <c r="AO5" s="925">
        <f t="shared" ref="AO5:AO16" si="13">IF(OR(AM5=0,AN5=0),$I$170/3,((MAX(AM5:AN5)-(MIN(AM5:AN5)))))</f>
        <v>3.3333333333333332E-4</v>
      </c>
      <c r="AP5" s="1061">
        <f>IF(AP4&lt;=AL6,AL5,IF(AP4&lt;=AL7,AL6,IF(AP4&lt;=AL8,AL7,IF(AP4&lt;=AL9,AL8,IF(AP4&lt;=AL10,AL9)))))</f>
        <v>2</v>
      </c>
      <c r="AQ5" s="929"/>
      <c r="AR5" s="939">
        <v>-20</v>
      </c>
      <c r="AS5" s="891">
        <f t="shared" ref="AS5:AS16" si="14">J158</f>
        <v>1E-3</v>
      </c>
      <c r="AT5" s="940"/>
      <c r="AU5" s="925">
        <f t="shared" ref="AU5:AU16" si="15">IF(OR(AS5=0,AT5=0),$J$170/3,((MAX(AS5:AT5)-(MIN(AS5:AT5)))))</f>
        <v>3.3333333333333332E-4</v>
      </c>
      <c r="AV5" s="1061">
        <f>IF(AV4&lt;=AR6,AR5,IF(AV4&lt;=AR7,AR6,IF(AV4&lt;=AR8,AR7,IF(AV4&lt;=AR9,AR8,IF(AV4&lt;=AR10,AR9)))))</f>
        <v>2</v>
      </c>
      <c r="AW5" s="929"/>
      <c r="AX5" s="939">
        <v>-20</v>
      </c>
      <c r="AY5" s="891">
        <f t="shared" ref="AY5:AY16" si="16">K158</f>
        <v>0.53</v>
      </c>
      <c r="AZ5" s="940"/>
      <c r="BA5" s="925">
        <f t="shared" ref="BA5:BA16" si="17">IF(OR(AY5=0,AZ5=0),$K$170/3,((MAX(AY5:AZ5)-(MIN(AY5:AZ5)))))</f>
        <v>0.26333333333333336</v>
      </c>
      <c r="BB5" s="1061">
        <f>IF(BB4&lt;=AX6,AX5,IF(BB4&lt;=AX7,AX6,IF(BB4&lt;=AX8,AX7,IF(BB4&lt;=AX9,AX8,IF(BB4&lt;=AX10,AX9)))))</f>
        <v>2</v>
      </c>
      <c r="BC5" s="929"/>
      <c r="BD5" s="939">
        <v>-20</v>
      </c>
      <c r="BE5" s="891">
        <f t="shared" ref="BE5:BE16" si="18">L158</f>
        <v>1E-3</v>
      </c>
      <c r="BF5" s="940"/>
      <c r="BG5" s="925">
        <f t="shared" ref="BG5:BG16" si="19">IF(OR(BE5=0,BF5=0),$L$170/3,((MAX(BE5:BF5)-(MIN(BE5:BF5)))))</f>
        <v>3.3333333333333332E-4</v>
      </c>
      <c r="BH5" s="1061">
        <f>IF(BH4&lt;=BD6,BD5,IF(BH4&lt;=BD7,BD6,IF(BH4&lt;=BD8,BD7,IF(BH4&lt;=BD9,BD8,IF(BH4&lt;=BD10,BD9)))))</f>
        <v>2</v>
      </c>
      <c r="BI5" s="929"/>
      <c r="BJ5" s="939">
        <v>-20</v>
      </c>
      <c r="BK5" s="891">
        <f t="shared" ref="BK5:BK16" si="20">M158</f>
        <v>0.53</v>
      </c>
      <c r="BL5" s="940"/>
      <c r="BM5" s="925">
        <f t="shared" ref="BM5:BM16" si="21">IF(OR(BK5=0,BL5=0),$M$170/3,((MAX(BK5:BL5)-(MIN(BK5:BL5)))))</f>
        <v>0.26333333333333336</v>
      </c>
      <c r="BN5" s="1061">
        <f>IF(BN4&lt;=BJ6,BJ5,IF(BN4&lt;=BJ7,BJ6,IF(BN4&lt;=BJ8,BJ7,IF(BN4&lt;=BJ9,BJ8,IF(BN4&lt;=BJ10,BJ9)))))</f>
        <v>2</v>
      </c>
      <c r="BO5" s="929"/>
      <c r="BP5" s="939">
        <v>-20</v>
      </c>
      <c r="BQ5" s="891">
        <f t="shared" ref="BQ5:BQ16" si="22">N158</f>
        <v>1E-3</v>
      </c>
      <c r="BR5" s="940"/>
      <c r="BS5" s="925">
        <f t="shared" ref="BS5:BS16" si="23">IF(OR(BQ5=0,BR5=0),$N$170/3,((MAX(BQ5:BR5)-(MIN(BQ5:BR5)))))</f>
        <v>3.3333333333333332E-4</v>
      </c>
      <c r="BT5" s="1061">
        <f>IF(BT4&lt;=BP6,BP5,IF(BT4&lt;=BP7,BP6,IF(BT4&lt;=BP8,BP7,IF(BT4&lt;=BP9,BP8,IF(BT4&lt;=BP10,BP9)))))</f>
        <v>2</v>
      </c>
      <c r="BU5" s="929"/>
      <c r="BV5" s="939">
        <v>-20</v>
      </c>
      <c r="BW5" s="891">
        <f t="shared" ref="BW5:BW16" si="24">O158</f>
        <v>2</v>
      </c>
      <c r="BX5" s="940"/>
      <c r="BY5" s="925">
        <f t="shared" ref="BY5:BY16" si="25">IF(OR(BW5=0,BX5=0),$O$170/3,((MAX(BW5:BX5)-(MIN(BW5:BX5)))))</f>
        <v>4.666666666666667</v>
      </c>
      <c r="BZ5" s="1061">
        <f>IF(BZ4&lt;=BV6,BV5,IF(BZ4&lt;=BV7,BV6,IF(BZ4&lt;=BV8,BV7,IF(BZ4&lt;=BV9,BV8,IF(BZ4&lt;=BV10,BV9)))))</f>
        <v>2</v>
      </c>
      <c r="CA5" s="929"/>
      <c r="CB5" s="939">
        <v>-20</v>
      </c>
      <c r="CC5" s="891">
        <f t="shared" ref="CC5:CC16" si="26">P158</f>
        <v>-0.7</v>
      </c>
      <c r="CD5" s="940"/>
      <c r="CE5" s="925">
        <f t="shared" ref="CE5:CE16" si="27">IF(OR(CC5=0,CD5=0),$P$170/3,((MAX(CC5:CD5)-(MIN(CC5:CD5)))))</f>
        <v>0.13333333333333333</v>
      </c>
      <c r="CF5" s="1061">
        <f>IF(CF4&lt;=CB6,CB5,IF(CF4&lt;=CB7,CB6,IF(CF4&lt;=CB8,CB7,IF(CF4&lt;=CB9,CB8,IF(CF4&lt;=CB10,CB9)))))</f>
        <v>2</v>
      </c>
      <c r="CH5" s="939">
        <v>-20</v>
      </c>
      <c r="CI5" s="891">
        <f t="shared" ref="CI5:CI16" si="28">Q158</f>
        <v>-1.5E-3</v>
      </c>
      <c r="CJ5" s="940"/>
      <c r="CK5" s="925">
        <f t="shared" ref="CK5:CK16" si="29">IF(OR(CI5=0,CJ5=0),$Q$170/3,((MAX(CI5:CJ5)-(MIN(CI5:CJ5)))))</f>
        <v>7.3333333333333334E-2</v>
      </c>
      <c r="CL5" s="1061">
        <f>IF(CL4&lt;=CH6,CH5,IF(CL4&lt;=CH7,CH6,IF(CL4&lt;=CH8,CH7,IF(CL4&lt;=CH9,CH8,IF(CL4&lt;=CH10,CH9)))))</f>
        <v>2</v>
      </c>
      <c r="CN5" s="939">
        <v>-20</v>
      </c>
      <c r="CO5" s="891">
        <f t="shared" ref="CO5:CO16" si="30">R158</f>
        <v>-1.8</v>
      </c>
      <c r="CP5" s="940"/>
      <c r="CQ5" s="925">
        <f t="shared" ref="CQ5:CQ16" si="31">IF(OR(CO5=0,CP5=0),$R$170/3,((MAX(CO5:CP5)-(MIN(CO5:CP5)))))</f>
        <v>0.25666666666666665</v>
      </c>
      <c r="CR5" s="1061">
        <f>IF(CR4&lt;=CN6,CN5,IF(CR4&lt;=CN7,CN6,IF(CR4&lt;=CN8,CN7,IF(CR4&lt;=CN9,CN8,IF(CR4&lt;=CN10,CN9)))))</f>
        <v>2</v>
      </c>
    </row>
    <row r="6" spans="2:96">
      <c r="B6" s="939">
        <v>-15</v>
      </c>
      <c r="C6" s="940">
        <v>-0.21</v>
      </c>
      <c r="D6" s="940">
        <f t="shared" si="0"/>
        <v>-0.37</v>
      </c>
      <c r="E6" s="1057">
        <f t="shared" si="1"/>
        <v>0.16</v>
      </c>
      <c r="F6" s="1056"/>
      <c r="G6" s="942"/>
      <c r="H6" s="939">
        <v>-15</v>
      </c>
      <c r="I6" s="891">
        <v>-0.21</v>
      </c>
      <c r="J6" s="940">
        <f t="shared" si="2"/>
        <v>-0.56999999999999995</v>
      </c>
      <c r="K6" s="925">
        <f t="shared" si="3"/>
        <v>0.36</v>
      </c>
      <c r="L6" s="1056"/>
      <c r="M6" s="942"/>
      <c r="N6" s="939">
        <v>-15</v>
      </c>
      <c r="O6" s="891"/>
      <c r="P6" s="940">
        <f t="shared" si="4"/>
        <v>-0.45</v>
      </c>
      <c r="Q6" s="925">
        <f t="shared" si="5"/>
        <v>0.13</v>
      </c>
      <c r="R6" s="1056"/>
      <c r="S6" s="929"/>
      <c r="T6" s="939">
        <v>-15</v>
      </c>
      <c r="U6" s="891">
        <f t="shared" si="6"/>
        <v>2</v>
      </c>
      <c r="V6" s="940"/>
      <c r="W6" s="925">
        <f t="shared" si="7"/>
        <v>3.3333333333333332E-4</v>
      </c>
      <c r="X6" s="1056"/>
      <c r="Y6" s="929"/>
      <c r="Z6" s="939">
        <v>-15</v>
      </c>
      <c r="AA6" s="891">
        <f t="shared" si="8"/>
        <v>1E-3</v>
      </c>
      <c r="AB6" s="940"/>
      <c r="AC6" s="925">
        <f t="shared" si="9"/>
        <v>3.3333333333333332E-4</v>
      </c>
      <c r="AD6" s="1056"/>
      <c r="AE6" s="929"/>
      <c r="AF6" s="939">
        <v>-15</v>
      </c>
      <c r="AG6" s="891">
        <f t="shared" si="10"/>
        <v>1E-3</v>
      </c>
      <c r="AH6" s="940"/>
      <c r="AI6" s="925">
        <f t="shared" si="11"/>
        <v>0.3066666666666667</v>
      </c>
      <c r="AJ6" s="1056"/>
      <c r="AK6" s="929"/>
      <c r="AL6" s="939">
        <v>-15</v>
      </c>
      <c r="AM6" s="891">
        <f t="shared" si="12"/>
        <v>1E-3</v>
      </c>
      <c r="AN6" s="940"/>
      <c r="AO6" s="925">
        <f t="shared" si="13"/>
        <v>3.3333333333333332E-4</v>
      </c>
      <c r="AP6" s="1056"/>
      <c r="AQ6" s="929"/>
      <c r="AR6" s="939">
        <v>-15</v>
      </c>
      <c r="AS6" s="891">
        <f t="shared" si="14"/>
        <v>1E-3</v>
      </c>
      <c r="AT6" s="940"/>
      <c r="AU6" s="925">
        <f t="shared" si="15"/>
        <v>3.3333333333333332E-4</v>
      </c>
      <c r="AV6" s="1056"/>
      <c r="AW6" s="929"/>
      <c r="AX6" s="939">
        <v>-15</v>
      </c>
      <c r="AY6" s="891">
        <f t="shared" si="16"/>
        <v>1E-3</v>
      </c>
      <c r="AZ6" s="940"/>
      <c r="BA6" s="925">
        <f t="shared" si="17"/>
        <v>0.26333333333333336</v>
      </c>
      <c r="BB6" s="1056"/>
      <c r="BC6" s="929"/>
      <c r="BD6" s="939">
        <v>-15</v>
      </c>
      <c r="BE6" s="891">
        <f t="shared" si="18"/>
        <v>1E-3</v>
      </c>
      <c r="BF6" s="940"/>
      <c r="BG6" s="925">
        <f t="shared" si="19"/>
        <v>3.3333333333333332E-4</v>
      </c>
      <c r="BH6" s="1056"/>
      <c r="BI6" s="929"/>
      <c r="BJ6" s="939">
        <v>-15</v>
      </c>
      <c r="BK6" s="891">
        <f t="shared" si="20"/>
        <v>1E-3</v>
      </c>
      <c r="BL6" s="940"/>
      <c r="BM6" s="925">
        <f t="shared" si="21"/>
        <v>0.26333333333333336</v>
      </c>
      <c r="BN6" s="1056"/>
      <c r="BO6" s="929"/>
      <c r="BP6" s="939">
        <v>-15</v>
      </c>
      <c r="BQ6" s="891">
        <f t="shared" si="22"/>
        <v>1E-3</v>
      </c>
      <c r="BR6" s="940"/>
      <c r="BS6" s="925">
        <f t="shared" si="23"/>
        <v>3.3333333333333332E-4</v>
      </c>
      <c r="BT6" s="1056"/>
      <c r="BU6" s="929"/>
      <c r="BV6" s="939">
        <v>-15</v>
      </c>
      <c r="BW6" s="891">
        <f t="shared" si="24"/>
        <v>3</v>
      </c>
      <c r="BX6" s="940"/>
      <c r="BY6" s="925">
        <f t="shared" si="25"/>
        <v>4.666666666666667</v>
      </c>
      <c r="BZ6" s="1056"/>
      <c r="CA6" s="929"/>
      <c r="CB6" s="939">
        <v>-15</v>
      </c>
      <c r="CC6" s="891">
        <f t="shared" si="26"/>
        <v>-0.7</v>
      </c>
      <c r="CD6" s="940"/>
      <c r="CE6" s="925">
        <f t="shared" si="27"/>
        <v>0.13333333333333333</v>
      </c>
      <c r="CF6" s="1056"/>
      <c r="CH6" s="939">
        <v>-15</v>
      </c>
      <c r="CI6" s="891">
        <f t="shared" si="28"/>
        <v>1E-3</v>
      </c>
      <c r="CJ6" s="940"/>
      <c r="CK6" s="925">
        <f t="shared" si="29"/>
        <v>7.3333333333333334E-2</v>
      </c>
      <c r="CL6" s="1056"/>
      <c r="CN6" s="939">
        <v>-15</v>
      </c>
      <c r="CO6" s="891">
        <f t="shared" si="30"/>
        <v>-1.52</v>
      </c>
      <c r="CP6" s="940"/>
      <c r="CQ6" s="925">
        <f t="shared" si="31"/>
        <v>0.25666666666666665</v>
      </c>
      <c r="CR6" s="1056"/>
    </row>
    <row r="7" spans="2:96">
      <c r="B7" s="939">
        <v>-10</v>
      </c>
      <c r="C7" s="940">
        <v>-1.8E-3</v>
      </c>
      <c r="D7" s="940">
        <f t="shared" si="0"/>
        <v>-0.32</v>
      </c>
      <c r="E7" s="1057">
        <f t="shared" si="1"/>
        <v>0.31819999999999998</v>
      </c>
      <c r="F7" s="1061">
        <f>IF(F4&lt;=B5,B5,IF(F4&lt;=B6,B6,IF(F4&lt;=B7,B7,IF(F4&lt;=B8,B8,IF(F4&lt;=B9,B9,IF(F4&lt;=B10,B10))))))</f>
        <v>8</v>
      </c>
      <c r="G7" s="942"/>
      <c r="H7" s="939">
        <v>-10</v>
      </c>
      <c r="I7" s="891">
        <v>-1.8E-3</v>
      </c>
      <c r="J7" s="940">
        <f t="shared" si="2"/>
        <v>1E-3</v>
      </c>
      <c r="K7" s="925">
        <f t="shared" si="3"/>
        <v>2.8E-3</v>
      </c>
      <c r="L7" s="1061">
        <f>IF(L4&lt;=H5,H5,IF(L4&lt;=H6,H6,IF(L4&lt;=H7,H7,IF(L4&lt;=H8,H8,IF(L4&lt;=H9,H9,IF(L4&lt;=H10,H10))))))</f>
        <v>8</v>
      </c>
      <c r="M7" s="942"/>
      <c r="N7" s="939">
        <v>-10</v>
      </c>
      <c r="O7" s="891"/>
      <c r="P7" s="940">
        <f t="shared" si="4"/>
        <v>-0.34</v>
      </c>
      <c r="Q7" s="925">
        <f t="shared" si="5"/>
        <v>0.13</v>
      </c>
      <c r="R7" s="1061">
        <f>IF(R4&lt;=N5,N5,IF(R4&lt;=N6,N6,IF(R4&lt;=N7,N7,IF(R4&lt;=N8,N8,IF(R4&lt;=N9,N9,IF(R4&lt;=N10,N10))))))</f>
        <v>8</v>
      </c>
      <c r="S7" s="929"/>
      <c r="T7" s="939">
        <v>-10</v>
      </c>
      <c r="U7" s="891">
        <f t="shared" si="6"/>
        <v>3</v>
      </c>
      <c r="V7" s="940"/>
      <c r="W7" s="925">
        <f t="shared" si="7"/>
        <v>3.3333333333333332E-4</v>
      </c>
      <c r="X7" s="1061">
        <f>IF(X4&lt;=T5,T5,IF(X4&lt;=T6,T6,IF(X4&lt;=T7,T7,IF(X4&lt;=T8,T8,IF(X4&lt;=T9,T9,IF(X4&lt;=T10,T10))))))</f>
        <v>8</v>
      </c>
      <c r="Y7" s="929"/>
      <c r="Z7" s="939">
        <v>-10</v>
      </c>
      <c r="AA7" s="891">
        <f t="shared" si="8"/>
        <v>1E-3</v>
      </c>
      <c r="AB7" s="940"/>
      <c r="AC7" s="925">
        <f t="shared" si="9"/>
        <v>3.3333333333333332E-4</v>
      </c>
      <c r="AD7" s="1061">
        <f>IF(AD4&lt;=Z5,Z5,IF(AD4&lt;=Z6,Z6,IF(AD4&lt;=Z7,Z7,IF(AD4&lt;=Z8,Z8,IF(AD4&lt;=Z9,Z9,IF(AD4&lt;=Z10,Z10))))))</f>
        <v>8</v>
      </c>
      <c r="AE7" s="929"/>
      <c r="AF7" s="939">
        <v>-10</v>
      </c>
      <c r="AG7" s="891">
        <f t="shared" si="10"/>
        <v>1.6999999999999999E-3</v>
      </c>
      <c r="AH7" s="940"/>
      <c r="AI7" s="925">
        <f t="shared" si="11"/>
        <v>0.3066666666666667</v>
      </c>
      <c r="AJ7" s="1061">
        <f>IF(AJ4&lt;=AF5,AF5,IF(AJ4&lt;=AF6,AF6,IF(AJ4&lt;=AF7,AF7,IF(AJ4&lt;=AF8,AF8,IF(AJ4&lt;=AF9,AF9,IF(AJ4&lt;=AF10,AF10))))))</f>
        <v>8</v>
      </c>
      <c r="AK7" s="929"/>
      <c r="AL7" s="939">
        <v>-10</v>
      </c>
      <c r="AM7" s="891">
        <f t="shared" si="12"/>
        <v>1E-3</v>
      </c>
      <c r="AN7" s="940"/>
      <c r="AO7" s="925">
        <f t="shared" si="13"/>
        <v>3.3333333333333332E-4</v>
      </c>
      <c r="AP7" s="1061">
        <f>IF(AP4&lt;=AL5,AL5,IF(AP4&lt;=AL6,AL6,IF(AP4&lt;=AL7,AL7,IF(AP4&lt;=AL8,AL8,IF(AP4&lt;=AL9,AL9,IF(AP4&lt;=AL10,AL10))))))</f>
        <v>8</v>
      </c>
      <c r="AQ7" s="929"/>
      <c r="AR7" s="939">
        <v>-10</v>
      </c>
      <c r="AS7" s="891">
        <f t="shared" si="14"/>
        <v>1E-3</v>
      </c>
      <c r="AT7" s="940"/>
      <c r="AU7" s="925">
        <f t="shared" si="15"/>
        <v>3.3333333333333332E-4</v>
      </c>
      <c r="AV7" s="1061">
        <f>IF(AV4&lt;=AR5,AR5,IF(AV4&lt;=AR6,AR6,IF(AV4&lt;=AR7,AR7,IF(AV4&lt;=AR8,AR8,IF(AV4&lt;=AR9,AR9,IF(AV4&lt;=AR10,AR10))))))</f>
        <v>8</v>
      </c>
      <c r="AW7" s="929"/>
      <c r="AX7" s="939">
        <v>-10</v>
      </c>
      <c r="AY7" s="891">
        <f t="shared" si="16"/>
        <v>0.5</v>
      </c>
      <c r="AZ7" s="940"/>
      <c r="BA7" s="925">
        <f t="shared" si="17"/>
        <v>0.26333333333333336</v>
      </c>
      <c r="BB7" s="1061">
        <f>IF(BB4&lt;=AX5,AX5,IF(BB4&lt;=AX6,AX6,IF(BB4&lt;=AX7,AX7,IF(BB4&lt;=AX8,AX8,IF(BB4&lt;=AX9,AX9,IF(BB4&lt;=AX10,AX10))))))</f>
        <v>8</v>
      </c>
      <c r="BC7" s="929"/>
      <c r="BD7" s="939">
        <v>-10</v>
      </c>
      <c r="BE7" s="891">
        <f t="shared" si="18"/>
        <v>1E-3</v>
      </c>
      <c r="BF7" s="940"/>
      <c r="BG7" s="925">
        <f t="shared" si="19"/>
        <v>3.3333333333333332E-4</v>
      </c>
      <c r="BH7" s="1061">
        <f>IF(BH4&lt;=BD5,BD5,IF(BH4&lt;=BD6,BD6,IF(BH4&lt;=BD7,BD7,IF(BH4&lt;=BD8,BD8,IF(BH4&lt;=BD9,BD9,IF(BH4&lt;=BD10,BD10))))))</f>
        <v>8</v>
      </c>
      <c r="BI7" s="929"/>
      <c r="BJ7" s="939">
        <v>-10</v>
      </c>
      <c r="BK7" s="891">
        <f t="shared" si="20"/>
        <v>0.5</v>
      </c>
      <c r="BL7" s="940"/>
      <c r="BM7" s="925">
        <f t="shared" si="21"/>
        <v>0.26333333333333336</v>
      </c>
      <c r="BN7" s="1061">
        <f>IF(BN4&lt;=BJ5,BJ5,IF(BN4&lt;=BJ6,BJ6,IF(BN4&lt;=BJ7,BJ7,IF(BN4&lt;=BJ8,BJ8,IF(BN4&lt;=BJ9,BJ9,IF(BN4&lt;=BJ10,BJ10))))))</f>
        <v>8</v>
      </c>
      <c r="BO7" s="929"/>
      <c r="BP7" s="939">
        <v>-10</v>
      </c>
      <c r="BQ7" s="891">
        <f t="shared" si="22"/>
        <v>1E-3</v>
      </c>
      <c r="BR7" s="940"/>
      <c r="BS7" s="925">
        <f t="shared" si="23"/>
        <v>3.3333333333333332E-4</v>
      </c>
      <c r="BT7" s="1061">
        <f>IF(BT4&lt;=BP5,BP5,IF(BT4&lt;=BP6,BP6,IF(BT4&lt;=BP7,BP7,IF(BT4&lt;=BP8,BP8,IF(BT4&lt;=BP9,BP9,IF(BT4&lt;=BP10,BP10))))))</f>
        <v>8</v>
      </c>
      <c r="BU7" s="929"/>
      <c r="BV7" s="939">
        <v>-10</v>
      </c>
      <c r="BW7" s="891">
        <f t="shared" si="24"/>
        <v>4</v>
      </c>
      <c r="BX7" s="940"/>
      <c r="BY7" s="925">
        <f t="shared" si="25"/>
        <v>4.666666666666667</v>
      </c>
      <c r="BZ7" s="1061">
        <f>IF(BZ4&lt;=BV5,BV5,IF(BZ4&lt;=BV6,BV6,IF(BZ4&lt;=BV7,BV7,IF(BZ4&lt;=BV8,BV8,IF(BZ4&lt;=BV9,BV9,IF(BZ4&lt;=BV10,BV10))))))</f>
        <v>8</v>
      </c>
      <c r="CA7" s="929"/>
      <c r="CB7" s="939">
        <v>-10</v>
      </c>
      <c r="CC7" s="891">
        <f t="shared" si="26"/>
        <v>-0.7</v>
      </c>
      <c r="CD7" s="940"/>
      <c r="CE7" s="925">
        <f t="shared" si="27"/>
        <v>0.13333333333333333</v>
      </c>
      <c r="CF7" s="1061">
        <f>IF(CF4&lt;=CB5,CB5,IF(CF4&lt;=CB6,CB6,IF(CF4&lt;=CB7,CB7,IF(CF4&lt;=CB8,CB8,IF(CF4&lt;=CB9,CB9,IF(CF4&lt;=CB10,CB10))))))</f>
        <v>8</v>
      </c>
      <c r="CH7" s="939">
        <v>-10</v>
      </c>
      <c r="CI7" s="891">
        <f t="shared" si="28"/>
        <v>-0.05</v>
      </c>
      <c r="CJ7" s="940"/>
      <c r="CK7" s="925">
        <f t="shared" si="29"/>
        <v>7.3333333333333334E-2</v>
      </c>
      <c r="CL7" s="1061">
        <f>IF(CL4&lt;=CH5,CH5,IF(CL4&lt;=CH6,CH6,IF(CL4&lt;=CH7,CH7,IF(CL4&lt;=CH8,CH8,IF(CL4&lt;=CH9,CH9,IF(CL4&lt;=CH10,CH10))))))</f>
        <v>8</v>
      </c>
      <c r="CN7" s="939">
        <v>-10</v>
      </c>
      <c r="CO7" s="891">
        <f t="shared" si="30"/>
        <v>-1.26</v>
      </c>
      <c r="CP7" s="940"/>
      <c r="CQ7" s="925">
        <f t="shared" si="31"/>
        <v>0.25666666666666665</v>
      </c>
      <c r="CR7" s="1061">
        <f>IF(CR4&lt;=CN5,CN5,IF(CR4&lt;=CN6,CN6,IF(CR4&lt;=CN7,CN7,IF(CR4&lt;=CN8,CN8,IF(CR4&lt;=CN9,CN9,IF(CR4&lt;=CN10,CN10))))))</f>
        <v>8</v>
      </c>
    </row>
    <row r="8" spans="2:96">
      <c r="B8" s="939">
        <v>1E-3</v>
      </c>
      <c r="C8" s="940">
        <v>-1.2999999999999999E-3</v>
      </c>
      <c r="D8" s="940">
        <f t="shared" si="0"/>
        <v>-0.23</v>
      </c>
      <c r="E8" s="1057">
        <f t="shared" si="1"/>
        <v>0.22870000000000001</v>
      </c>
      <c r="F8" s="1056"/>
      <c r="G8" s="942"/>
      <c r="H8" s="939">
        <v>1E-3</v>
      </c>
      <c r="I8" s="891">
        <v>-1.2999999999999999E-3</v>
      </c>
      <c r="J8" s="940">
        <f t="shared" si="2"/>
        <v>-0.28000000000000003</v>
      </c>
      <c r="K8" s="925">
        <f t="shared" si="3"/>
        <v>0.2787</v>
      </c>
      <c r="L8" s="1056"/>
      <c r="M8" s="942"/>
      <c r="N8" s="939">
        <v>1E-3</v>
      </c>
      <c r="O8" s="891"/>
      <c r="P8" s="940">
        <f t="shared" si="4"/>
        <v>-0.35</v>
      </c>
      <c r="Q8" s="925">
        <f t="shared" si="5"/>
        <v>0.13</v>
      </c>
      <c r="R8" s="1056"/>
      <c r="S8" s="929"/>
      <c r="T8" s="939">
        <v>1E-3</v>
      </c>
      <c r="U8" s="891">
        <f t="shared" si="6"/>
        <v>4</v>
      </c>
      <c r="V8" s="940"/>
      <c r="W8" s="925">
        <f t="shared" si="7"/>
        <v>3.3333333333333332E-4</v>
      </c>
      <c r="X8" s="1056"/>
      <c r="Y8" s="929"/>
      <c r="Z8" s="939">
        <v>1E-3</v>
      </c>
      <c r="AA8" s="891">
        <f t="shared" si="8"/>
        <v>1E-3</v>
      </c>
      <c r="AB8" s="940"/>
      <c r="AC8" s="925">
        <f t="shared" si="9"/>
        <v>3.3333333333333332E-4</v>
      </c>
      <c r="AD8" s="1056"/>
      <c r="AE8" s="929"/>
      <c r="AF8" s="939">
        <v>1E-3</v>
      </c>
      <c r="AG8" s="891">
        <f t="shared" si="10"/>
        <v>0.35</v>
      </c>
      <c r="AH8" s="940"/>
      <c r="AI8" s="925">
        <f t="shared" si="11"/>
        <v>0.3066666666666667</v>
      </c>
      <c r="AJ8" s="1056"/>
      <c r="AK8" s="929"/>
      <c r="AL8" s="939">
        <v>1E-3</v>
      </c>
      <c r="AM8" s="891">
        <f t="shared" si="12"/>
        <v>1E-3</v>
      </c>
      <c r="AN8" s="940"/>
      <c r="AO8" s="925">
        <f t="shared" si="13"/>
        <v>3.3333333333333332E-4</v>
      </c>
      <c r="AP8" s="1056"/>
      <c r="AQ8" s="929"/>
      <c r="AR8" s="939">
        <v>1E-3</v>
      </c>
      <c r="AS8" s="891">
        <f t="shared" si="14"/>
        <v>1E-3</v>
      </c>
      <c r="AT8" s="940"/>
      <c r="AU8" s="925">
        <f t="shared" si="15"/>
        <v>3.3333333333333332E-4</v>
      </c>
      <c r="AV8" s="1056"/>
      <c r="AW8" s="929"/>
      <c r="AX8" s="939">
        <v>1E-3</v>
      </c>
      <c r="AY8" s="891">
        <f t="shared" si="16"/>
        <v>0.48</v>
      </c>
      <c r="AZ8" s="940"/>
      <c r="BA8" s="925">
        <f t="shared" si="17"/>
        <v>0.26333333333333336</v>
      </c>
      <c r="BB8" s="1056"/>
      <c r="BC8" s="929"/>
      <c r="BD8" s="939">
        <v>1E-3</v>
      </c>
      <c r="BE8" s="891">
        <f t="shared" si="18"/>
        <v>1E-3</v>
      </c>
      <c r="BF8" s="940"/>
      <c r="BG8" s="925">
        <f t="shared" si="19"/>
        <v>3.3333333333333332E-4</v>
      </c>
      <c r="BH8" s="1056"/>
      <c r="BI8" s="929"/>
      <c r="BJ8" s="939">
        <v>1E-3</v>
      </c>
      <c r="BK8" s="891">
        <f t="shared" si="20"/>
        <v>0.48</v>
      </c>
      <c r="BL8" s="940"/>
      <c r="BM8" s="925">
        <f t="shared" si="21"/>
        <v>0.26333333333333336</v>
      </c>
      <c r="BN8" s="1056"/>
      <c r="BO8" s="929"/>
      <c r="BP8" s="939">
        <v>1E-3</v>
      </c>
      <c r="BQ8" s="891">
        <f t="shared" si="22"/>
        <v>1E-3</v>
      </c>
      <c r="BR8" s="940"/>
      <c r="BS8" s="925">
        <f t="shared" si="23"/>
        <v>3.3333333333333332E-4</v>
      </c>
      <c r="BT8" s="1056"/>
      <c r="BU8" s="929"/>
      <c r="BV8" s="939">
        <v>1E-3</v>
      </c>
      <c r="BW8" s="891">
        <f t="shared" si="24"/>
        <v>5</v>
      </c>
      <c r="BX8" s="940"/>
      <c r="BY8" s="925">
        <f t="shared" si="25"/>
        <v>4.666666666666667</v>
      </c>
      <c r="BZ8" s="1056"/>
      <c r="CA8" s="929"/>
      <c r="CB8" s="939">
        <v>1E-3</v>
      </c>
      <c r="CC8" s="891">
        <f t="shared" si="26"/>
        <v>-0.7</v>
      </c>
      <c r="CD8" s="940"/>
      <c r="CE8" s="925">
        <f t="shared" si="27"/>
        <v>0.13333333333333333</v>
      </c>
      <c r="CF8" s="1056"/>
      <c r="CH8" s="939">
        <v>1E-3</v>
      </c>
      <c r="CI8" s="891">
        <f t="shared" si="28"/>
        <v>0.03</v>
      </c>
      <c r="CJ8" s="940"/>
      <c r="CK8" s="925">
        <f t="shared" si="29"/>
        <v>7.3333333333333334E-2</v>
      </c>
      <c r="CL8" s="1056"/>
      <c r="CN8" s="939">
        <v>1E-3</v>
      </c>
      <c r="CO8" s="891">
        <f t="shared" si="30"/>
        <v>-0.79</v>
      </c>
      <c r="CP8" s="940"/>
      <c r="CQ8" s="925">
        <f t="shared" si="31"/>
        <v>0.25666666666666665</v>
      </c>
      <c r="CR8" s="1056"/>
    </row>
    <row r="9" spans="2:96">
      <c r="B9" s="939">
        <v>2</v>
      </c>
      <c r="C9" s="940">
        <v>-1.1999999999999999E-3</v>
      </c>
      <c r="D9" s="940">
        <f t="shared" si="0"/>
        <v>-0.21</v>
      </c>
      <c r="E9" s="1057">
        <f t="shared" si="1"/>
        <v>0.20879999999999999</v>
      </c>
      <c r="F9" s="1062">
        <f>LOOKUP(F5,B5:E16)</f>
        <v>0.20879999999999999</v>
      </c>
      <c r="G9" s="942"/>
      <c r="H9" s="939">
        <v>2</v>
      </c>
      <c r="I9" s="891">
        <v>-1.1999999999999999E-3</v>
      </c>
      <c r="J9" s="940">
        <f t="shared" si="2"/>
        <v>-0.25</v>
      </c>
      <c r="K9" s="925">
        <f t="shared" si="3"/>
        <v>0.24879999999999999</v>
      </c>
      <c r="L9" s="1062">
        <f>LOOKUP(L5,H5:K16)</f>
        <v>0.24879999999999999</v>
      </c>
      <c r="M9" s="942"/>
      <c r="N9" s="939">
        <v>2</v>
      </c>
      <c r="O9" s="891"/>
      <c r="P9" s="940">
        <f t="shared" si="4"/>
        <v>-0.35</v>
      </c>
      <c r="Q9" s="925">
        <f t="shared" si="5"/>
        <v>0.13</v>
      </c>
      <c r="R9" s="1062">
        <f>LOOKUP(R5,N5:Q16)</f>
        <v>0.13</v>
      </c>
      <c r="S9" s="929"/>
      <c r="T9" s="939">
        <v>2</v>
      </c>
      <c r="U9" s="891">
        <f t="shared" si="6"/>
        <v>5</v>
      </c>
      <c r="V9" s="940"/>
      <c r="W9" s="925">
        <f t="shared" si="7"/>
        <v>3.3333333333333332E-4</v>
      </c>
      <c r="X9" s="1062">
        <f>LOOKUP(X5,T5:W16)</f>
        <v>3.3333333333333332E-4</v>
      </c>
      <c r="Y9" s="929"/>
      <c r="Z9" s="939">
        <v>2</v>
      </c>
      <c r="AA9" s="891">
        <f t="shared" si="8"/>
        <v>1E-3</v>
      </c>
      <c r="AB9" s="940"/>
      <c r="AC9" s="925">
        <f t="shared" si="9"/>
        <v>3.3333333333333332E-4</v>
      </c>
      <c r="AD9" s="1062">
        <f>LOOKUP(AD5,Z5:AC16)</f>
        <v>3.3333333333333332E-4</v>
      </c>
      <c r="AE9" s="929"/>
      <c r="AF9" s="939">
        <v>2</v>
      </c>
      <c r="AG9" s="891">
        <f t="shared" si="10"/>
        <v>0.38</v>
      </c>
      <c r="AH9" s="940"/>
      <c r="AI9" s="925">
        <f t="shared" si="11"/>
        <v>0.3066666666666667</v>
      </c>
      <c r="AJ9" s="1062">
        <f>LOOKUP(AJ5,AF5:AI16)</f>
        <v>0.3066666666666667</v>
      </c>
      <c r="AK9" s="929"/>
      <c r="AL9" s="939">
        <v>2</v>
      </c>
      <c r="AM9" s="891">
        <f t="shared" si="12"/>
        <v>1E-3</v>
      </c>
      <c r="AN9" s="940"/>
      <c r="AO9" s="925">
        <f t="shared" si="13"/>
        <v>3.3333333333333332E-4</v>
      </c>
      <c r="AP9" s="1062">
        <f>LOOKUP(AP5,AL5:AO16)</f>
        <v>3.3333333333333332E-4</v>
      </c>
      <c r="AQ9" s="929"/>
      <c r="AR9" s="939">
        <v>2</v>
      </c>
      <c r="AS9" s="891">
        <f t="shared" si="14"/>
        <v>1E-3</v>
      </c>
      <c r="AT9" s="940"/>
      <c r="AU9" s="925">
        <f t="shared" si="15"/>
        <v>3.3333333333333332E-4</v>
      </c>
      <c r="AV9" s="1062">
        <f>LOOKUP(AV5,AR5:AU16)</f>
        <v>3.3333333333333332E-4</v>
      </c>
      <c r="AW9" s="929"/>
      <c r="AX9" s="939">
        <v>2</v>
      </c>
      <c r="AY9" s="891">
        <f t="shared" si="16"/>
        <v>0.48</v>
      </c>
      <c r="AZ9" s="940"/>
      <c r="BA9" s="925">
        <f t="shared" si="17"/>
        <v>0.26333333333333336</v>
      </c>
      <c r="BB9" s="1062">
        <f>LOOKUP(BB5,AX5:BA16)</f>
        <v>0.26333333333333336</v>
      </c>
      <c r="BC9" s="929"/>
      <c r="BD9" s="939">
        <v>2</v>
      </c>
      <c r="BE9" s="891">
        <f t="shared" si="18"/>
        <v>1E-3</v>
      </c>
      <c r="BF9" s="940"/>
      <c r="BG9" s="925">
        <f t="shared" si="19"/>
        <v>3.3333333333333332E-4</v>
      </c>
      <c r="BH9" s="1062">
        <f>LOOKUP(BH5,BD5:BG16)</f>
        <v>3.3333333333333332E-4</v>
      </c>
      <c r="BI9" s="929"/>
      <c r="BJ9" s="939">
        <v>2</v>
      </c>
      <c r="BK9" s="891">
        <f t="shared" si="20"/>
        <v>0.48</v>
      </c>
      <c r="BL9" s="940"/>
      <c r="BM9" s="925">
        <f t="shared" si="21"/>
        <v>0.26333333333333336</v>
      </c>
      <c r="BN9" s="1062">
        <f>LOOKUP(BN5,BJ5:BM16)</f>
        <v>0.26333333333333336</v>
      </c>
      <c r="BO9" s="929"/>
      <c r="BP9" s="939">
        <v>2</v>
      </c>
      <c r="BQ9" s="891">
        <f t="shared" si="22"/>
        <v>1E-3</v>
      </c>
      <c r="BR9" s="940"/>
      <c r="BS9" s="925">
        <f t="shared" si="23"/>
        <v>3.3333333333333332E-4</v>
      </c>
      <c r="BT9" s="1062">
        <f>LOOKUP(BT5,BP5:BS16)</f>
        <v>3.3333333333333332E-4</v>
      </c>
      <c r="BU9" s="929"/>
      <c r="BV9" s="939">
        <v>2</v>
      </c>
      <c r="BW9" s="891">
        <f t="shared" si="24"/>
        <v>6</v>
      </c>
      <c r="BX9" s="940"/>
      <c r="BY9" s="925">
        <f t="shared" si="25"/>
        <v>4.666666666666667</v>
      </c>
      <c r="BZ9" s="1062">
        <f>LOOKUP(BZ5,BV5:BY16)</f>
        <v>4.666666666666667</v>
      </c>
      <c r="CA9" s="929"/>
      <c r="CB9" s="939">
        <v>2</v>
      </c>
      <c r="CC9" s="891">
        <f t="shared" si="26"/>
        <v>-0.7</v>
      </c>
      <c r="CD9" s="940"/>
      <c r="CE9" s="925">
        <f t="shared" si="27"/>
        <v>0.13333333333333333</v>
      </c>
      <c r="CF9" s="1062">
        <f>LOOKUP(CF5,CB5:CE16)</f>
        <v>0.13333333333333333</v>
      </c>
      <c r="CH9" s="939">
        <v>2</v>
      </c>
      <c r="CI9" s="891">
        <f t="shared" si="28"/>
        <v>0.04</v>
      </c>
      <c r="CJ9" s="940"/>
      <c r="CK9" s="925">
        <f t="shared" si="29"/>
        <v>7.3333333333333334E-2</v>
      </c>
      <c r="CL9" s="1062">
        <f>LOOKUP(CL5,CH5:CK16)</f>
        <v>7.3333333333333334E-2</v>
      </c>
      <c r="CN9" s="939">
        <v>2</v>
      </c>
      <c r="CO9" s="891">
        <f t="shared" si="30"/>
        <v>-2.7</v>
      </c>
      <c r="CP9" s="940"/>
      <c r="CQ9" s="925">
        <f t="shared" si="31"/>
        <v>0.25666666666666665</v>
      </c>
      <c r="CR9" s="1062">
        <f>LOOKUP(CR5,CN5:CQ16)</f>
        <v>0.25666666666666665</v>
      </c>
    </row>
    <row r="10" spans="2:96">
      <c r="B10" s="939">
        <v>8</v>
      </c>
      <c r="C10" s="940">
        <v>-0.09</v>
      </c>
      <c r="D10" s="940">
        <f t="shared" si="0"/>
        <v>-1.6000000000000001E-3</v>
      </c>
      <c r="E10" s="1057">
        <f t="shared" si="1"/>
        <v>8.8399999999999992E-2</v>
      </c>
      <c r="F10" s="1056"/>
      <c r="G10" s="942"/>
      <c r="H10" s="939">
        <v>8</v>
      </c>
      <c r="I10" s="891">
        <v>-0.09</v>
      </c>
      <c r="J10" s="940">
        <f t="shared" si="2"/>
        <v>-1.6999999999999999E-3</v>
      </c>
      <c r="K10" s="925">
        <f t="shared" si="3"/>
        <v>8.8300000000000003E-2</v>
      </c>
      <c r="L10" s="1056"/>
      <c r="M10" s="942"/>
      <c r="N10" s="939">
        <v>8</v>
      </c>
      <c r="O10" s="891"/>
      <c r="P10" s="940">
        <f t="shared" si="4"/>
        <v>-1.5E-3</v>
      </c>
      <c r="Q10" s="925">
        <f t="shared" si="5"/>
        <v>0.13</v>
      </c>
      <c r="R10" s="1056"/>
      <c r="S10" s="929"/>
      <c r="T10" s="939">
        <v>8</v>
      </c>
      <c r="U10" s="891">
        <f t="shared" si="6"/>
        <v>6</v>
      </c>
      <c r="V10" s="940"/>
      <c r="W10" s="925">
        <f t="shared" si="7"/>
        <v>3.3333333333333332E-4</v>
      </c>
      <c r="X10" s="1056"/>
      <c r="Y10" s="929"/>
      <c r="Z10" s="939">
        <v>8</v>
      </c>
      <c r="AA10" s="891">
        <f t="shared" si="8"/>
        <v>1E-3</v>
      </c>
      <c r="AB10" s="940"/>
      <c r="AC10" s="925">
        <f t="shared" si="9"/>
        <v>3.3333333333333332E-4</v>
      </c>
      <c r="AD10" s="1056"/>
      <c r="AE10" s="929"/>
      <c r="AF10" s="939">
        <v>8</v>
      </c>
      <c r="AG10" s="891">
        <f t="shared" si="10"/>
        <v>0.47</v>
      </c>
      <c r="AH10" s="940"/>
      <c r="AI10" s="925">
        <f t="shared" si="11"/>
        <v>0.3066666666666667</v>
      </c>
      <c r="AJ10" s="1056"/>
      <c r="AK10" s="929"/>
      <c r="AL10" s="939">
        <v>8</v>
      </c>
      <c r="AM10" s="891">
        <f t="shared" si="12"/>
        <v>1E-3</v>
      </c>
      <c r="AN10" s="940"/>
      <c r="AO10" s="925">
        <f t="shared" si="13"/>
        <v>3.3333333333333332E-4</v>
      </c>
      <c r="AP10" s="1056"/>
      <c r="AQ10" s="929"/>
      <c r="AR10" s="939">
        <v>8</v>
      </c>
      <c r="AS10" s="891">
        <f t="shared" si="14"/>
        <v>1E-3</v>
      </c>
      <c r="AT10" s="940"/>
      <c r="AU10" s="925">
        <f t="shared" si="15"/>
        <v>3.3333333333333332E-4</v>
      </c>
      <c r="AV10" s="1056"/>
      <c r="AW10" s="929"/>
      <c r="AX10" s="939">
        <v>8</v>
      </c>
      <c r="AY10" s="891">
        <f t="shared" si="16"/>
        <v>0.46</v>
      </c>
      <c r="AZ10" s="940"/>
      <c r="BA10" s="925">
        <f t="shared" si="17"/>
        <v>0.26333333333333336</v>
      </c>
      <c r="BB10" s="1056"/>
      <c r="BC10" s="929"/>
      <c r="BD10" s="939">
        <v>8</v>
      </c>
      <c r="BE10" s="891">
        <f t="shared" si="18"/>
        <v>1E-3</v>
      </c>
      <c r="BF10" s="940"/>
      <c r="BG10" s="925">
        <f t="shared" si="19"/>
        <v>3.3333333333333332E-4</v>
      </c>
      <c r="BH10" s="1056"/>
      <c r="BI10" s="929"/>
      <c r="BJ10" s="939">
        <v>8</v>
      </c>
      <c r="BK10" s="891">
        <f t="shared" si="20"/>
        <v>0.46</v>
      </c>
      <c r="BL10" s="940"/>
      <c r="BM10" s="925">
        <f t="shared" si="21"/>
        <v>0.26333333333333336</v>
      </c>
      <c r="BN10" s="1056"/>
      <c r="BO10" s="929"/>
      <c r="BP10" s="939">
        <v>8</v>
      </c>
      <c r="BQ10" s="891">
        <f t="shared" si="22"/>
        <v>1E-3</v>
      </c>
      <c r="BR10" s="940"/>
      <c r="BS10" s="925">
        <f t="shared" si="23"/>
        <v>3.3333333333333332E-4</v>
      </c>
      <c r="BT10" s="1056"/>
      <c r="BU10" s="929"/>
      <c r="BV10" s="939">
        <v>8</v>
      </c>
      <c r="BW10" s="891">
        <f t="shared" si="24"/>
        <v>7</v>
      </c>
      <c r="BX10" s="940"/>
      <c r="BY10" s="925">
        <f t="shared" si="25"/>
        <v>4.666666666666667</v>
      </c>
      <c r="BZ10" s="1056"/>
      <c r="CA10" s="929"/>
      <c r="CB10" s="939">
        <v>8</v>
      </c>
      <c r="CC10" s="891">
        <f t="shared" si="26"/>
        <v>-0.7</v>
      </c>
      <c r="CD10" s="940"/>
      <c r="CE10" s="925">
        <f t="shared" si="27"/>
        <v>0.13333333333333333</v>
      </c>
      <c r="CF10" s="1056"/>
      <c r="CH10" s="939">
        <v>8</v>
      </c>
      <c r="CI10" s="891">
        <f t="shared" si="28"/>
        <v>0.08</v>
      </c>
      <c r="CJ10" s="940"/>
      <c r="CK10" s="925">
        <f t="shared" si="29"/>
        <v>7.3333333333333334E-2</v>
      </c>
      <c r="CL10" s="1056"/>
      <c r="CN10" s="939">
        <v>8</v>
      </c>
      <c r="CO10" s="891">
        <f t="shared" si="30"/>
        <v>-0.46</v>
      </c>
      <c r="CP10" s="940"/>
      <c r="CQ10" s="925">
        <f t="shared" si="31"/>
        <v>0.25666666666666665</v>
      </c>
      <c r="CR10" s="1056"/>
    </row>
    <row r="11" spans="2:96">
      <c r="B11" s="939">
        <v>37</v>
      </c>
      <c r="C11" s="940">
        <v>0.02</v>
      </c>
      <c r="D11" s="940">
        <f t="shared" si="0"/>
        <v>1E-3</v>
      </c>
      <c r="E11" s="1057">
        <f t="shared" si="1"/>
        <v>1.9E-2</v>
      </c>
      <c r="F11" s="1062">
        <f>LOOKUP(F7,B5:E16)</f>
        <v>8.8399999999999992E-2</v>
      </c>
      <c r="G11" s="942"/>
      <c r="H11" s="939">
        <v>37</v>
      </c>
      <c r="I11" s="891">
        <v>0.02</v>
      </c>
      <c r="J11" s="940">
        <f t="shared" si="2"/>
        <v>0.04</v>
      </c>
      <c r="K11" s="925">
        <f t="shared" si="3"/>
        <v>0.02</v>
      </c>
      <c r="L11" s="1062">
        <f>LOOKUP(L7,H5:K16)</f>
        <v>8.8300000000000003E-2</v>
      </c>
      <c r="M11" s="942"/>
      <c r="N11" s="939">
        <v>37</v>
      </c>
      <c r="O11" s="891"/>
      <c r="P11" s="940">
        <f t="shared" si="4"/>
        <v>-1.5E-3</v>
      </c>
      <c r="Q11" s="925">
        <f t="shared" si="5"/>
        <v>0.13</v>
      </c>
      <c r="R11" s="1062">
        <f>LOOKUP(R7,N5:Q16)</f>
        <v>0.13</v>
      </c>
      <c r="S11" s="929"/>
      <c r="T11" s="939">
        <v>37</v>
      </c>
      <c r="U11" s="891">
        <f t="shared" si="6"/>
        <v>7</v>
      </c>
      <c r="V11" s="940"/>
      <c r="W11" s="925">
        <f t="shared" si="7"/>
        <v>3.3333333333333332E-4</v>
      </c>
      <c r="X11" s="1062">
        <f>LOOKUP(X7,T5:W16)</f>
        <v>3.3333333333333332E-4</v>
      </c>
      <c r="Y11" s="929"/>
      <c r="Z11" s="939">
        <v>37</v>
      </c>
      <c r="AA11" s="891">
        <f t="shared" si="8"/>
        <v>1E-3</v>
      </c>
      <c r="AB11" s="940"/>
      <c r="AC11" s="925">
        <f t="shared" si="9"/>
        <v>3.3333333333333332E-4</v>
      </c>
      <c r="AD11" s="1062">
        <f>LOOKUP(AD7,Z5:AC16)</f>
        <v>3.3333333333333332E-4</v>
      </c>
      <c r="AE11" s="929"/>
      <c r="AF11" s="939">
        <v>37</v>
      </c>
      <c r="AG11" s="891">
        <f t="shared" si="10"/>
        <v>0.72</v>
      </c>
      <c r="AH11" s="940"/>
      <c r="AI11" s="925">
        <f t="shared" si="11"/>
        <v>0.3066666666666667</v>
      </c>
      <c r="AJ11" s="1062">
        <f>LOOKUP(AJ7,AF5:AI16)</f>
        <v>0.3066666666666667</v>
      </c>
      <c r="AK11" s="929"/>
      <c r="AL11" s="939">
        <v>37</v>
      </c>
      <c r="AM11" s="891">
        <f t="shared" si="12"/>
        <v>1E-3</v>
      </c>
      <c r="AN11" s="940"/>
      <c r="AO11" s="925">
        <f t="shared" si="13"/>
        <v>3.3333333333333332E-4</v>
      </c>
      <c r="AP11" s="1062">
        <f>LOOKUP(AP7,AL5:AO16)</f>
        <v>3.3333333333333332E-4</v>
      </c>
      <c r="AQ11" s="929"/>
      <c r="AR11" s="939">
        <v>37</v>
      </c>
      <c r="AS11" s="891">
        <f t="shared" si="14"/>
        <v>1E-3</v>
      </c>
      <c r="AT11" s="940"/>
      <c r="AU11" s="925">
        <f t="shared" si="15"/>
        <v>3.3333333333333332E-4</v>
      </c>
      <c r="AV11" s="1062">
        <f>LOOKUP(AV7,AR5:AU16)</f>
        <v>3.3333333333333332E-4</v>
      </c>
      <c r="AW11" s="929"/>
      <c r="AX11" s="939">
        <v>37</v>
      </c>
      <c r="AY11" s="891">
        <f t="shared" si="16"/>
        <v>0.38</v>
      </c>
      <c r="AZ11" s="940"/>
      <c r="BA11" s="925">
        <f t="shared" si="17"/>
        <v>0.26333333333333336</v>
      </c>
      <c r="BB11" s="1062">
        <f>LOOKUP(BB7,AX5:BA16)</f>
        <v>0.26333333333333336</v>
      </c>
      <c r="BC11" s="929"/>
      <c r="BD11" s="939">
        <v>37</v>
      </c>
      <c r="BE11" s="891">
        <f t="shared" si="18"/>
        <v>1E-3</v>
      </c>
      <c r="BF11" s="940"/>
      <c r="BG11" s="925">
        <f t="shared" si="19"/>
        <v>3.3333333333333332E-4</v>
      </c>
      <c r="BH11" s="1062">
        <f>LOOKUP(BH7,BD5:BG16)</f>
        <v>3.3333333333333332E-4</v>
      </c>
      <c r="BI11" s="929"/>
      <c r="BJ11" s="939">
        <v>37</v>
      </c>
      <c r="BK11" s="891">
        <f t="shared" si="20"/>
        <v>0.38</v>
      </c>
      <c r="BL11" s="940"/>
      <c r="BM11" s="925">
        <f t="shared" si="21"/>
        <v>0.26333333333333336</v>
      </c>
      <c r="BN11" s="1062">
        <f>LOOKUP(BN7,BJ5:BM16)</f>
        <v>0.26333333333333336</v>
      </c>
      <c r="BO11" s="929"/>
      <c r="BP11" s="939">
        <v>37</v>
      </c>
      <c r="BQ11" s="891">
        <f t="shared" si="22"/>
        <v>1E-3</v>
      </c>
      <c r="BR11" s="940"/>
      <c r="BS11" s="925">
        <f t="shared" si="23"/>
        <v>3.3333333333333332E-4</v>
      </c>
      <c r="BT11" s="1062">
        <f>LOOKUP(BT7,BP5:BS16)</f>
        <v>3.3333333333333332E-4</v>
      </c>
      <c r="BU11" s="929"/>
      <c r="BV11" s="939">
        <v>37</v>
      </c>
      <c r="BW11" s="891">
        <f t="shared" si="24"/>
        <v>8</v>
      </c>
      <c r="BX11" s="940"/>
      <c r="BY11" s="925">
        <f t="shared" si="25"/>
        <v>4.666666666666667</v>
      </c>
      <c r="BZ11" s="1062">
        <f>LOOKUP(BZ7,BV5:BY16)</f>
        <v>4.666666666666667</v>
      </c>
      <c r="CA11" s="929"/>
      <c r="CB11" s="939">
        <v>37</v>
      </c>
      <c r="CC11" s="891">
        <f t="shared" si="26"/>
        <v>-0.6</v>
      </c>
      <c r="CD11" s="940"/>
      <c r="CE11" s="925">
        <f t="shared" si="27"/>
        <v>0.13333333333333333</v>
      </c>
      <c r="CF11" s="1062">
        <f>LOOKUP(CF7,CB5:CE16)</f>
        <v>0.13333333333333333</v>
      </c>
      <c r="CH11" s="939">
        <v>37</v>
      </c>
      <c r="CI11" s="891">
        <f t="shared" si="28"/>
        <v>0.23</v>
      </c>
      <c r="CJ11" s="940"/>
      <c r="CK11" s="925">
        <f t="shared" si="29"/>
        <v>7.3333333333333334E-2</v>
      </c>
      <c r="CL11" s="1062">
        <f>LOOKUP(CL7,CH5:CK16)</f>
        <v>7.3333333333333334E-2</v>
      </c>
      <c r="CN11" s="939">
        <v>37</v>
      </c>
      <c r="CO11" s="891">
        <f t="shared" si="30"/>
        <v>0.42</v>
      </c>
      <c r="CP11" s="940"/>
      <c r="CQ11" s="925">
        <f t="shared" si="31"/>
        <v>0.25666666666666665</v>
      </c>
      <c r="CR11" s="1062">
        <f>LOOKUP(CR7,CN5:CQ16)</f>
        <v>0.25666666666666665</v>
      </c>
    </row>
    <row r="12" spans="2:96">
      <c r="B12" s="939">
        <v>44</v>
      </c>
      <c r="C12" s="940">
        <v>0.04</v>
      </c>
      <c r="D12" s="940">
        <f t="shared" si="0"/>
        <v>0.02</v>
      </c>
      <c r="E12" s="1057">
        <f t="shared" si="1"/>
        <v>0.02</v>
      </c>
      <c r="F12" s="941"/>
      <c r="G12" s="942"/>
      <c r="H12" s="939">
        <v>44</v>
      </c>
      <c r="I12" s="891">
        <v>0.04</v>
      </c>
      <c r="J12" s="940">
        <f t="shared" si="2"/>
        <v>0.06</v>
      </c>
      <c r="K12" s="925">
        <f t="shared" si="3"/>
        <v>1.9999999999999997E-2</v>
      </c>
      <c r="L12" s="941"/>
      <c r="M12" s="942"/>
      <c r="N12" s="939">
        <v>44</v>
      </c>
      <c r="O12" s="891"/>
      <c r="P12" s="940">
        <f t="shared" si="4"/>
        <v>-1.8E-3</v>
      </c>
      <c r="Q12" s="925">
        <f t="shared" si="5"/>
        <v>0.13</v>
      </c>
      <c r="R12" s="941"/>
      <c r="S12" s="929"/>
      <c r="T12" s="939">
        <v>44</v>
      </c>
      <c r="U12" s="891">
        <f t="shared" si="6"/>
        <v>8</v>
      </c>
      <c r="V12" s="940"/>
      <c r="W12" s="925">
        <f t="shared" si="7"/>
        <v>3.3333333333333332E-4</v>
      </c>
      <c r="X12" s="941"/>
      <c r="Y12" s="929"/>
      <c r="Z12" s="939">
        <v>44</v>
      </c>
      <c r="AA12" s="891">
        <f t="shared" si="8"/>
        <v>1E-3</v>
      </c>
      <c r="AB12" s="940"/>
      <c r="AC12" s="925">
        <f t="shared" si="9"/>
        <v>3.3333333333333332E-4</v>
      </c>
      <c r="AD12" s="941"/>
      <c r="AE12" s="929"/>
      <c r="AF12" s="939">
        <v>44</v>
      </c>
      <c r="AG12" s="891">
        <f t="shared" si="10"/>
        <v>0.75</v>
      </c>
      <c r="AH12" s="940"/>
      <c r="AI12" s="925">
        <f t="shared" si="11"/>
        <v>0.3066666666666667</v>
      </c>
      <c r="AJ12" s="941"/>
      <c r="AK12" s="929"/>
      <c r="AL12" s="939">
        <v>44</v>
      </c>
      <c r="AM12" s="891">
        <f t="shared" si="12"/>
        <v>1E-3</v>
      </c>
      <c r="AN12" s="940"/>
      <c r="AO12" s="925">
        <f t="shared" si="13"/>
        <v>3.3333333333333332E-4</v>
      </c>
      <c r="AP12" s="941"/>
      <c r="AQ12" s="929"/>
      <c r="AR12" s="939">
        <v>44</v>
      </c>
      <c r="AS12" s="891">
        <f t="shared" si="14"/>
        <v>1E-3</v>
      </c>
      <c r="AT12" s="940"/>
      <c r="AU12" s="925">
        <f t="shared" si="15"/>
        <v>3.3333333333333332E-4</v>
      </c>
      <c r="AV12" s="941"/>
      <c r="AW12" s="929"/>
      <c r="AX12" s="939">
        <v>44</v>
      </c>
      <c r="AY12" s="891">
        <f t="shared" si="16"/>
        <v>0.36</v>
      </c>
      <c r="AZ12" s="940"/>
      <c r="BA12" s="925">
        <f t="shared" si="17"/>
        <v>0.26333333333333336</v>
      </c>
      <c r="BB12" s="941"/>
      <c r="BC12" s="929"/>
      <c r="BD12" s="939">
        <v>44</v>
      </c>
      <c r="BE12" s="891">
        <f t="shared" si="18"/>
        <v>1E-3</v>
      </c>
      <c r="BF12" s="940"/>
      <c r="BG12" s="925">
        <f t="shared" si="19"/>
        <v>3.3333333333333332E-4</v>
      </c>
      <c r="BH12" s="941"/>
      <c r="BI12" s="929"/>
      <c r="BJ12" s="939">
        <v>44</v>
      </c>
      <c r="BK12" s="891">
        <f t="shared" si="20"/>
        <v>0.36</v>
      </c>
      <c r="BL12" s="940"/>
      <c r="BM12" s="925">
        <f t="shared" si="21"/>
        <v>0.26333333333333336</v>
      </c>
      <c r="BN12" s="941"/>
      <c r="BO12" s="929"/>
      <c r="BP12" s="939">
        <v>44</v>
      </c>
      <c r="BQ12" s="891">
        <f t="shared" si="22"/>
        <v>1E-3</v>
      </c>
      <c r="BR12" s="940"/>
      <c r="BS12" s="925">
        <f t="shared" si="23"/>
        <v>3.3333333333333332E-4</v>
      </c>
      <c r="BT12" s="941"/>
      <c r="BU12" s="929"/>
      <c r="BV12" s="939">
        <v>44</v>
      </c>
      <c r="BW12" s="891">
        <f t="shared" si="24"/>
        <v>9</v>
      </c>
      <c r="BX12" s="940"/>
      <c r="BY12" s="925">
        <f t="shared" si="25"/>
        <v>4.666666666666667</v>
      </c>
      <c r="BZ12" s="941"/>
      <c r="CA12" s="929"/>
      <c r="CB12" s="939">
        <v>44</v>
      </c>
      <c r="CC12" s="891">
        <f t="shared" si="26"/>
        <v>-0.7</v>
      </c>
      <c r="CD12" s="940"/>
      <c r="CE12" s="925">
        <f t="shared" si="27"/>
        <v>0.13333333333333333</v>
      </c>
      <c r="CF12" s="941"/>
      <c r="CH12" s="939">
        <v>44</v>
      </c>
      <c r="CI12" s="891">
        <f t="shared" si="28"/>
        <v>0.25</v>
      </c>
      <c r="CJ12" s="940"/>
      <c r="CK12" s="925">
        <f t="shared" si="29"/>
        <v>7.3333333333333334E-2</v>
      </c>
      <c r="CL12" s="941"/>
      <c r="CN12" s="939">
        <v>44</v>
      </c>
      <c r="CO12" s="891">
        <f t="shared" si="30"/>
        <v>0.56999999999999995</v>
      </c>
      <c r="CP12" s="940"/>
      <c r="CQ12" s="925">
        <f t="shared" si="31"/>
        <v>0.25666666666666665</v>
      </c>
      <c r="CR12" s="941"/>
    </row>
    <row r="13" spans="2:96">
      <c r="B13" s="939">
        <v>50</v>
      </c>
      <c r="C13" s="940">
        <v>0.05</v>
      </c>
      <c r="D13" s="940">
        <f t="shared" si="0"/>
        <v>0.04</v>
      </c>
      <c r="E13" s="1057">
        <f t="shared" si="1"/>
        <v>1.0000000000000002E-2</v>
      </c>
      <c r="F13" s="1064">
        <f>(((F11-F9)/(F7-F5))*(F4-F5))+F9</f>
        <v>0.11964735881471041</v>
      </c>
      <c r="G13" s="942"/>
      <c r="H13" s="939">
        <v>50</v>
      </c>
      <c r="I13" s="891">
        <v>0.05</v>
      </c>
      <c r="J13" s="940">
        <f t="shared" si="2"/>
        <v>0.06</v>
      </c>
      <c r="K13" s="925">
        <f t="shared" si="3"/>
        <v>9.999999999999995E-3</v>
      </c>
      <c r="L13" s="1064">
        <f>(((L11-L9)/(L7-L5))*(L4-L5))+L9</f>
        <v>0.12995449410100518</v>
      </c>
      <c r="M13" s="942"/>
      <c r="N13" s="939">
        <v>50</v>
      </c>
      <c r="O13" s="891"/>
      <c r="P13" s="940">
        <f t="shared" si="4"/>
        <v>0.36</v>
      </c>
      <c r="Q13" s="925">
        <f t="shared" si="5"/>
        <v>0.13</v>
      </c>
      <c r="R13" s="1064">
        <f>(((R11-R9)/(R7-R5))*(R4-R5))+R9</f>
        <v>0.13</v>
      </c>
      <c r="S13" s="929"/>
      <c r="T13" s="939">
        <v>50</v>
      </c>
      <c r="U13" s="891">
        <f t="shared" si="6"/>
        <v>9</v>
      </c>
      <c r="V13" s="940"/>
      <c r="W13" s="925">
        <f t="shared" si="7"/>
        <v>3.3333333333333332E-4</v>
      </c>
      <c r="X13" s="1064">
        <f>(((X11-X9)/(X7-X5))*(X4-X5))+X9</f>
        <v>3.3333333333333332E-4</v>
      </c>
      <c r="Y13" s="929"/>
      <c r="Z13" s="939">
        <v>50</v>
      </c>
      <c r="AA13" s="891">
        <f t="shared" si="8"/>
        <v>1E-3</v>
      </c>
      <c r="AB13" s="940"/>
      <c r="AC13" s="925">
        <f t="shared" si="9"/>
        <v>3.3333333333333332E-4</v>
      </c>
      <c r="AD13" s="1064">
        <f>(((AD11-AD9)/(AD7-AD5))*(AD4-AD5))+AD9</f>
        <v>3.3333333333333332E-4</v>
      </c>
      <c r="AE13" s="929"/>
      <c r="AF13" s="939">
        <v>50</v>
      </c>
      <c r="AG13" s="891">
        <f t="shared" si="10"/>
        <v>0.76</v>
      </c>
      <c r="AH13" s="940"/>
      <c r="AI13" s="925">
        <f t="shared" si="11"/>
        <v>0.3066666666666667</v>
      </c>
      <c r="AJ13" s="1064">
        <f>(((AJ11-AJ9)/(AJ7-AJ5))*(AJ4-AJ5))+AJ9</f>
        <v>0.3066666666666667</v>
      </c>
      <c r="AK13" s="929"/>
      <c r="AL13" s="939">
        <v>50</v>
      </c>
      <c r="AM13" s="891">
        <f t="shared" si="12"/>
        <v>1E-3</v>
      </c>
      <c r="AN13" s="940"/>
      <c r="AO13" s="925">
        <f t="shared" si="13"/>
        <v>3.3333333333333332E-4</v>
      </c>
      <c r="AP13" s="1064">
        <f>(((AP11-AP9)/(AP7-AP5))*(AP4-AP5))+AP9</f>
        <v>3.3333333333333332E-4</v>
      </c>
      <c r="AQ13" s="929"/>
      <c r="AR13" s="939">
        <v>50</v>
      </c>
      <c r="AS13" s="891">
        <f t="shared" si="14"/>
        <v>1E-3</v>
      </c>
      <c r="AT13" s="940"/>
      <c r="AU13" s="925">
        <f t="shared" si="15"/>
        <v>3.3333333333333332E-4</v>
      </c>
      <c r="AV13" s="1064">
        <f>(((AV11-AV9)/(AV7-AV5))*(AV4-AV5))+AV9</f>
        <v>3.3333333333333332E-4</v>
      </c>
      <c r="AW13" s="929"/>
      <c r="AX13" s="939">
        <v>50</v>
      </c>
      <c r="AY13" s="891">
        <f t="shared" si="16"/>
        <v>0.34</v>
      </c>
      <c r="AZ13" s="940"/>
      <c r="BA13" s="925">
        <f t="shared" si="17"/>
        <v>0.26333333333333336</v>
      </c>
      <c r="BB13" s="1064">
        <f>(((BB11-BB9)/(BB7-BB5))*(BB4-BB5))+BB9</f>
        <v>0.26333333333333336</v>
      </c>
      <c r="BC13" s="929"/>
      <c r="BD13" s="939">
        <v>50</v>
      </c>
      <c r="BE13" s="891">
        <f t="shared" si="18"/>
        <v>1E-3</v>
      </c>
      <c r="BF13" s="940"/>
      <c r="BG13" s="925">
        <f t="shared" si="19"/>
        <v>3.3333333333333332E-4</v>
      </c>
      <c r="BH13" s="1064">
        <f>(((BH11-BH9)/(BH7-BH5))*(BH4-BH5))+BH9</f>
        <v>3.3333333333333332E-4</v>
      </c>
      <c r="BI13" s="929"/>
      <c r="BJ13" s="939">
        <v>50</v>
      </c>
      <c r="BK13" s="891">
        <f t="shared" si="20"/>
        <v>0.34</v>
      </c>
      <c r="BL13" s="940"/>
      <c r="BM13" s="925">
        <f t="shared" si="21"/>
        <v>0.26333333333333336</v>
      </c>
      <c r="BN13" s="1064">
        <f>(((BN11-BN9)/(BN7-BN5))*(BN4-BN5))+BN9</f>
        <v>0.26333333333333336</v>
      </c>
      <c r="BO13" s="929"/>
      <c r="BP13" s="939">
        <v>50</v>
      </c>
      <c r="BQ13" s="891">
        <f t="shared" si="22"/>
        <v>1E-3</v>
      </c>
      <c r="BR13" s="940"/>
      <c r="BS13" s="925">
        <f t="shared" si="23"/>
        <v>3.3333333333333332E-4</v>
      </c>
      <c r="BT13" s="1064">
        <f>(((BT11-BT9)/(BT7-BT5))*(BT4-BT5))+BT9</f>
        <v>3.3333333333333332E-4</v>
      </c>
      <c r="BU13" s="929"/>
      <c r="BV13" s="939">
        <v>50</v>
      </c>
      <c r="BW13" s="891">
        <f t="shared" si="24"/>
        <v>10</v>
      </c>
      <c r="BX13" s="940"/>
      <c r="BY13" s="925">
        <f t="shared" si="25"/>
        <v>4.666666666666667</v>
      </c>
      <c r="BZ13" s="1064">
        <f>(((BZ11-BZ9)/(BZ7-BZ5))*(BZ4-BZ5))+BZ9</f>
        <v>4.666666666666667</v>
      </c>
      <c r="CA13" s="929"/>
      <c r="CB13" s="939">
        <v>50</v>
      </c>
      <c r="CC13" s="891">
        <f t="shared" si="26"/>
        <v>-0.7</v>
      </c>
      <c r="CD13" s="940"/>
      <c r="CE13" s="925">
        <f t="shared" si="27"/>
        <v>0.13333333333333333</v>
      </c>
      <c r="CF13" s="1064">
        <f>(((CF11-CF9)/(CF7-CF5))*(CF4-CF5))+CF9</f>
        <v>0.13333333333333333</v>
      </c>
      <c r="CH13" s="939">
        <v>50</v>
      </c>
      <c r="CI13" s="891">
        <f t="shared" si="28"/>
        <v>0.27</v>
      </c>
      <c r="CJ13" s="940"/>
      <c r="CK13" s="925">
        <f t="shared" si="29"/>
        <v>7.3333333333333334E-2</v>
      </c>
      <c r="CL13" s="1064">
        <f>(((CL11-CL9)/(CL7-CL5))*(CL4-CL5))+CL9</f>
        <v>7.3333333333333334E-2</v>
      </c>
      <c r="CN13" s="939">
        <v>50</v>
      </c>
      <c r="CO13" s="891">
        <f t="shared" si="30"/>
        <v>0.67</v>
      </c>
      <c r="CP13" s="940"/>
      <c r="CQ13" s="925">
        <f t="shared" si="31"/>
        <v>0.25666666666666665</v>
      </c>
      <c r="CR13" s="1064">
        <f>(((CR11-CR9)/(CR7-CR5))*(CR4-CR5))+CR9</f>
        <v>0.25666666666666665</v>
      </c>
    </row>
    <row r="14" spans="2:96">
      <c r="B14" s="939">
        <v>100</v>
      </c>
      <c r="C14" s="940">
        <v>1.1000000000000001E-3</v>
      </c>
      <c r="D14" s="940">
        <f t="shared" si="0"/>
        <v>0.08</v>
      </c>
      <c r="E14" s="1057">
        <f t="shared" si="1"/>
        <v>7.8899999999999998E-2</v>
      </c>
      <c r="F14" s="941"/>
      <c r="G14" s="942"/>
      <c r="H14" s="939">
        <v>100</v>
      </c>
      <c r="I14" s="891">
        <v>1.1000000000000001E-3</v>
      </c>
      <c r="J14" s="940">
        <f t="shared" si="2"/>
        <v>-1E-3</v>
      </c>
      <c r="K14" s="925">
        <f t="shared" si="3"/>
        <v>2.1000000000000003E-3</v>
      </c>
      <c r="L14" s="941"/>
      <c r="M14" s="942"/>
      <c r="N14" s="939">
        <v>100</v>
      </c>
      <c r="O14" s="891"/>
      <c r="P14" s="940">
        <f t="shared" si="4"/>
        <v>1.5E-3</v>
      </c>
      <c r="Q14" s="925">
        <f t="shared" si="5"/>
        <v>0.13</v>
      </c>
      <c r="R14" s="941"/>
      <c r="S14" s="929"/>
      <c r="T14" s="939">
        <v>100</v>
      </c>
      <c r="U14" s="891">
        <f t="shared" si="6"/>
        <v>8</v>
      </c>
      <c r="V14" s="940"/>
      <c r="W14" s="925">
        <f t="shared" si="7"/>
        <v>3.3333333333333332E-4</v>
      </c>
      <c r="X14" s="941"/>
      <c r="Y14" s="929"/>
      <c r="Z14" s="939">
        <v>100</v>
      </c>
      <c r="AA14" s="891">
        <f t="shared" si="8"/>
        <v>1E-3</v>
      </c>
      <c r="AB14" s="940"/>
      <c r="AC14" s="925">
        <f t="shared" si="9"/>
        <v>3.3333333333333332E-4</v>
      </c>
      <c r="AD14" s="941"/>
      <c r="AE14" s="929"/>
      <c r="AF14" s="939">
        <v>100</v>
      </c>
      <c r="AG14" s="891">
        <f t="shared" si="10"/>
        <v>0.56999999999999995</v>
      </c>
      <c r="AH14" s="940"/>
      <c r="AI14" s="925">
        <f t="shared" si="11"/>
        <v>0.3066666666666667</v>
      </c>
      <c r="AJ14" s="941"/>
      <c r="AK14" s="929"/>
      <c r="AL14" s="939">
        <v>100</v>
      </c>
      <c r="AM14" s="891">
        <f t="shared" si="12"/>
        <v>1E-3</v>
      </c>
      <c r="AN14" s="940"/>
      <c r="AO14" s="925">
        <f t="shared" si="13"/>
        <v>3.3333333333333332E-4</v>
      </c>
      <c r="AP14" s="941"/>
      <c r="AQ14" s="929"/>
      <c r="AR14" s="939">
        <v>100</v>
      </c>
      <c r="AS14" s="891">
        <f t="shared" si="14"/>
        <v>1E-3</v>
      </c>
      <c r="AT14" s="940"/>
      <c r="AU14" s="925">
        <f t="shared" si="15"/>
        <v>3.3333333333333332E-4</v>
      </c>
      <c r="AV14" s="941"/>
      <c r="AW14" s="929"/>
      <c r="AX14" s="939">
        <v>100</v>
      </c>
      <c r="AY14" s="891">
        <f t="shared" si="16"/>
        <v>1.6999999999999999E-3</v>
      </c>
      <c r="AZ14" s="940"/>
      <c r="BA14" s="925">
        <f t="shared" si="17"/>
        <v>0.26333333333333336</v>
      </c>
      <c r="BB14" s="941"/>
      <c r="BC14" s="929"/>
      <c r="BD14" s="939">
        <v>100</v>
      </c>
      <c r="BE14" s="891">
        <f t="shared" si="18"/>
        <v>1E-3</v>
      </c>
      <c r="BF14" s="940"/>
      <c r="BG14" s="925">
        <f t="shared" si="19"/>
        <v>3.3333333333333332E-4</v>
      </c>
      <c r="BH14" s="941"/>
      <c r="BI14" s="929"/>
      <c r="BJ14" s="939">
        <v>100</v>
      </c>
      <c r="BK14" s="891">
        <f t="shared" si="20"/>
        <v>1.6999999999999999E-3</v>
      </c>
      <c r="BL14" s="940"/>
      <c r="BM14" s="925">
        <f t="shared" si="21"/>
        <v>0.26333333333333336</v>
      </c>
      <c r="BN14" s="941"/>
      <c r="BO14" s="929"/>
      <c r="BP14" s="939">
        <v>100</v>
      </c>
      <c r="BQ14" s="891">
        <f t="shared" si="22"/>
        <v>1E-3</v>
      </c>
      <c r="BR14" s="940"/>
      <c r="BS14" s="925">
        <f t="shared" si="23"/>
        <v>3.3333333333333332E-4</v>
      </c>
      <c r="BT14" s="941"/>
      <c r="BU14" s="929"/>
      <c r="BV14" s="939">
        <v>100</v>
      </c>
      <c r="BW14" s="891">
        <f t="shared" si="24"/>
        <v>11</v>
      </c>
      <c r="BX14" s="940"/>
      <c r="BY14" s="925">
        <f t="shared" si="25"/>
        <v>4.666666666666667</v>
      </c>
      <c r="BZ14" s="941"/>
      <c r="CA14" s="929"/>
      <c r="CB14" s="939">
        <v>100</v>
      </c>
      <c r="CC14" s="891">
        <f t="shared" si="26"/>
        <v>-0.7</v>
      </c>
      <c r="CD14" s="940"/>
      <c r="CE14" s="925">
        <f t="shared" si="27"/>
        <v>0.13333333333333333</v>
      </c>
      <c r="CF14" s="941"/>
      <c r="CH14" s="939">
        <v>100</v>
      </c>
      <c r="CI14" s="891">
        <f t="shared" si="28"/>
        <v>0.31</v>
      </c>
      <c r="CJ14" s="940"/>
      <c r="CK14" s="925">
        <f t="shared" si="29"/>
        <v>7.3333333333333334E-2</v>
      </c>
      <c r="CL14" s="941"/>
      <c r="CN14" s="939">
        <v>100</v>
      </c>
      <c r="CO14" s="891">
        <f t="shared" si="30"/>
        <v>0.95</v>
      </c>
      <c r="CP14" s="940"/>
      <c r="CQ14" s="925">
        <f t="shared" si="31"/>
        <v>0.25666666666666665</v>
      </c>
      <c r="CR14" s="941"/>
    </row>
    <row r="15" spans="2:96">
      <c r="B15" s="939">
        <v>150</v>
      </c>
      <c r="C15" s="940">
        <v>0.05</v>
      </c>
      <c r="D15" s="940">
        <f t="shared" si="0"/>
        <v>0.08</v>
      </c>
      <c r="E15" s="1057">
        <f t="shared" si="1"/>
        <v>0.03</v>
      </c>
      <c r="F15" s="941"/>
      <c r="G15" s="942"/>
      <c r="H15" s="939">
        <v>150</v>
      </c>
      <c r="I15" s="891">
        <v>0.05</v>
      </c>
      <c r="J15" s="940">
        <f t="shared" si="2"/>
        <v>-1.6000000000000001E-3</v>
      </c>
      <c r="K15" s="925">
        <f t="shared" si="3"/>
        <v>5.16E-2</v>
      </c>
      <c r="L15" s="941"/>
      <c r="M15" s="942"/>
      <c r="N15" s="939">
        <v>150</v>
      </c>
      <c r="O15" s="891"/>
      <c r="P15" s="940">
        <f t="shared" si="4"/>
        <v>-1E-3</v>
      </c>
      <c r="Q15" s="925">
        <f t="shared" si="5"/>
        <v>0.13</v>
      </c>
      <c r="R15" s="941"/>
      <c r="S15" s="929"/>
      <c r="T15" s="939">
        <v>150</v>
      </c>
      <c r="U15" s="891">
        <f t="shared" si="6"/>
        <v>7</v>
      </c>
      <c r="V15" s="940"/>
      <c r="W15" s="925">
        <f t="shared" si="7"/>
        <v>3.3333333333333332E-4</v>
      </c>
      <c r="X15" s="941"/>
      <c r="Y15" s="929"/>
      <c r="Z15" s="939">
        <v>150</v>
      </c>
      <c r="AA15" s="891">
        <f t="shared" si="8"/>
        <v>1E-3</v>
      </c>
      <c r="AB15" s="940"/>
      <c r="AC15" s="925">
        <f t="shared" si="9"/>
        <v>3.3333333333333332E-4</v>
      </c>
      <c r="AD15" s="941"/>
      <c r="AE15" s="929"/>
      <c r="AF15" s="939">
        <v>150</v>
      </c>
      <c r="AG15" s="891">
        <f t="shared" si="10"/>
        <v>0.08</v>
      </c>
      <c r="AH15" s="940"/>
      <c r="AI15" s="925">
        <f t="shared" si="11"/>
        <v>0.3066666666666667</v>
      </c>
      <c r="AJ15" s="941"/>
      <c r="AK15" s="929"/>
      <c r="AL15" s="939">
        <v>150</v>
      </c>
      <c r="AM15" s="891">
        <f t="shared" si="12"/>
        <v>1E-3</v>
      </c>
      <c r="AN15" s="940"/>
      <c r="AO15" s="925">
        <f t="shared" si="13"/>
        <v>3.3333333333333332E-4</v>
      </c>
      <c r="AP15" s="941"/>
      <c r="AQ15" s="929"/>
      <c r="AR15" s="939">
        <v>150</v>
      </c>
      <c r="AS15" s="891">
        <f t="shared" si="14"/>
        <v>1E-3</v>
      </c>
      <c r="AT15" s="940"/>
      <c r="AU15" s="925">
        <f t="shared" si="15"/>
        <v>3.3333333333333332E-4</v>
      </c>
      <c r="AV15" s="941"/>
      <c r="AW15" s="929"/>
      <c r="AX15" s="939">
        <v>150</v>
      </c>
      <c r="AY15" s="891">
        <f t="shared" si="16"/>
        <v>-0.04</v>
      </c>
      <c r="AZ15" s="940"/>
      <c r="BA15" s="925">
        <f t="shared" si="17"/>
        <v>0.26333333333333336</v>
      </c>
      <c r="BB15" s="941"/>
      <c r="BC15" s="929"/>
      <c r="BD15" s="939">
        <v>150</v>
      </c>
      <c r="BE15" s="891">
        <f t="shared" si="18"/>
        <v>1E-3</v>
      </c>
      <c r="BF15" s="940"/>
      <c r="BG15" s="925">
        <f t="shared" si="19"/>
        <v>3.3333333333333332E-4</v>
      </c>
      <c r="BH15" s="941"/>
      <c r="BI15" s="929"/>
      <c r="BJ15" s="939">
        <v>150</v>
      </c>
      <c r="BK15" s="891">
        <f t="shared" si="20"/>
        <v>-0.04</v>
      </c>
      <c r="BL15" s="940"/>
      <c r="BM15" s="925">
        <f t="shared" si="21"/>
        <v>0.26333333333333336</v>
      </c>
      <c r="BN15" s="941"/>
      <c r="BO15" s="929"/>
      <c r="BP15" s="939">
        <v>150</v>
      </c>
      <c r="BQ15" s="891">
        <f t="shared" si="22"/>
        <v>1E-3</v>
      </c>
      <c r="BR15" s="940"/>
      <c r="BS15" s="925">
        <f t="shared" si="23"/>
        <v>3.3333333333333332E-4</v>
      </c>
      <c r="BT15" s="941"/>
      <c r="BU15" s="929"/>
      <c r="BV15" s="939">
        <v>150</v>
      </c>
      <c r="BW15" s="891">
        <f t="shared" si="24"/>
        <v>12</v>
      </c>
      <c r="BX15" s="940"/>
      <c r="BY15" s="925">
        <f t="shared" si="25"/>
        <v>4.666666666666667</v>
      </c>
      <c r="BZ15" s="941"/>
      <c r="CA15" s="929"/>
      <c r="CB15" s="939">
        <v>150</v>
      </c>
      <c r="CC15" s="891">
        <f t="shared" si="26"/>
        <v>-0.7</v>
      </c>
      <c r="CD15" s="940"/>
      <c r="CE15" s="925">
        <f t="shared" si="27"/>
        <v>0.13333333333333333</v>
      </c>
      <c r="CF15" s="941"/>
      <c r="CH15" s="939">
        <v>150</v>
      </c>
      <c r="CI15" s="891">
        <f t="shared" si="28"/>
        <v>0.3</v>
      </c>
      <c r="CJ15" s="940"/>
      <c r="CK15" s="925">
        <f t="shared" si="29"/>
        <v>7.3333333333333334E-2</v>
      </c>
      <c r="CL15" s="941"/>
      <c r="CN15" s="939">
        <v>150</v>
      </c>
      <c r="CO15" s="891">
        <f t="shared" si="30"/>
        <v>0.49</v>
      </c>
      <c r="CP15" s="940"/>
      <c r="CQ15" s="925">
        <f t="shared" si="31"/>
        <v>0.25666666666666665</v>
      </c>
      <c r="CR15" s="941"/>
    </row>
    <row r="16" spans="2:96">
      <c r="B16" s="939">
        <v>200</v>
      </c>
      <c r="C16" s="940">
        <v>-1.4E-3</v>
      </c>
      <c r="D16" s="940">
        <f t="shared" si="0"/>
        <v>0.22</v>
      </c>
      <c r="E16" s="1057">
        <f t="shared" si="1"/>
        <v>0.22140000000000001</v>
      </c>
      <c r="F16" s="941"/>
      <c r="G16" s="942"/>
      <c r="H16" s="939">
        <v>200</v>
      </c>
      <c r="I16" s="891">
        <v>-1.4E-3</v>
      </c>
      <c r="J16" s="940">
        <f t="shared" si="2"/>
        <v>0.47</v>
      </c>
      <c r="K16" s="925">
        <f t="shared" si="3"/>
        <v>0.47139999999999999</v>
      </c>
      <c r="L16" s="941"/>
      <c r="M16" s="942"/>
      <c r="N16" s="939">
        <v>200</v>
      </c>
      <c r="O16" s="891"/>
      <c r="P16" s="940">
        <f t="shared" si="4"/>
        <v>0.31</v>
      </c>
      <c r="Q16" s="925">
        <f t="shared" si="5"/>
        <v>0.13</v>
      </c>
      <c r="R16" s="941"/>
      <c r="S16" s="929"/>
      <c r="T16" s="939">
        <v>200</v>
      </c>
      <c r="U16" s="891">
        <f t="shared" si="6"/>
        <v>6</v>
      </c>
      <c r="V16" s="940"/>
      <c r="W16" s="925">
        <f t="shared" si="7"/>
        <v>3.3333333333333332E-4</v>
      </c>
      <c r="X16" s="941"/>
      <c r="Y16" s="929"/>
      <c r="Z16" s="939">
        <v>200</v>
      </c>
      <c r="AA16" s="891">
        <f t="shared" si="8"/>
        <v>1E-3</v>
      </c>
      <c r="AB16" s="940"/>
      <c r="AC16" s="925">
        <f t="shared" si="9"/>
        <v>3.3333333333333332E-4</v>
      </c>
      <c r="AD16" s="941"/>
      <c r="AE16" s="929"/>
      <c r="AF16" s="939">
        <v>200</v>
      </c>
      <c r="AG16" s="891">
        <f t="shared" si="10"/>
        <v>-0.38</v>
      </c>
      <c r="AH16" s="940"/>
      <c r="AI16" s="925">
        <f t="shared" si="11"/>
        <v>0.3066666666666667</v>
      </c>
      <c r="AJ16" s="941"/>
      <c r="AK16" s="929"/>
      <c r="AL16" s="939">
        <v>200</v>
      </c>
      <c r="AM16" s="891">
        <f t="shared" si="12"/>
        <v>1E-3</v>
      </c>
      <c r="AN16" s="940"/>
      <c r="AO16" s="925">
        <f t="shared" si="13"/>
        <v>3.3333333333333332E-4</v>
      </c>
      <c r="AP16" s="941"/>
      <c r="AQ16" s="929"/>
      <c r="AR16" s="939">
        <v>200</v>
      </c>
      <c r="AS16" s="891">
        <f t="shared" si="14"/>
        <v>1E-3</v>
      </c>
      <c r="AT16" s="940"/>
      <c r="AU16" s="925">
        <f t="shared" si="15"/>
        <v>3.3333333333333332E-4</v>
      </c>
      <c r="AV16" s="941"/>
      <c r="AW16" s="929"/>
      <c r="AX16" s="939">
        <v>200</v>
      </c>
      <c r="AY16" s="891">
        <f t="shared" si="16"/>
        <v>-0.28000000000000003</v>
      </c>
      <c r="AZ16" s="940"/>
      <c r="BA16" s="925">
        <f t="shared" si="17"/>
        <v>0.26333333333333336</v>
      </c>
      <c r="BB16" s="941"/>
      <c r="BC16" s="929"/>
      <c r="BD16" s="939">
        <v>200</v>
      </c>
      <c r="BE16" s="891">
        <f t="shared" si="18"/>
        <v>1E-3</v>
      </c>
      <c r="BF16" s="940"/>
      <c r="BG16" s="925">
        <f t="shared" si="19"/>
        <v>3.3333333333333332E-4</v>
      </c>
      <c r="BH16" s="941"/>
      <c r="BI16" s="929"/>
      <c r="BJ16" s="939">
        <v>200</v>
      </c>
      <c r="BK16" s="891">
        <f t="shared" si="20"/>
        <v>-0.28000000000000003</v>
      </c>
      <c r="BL16" s="940"/>
      <c r="BM16" s="925">
        <f t="shared" si="21"/>
        <v>0.26333333333333336</v>
      </c>
      <c r="BN16" s="941"/>
      <c r="BO16" s="929"/>
      <c r="BP16" s="939">
        <v>200</v>
      </c>
      <c r="BQ16" s="891">
        <f t="shared" si="22"/>
        <v>1E-3</v>
      </c>
      <c r="BR16" s="940"/>
      <c r="BS16" s="925">
        <f t="shared" si="23"/>
        <v>3.3333333333333332E-4</v>
      </c>
      <c r="BT16" s="941"/>
      <c r="BU16" s="929"/>
      <c r="BV16" s="939">
        <v>200</v>
      </c>
      <c r="BW16" s="891">
        <f t="shared" si="24"/>
        <v>13</v>
      </c>
      <c r="BX16" s="940"/>
      <c r="BY16" s="925">
        <f t="shared" si="25"/>
        <v>4.666666666666667</v>
      </c>
      <c r="BZ16" s="941"/>
      <c r="CA16" s="929"/>
      <c r="CB16" s="939">
        <v>200</v>
      </c>
      <c r="CC16" s="891">
        <f t="shared" si="26"/>
        <v>-0.6</v>
      </c>
      <c r="CD16" s="940"/>
      <c r="CE16" s="925">
        <f t="shared" si="27"/>
        <v>0.13333333333333333</v>
      </c>
      <c r="CF16" s="941"/>
      <c r="CH16" s="939">
        <v>200</v>
      </c>
      <c r="CI16" s="891">
        <f t="shared" si="28"/>
        <v>0.34</v>
      </c>
      <c r="CJ16" s="940"/>
      <c r="CK16" s="925">
        <f t="shared" si="29"/>
        <v>7.3333333333333334E-2</v>
      </c>
      <c r="CL16" s="941"/>
      <c r="CN16" s="939">
        <v>200</v>
      </c>
      <c r="CO16" s="891">
        <f t="shared" si="30"/>
        <v>-0.26</v>
      </c>
      <c r="CP16" s="940"/>
      <c r="CQ16" s="925">
        <f t="shared" si="31"/>
        <v>0.25666666666666665</v>
      </c>
      <c r="CR16" s="941"/>
    </row>
    <row r="17" spans="2:96" s="929" customFormat="1" ht="13.8" thickBot="1">
      <c r="B17" s="944"/>
      <c r="C17" s="944"/>
      <c r="D17" s="945"/>
      <c r="E17" s="944"/>
      <c r="F17" s="942"/>
      <c r="G17" s="942"/>
      <c r="H17" s="944"/>
      <c r="I17" s="944"/>
      <c r="J17" s="944"/>
      <c r="K17" s="944"/>
      <c r="L17" s="931"/>
      <c r="M17" s="942"/>
      <c r="N17" s="944"/>
      <c r="O17" s="944"/>
      <c r="P17" s="944"/>
      <c r="Q17" s="944"/>
      <c r="R17" s="931"/>
      <c r="T17" s="944"/>
      <c r="U17" s="944"/>
      <c r="V17" s="944"/>
      <c r="W17" s="944"/>
      <c r="X17" s="931"/>
      <c r="Z17" s="944"/>
      <c r="AA17" s="944"/>
      <c r="AB17" s="944"/>
      <c r="AC17" s="944"/>
      <c r="AD17" s="931"/>
      <c r="AF17" s="944"/>
      <c r="AG17" s="944"/>
      <c r="AH17" s="944"/>
      <c r="AI17" s="944"/>
      <c r="AJ17" s="931"/>
      <c r="AL17" s="944"/>
      <c r="AM17" s="944"/>
      <c r="AN17" s="944"/>
      <c r="AO17" s="944"/>
      <c r="AP17" s="931"/>
      <c r="AR17" s="944"/>
      <c r="AS17" s="944"/>
      <c r="AT17" s="944"/>
      <c r="AU17" s="944"/>
      <c r="AV17" s="931"/>
      <c r="AX17" s="944"/>
      <c r="AY17" s="944"/>
      <c r="AZ17" s="944"/>
      <c r="BA17" s="944"/>
      <c r="BB17" s="931"/>
      <c r="BD17" s="944"/>
      <c r="BE17" s="944"/>
      <c r="BF17" s="944"/>
      <c r="BG17" s="944"/>
      <c r="BH17" s="931"/>
      <c r="BJ17" s="944"/>
      <c r="BK17" s="944"/>
      <c r="BL17" s="944"/>
      <c r="BM17" s="944"/>
      <c r="BN17" s="931"/>
      <c r="BP17" s="944"/>
      <c r="BQ17" s="944"/>
      <c r="BR17" s="944"/>
      <c r="BS17" s="944"/>
      <c r="BT17" s="931"/>
      <c r="BV17" s="944"/>
      <c r="BW17" s="944"/>
      <c r="BX17" s="944"/>
      <c r="BY17" s="944"/>
      <c r="BZ17" s="931"/>
      <c r="CB17" s="944"/>
      <c r="CC17" s="944"/>
      <c r="CD17" s="944"/>
      <c r="CE17" s="944"/>
      <c r="CF17" s="931"/>
      <c r="CH17" s="944"/>
      <c r="CI17" s="944"/>
      <c r="CJ17" s="944"/>
      <c r="CK17" s="944"/>
      <c r="CL17" s="931"/>
      <c r="CN17" s="944"/>
      <c r="CO17" s="944"/>
      <c r="CP17" s="944"/>
      <c r="CQ17" s="944"/>
      <c r="CR17" s="931"/>
    </row>
    <row r="18" spans="2:96" ht="22.5" customHeight="1">
      <c r="B18" s="1314" t="s">
        <v>216</v>
      </c>
      <c r="C18" s="1316" t="str">
        <f>C3</f>
        <v>Thermocouple Data Logger, Merek : MADGETECH, Model : OctTemp 2000, SN : P40270</v>
      </c>
      <c r="D18" s="1316"/>
      <c r="E18" s="1316"/>
      <c r="F18" s="932" t="str">
        <f>F3</f>
        <v>Interpolasi</v>
      </c>
      <c r="G18" s="933"/>
      <c r="H18" s="1314" t="s">
        <v>216</v>
      </c>
      <c r="I18" s="1316" t="str">
        <f>I3</f>
        <v>Thermocouple Data Logger, Merek : MADGETECH, Model : OctTemp 2000, SN : P41878</v>
      </c>
      <c r="J18" s="1316"/>
      <c r="K18" s="1316"/>
      <c r="L18" s="932" t="s">
        <v>572</v>
      </c>
      <c r="M18" s="933"/>
      <c r="N18" s="1314" t="s">
        <v>216</v>
      </c>
      <c r="O18" s="1316" t="str">
        <f>O3</f>
        <v>Mobile Corder, Merek : Yokogawa, Model : GP 10, SN : S5T810599</v>
      </c>
      <c r="P18" s="1317"/>
      <c r="Q18" s="1316"/>
      <c r="R18" s="932" t="s">
        <v>572</v>
      </c>
      <c r="S18" s="929"/>
      <c r="T18" s="1314" t="s">
        <v>216</v>
      </c>
      <c r="U18" s="1316" t="str">
        <f>U3</f>
        <v>Wireless Temperature Recorder : Merek : HIOKI, Model : LR 8510, SN : 200936000</v>
      </c>
      <c r="V18" s="1317"/>
      <c r="W18" s="1316"/>
      <c r="X18" s="932" t="s">
        <v>572</v>
      </c>
      <c r="Y18" s="929"/>
      <c r="Z18" s="1314" t="s">
        <v>216</v>
      </c>
      <c r="AA18" s="1316" t="str">
        <f>AA3</f>
        <v>Wireless Temperature Recorder : Merek : HIOKI, Model : LR 8510, SN : 200936001</v>
      </c>
      <c r="AB18" s="1317"/>
      <c r="AC18" s="1316"/>
      <c r="AD18" s="932" t="s">
        <v>572</v>
      </c>
      <c r="AE18" s="929"/>
      <c r="AF18" s="1314" t="s">
        <v>216</v>
      </c>
      <c r="AG18" s="1316" t="str">
        <f>AG3</f>
        <v>Wireless Temperature Recorder : Merek : HIOKI, Model : LR 8510, SN : 200821397</v>
      </c>
      <c r="AH18" s="1317"/>
      <c r="AI18" s="1316"/>
      <c r="AJ18" s="932" t="s">
        <v>572</v>
      </c>
      <c r="AK18" s="929"/>
      <c r="AL18" s="1314" t="s">
        <v>216</v>
      </c>
      <c r="AM18" s="1316" t="str">
        <f>AM3</f>
        <v>Wireless Temperature Recorder : Merek : HIOKI, Model : LR 8510, SN : 210411983</v>
      </c>
      <c r="AN18" s="1317"/>
      <c r="AO18" s="1316"/>
      <c r="AP18" s="932" t="s">
        <v>572</v>
      </c>
      <c r="AQ18" s="929"/>
      <c r="AR18" s="1314" t="s">
        <v>216</v>
      </c>
      <c r="AS18" s="1316" t="str">
        <f>AS3</f>
        <v>Wireless Temperature Recorder : Merek : HIOKI, Model : LR 8510, SN : 210411984</v>
      </c>
      <c r="AT18" s="1317"/>
      <c r="AU18" s="1316"/>
      <c r="AV18" s="932" t="s">
        <v>572</v>
      </c>
      <c r="AW18" s="929"/>
      <c r="AX18" s="1314" t="s">
        <v>216</v>
      </c>
      <c r="AY18" s="1316" t="str">
        <f>AY3</f>
        <v>Wireless Temperature Recorder : Merek : HIOKI, Model : LR 8510, SN : 210411985</v>
      </c>
      <c r="AZ18" s="1317"/>
      <c r="BA18" s="1316"/>
      <c r="BB18" s="932" t="s">
        <v>572</v>
      </c>
      <c r="BC18" s="929"/>
      <c r="BD18" s="1314" t="s">
        <v>216</v>
      </c>
      <c r="BE18" s="1316" t="str">
        <f>BE3</f>
        <v>Wireless Temperature Recorder : Merek : HIOKI, Model : LR 8510, SN : 210746054</v>
      </c>
      <c r="BF18" s="1317"/>
      <c r="BG18" s="1316"/>
      <c r="BH18" s="932" t="s">
        <v>572</v>
      </c>
      <c r="BI18" s="929"/>
      <c r="BJ18" s="1314" t="s">
        <v>216</v>
      </c>
      <c r="BK18" s="1316" t="str">
        <f>BK3</f>
        <v>Wireless Temperature Recorder : Merek : HIOKI, Model : LR 8510, SN : 210746055</v>
      </c>
      <c r="BL18" s="1317"/>
      <c r="BM18" s="1316"/>
      <c r="BN18" s="932" t="s">
        <v>572</v>
      </c>
      <c r="BO18" s="929"/>
      <c r="BP18" s="1314" t="s">
        <v>216</v>
      </c>
      <c r="BQ18" s="1316" t="str">
        <f>BQ3</f>
        <v>Wireless Temperature Recorder : Merek : HIOKI, Model : LR 8510, SN : 210746056</v>
      </c>
      <c r="BR18" s="1317"/>
      <c r="BS18" s="1316"/>
      <c r="BT18" s="932" t="s">
        <v>572</v>
      </c>
      <c r="BU18" s="929"/>
      <c r="BV18" s="1314" t="s">
        <v>216</v>
      </c>
      <c r="BW18" s="1316" t="str">
        <f>BW3</f>
        <v>Wireless Temperature Recorder : Merek : HIOKI, Model : LR 8510, SN : x x x</v>
      </c>
      <c r="BX18" s="1317"/>
      <c r="BY18" s="1316"/>
      <c r="BZ18" s="932" t="s">
        <v>572</v>
      </c>
      <c r="CA18" s="929"/>
      <c r="CB18" s="1314" t="s">
        <v>216</v>
      </c>
      <c r="CC18" s="1316" t="str">
        <f t="shared" ref="CC18:CC31" si="32">CC3</f>
        <v>Reference Thermometer, Merek : APPA, Model : APPA51, SN : 03002948</v>
      </c>
      <c r="CD18" s="1317"/>
      <c r="CE18" s="1316"/>
      <c r="CF18" s="932" t="s">
        <v>572</v>
      </c>
      <c r="CH18" s="1314" t="s">
        <v>216</v>
      </c>
      <c r="CI18" s="1316" t="str">
        <f t="shared" ref="CI18:CI31" si="33">CI3</f>
        <v>Reference Thermometer, Merek : FLUKE, Model : 1524, SN : 1803038</v>
      </c>
      <c r="CJ18" s="1317"/>
      <c r="CK18" s="1316"/>
      <c r="CL18" s="932" t="s">
        <v>572</v>
      </c>
      <c r="CN18" s="1314" t="s">
        <v>216</v>
      </c>
      <c r="CO18" s="1316" t="str">
        <f t="shared" ref="CO18:CO31" si="34">CO3</f>
        <v>Reference Thermometer, Merek : FLUKE, Model : 1524, SN : 1803037</v>
      </c>
      <c r="CP18" s="1317"/>
      <c r="CQ18" s="1316"/>
      <c r="CR18" s="932" t="s">
        <v>572</v>
      </c>
    </row>
    <row r="19" spans="2:96">
      <c r="B19" s="1315"/>
      <c r="C19" s="935">
        <f>C4</f>
        <v>2019</v>
      </c>
      <c r="D19" s="935">
        <f>D4</f>
        <v>2021</v>
      </c>
      <c r="E19" s="936" t="s">
        <v>215</v>
      </c>
      <c r="F19" s="1063">
        <f>F4</f>
        <v>6.4428226504297132</v>
      </c>
      <c r="G19" s="937"/>
      <c r="H19" s="1315"/>
      <c r="I19" s="938">
        <f>I4</f>
        <v>2020</v>
      </c>
      <c r="J19" s="935">
        <f>J4</f>
        <v>2021</v>
      </c>
      <c r="K19" s="936" t="s">
        <v>215</v>
      </c>
      <c r="L19" s="1063">
        <f>F19</f>
        <v>6.4428226504297132</v>
      </c>
      <c r="M19" s="937"/>
      <c r="N19" s="1315"/>
      <c r="O19" s="938">
        <f>O4</f>
        <v>2018</v>
      </c>
      <c r="P19" s="935">
        <f>P4</f>
        <v>2021</v>
      </c>
      <c r="Q19" s="936" t="s">
        <v>215</v>
      </c>
      <c r="R19" s="1063">
        <f>L19</f>
        <v>6.4428226504297132</v>
      </c>
      <c r="S19" s="929"/>
      <c r="T19" s="1315"/>
      <c r="U19" s="938">
        <f>U4</f>
        <v>2021</v>
      </c>
      <c r="V19" s="935"/>
      <c r="W19" s="936" t="s">
        <v>215</v>
      </c>
      <c r="X19" s="1063">
        <f>R19</f>
        <v>6.4428226504297132</v>
      </c>
      <c r="Y19" s="929"/>
      <c r="Z19" s="1315"/>
      <c r="AA19" s="938">
        <f>AA4</f>
        <v>2021</v>
      </c>
      <c r="AB19" s="935"/>
      <c r="AC19" s="936" t="s">
        <v>215</v>
      </c>
      <c r="AD19" s="1063">
        <f>X19</f>
        <v>6.4428226504297132</v>
      </c>
      <c r="AE19" s="929"/>
      <c r="AF19" s="1315"/>
      <c r="AG19" s="938">
        <f>AG4</f>
        <v>2021</v>
      </c>
      <c r="AH19" s="938">
        <f>AH4</f>
        <v>0</v>
      </c>
      <c r="AI19" s="936" t="s">
        <v>215</v>
      </c>
      <c r="AJ19" s="1063">
        <f>AD19</f>
        <v>6.4428226504297132</v>
      </c>
      <c r="AK19" s="929"/>
      <c r="AL19" s="1315"/>
      <c r="AM19" s="938">
        <f>AM4</f>
        <v>2021</v>
      </c>
      <c r="AN19" s="935"/>
      <c r="AO19" s="936" t="s">
        <v>215</v>
      </c>
      <c r="AP19" s="1063">
        <f>AJ19</f>
        <v>6.4428226504297132</v>
      </c>
      <c r="AQ19" s="929"/>
      <c r="AR19" s="1315"/>
      <c r="AS19" s="938">
        <f>AS4</f>
        <v>2021</v>
      </c>
      <c r="AT19" s="935"/>
      <c r="AU19" s="936" t="s">
        <v>215</v>
      </c>
      <c r="AV19" s="1063">
        <f>AP19</f>
        <v>6.4428226504297132</v>
      </c>
      <c r="AW19" s="929"/>
      <c r="AX19" s="1315"/>
      <c r="AY19" s="938">
        <f>AY4</f>
        <v>2021</v>
      </c>
      <c r="AZ19" s="935"/>
      <c r="BA19" s="936" t="s">
        <v>215</v>
      </c>
      <c r="BB19" s="1063">
        <f>AV19</f>
        <v>6.4428226504297132</v>
      </c>
      <c r="BC19" s="929"/>
      <c r="BD19" s="1315"/>
      <c r="BE19" s="938">
        <f>BE4</f>
        <v>2021</v>
      </c>
      <c r="BF19" s="935"/>
      <c r="BG19" s="936" t="s">
        <v>215</v>
      </c>
      <c r="BH19" s="1063">
        <f>BB19</f>
        <v>6.4428226504297132</v>
      </c>
      <c r="BI19" s="929"/>
      <c r="BJ19" s="1315"/>
      <c r="BK19" s="938">
        <f>BK4</f>
        <v>2021</v>
      </c>
      <c r="BL19" s="935"/>
      <c r="BM19" s="936" t="s">
        <v>215</v>
      </c>
      <c r="BN19" s="1063">
        <f>BH19</f>
        <v>6.4428226504297132</v>
      </c>
      <c r="BO19" s="929"/>
      <c r="BP19" s="1315"/>
      <c r="BQ19" s="938">
        <f>BQ4</f>
        <v>2021</v>
      </c>
      <c r="BR19" s="935"/>
      <c r="BS19" s="936" t="s">
        <v>215</v>
      </c>
      <c r="BT19" s="1063">
        <f>BN19</f>
        <v>6.4428226504297132</v>
      </c>
      <c r="BU19" s="929"/>
      <c r="BV19" s="1315"/>
      <c r="BW19" s="938">
        <f>BW4</f>
        <v>2021</v>
      </c>
      <c r="BX19" s="935"/>
      <c r="BY19" s="936" t="s">
        <v>215</v>
      </c>
      <c r="BZ19" s="1063">
        <f>BT19</f>
        <v>6.4428226504297132</v>
      </c>
      <c r="CA19" s="929"/>
      <c r="CB19" s="1315"/>
      <c r="CC19" s="938">
        <f t="shared" si="32"/>
        <v>2020</v>
      </c>
      <c r="CD19" s="935"/>
      <c r="CE19" s="936" t="s">
        <v>215</v>
      </c>
      <c r="CF19" s="1063">
        <f>BZ19</f>
        <v>6.4428226504297132</v>
      </c>
      <c r="CH19" s="1315"/>
      <c r="CI19" s="938">
        <f t="shared" si="33"/>
        <v>2021</v>
      </c>
      <c r="CJ19" s="935"/>
      <c r="CK19" s="936" t="s">
        <v>215</v>
      </c>
      <c r="CL19" s="1063">
        <f>CF19</f>
        <v>6.4428226504297132</v>
      </c>
      <c r="CN19" s="1315"/>
      <c r="CO19" s="938">
        <f t="shared" si="34"/>
        <v>2021</v>
      </c>
      <c r="CP19" s="935"/>
      <c r="CQ19" s="936" t="s">
        <v>215</v>
      </c>
      <c r="CR19" s="1063">
        <f>CL19</f>
        <v>6.4428226504297132</v>
      </c>
    </row>
    <row r="20" spans="2:96" ht="12" customHeight="1">
      <c r="B20" s="939">
        <v>-20</v>
      </c>
      <c r="C20" s="940">
        <v>-0.24</v>
      </c>
      <c r="D20" s="940">
        <f t="shared" ref="D20:D31" si="35">U158</f>
        <v>-0.48</v>
      </c>
      <c r="E20" s="925">
        <f t="shared" ref="E20:E31" si="36">IF(OR(C20=0,D20=0),$U$170/3,((MAX(C20:D20)-(MIN(C20:D20)))))</f>
        <v>0.24</v>
      </c>
      <c r="F20" s="1061">
        <f>IF(F19&lt;=B21,B20,IF(F19&lt;=B22,B21,IF(F19&lt;=B23,B22,IF(F19&lt;=B24,B23,IF(F19&lt;=B25,B24)))))</f>
        <v>2</v>
      </c>
      <c r="G20" s="942"/>
      <c r="H20" s="939">
        <v>-20</v>
      </c>
      <c r="I20" s="940">
        <v>-0.24</v>
      </c>
      <c r="J20" s="940">
        <f t="shared" ref="J20:J31" si="37">V158</f>
        <v>-0.69</v>
      </c>
      <c r="K20" s="925">
        <f t="shared" ref="K20:K31" si="38">IF(OR(I20=0,J20=0),$V$170/3,((MAX(I20:J20)-(MIN(I20:J20)))))</f>
        <v>0.44999999999999996</v>
      </c>
      <c r="L20" s="1061">
        <f>IF(L19&lt;=H21,H20,IF(L19&lt;=H22,H21,IF(L19&lt;=H23,H22,IF(L19&lt;=H24,H23,IF(L19&lt;=H25,H24)))))</f>
        <v>2</v>
      </c>
      <c r="M20" s="942"/>
      <c r="N20" s="939">
        <v>-20</v>
      </c>
      <c r="O20" s="940"/>
      <c r="P20" s="940">
        <f t="shared" ref="P20:P31" si="39">W158</f>
        <v>1E-3</v>
      </c>
      <c r="Q20" s="925">
        <f t="shared" ref="Q20:Q31" si="40">IF(OR(O20=0,P20=0),$W$170/3,((MAX(O20:P20)-(MIN(O20:P20)))))</f>
        <v>0.13</v>
      </c>
      <c r="R20" s="1061">
        <f>IF(R19&lt;=N21,N20,IF(R19&lt;=N22,N21,IF(R19&lt;=N23,N22,IF(R19&lt;=N24,N23,IF(R19&lt;=N25,N24)))))</f>
        <v>2</v>
      </c>
      <c r="S20" s="929"/>
      <c r="T20" s="939">
        <v>-20</v>
      </c>
      <c r="U20" s="940">
        <f t="shared" ref="U20:U31" si="41">X158</f>
        <v>1E-3</v>
      </c>
      <c r="V20" s="940"/>
      <c r="W20" s="925">
        <f t="shared" ref="W20:W31" si="42">IF(OR(U20=0,V20=0),$X$170/3,((MAX(U20:V20)-(MIN(U20:V20)))))</f>
        <v>3.3333333333333332E-4</v>
      </c>
      <c r="X20" s="1061">
        <f>IF(X19&lt;=T21,T20,IF(X19&lt;=T22,T21,IF(X19&lt;=T23,T22,IF(X19&lt;=T24,T23,IF(X19&lt;=T25,T24)))))</f>
        <v>2</v>
      </c>
      <c r="Y20" s="929"/>
      <c r="Z20" s="939">
        <v>-20</v>
      </c>
      <c r="AA20" s="940">
        <f t="shared" ref="AA20:AA31" si="43">Y158</f>
        <v>1E-3</v>
      </c>
      <c r="AB20" s="940"/>
      <c r="AC20" s="925">
        <f t="shared" ref="AC20:AC31" si="44">IF(OR(AA20=0,AB20=0),$Y$170/3,((MAX(AA20:AB20)-(MIN(AA20:AB20)))))</f>
        <v>3.3333333333333332E-4</v>
      </c>
      <c r="AD20" s="1061">
        <f>IF(AD19&lt;=Z21,Z20,IF(AD19&lt;=Z22,Z21,IF(AD19&lt;=Z23,Z22,IF(AD19&lt;=Z24,Z23,IF(AD19&lt;=Z25,Z24)))))</f>
        <v>2</v>
      </c>
      <c r="AE20" s="929"/>
      <c r="AF20" s="939">
        <v>-20</v>
      </c>
      <c r="AG20" s="940">
        <f t="shared" ref="AG20:AG31" si="45">Z158</f>
        <v>-1.4E-3</v>
      </c>
      <c r="AH20" s="940"/>
      <c r="AI20" s="925">
        <f t="shared" ref="AI20:AI31" si="46">IF(OR(AG20=0,AH20=0),$Z$170/3,((MAX(AG20:AH20)-(MIN(AG20:AH20)))))</f>
        <v>0.3066666666666667</v>
      </c>
      <c r="AJ20" s="1061">
        <f>IF(AJ19&lt;=AF21,AF20,IF(AJ19&lt;=AF22,AF21,IF(AJ19&lt;=AF23,AF22,IF(AJ19&lt;=AF24,AF23,IF(AJ19&lt;=AF25,AF24)))))</f>
        <v>2</v>
      </c>
      <c r="AK20" s="929"/>
      <c r="AL20" s="939">
        <v>-20</v>
      </c>
      <c r="AM20" s="940">
        <f t="shared" ref="AM20:AM31" si="47">AA158</f>
        <v>1E-3</v>
      </c>
      <c r="AN20" s="940"/>
      <c r="AO20" s="925">
        <f t="shared" ref="AO20:AO31" si="48">IF(OR(AM20=0,AN20=0),$AA$170/3,((MAX(AM20:AN20)-(MIN(AM20:AN20)))))</f>
        <v>3.3333333333333332E-4</v>
      </c>
      <c r="AP20" s="1061">
        <f>IF(AP19&lt;=AL21,AL20,IF(AP19&lt;=AL22,AL21,IF(AP19&lt;=AL23,AL22,IF(AP19&lt;=AL24,AL23,IF(AP19&lt;=AL25,AL24)))))</f>
        <v>2</v>
      </c>
      <c r="AQ20" s="929"/>
      <c r="AR20" s="939">
        <v>-20</v>
      </c>
      <c r="AS20" s="940">
        <f t="shared" ref="AS20:AS31" si="49">AB158</f>
        <v>1E-3</v>
      </c>
      <c r="AT20" s="940"/>
      <c r="AU20" s="925">
        <f t="shared" ref="AU20:AU31" si="50">IF(OR(AS20=0,AT20=0),$AB$170/3,((MAX(AS20:AT20)-(MIN(AS20:AT20)))))</f>
        <v>3.3333333333333332E-4</v>
      </c>
      <c r="AV20" s="1061">
        <f>IF(AV19&lt;=AR21,AR20,IF(AV19&lt;=AR22,AR21,IF(AV19&lt;=AR23,AR22,IF(AV19&lt;=AR24,AR23,IF(AV19&lt;=AR25,AR24)))))</f>
        <v>2</v>
      </c>
      <c r="AW20" s="929"/>
      <c r="AX20" s="939">
        <v>-20</v>
      </c>
      <c r="AY20" s="940">
        <f t="shared" ref="AY20:AY31" si="51">AC158</f>
        <v>0.62</v>
      </c>
      <c r="AZ20" s="940"/>
      <c r="BA20" s="925">
        <f t="shared" ref="BA20:BA31" si="52">IF(OR(AY20=0,AZ20=0),$AC$170/3,((MAX(AY20:AZ20)-(MIN(AY20:AZ20)))))</f>
        <v>0.26333333333333336</v>
      </c>
      <c r="BB20" s="1061">
        <f>IF(BB19&lt;=AX21,AX20,IF(BB19&lt;=AX22,AX21,IF(BB19&lt;=AX23,AX22,IF(BB19&lt;=AX24,AX23,IF(BB19&lt;=AX25,AX24)))))</f>
        <v>2</v>
      </c>
      <c r="BC20" s="929"/>
      <c r="BD20" s="939">
        <v>-20</v>
      </c>
      <c r="BE20" s="940">
        <f t="shared" ref="BE20:BE31" si="53">AD158</f>
        <v>1E-3</v>
      </c>
      <c r="BF20" s="940"/>
      <c r="BG20" s="925">
        <f t="shared" ref="BG20:BG31" si="54">IF(OR(BE20=0,BF20=0),$AD$170/3,((MAX(BE20:BF20)-(MIN(BE20:BF20)))))</f>
        <v>3.3333333333333332E-4</v>
      </c>
      <c r="BH20" s="1061">
        <f>IF(BH19&lt;=BD21,BD20,IF(BH19&lt;=BD22,BD21,IF(BH19&lt;=BD23,BD22,IF(BH19&lt;=BD24,BD23,IF(BH19&lt;=BD25,BD24)))))</f>
        <v>2</v>
      </c>
      <c r="BI20" s="929"/>
      <c r="BJ20" s="939">
        <v>-20</v>
      </c>
      <c r="BK20" s="940">
        <f t="shared" ref="BK20:BK31" si="55">AE158</f>
        <v>0.62</v>
      </c>
      <c r="BL20" s="940"/>
      <c r="BM20" s="925">
        <f t="shared" ref="BM20:BM31" si="56">IF(OR(BK20=0,BL20=0),$AE$170/3,((MAX(BK20:BL20)-(MIN(BK20:BL20)))))</f>
        <v>0.26333333333333336</v>
      </c>
      <c r="BN20" s="1061">
        <f>IF(BN19&lt;=BJ21,BJ20,IF(BN19&lt;=BJ22,BJ21,IF(BN19&lt;=BJ23,BJ22,IF(BN19&lt;=BJ24,BJ23,IF(BN19&lt;=BJ25,BJ24)))))</f>
        <v>2</v>
      </c>
      <c r="BO20" s="929"/>
      <c r="BP20" s="939">
        <v>-20</v>
      </c>
      <c r="BQ20" s="940">
        <f t="shared" ref="BQ20:BQ31" si="57">AF158</f>
        <v>1E-3</v>
      </c>
      <c r="BR20" s="940"/>
      <c r="BS20" s="925">
        <f t="shared" ref="BS20:BS31" si="58">IF(OR(BQ20=0,BR20=0),$AF$170/3,((MAX(BQ20:BR20)-(MIN(BQ20:BR20)))))</f>
        <v>3.3333333333333332E-4</v>
      </c>
      <c r="BT20" s="1061">
        <f>IF(BT19&lt;=BP21,BP20,IF(BT19&lt;=BP22,BP21,IF(BT19&lt;=BP23,BP22,IF(BT19&lt;=BP24,BP23,IF(BT19&lt;=BP25,BP24)))))</f>
        <v>2</v>
      </c>
      <c r="BU20" s="929"/>
      <c r="BV20" s="939">
        <v>-20</v>
      </c>
      <c r="BW20" s="940">
        <f t="shared" ref="BW20:BW31" si="59">AG158</f>
        <v>16</v>
      </c>
      <c r="BX20" s="940"/>
      <c r="BY20" s="925">
        <f t="shared" ref="BY20:BY31" si="60">IF(OR(BW20=0,BX20=0),$AG$170/3,((MAX(BW20:BX20)-(MIN(BW20:BX20)))))</f>
        <v>9.3333333333333339</v>
      </c>
      <c r="BZ20" s="1061">
        <f>IF(BZ19&lt;=BV21,BV20,IF(BZ19&lt;=BV22,BV21,IF(BZ19&lt;=BV23,BV22,IF(BZ19&lt;=BV24,BV23,IF(BZ19&lt;=BV25,BV24)))))</f>
        <v>2</v>
      </c>
      <c r="CA20" s="929"/>
      <c r="CB20" s="939">
        <v>-20</v>
      </c>
      <c r="CC20" s="940">
        <f t="shared" si="32"/>
        <v>-0.7</v>
      </c>
      <c r="CD20" s="940"/>
      <c r="CE20" s="925">
        <f t="shared" ref="CE20:CE31" si="61">CE5</f>
        <v>0.13333333333333333</v>
      </c>
      <c r="CF20" s="1061">
        <f>IF(CF19&lt;=CB21,CB20,IF(CF19&lt;=CB22,CB21,IF(CF19&lt;=CB23,CB22,IF(CF19&lt;=CB24,CB23,IF(CF19&lt;=CB25,CB24)))))</f>
        <v>2</v>
      </c>
      <c r="CH20" s="939">
        <v>-20</v>
      </c>
      <c r="CI20" s="940">
        <f t="shared" si="33"/>
        <v>-1.5E-3</v>
      </c>
      <c r="CJ20" s="940"/>
      <c r="CK20" s="925">
        <f t="shared" ref="CK20:CK31" si="62">CK5</f>
        <v>7.3333333333333334E-2</v>
      </c>
      <c r="CL20" s="1061">
        <f>IF(CL19&lt;=CH21,CH20,IF(CL19&lt;=CH22,CH21,IF(CL19&lt;=CH23,CH22,IF(CL19&lt;=CH24,CH23,IF(CL19&lt;=CH25,CH24)))))</f>
        <v>2</v>
      </c>
      <c r="CN20" s="939">
        <v>-20</v>
      </c>
      <c r="CO20" s="940">
        <f t="shared" si="34"/>
        <v>-1.8</v>
      </c>
      <c r="CP20" s="940"/>
      <c r="CQ20" s="925">
        <f t="shared" ref="CQ20:CQ31" si="63">CQ5</f>
        <v>0.25666666666666665</v>
      </c>
      <c r="CR20" s="1061">
        <f>IF(CR19&lt;=CN21,CN20,IF(CR19&lt;=CN22,CN21,IF(CR19&lt;=CN23,CN22,IF(CR19&lt;=CN24,CN23,IF(CR19&lt;=CN25,CN24)))))</f>
        <v>2</v>
      </c>
    </row>
    <row r="21" spans="2:96" ht="12" customHeight="1">
      <c r="B21" s="939">
        <v>-15</v>
      </c>
      <c r="C21" s="940">
        <v>-0.21</v>
      </c>
      <c r="D21" s="940">
        <f t="shared" si="35"/>
        <v>-0.4</v>
      </c>
      <c r="E21" s="925">
        <f t="shared" si="36"/>
        <v>0.19000000000000003</v>
      </c>
      <c r="F21" s="1056"/>
      <c r="G21" s="942"/>
      <c r="H21" s="939">
        <v>-15</v>
      </c>
      <c r="I21" s="940">
        <v>-0.21</v>
      </c>
      <c r="J21" s="940">
        <f t="shared" si="37"/>
        <v>-0.56000000000000005</v>
      </c>
      <c r="K21" s="925">
        <f t="shared" si="38"/>
        <v>0.35000000000000009</v>
      </c>
      <c r="L21" s="1056"/>
      <c r="M21" s="942"/>
      <c r="N21" s="939">
        <v>-15</v>
      </c>
      <c r="O21" s="940"/>
      <c r="P21" s="940">
        <f t="shared" si="39"/>
        <v>-0.44</v>
      </c>
      <c r="Q21" s="925">
        <f t="shared" si="40"/>
        <v>0.13</v>
      </c>
      <c r="R21" s="1056"/>
      <c r="S21" s="929"/>
      <c r="T21" s="939">
        <v>-15</v>
      </c>
      <c r="U21" s="940">
        <f t="shared" si="41"/>
        <v>1E-3</v>
      </c>
      <c r="V21" s="940"/>
      <c r="W21" s="925">
        <f t="shared" si="42"/>
        <v>3.3333333333333332E-4</v>
      </c>
      <c r="X21" s="1056"/>
      <c r="Y21" s="929"/>
      <c r="Z21" s="939">
        <v>-15</v>
      </c>
      <c r="AA21" s="940">
        <f t="shared" si="43"/>
        <v>1E-3</v>
      </c>
      <c r="AB21" s="940"/>
      <c r="AC21" s="925">
        <f t="shared" si="44"/>
        <v>3.3333333333333332E-4</v>
      </c>
      <c r="AD21" s="1056"/>
      <c r="AE21" s="929"/>
      <c r="AF21" s="939">
        <v>-15</v>
      </c>
      <c r="AG21" s="940">
        <f t="shared" si="45"/>
        <v>1E-3</v>
      </c>
      <c r="AH21" s="940"/>
      <c r="AI21" s="925">
        <f t="shared" si="46"/>
        <v>0.3066666666666667</v>
      </c>
      <c r="AJ21" s="1056"/>
      <c r="AK21" s="929"/>
      <c r="AL21" s="939">
        <v>-15</v>
      </c>
      <c r="AM21" s="940">
        <f t="shared" si="47"/>
        <v>1E-3</v>
      </c>
      <c r="AN21" s="940"/>
      <c r="AO21" s="925">
        <f t="shared" si="48"/>
        <v>3.3333333333333332E-4</v>
      </c>
      <c r="AP21" s="1056"/>
      <c r="AQ21" s="929"/>
      <c r="AR21" s="939">
        <v>-15</v>
      </c>
      <c r="AS21" s="940">
        <f t="shared" si="49"/>
        <v>1E-3</v>
      </c>
      <c r="AT21" s="940"/>
      <c r="AU21" s="925">
        <f t="shared" si="50"/>
        <v>3.3333333333333332E-4</v>
      </c>
      <c r="AV21" s="1056"/>
      <c r="AW21" s="929"/>
      <c r="AX21" s="939">
        <v>-15</v>
      </c>
      <c r="AY21" s="940">
        <f t="shared" si="51"/>
        <v>1E-3</v>
      </c>
      <c r="AZ21" s="940"/>
      <c r="BA21" s="925">
        <f t="shared" si="52"/>
        <v>0.26333333333333336</v>
      </c>
      <c r="BB21" s="1056"/>
      <c r="BC21" s="929"/>
      <c r="BD21" s="939">
        <v>-15</v>
      </c>
      <c r="BE21" s="940">
        <f t="shared" si="53"/>
        <v>1E-3</v>
      </c>
      <c r="BF21" s="940"/>
      <c r="BG21" s="925">
        <f t="shared" si="54"/>
        <v>3.3333333333333332E-4</v>
      </c>
      <c r="BH21" s="1056"/>
      <c r="BI21" s="929"/>
      <c r="BJ21" s="939">
        <v>-15</v>
      </c>
      <c r="BK21" s="940">
        <f t="shared" si="55"/>
        <v>1E-3</v>
      </c>
      <c r="BL21" s="940"/>
      <c r="BM21" s="925">
        <f t="shared" si="56"/>
        <v>0.26333333333333336</v>
      </c>
      <c r="BN21" s="1056"/>
      <c r="BO21" s="929"/>
      <c r="BP21" s="939">
        <v>-15</v>
      </c>
      <c r="BQ21" s="940">
        <f t="shared" si="57"/>
        <v>1E-3</v>
      </c>
      <c r="BR21" s="940"/>
      <c r="BS21" s="925">
        <f t="shared" si="58"/>
        <v>3.3333333333333332E-4</v>
      </c>
      <c r="BT21" s="1056"/>
      <c r="BU21" s="929"/>
      <c r="BV21" s="939">
        <v>-15</v>
      </c>
      <c r="BW21" s="940">
        <f t="shared" si="59"/>
        <v>17</v>
      </c>
      <c r="BX21" s="940"/>
      <c r="BY21" s="925">
        <f t="shared" si="60"/>
        <v>9.3333333333333339</v>
      </c>
      <c r="BZ21" s="1056"/>
      <c r="CA21" s="929"/>
      <c r="CB21" s="939">
        <v>-15</v>
      </c>
      <c r="CC21" s="940">
        <f t="shared" si="32"/>
        <v>-0.7</v>
      </c>
      <c r="CD21" s="940"/>
      <c r="CE21" s="925">
        <f t="shared" si="61"/>
        <v>0.13333333333333333</v>
      </c>
      <c r="CF21" s="1056"/>
      <c r="CH21" s="939">
        <v>-15</v>
      </c>
      <c r="CI21" s="940">
        <f t="shared" si="33"/>
        <v>1E-3</v>
      </c>
      <c r="CJ21" s="940"/>
      <c r="CK21" s="925">
        <f t="shared" si="62"/>
        <v>7.3333333333333334E-2</v>
      </c>
      <c r="CL21" s="1056"/>
      <c r="CN21" s="939">
        <v>-15</v>
      </c>
      <c r="CO21" s="940">
        <f t="shared" si="34"/>
        <v>-1.52</v>
      </c>
      <c r="CP21" s="940"/>
      <c r="CQ21" s="925">
        <f t="shared" si="63"/>
        <v>0.25666666666666665</v>
      </c>
      <c r="CR21" s="1056"/>
    </row>
    <row r="22" spans="2:96" ht="12" customHeight="1">
      <c r="B22" s="939">
        <v>-10</v>
      </c>
      <c r="C22" s="940">
        <v>-1.8E-3</v>
      </c>
      <c r="D22" s="940">
        <f t="shared" si="35"/>
        <v>-0.33</v>
      </c>
      <c r="E22" s="925">
        <f t="shared" si="36"/>
        <v>0.32819999999999999</v>
      </c>
      <c r="F22" s="1061">
        <f>IF(F19&lt;=B20,B20,IF(F19&lt;=B21,B21,IF(F19&lt;=B22,B22,IF(F19&lt;=B23,B23,IF(F19&lt;=B24,B24,IF(F19&lt;=B25,B25))))))</f>
        <v>8</v>
      </c>
      <c r="G22" s="942"/>
      <c r="H22" s="939">
        <v>-10</v>
      </c>
      <c r="I22" s="940">
        <v>-1.9E-3</v>
      </c>
      <c r="J22" s="940">
        <f t="shared" si="37"/>
        <v>-0.25</v>
      </c>
      <c r="K22" s="925">
        <f t="shared" si="38"/>
        <v>0.24809999999999999</v>
      </c>
      <c r="L22" s="1061">
        <f>IF(L19&lt;=H20,H20,IF(L19&lt;=H21,H21,IF(L19&lt;=H22,H22,IF(L19&lt;=H23,H23,IF(L19&lt;=H24,H24,IF(L19&lt;=H25,H25))))))</f>
        <v>8</v>
      </c>
      <c r="M22" s="942"/>
      <c r="N22" s="939">
        <v>-10</v>
      </c>
      <c r="O22" s="940"/>
      <c r="P22" s="940">
        <f t="shared" si="39"/>
        <v>-0.34</v>
      </c>
      <c r="Q22" s="925">
        <f t="shared" si="40"/>
        <v>0.13</v>
      </c>
      <c r="R22" s="1061">
        <f>IF(R19&lt;=N20,N20,IF(R19&lt;=N21,N21,IF(R19&lt;=N22,N22,IF(R19&lt;=N23,N23,IF(R19&lt;=N24,N24,IF(R19&lt;=N25,N25))))))</f>
        <v>8</v>
      </c>
      <c r="S22" s="946"/>
      <c r="T22" s="939">
        <v>-10</v>
      </c>
      <c r="U22" s="940">
        <f t="shared" si="41"/>
        <v>1E-3</v>
      </c>
      <c r="V22" s="940"/>
      <c r="W22" s="925">
        <f t="shared" si="42"/>
        <v>3.3333333333333332E-4</v>
      </c>
      <c r="X22" s="1061">
        <f>IF(X19&lt;=T20,T20,IF(X19&lt;=T21,T21,IF(X19&lt;=T22,T22,IF(X19&lt;=T23,T23,IF(X19&lt;=T24,T24,IF(X19&lt;=T25,T25))))))</f>
        <v>8</v>
      </c>
      <c r="Y22" s="946"/>
      <c r="Z22" s="939">
        <v>-10</v>
      </c>
      <c r="AA22" s="940">
        <f t="shared" si="43"/>
        <v>1E-3</v>
      </c>
      <c r="AB22" s="940"/>
      <c r="AC22" s="925">
        <f t="shared" si="44"/>
        <v>3.3333333333333332E-4</v>
      </c>
      <c r="AD22" s="1061">
        <f>IF(AD19&lt;=Z20,Z20,IF(AD19&lt;=Z21,Z21,IF(AD19&lt;=Z22,Z22,IF(AD19&lt;=Z23,Z23,IF(AD19&lt;=Z24,Z24,IF(AD19&lt;=Z25,Z25))))))</f>
        <v>8</v>
      </c>
      <c r="AE22" s="946"/>
      <c r="AF22" s="939">
        <v>-10</v>
      </c>
      <c r="AG22" s="940">
        <f t="shared" si="45"/>
        <v>1E-3</v>
      </c>
      <c r="AH22" s="940"/>
      <c r="AI22" s="925">
        <f t="shared" si="46"/>
        <v>0.3066666666666667</v>
      </c>
      <c r="AJ22" s="1061">
        <f>IF(AJ19&lt;=AF20,AF20,IF(AJ19&lt;=AF21,AF21,IF(AJ19&lt;=AF22,AF22,IF(AJ19&lt;=AF23,AF23,IF(AJ19&lt;=AF24,AF24,IF(AJ19&lt;=AF25,AF25))))))</f>
        <v>8</v>
      </c>
      <c r="AK22" s="946"/>
      <c r="AL22" s="939">
        <v>-10</v>
      </c>
      <c r="AM22" s="940">
        <f t="shared" si="47"/>
        <v>1E-3</v>
      </c>
      <c r="AN22" s="940"/>
      <c r="AO22" s="925">
        <f t="shared" si="48"/>
        <v>3.3333333333333332E-4</v>
      </c>
      <c r="AP22" s="1061">
        <f>IF(AP19&lt;=AL20,AL20,IF(AP19&lt;=AL21,AL21,IF(AP19&lt;=AL22,AL22,IF(AP19&lt;=AL23,AL23,IF(AP19&lt;=AL24,AL24,IF(AP19&lt;=AL25,AL25))))))</f>
        <v>8</v>
      </c>
      <c r="AQ22" s="929"/>
      <c r="AR22" s="939">
        <v>-10</v>
      </c>
      <c r="AS22" s="940">
        <f t="shared" si="49"/>
        <v>1E-3</v>
      </c>
      <c r="AT22" s="940"/>
      <c r="AU22" s="925">
        <f t="shared" si="50"/>
        <v>3.3333333333333332E-4</v>
      </c>
      <c r="AV22" s="1061">
        <f>IF(AV19&lt;=AR20,AR20,IF(AV19&lt;=AR21,AR21,IF(AV19&lt;=AR22,AR22,IF(AV19&lt;=AR23,AR23,IF(AV19&lt;=AR24,AR24,IF(AV19&lt;=AR25,AR25))))))</f>
        <v>8</v>
      </c>
      <c r="AW22" s="929"/>
      <c r="AX22" s="939">
        <v>-10</v>
      </c>
      <c r="AY22" s="940">
        <f t="shared" si="51"/>
        <v>0.59</v>
      </c>
      <c r="AZ22" s="940"/>
      <c r="BA22" s="925">
        <f t="shared" si="52"/>
        <v>0.26333333333333336</v>
      </c>
      <c r="BB22" s="1061">
        <f>IF(BB19&lt;=AX20,AX20,IF(BB19&lt;=AX21,AX21,IF(BB19&lt;=AX22,AX22,IF(BB19&lt;=AX23,AX23,IF(BB19&lt;=AX24,AX24,IF(BB19&lt;=AX25,AX25))))))</f>
        <v>8</v>
      </c>
      <c r="BC22" s="929"/>
      <c r="BD22" s="939">
        <v>-10</v>
      </c>
      <c r="BE22" s="940">
        <f t="shared" si="53"/>
        <v>1E-3</v>
      </c>
      <c r="BF22" s="940"/>
      <c r="BG22" s="925">
        <f t="shared" si="54"/>
        <v>3.3333333333333332E-4</v>
      </c>
      <c r="BH22" s="1061">
        <f>IF(BH19&lt;=BD20,BD20,IF(BH19&lt;=BD21,BD21,IF(BH19&lt;=BD22,BD22,IF(BH19&lt;=BD23,BD23,IF(BH19&lt;=BD24,BD24,IF(BH19&lt;=BD25,BD25))))))</f>
        <v>8</v>
      </c>
      <c r="BI22" s="929"/>
      <c r="BJ22" s="939">
        <v>-10</v>
      </c>
      <c r="BK22" s="940">
        <f t="shared" si="55"/>
        <v>0.59</v>
      </c>
      <c r="BL22" s="940"/>
      <c r="BM22" s="925">
        <f t="shared" si="56"/>
        <v>0.26333333333333336</v>
      </c>
      <c r="BN22" s="1061">
        <f>IF(BN19&lt;=BJ20,BJ20,IF(BN19&lt;=BJ21,BJ21,IF(BN19&lt;=BJ22,BJ22,IF(BN19&lt;=BJ23,BJ23,IF(BN19&lt;=BJ24,BJ24,IF(BN19&lt;=BJ25,BJ25))))))</f>
        <v>8</v>
      </c>
      <c r="BO22" s="929"/>
      <c r="BP22" s="939">
        <v>-10</v>
      </c>
      <c r="BQ22" s="940">
        <f t="shared" si="57"/>
        <v>1E-3</v>
      </c>
      <c r="BR22" s="940"/>
      <c r="BS22" s="925">
        <f t="shared" si="58"/>
        <v>3.3333333333333332E-4</v>
      </c>
      <c r="BT22" s="1061">
        <f>IF(BT19&lt;=BP20,BP20,IF(BT19&lt;=BP21,BP21,IF(BT19&lt;=BP22,BP22,IF(BT19&lt;=BP23,BP23,IF(BT19&lt;=BP24,BP24,IF(BT19&lt;=BP25,BP25))))))</f>
        <v>8</v>
      </c>
      <c r="BU22" s="929"/>
      <c r="BV22" s="939">
        <v>-10</v>
      </c>
      <c r="BW22" s="940">
        <f t="shared" si="59"/>
        <v>18</v>
      </c>
      <c r="BX22" s="940"/>
      <c r="BY22" s="925">
        <f t="shared" si="60"/>
        <v>9.3333333333333339</v>
      </c>
      <c r="BZ22" s="1061">
        <f>IF(BZ19&lt;=BV20,BV20,IF(BZ19&lt;=BV21,BV21,IF(BZ19&lt;=BV22,BV22,IF(BZ19&lt;=BV23,BV23,IF(BZ19&lt;=BV24,BV24,IF(BZ19&lt;=BV25,BV25))))))</f>
        <v>8</v>
      </c>
      <c r="CA22" s="929"/>
      <c r="CB22" s="939">
        <v>-10</v>
      </c>
      <c r="CC22" s="940">
        <f t="shared" si="32"/>
        <v>-0.7</v>
      </c>
      <c r="CD22" s="940"/>
      <c r="CE22" s="925">
        <f t="shared" si="61"/>
        <v>0.13333333333333333</v>
      </c>
      <c r="CF22" s="1061">
        <f>IF(CF19&lt;=CB20,CB20,IF(CF19&lt;=CB21,CB21,IF(CF19&lt;=CB22,CB22,IF(CF19&lt;=CB23,CB23,IF(CF19&lt;=CB24,CB24,IF(CF19&lt;=CB25,CB25))))))</f>
        <v>8</v>
      </c>
      <c r="CH22" s="939">
        <v>-10</v>
      </c>
      <c r="CI22" s="940">
        <f t="shared" si="33"/>
        <v>-0.05</v>
      </c>
      <c r="CJ22" s="940"/>
      <c r="CK22" s="925">
        <f t="shared" si="62"/>
        <v>7.3333333333333334E-2</v>
      </c>
      <c r="CL22" s="1061">
        <f>IF(CL19&lt;=CH20,CH20,IF(CL19&lt;=CH21,CH21,IF(CL19&lt;=CH22,CH22,IF(CL19&lt;=CH23,CH23,IF(CL19&lt;=CH24,CH24,IF(CL19&lt;=CH25,CH25))))))</f>
        <v>8</v>
      </c>
      <c r="CN22" s="939">
        <v>-10</v>
      </c>
      <c r="CO22" s="940">
        <f t="shared" si="34"/>
        <v>-1.26</v>
      </c>
      <c r="CP22" s="940"/>
      <c r="CQ22" s="925">
        <f t="shared" si="63"/>
        <v>0.25666666666666665</v>
      </c>
      <c r="CR22" s="1061">
        <f>IF(CR19&lt;=CN20,CN20,IF(CR19&lt;=CN21,CN21,IF(CR19&lt;=CN22,CN22,IF(CR19&lt;=CN23,CN23,IF(CR19&lt;=CN24,CN24,IF(CR19&lt;=CN25,CN25))))))</f>
        <v>8</v>
      </c>
    </row>
    <row r="23" spans="2:96">
      <c r="B23" s="939">
        <v>1E-3</v>
      </c>
      <c r="C23" s="940">
        <v>-1.2999999999999999E-3</v>
      </c>
      <c r="D23" s="940">
        <f t="shared" si="35"/>
        <v>-0.2</v>
      </c>
      <c r="E23" s="925">
        <f t="shared" si="36"/>
        <v>0.19870000000000002</v>
      </c>
      <c r="F23" s="1056"/>
      <c r="G23" s="942"/>
      <c r="H23" s="939">
        <v>1E-3</v>
      </c>
      <c r="I23" s="940">
        <v>-1.2999999999999999E-3</v>
      </c>
      <c r="J23" s="940">
        <f t="shared" si="37"/>
        <v>1E-3</v>
      </c>
      <c r="K23" s="925">
        <f t="shared" si="38"/>
        <v>2.3E-3</v>
      </c>
      <c r="L23" s="1056"/>
      <c r="M23" s="942"/>
      <c r="N23" s="939">
        <v>1E-3</v>
      </c>
      <c r="O23" s="940"/>
      <c r="P23" s="940">
        <f t="shared" si="39"/>
        <v>-0.32</v>
      </c>
      <c r="Q23" s="925">
        <f t="shared" si="40"/>
        <v>0.13</v>
      </c>
      <c r="R23" s="1056"/>
      <c r="S23" s="943"/>
      <c r="T23" s="939">
        <v>1E-3</v>
      </c>
      <c r="U23" s="940">
        <f t="shared" si="41"/>
        <v>1E-3</v>
      </c>
      <c r="V23" s="940"/>
      <c r="W23" s="925">
        <f t="shared" si="42"/>
        <v>3.3333333333333332E-4</v>
      </c>
      <c r="X23" s="1056"/>
      <c r="Y23" s="943"/>
      <c r="Z23" s="939">
        <v>1E-3</v>
      </c>
      <c r="AA23" s="940">
        <f t="shared" si="43"/>
        <v>1E-3</v>
      </c>
      <c r="AB23" s="940"/>
      <c r="AC23" s="925">
        <f t="shared" si="44"/>
        <v>3.3333333333333332E-4</v>
      </c>
      <c r="AD23" s="1056"/>
      <c r="AE23" s="943"/>
      <c r="AF23" s="939">
        <v>1E-3</v>
      </c>
      <c r="AG23" s="940">
        <f t="shared" si="45"/>
        <v>0.28999999999999998</v>
      </c>
      <c r="AH23" s="940"/>
      <c r="AI23" s="925">
        <f t="shared" si="46"/>
        <v>0.3066666666666667</v>
      </c>
      <c r="AJ23" s="1056"/>
      <c r="AK23" s="943"/>
      <c r="AL23" s="939">
        <v>1E-3</v>
      </c>
      <c r="AM23" s="940">
        <f t="shared" si="47"/>
        <v>1E-3</v>
      </c>
      <c r="AN23" s="940"/>
      <c r="AO23" s="925">
        <f t="shared" si="48"/>
        <v>3.3333333333333332E-4</v>
      </c>
      <c r="AP23" s="1056"/>
      <c r="AQ23" s="929"/>
      <c r="AR23" s="939">
        <v>1E-3</v>
      </c>
      <c r="AS23" s="940">
        <f t="shared" si="49"/>
        <v>1E-3</v>
      </c>
      <c r="AT23" s="940"/>
      <c r="AU23" s="925">
        <f t="shared" si="50"/>
        <v>3.3333333333333332E-4</v>
      </c>
      <c r="AV23" s="1056"/>
      <c r="AW23" s="929"/>
      <c r="AX23" s="939">
        <v>1E-3</v>
      </c>
      <c r="AY23" s="940">
        <f t="shared" si="51"/>
        <v>0.56000000000000005</v>
      </c>
      <c r="AZ23" s="940"/>
      <c r="BA23" s="925">
        <f t="shared" si="52"/>
        <v>0.26333333333333336</v>
      </c>
      <c r="BB23" s="1056"/>
      <c r="BC23" s="929"/>
      <c r="BD23" s="939">
        <v>1E-3</v>
      </c>
      <c r="BE23" s="940">
        <f t="shared" si="53"/>
        <v>1E-3</v>
      </c>
      <c r="BF23" s="940"/>
      <c r="BG23" s="925">
        <f t="shared" si="54"/>
        <v>3.3333333333333332E-4</v>
      </c>
      <c r="BH23" s="1056"/>
      <c r="BI23" s="929"/>
      <c r="BJ23" s="939">
        <v>1E-3</v>
      </c>
      <c r="BK23" s="940">
        <f t="shared" si="55"/>
        <v>0.56000000000000005</v>
      </c>
      <c r="BL23" s="940"/>
      <c r="BM23" s="925">
        <f t="shared" si="56"/>
        <v>0.26333333333333336</v>
      </c>
      <c r="BN23" s="1056"/>
      <c r="BO23" s="929"/>
      <c r="BP23" s="939">
        <v>1E-3</v>
      </c>
      <c r="BQ23" s="940">
        <f t="shared" si="57"/>
        <v>1E-3</v>
      </c>
      <c r="BR23" s="940"/>
      <c r="BS23" s="925">
        <f t="shared" si="58"/>
        <v>3.3333333333333332E-4</v>
      </c>
      <c r="BT23" s="1056"/>
      <c r="BU23" s="929"/>
      <c r="BV23" s="939">
        <v>1E-3</v>
      </c>
      <c r="BW23" s="940">
        <f t="shared" si="59"/>
        <v>19</v>
      </c>
      <c r="BX23" s="940"/>
      <c r="BY23" s="925">
        <f t="shared" si="60"/>
        <v>9.3333333333333339</v>
      </c>
      <c r="BZ23" s="1056"/>
      <c r="CA23" s="929"/>
      <c r="CB23" s="939">
        <v>1E-3</v>
      </c>
      <c r="CC23" s="940">
        <f t="shared" si="32"/>
        <v>-0.7</v>
      </c>
      <c r="CD23" s="940"/>
      <c r="CE23" s="925">
        <f t="shared" si="61"/>
        <v>0.13333333333333333</v>
      </c>
      <c r="CF23" s="1056"/>
      <c r="CH23" s="939">
        <v>1E-3</v>
      </c>
      <c r="CI23" s="940">
        <f t="shared" si="33"/>
        <v>0.03</v>
      </c>
      <c r="CJ23" s="940"/>
      <c r="CK23" s="925">
        <f t="shared" si="62"/>
        <v>7.3333333333333334E-2</v>
      </c>
      <c r="CL23" s="1056"/>
      <c r="CN23" s="939">
        <v>1E-3</v>
      </c>
      <c r="CO23" s="940">
        <f t="shared" si="34"/>
        <v>-0.79</v>
      </c>
      <c r="CP23" s="940"/>
      <c r="CQ23" s="925">
        <f t="shared" si="63"/>
        <v>0.25666666666666665</v>
      </c>
      <c r="CR23" s="1056"/>
    </row>
    <row r="24" spans="2:96">
      <c r="B24" s="939">
        <v>2</v>
      </c>
      <c r="C24" s="940"/>
      <c r="D24" s="940">
        <f t="shared" si="35"/>
        <v>-1.8E-3</v>
      </c>
      <c r="E24" s="925">
        <f t="shared" si="36"/>
        <v>0.11333333333333334</v>
      </c>
      <c r="F24" s="1062">
        <f>LOOKUP(F20,B20:E31)</f>
        <v>0.11333333333333334</v>
      </c>
      <c r="G24" s="942"/>
      <c r="H24" s="939">
        <v>2</v>
      </c>
      <c r="I24" s="940">
        <v>-1.1999999999999999E-3</v>
      </c>
      <c r="J24" s="940">
        <f t="shared" si="37"/>
        <v>-0.22</v>
      </c>
      <c r="K24" s="925">
        <f t="shared" si="38"/>
        <v>0.21879999999999999</v>
      </c>
      <c r="L24" s="1062">
        <f>LOOKUP(L20,H20:K31)</f>
        <v>0.21879999999999999</v>
      </c>
      <c r="M24" s="942"/>
      <c r="N24" s="939">
        <v>2</v>
      </c>
      <c r="O24" s="940"/>
      <c r="P24" s="940">
        <f t="shared" si="39"/>
        <v>-0.32</v>
      </c>
      <c r="Q24" s="925">
        <f t="shared" si="40"/>
        <v>0.13</v>
      </c>
      <c r="R24" s="1062">
        <f>LOOKUP(R20,N20:Q31)</f>
        <v>0.13</v>
      </c>
      <c r="S24" s="946"/>
      <c r="T24" s="939">
        <v>2</v>
      </c>
      <c r="U24" s="940">
        <f t="shared" si="41"/>
        <v>1E-3</v>
      </c>
      <c r="V24" s="940"/>
      <c r="W24" s="925">
        <f t="shared" si="42"/>
        <v>3.3333333333333332E-4</v>
      </c>
      <c r="X24" s="1062">
        <f>LOOKUP(X20,T20:W31)</f>
        <v>3.3333333333333332E-4</v>
      </c>
      <c r="Y24" s="946"/>
      <c r="Z24" s="939">
        <v>2</v>
      </c>
      <c r="AA24" s="940">
        <f t="shared" si="43"/>
        <v>1E-3</v>
      </c>
      <c r="AB24" s="940"/>
      <c r="AC24" s="925">
        <f t="shared" si="44"/>
        <v>3.3333333333333332E-4</v>
      </c>
      <c r="AD24" s="1062">
        <f>LOOKUP(AD20,Z20:AC31)</f>
        <v>3.3333333333333332E-4</v>
      </c>
      <c r="AE24" s="946"/>
      <c r="AF24" s="939">
        <v>2</v>
      </c>
      <c r="AG24" s="940">
        <f t="shared" si="45"/>
        <v>0.33</v>
      </c>
      <c r="AH24" s="940"/>
      <c r="AI24" s="925">
        <f t="shared" si="46"/>
        <v>0.3066666666666667</v>
      </c>
      <c r="AJ24" s="1062">
        <f>LOOKUP(AJ20,AF20:AI31)</f>
        <v>0.3066666666666667</v>
      </c>
      <c r="AK24" s="946"/>
      <c r="AL24" s="939">
        <v>2</v>
      </c>
      <c r="AM24" s="940">
        <f t="shared" si="47"/>
        <v>1E-3</v>
      </c>
      <c r="AN24" s="940"/>
      <c r="AO24" s="925">
        <f t="shared" si="48"/>
        <v>3.3333333333333332E-4</v>
      </c>
      <c r="AP24" s="1062">
        <f>LOOKUP(AP20,AL20:AO31)</f>
        <v>3.3333333333333332E-4</v>
      </c>
      <c r="AQ24" s="929"/>
      <c r="AR24" s="939">
        <v>2</v>
      </c>
      <c r="AS24" s="940">
        <f t="shared" si="49"/>
        <v>1E-3</v>
      </c>
      <c r="AT24" s="940"/>
      <c r="AU24" s="925">
        <f t="shared" si="50"/>
        <v>3.3333333333333332E-4</v>
      </c>
      <c r="AV24" s="1062">
        <f>LOOKUP(AV20,AR20:AU31)</f>
        <v>3.3333333333333332E-4</v>
      </c>
      <c r="AW24" s="929"/>
      <c r="AX24" s="939">
        <v>2</v>
      </c>
      <c r="AY24" s="940">
        <f t="shared" si="51"/>
        <v>0.55000000000000004</v>
      </c>
      <c r="AZ24" s="940"/>
      <c r="BA24" s="925">
        <f t="shared" si="52"/>
        <v>0.26333333333333336</v>
      </c>
      <c r="BB24" s="1062">
        <f>LOOKUP(BB20,AX20:BA31)</f>
        <v>0.26333333333333336</v>
      </c>
      <c r="BC24" s="929"/>
      <c r="BD24" s="939">
        <v>2</v>
      </c>
      <c r="BE24" s="940">
        <f t="shared" si="53"/>
        <v>1E-3</v>
      </c>
      <c r="BF24" s="940"/>
      <c r="BG24" s="925">
        <f t="shared" si="54"/>
        <v>3.3333333333333332E-4</v>
      </c>
      <c r="BH24" s="1062">
        <f>LOOKUP(BH20,BD20:BG31)</f>
        <v>3.3333333333333332E-4</v>
      </c>
      <c r="BI24" s="929"/>
      <c r="BJ24" s="939">
        <v>2</v>
      </c>
      <c r="BK24" s="940">
        <f t="shared" si="55"/>
        <v>0.55000000000000004</v>
      </c>
      <c r="BL24" s="940"/>
      <c r="BM24" s="925">
        <f t="shared" si="56"/>
        <v>0.26333333333333336</v>
      </c>
      <c r="BN24" s="1062">
        <f>LOOKUP(BN20,BJ20:BM31)</f>
        <v>0.26333333333333336</v>
      </c>
      <c r="BO24" s="929"/>
      <c r="BP24" s="939">
        <v>2</v>
      </c>
      <c r="BQ24" s="940">
        <f t="shared" si="57"/>
        <v>1E-3</v>
      </c>
      <c r="BR24" s="940"/>
      <c r="BS24" s="925">
        <f t="shared" si="58"/>
        <v>3.3333333333333332E-4</v>
      </c>
      <c r="BT24" s="1062">
        <f>LOOKUP(BT20,BP20:BS31)</f>
        <v>3.3333333333333332E-4</v>
      </c>
      <c r="BU24" s="929"/>
      <c r="BV24" s="939">
        <v>2</v>
      </c>
      <c r="BW24" s="940">
        <f t="shared" si="59"/>
        <v>20</v>
      </c>
      <c r="BX24" s="940"/>
      <c r="BY24" s="925">
        <f t="shared" si="60"/>
        <v>9.3333333333333339</v>
      </c>
      <c r="BZ24" s="1062">
        <f>LOOKUP(BZ20,BV20:BY31)</f>
        <v>9.3333333333333339</v>
      </c>
      <c r="CA24" s="929"/>
      <c r="CB24" s="939">
        <v>2</v>
      </c>
      <c r="CC24" s="940">
        <f t="shared" si="32"/>
        <v>-0.7</v>
      </c>
      <c r="CD24" s="940"/>
      <c r="CE24" s="925">
        <f t="shared" si="61"/>
        <v>0.13333333333333333</v>
      </c>
      <c r="CF24" s="1062">
        <f>LOOKUP(CF20,CB20:CE31)</f>
        <v>0.13333333333333333</v>
      </c>
      <c r="CH24" s="939">
        <v>2</v>
      </c>
      <c r="CI24" s="940">
        <f t="shared" si="33"/>
        <v>0.04</v>
      </c>
      <c r="CJ24" s="940"/>
      <c r="CK24" s="925">
        <f t="shared" si="62"/>
        <v>7.3333333333333334E-2</v>
      </c>
      <c r="CL24" s="1062">
        <f>LOOKUP(CL20,CH20:CK31)</f>
        <v>7.3333333333333334E-2</v>
      </c>
      <c r="CN24" s="939">
        <v>2</v>
      </c>
      <c r="CO24" s="940">
        <f t="shared" si="34"/>
        <v>-2.7</v>
      </c>
      <c r="CP24" s="940"/>
      <c r="CQ24" s="925">
        <f t="shared" si="63"/>
        <v>0.25666666666666665</v>
      </c>
      <c r="CR24" s="1062">
        <f>LOOKUP(CR20,CN20:CQ31)</f>
        <v>0.25666666666666665</v>
      </c>
    </row>
    <row r="25" spans="2:96">
      <c r="B25" s="939">
        <v>8</v>
      </c>
      <c r="C25" s="940">
        <v>-0.09</v>
      </c>
      <c r="D25" s="940">
        <f t="shared" si="35"/>
        <v>-1.1000000000000001E-3</v>
      </c>
      <c r="E25" s="925">
        <f t="shared" si="36"/>
        <v>8.8899999999999993E-2</v>
      </c>
      <c r="F25" s="1056"/>
      <c r="G25" s="942"/>
      <c r="H25" s="939">
        <v>8</v>
      </c>
      <c r="I25" s="940">
        <v>-1E-3</v>
      </c>
      <c r="J25" s="940">
        <f t="shared" si="37"/>
        <v>-1.2999999999999999E-3</v>
      </c>
      <c r="K25" s="925">
        <f t="shared" si="38"/>
        <v>2.9999999999999992E-4</v>
      </c>
      <c r="L25" s="1056"/>
      <c r="M25" s="942"/>
      <c r="N25" s="939">
        <v>8</v>
      </c>
      <c r="O25" s="940"/>
      <c r="P25" s="940">
        <f t="shared" si="39"/>
        <v>-1.8E-3</v>
      </c>
      <c r="Q25" s="925">
        <f t="shared" si="40"/>
        <v>0.13</v>
      </c>
      <c r="R25" s="1056"/>
      <c r="S25" s="929"/>
      <c r="T25" s="939">
        <v>8</v>
      </c>
      <c r="U25" s="940">
        <f t="shared" si="41"/>
        <v>1E-3</v>
      </c>
      <c r="V25" s="940"/>
      <c r="W25" s="925">
        <f t="shared" si="42"/>
        <v>3.3333333333333332E-4</v>
      </c>
      <c r="X25" s="1056"/>
      <c r="Y25" s="929"/>
      <c r="Z25" s="939">
        <v>8</v>
      </c>
      <c r="AA25" s="940">
        <f t="shared" si="43"/>
        <v>1E-3</v>
      </c>
      <c r="AB25" s="940"/>
      <c r="AC25" s="925">
        <f t="shared" si="44"/>
        <v>3.3333333333333332E-4</v>
      </c>
      <c r="AD25" s="1056"/>
      <c r="AE25" s="929"/>
      <c r="AF25" s="939">
        <v>8</v>
      </c>
      <c r="AG25" s="940">
        <f t="shared" si="45"/>
        <v>0.42</v>
      </c>
      <c r="AH25" s="940"/>
      <c r="AI25" s="925">
        <f t="shared" si="46"/>
        <v>0.3066666666666667</v>
      </c>
      <c r="AJ25" s="1056"/>
      <c r="AK25" s="929"/>
      <c r="AL25" s="939">
        <v>8</v>
      </c>
      <c r="AM25" s="940">
        <f t="shared" si="47"/>
        <v>1E-3</v>
      </c>
      <c r="AN25" s="940"/>
      <c r="AO25" s="925">
        <f t="shared" si="48"/>
        <v>3.3333333333333332E-4</v>
      </c>
      <c r="AP25" s="1056"/>
      <c r="AQ25" s="929"/>
      <c r="AR25" s="939">
        <v>8</v>
      </c>
      <c r="AS25" s="940">
        <f t="shared" si="49"/>
        <v>1E-3</v>
      </c>
      <c r="AT25" s="940"/>
      <c r="AU25" s="925">
        <f t="shared" si="50"/>
        <v>3.3333333333333332E-4</v>
      </c>
      <c r="AV25" s="1056"/>
      <c r="AW25" s="929"/>
      <c r="AX25" s="939">
        <v>8</v>
      </c>
      <c r="AY25" s="940">
        <f t="shared" si="51"/>
        <v>0.53</v>
      </c>
      <c r="AZ25" s="940"/>
      <c r="BA25" s="925">
        <f t="shared" si="52"/>
        <v>0.26333333333333336</v>
      </c>
      <c r="BB25" s="1056"/>
      <c r="BC25" s="929"/>
      <c r="BD25" s="939">
        <v>8</v>
      </c>
      <c r="BE25" s="940">
        <f t="shared" si="53"/>
        <v>1E-3</v>
      </c>
      <c r="BF25" s="940"/>
      <c r="BG25" s="925">
        <f t="shared" si="54"/>
        <v>3.3333333333333332E-4</v>
      </c>
      <c r="BH25" s="1056"/>
      <c r="BI25" s="929"/>
      <c r="BJ25" s="939">
        <v>8</v>
      </c>
      <c r="BK25" s="940">
        <f t="shared" si="55"/>
        <v>0.53</v>
      </c>
      <c r="BL25" s="940"/>
      <c r="BM25" s="925">
        <f t="shared" si="56"/>
        <v>0.26333333333333336</v>
      </c>
      <c r="BN25" s="1056"/>
      <c r="BO25" s="929"/>
      <c r="BP25" s="939">
        <v>8</v>
      </c>
      <c r="BQ25" s="940">
        <f t="shared" si="57"/>
        <v>1E-3</v>
      </c>
      <c r="BR25" s="940"/>
      <c r="BS25" s="925">
        <f t="shared" si="58"/>
        <v>3.3333333333333332E-4</v>
      </c>
      <c r="BT25" s="1056"/>
      <c r="BU25" s="929"/>
      <c r="BV25" s="939">
        <v>8</v>
      </c>
      <c r="BW25" s="940">
        <f t="shared" si="59"/>
        <v>21</v>
      </c>
      <c r="BX25" s="940"/>
      <c r="BY25" s="925">
        <f t="shared" si="60"/>
        <v>9.3333333333333339</v>
      </c>
      <c r="BZ25" s="1056"/>
      <c r="CA25" s="929"/>
      <c r="CB25" s="939">
        <v>8</v>
      </c>
      <c r="CC25" s="940">
        <f t="shared" si="32"/>
        <v>-0.7</v>
      </c>
      <c r="CD25" s="940"/>
      <c r="CE25" s="925">
        <f t="shared" si="61"/>
        <v>0.13333333333333333</v>
      </c>
      <c r="CF25" s="1056"/>
      <c r="CH25" s="939">
        <v>8</v>
      </c>
      <c r="CI25" s="940">
        <f t="shared" si="33"/>
        <v>0.08</v>
      </c>
      <c r="CJ25" s="940"/>
      <c r="CK25" s="925">
        <f t="shared" si="62"/>
        <v>7.3333333333333334E-2</v>
      </c>
      <c r="CL25" s="1056"/>
      <c r="CN25" s="939">
        <v>8</v>
      </c>
      <c r="CO25" s="940">
        <f t="shared" si="34"/>
        <v>-0.46</v>
      </c>
      <c r="CP25" s="940"/>
      <c r="CQ25" s="925">
        <f t="shared" si="63"/>
        <v>0.25666666666666665</v>
      </c>
      <c r="CR25" s="1056"/>
    </row>
    <row r="26" spans="2:96">
      <c r="B26" s="939">
        <v>37</v>
      </c>
      <c r="C26" s="940">
        <v>0.02</v>
      </c>
      <c r="D26" s="940">
        <f t="shared" si="35"/>
        <v>1.1000000000000001E-3</v>
      </c>
      <c r="E26" s="925">
        <f t="shared" si="36"/>
        <v>1.89E-2</v>
      </c>
      <c r="F26" s="1062">
        <f>LOOKUP(F22,B20:E31)</f>
        <v>8.8899999999999993E-2</v>
      </c>
      <c r="G26" s="942"/>
      <c r="H26" s="939">
        <v>37</v>
      </c>
      <c r="I26" s="940">
        <v>0.01</v>
      </c>
      <c r="J26" s="940">
        <f t="shared" si="37"/>
        <v>1.1999999999999999E-3</v>
      </c>
      <c r="K26" s="925">
        <f t="shared" si="38"/>
        <v>8.8000000000000005E-3</v>
      </c>
      <c r="L26" s="1062">
        <f>LOOKUP(L22,H20:K31)</f>
        <v>2.9999999999999992E-4</v>
      </c>
      <c r="M26" s="942"/>
      <c r="N26" s="939">
        <v>37</v>
      </c>
      <c r="O26" s="940"/>
      <c r="P26" s="940">
        <f t="shared" si="39"/>
        <v>-1.6999999999999999E-3</v>
      </c>
      <c r="Q26" s="925">
        <f t="shared" si="40"/>
        <v>0.13</v>
      </c>
      <c r="R26" s="1062">
        <f>LOOKUP(R22,N20:Q31)</f>
        <v>0.13</v>
      </c>
      <c r="S26" s="929"/>
      <c r="T26" s="939">
        <v>37</v>
      </c>
      <c r="U26" s="940">
        <f t="shared" si="41"/>
        <v>1E-3</v>
      </c>
      <c r="V26" s="940"/>
      <c r="W26" s="925">
        <f t="shared" si="42"/>
        <v>3.3333333333333332E-4</v>
      </c>
      <c r="X26" s="1062">
        <f>LOOKUP(X22,T20:W31)</f>
        <v>3.3333333333333332E-4</v>
      </c>
      <c r="Y26" s="929"/>
      <c r="Z26" s="939">
        <v>37</v>
      </c>
      <c r="AA26" s="940">
        <f t="shared" si="43"/>
        <v>1E-3</v>
      </c>
      <c r="AB26" s="940"/>
      <c r="AC26" s="925">
        <f t="shared" si="44"/>
        <v>3.3333333333333332E-4</v>
      </c>
      <c r="AD26" s="1062">
        <f>LOOKUP(AD22,Z20:AC31)</f>
        <v>3.3333333333333332E-4</v>
      </c>
      <c r="AE26" s="929"/>
      <c r="AF26" s="939">
        <v>37</v>
      </c>
      <c r="AG26" s="940">
        <f t="shared" si="45"/>
        <v>0.69</v>
      </c>
      <c r="AH26" s="940"/>
      <c r="AI26" s="925">
        <f t="shared" si="46"/>
        <v>0.3066666666666667</v>
      </c>
      <c r="AJ26" s="1062">
        <f>LOOKUP(AJ22,AF20:AI31)</f>
        <v>0.3066666666666667</v>
      </c>
      <c r="AK26" s="929"/>
      <c r="AL26" s="939">
        <v>37</v>
      </c>
      <c r="AM26" s="940">
        <f t="shared" si="47"/>
        <v>1E-3</v>
      </c>
      <c r="AN26" s="940"/>
      <c r="AO26" s="925">
        <f t="shared" si="48"/>
        <v>3.3333333333333332E-4</v>
      </c>
      <c r="AP26" s="1062">
        <f>LOOKUP(AP22,AL20:AO31)</f>
        <v>3.3333333333333332E-4</v>
      </c>
      <c r="AQ26" s="929"/>
      <c r="AR26" s="939">
        <v>37</v>
      </c>
      <c r="AS26" s="940">
        <f t="shared" si="49"/>
        <v>1E-3</v>
      </c>
      <c r="AT26" s="940"/>
      <c r="AU26" s="925">
        <f t="shared" si="50"/>
        <v>3.3333333333333332E-4</v>
      </c>
      <c r="AV26" s="1062">
        <f>LOOKUP(AV22,AR20:AU31)</f>
        <v>3.3333333333333332E-4</v>
      </c>
      <c r="AW26" s="929"/>
      <c r="AX26" s="939">
        <v>37</v>
      </c>
      <c r="AY26" s="940">
        <f t="shared" si="51"/>
        <v>0.43</v>
      </c>
      <c r="AZ26" s="940"/>
      <c r="BA26" s="925">
        <f t="shared" si="52"/>
        <v>0.26333333333333336</v>
      </c>
      <c r="BB26" s="1062">
        <f>LOOKUP(BB22,AX20:BA31)</f>
        <v>0.26333333333333336</v>
      </c>
      <c r="BC26" s="929"/>
      <c r="BD26" s="939">
        <v>37</v>
      </c>
      <c r="BE26" s="940">
        <f t="shared" si="53"/>
        <v>1E-3</v>
      </c>
      <c r="BF26" s="940"/>
      <c r="BG26" s="925">
        <f t="shared" si="54"/>
        <v>3.3333333333333332E-4</v>
      </c>
      <c r="BH26" s="1062">
        <f>LOOKUP(BH22,BD20:BG31)</f>
        <v>3.3333333333333332E-4</v>
      </c>
      <c r="BI26" s="929"/>
      <c r="BJ26" s="939">
        <v>37</v>
      </c>
      <c r="BK26" s="940">
        <f t="shared" si="55"/>
        <v>0.43</v>
      </c>
      <c r="BL26" s="940"/>
      <c r="BM26" s="925">
        <f t="shared" si="56"/>
        <v>0.26333333333333336</v>
      </c>
      <c r="BN26" s="1062">
        <f>LOOKUP(BN22,BJ20:BM31)</f>
        <v>0.26333333333333336</v>
      </c>
      <c r="BO26" s="929"/>
      <c r="BP26" s="939">
        <v>37</v>
      </c>
      <c r="BQ26" s="940">
        <f t="shared" si="57"/>
        <v>1E-3</v>
      </c>
      <c r="BR26" s="940"/>
      <c r="BS26" s="925">
        <f t="shared" si="58"/>
        <v>3.3333333333333332E-4</v>
      </c>
      <c r="BT26" s="1062">
        <f>LOOKUP(BT22,BP20:BS31)</f>
        <v>3.3333333333333332E-4</v>
      </c>
      <c r="BU26" s="929"/>
      <c r="BV26" s="939">
        <v>37</v>
      </c>
      <c r="BW26" s="940">
        <f t="shared" si="59"/>
        <v>22</v>
      </c>
      <c r="BX26" s="940"/>
      <c r="BY26" s="925">
        <f t="shared" si="60"/>
        <v>9.3333333333333339</v>
      </c>
      <c r="BZ26" s="1062">
        <f>LOOKUP(BZ22,BV20:BY31)</f>
        <v>9.3333333333333339</v>
      </c>
      <c r="CA26" s="929"/>
      <c r="CB26" s="939">
        <v>37</v>
      </c>
      <c r="CC26" s="940">
        <f t="shared" si="32"/>
        <v>-0.6</v>
      </c>
      <c r="CD26" s="940"/>
      <c r="CE26" s="925">
        <f t="shared" si="61"/>
        <v>0.13333333333333333</v>
      </c>
      <c r="CF26" s="1062">
        <f>LOOKUP(CF22,CB20:CE31)</f>
        <v>0.13333333333333333</v>
      </c>
      <c r="CH26" s="939">
        <v>37</v>
      </c>
      <c r="CI26" s="940">
        <f t="shared" si="33"/>
        <v>0.23</v>
      </c>
      <c r="CJ26" s="940"/>
      <c r="CK26" s="925">
        <f t="shared" si="62"/>
        <v>7.3333333333333334E-2</v>
      </c>
      <c r="CL26" s="1062">
        <f>LOOKUP(CL22,CH20:CK31)</f>
        <v>7.3333333333333334E-2</v>
      </c>
      <c r="CN26" s="939">
        <v>37</v>
      </c>
      <c r="CO26" s="940">
        <f t="shared" si="34"/>
        <v>0.42</v>
      </c>
      <c r="CP26" s="940"/>
      <c r="CQ26" s="925">
        <f t="shared" si="63"/>
        <v>0.25666666666666665</v>
      </c>
      <c r="CR26" s="1062">
        <f>LOOKUP(CR22,CN20:CQ31)</f>
        <v>0.25666666666666665</v>
      </c>
    </row>
    <row r="27" spans="2:96">
      <c r="B27" s="939">
        <v>44</v>
      </c>
      <c r="C27" s="940">
        <v>0.04</v>
      </c>
      <c r="D27" s="940">
        <f t="shared" si="35"/>
        <v>1.4E-3</v>
      </c>
      <c r="E27" s="925">
        <f t="shared" si="36"/>
        <v>3.8600000000000002E-2</v>
      </c>
      <c r="F27" s="941"/>
      <c r="G27" s="942"/>
      <c r="H27" s="939">
        <v>44</v>
      </c>
      <c r="I27" s="940">
        <v>0.03</v>
      </c>
      <c r="J27" s="940">
        <f t="shared" si="37"/>
        <v>1.5E-3</v>
      </c>
      <c r="K27" s="925">
        <f t="shared" si="38"/>
        <v>2.8499999999999998E-2</v>
      </c>
      <c r="L27" s="941"/>
      <c r="M27" s="942"/>
      <c r="N27" s="939">
        <v>44</v>
      </c>
      <c r="O27" s="940"/>
      <c r="P27" s="940">
        <f t="shared" si="39"/>
        <v>-0.2</v>
      </c>
      <c r="Q27" s="925">
        <f t="shared" si="40"/>
        <v>0.13</v>
      </c>
      <c r="R27" s="941"/>
      <c r="S27" s="929"/>
      <c r="T27" s="939">
        <v>44</v>
      </c>
      <c r="U27" s="940">
        <f t="shared" si="41"/>
        <v>1E-3</v>
      </c>
      <c r="V27" s="940"/>
      <c r="W27" s="925">
        <f t="shared" si="42"/>
        <v>3.3333333333333332E-4</v>
      </c>
      <c r="X27" s="941"/>
      <c r="Y27" s="929"/>
      <c r="Z27" s="939">
        <v>44</v>
      </c>
      <c r="AA27" s="940">
        <f t="shared" si="43"/>
        <v>1E-3</v>
      </c>
      <c r="AB27" s="940"/>
      <c r="AC27" s="925">
        <f t="shared" si="44"/>
        <v>3.3333333333333332E-4</v>
      </c>
      <c r="AD27" s="941"/>
      <c r="AE27" s="929"/>
      <c r="AF27" s="939">
        <v>44</v>
      </c>
      <c r="AG27" s="940">
        <f t="shared" si="45"/>
        <v>0.72</v>
      </c>
      <c r="AH27" s="940"/>
      <c r="AI27" s="925">
        <f t="shared" si="46"/>
        <v>0.3066666666666667</v>
      </c>
      <c r="AJ27" s="941"/>
      <c r="AK27" s="929"/>
      <c r="AL27" s="939">
        <v>44</v>
      </c>
      <c r="AM27" s="940">
        <f t="shared" si="47"/>
        <v>1E-3</v>
      </c>
      <c r="AN27" s="940"/>
      <c r="AO27" s="925">
        <f t="shared" si="48"/>
        <v>3.3333333333333332E-4</v>
      </c>
      <c r="AP27" s="941"/>
      <c r="AQ27" s="929"/>
      <c r="AR27" s="939">
        <v>44</v>
      </c>
      <c r="AS27" s="940">
        <f t="shared" si="49"/>
        <v>1E-3</v>
      </c>
      <c r="AT27" s="940"/>
      <c r="AU27" s="925">
        <f t="shared" si="50"/>
        <v>3.3333333333333332E-4</v>
      </c>
      <c r="AV27" s="941"/>
      <c r="AW27" s="929"/>
      <c r="AX27" s="939">
        <v>44</v>
      </c>
      <c r="AY27" s="940">
        <f t="shared" si="51"/>
        <v>0.41</v>
      </c>
      <c r="AZ27" s="940"/>
      <c r="BA27" s="925">
        <f t="shared" si="52"/>
        <v>0.26333333333333336</v>
      </c>
      <c r="BB27" s="941"/>
      <c r="BC27" s="929"/>
      <c r="BD27" s="939">
        <v>44</v>
      </c>
      <c r="BE27" s="940">
        <f t="shared" si="53"/>
        <v>1E-3</v>
      </c>
      <c r="BF27" s="940"/>
      <c r="BG27" s="925">
        <f t="shared" si="54"/>
        <v>3.3333333333333332E-4</v>
      </c>
      <c r="BH27" s="941"/>
      <c r="BI27" s="929"/>
      <c r="BJ27" s="939">
        <v>44</v>
      </c>
      <c r="BK27" s="940">
        <f t="shared" si="55"/>
        <v>0.41</v>
      </c>
      <c r="BL27" s="940"/>
      <c r="BM27" s="925">
        <f t="shared" si="56"/>
        <v>0.26333333333333336</v>
      </c>
      <c r="BN27" s="941"/>
      <c r="BO27" s="929"/>
      <c r="BP27" s="939">
        <v>44</v>
      </c>
      <c r="BQ27" s="940">
        <f t="shared" si="57"/>
        <v>1E-3</v>
      </c>
      <c r="BR27" s="940"/>
      <c r="BS27" s="925">
        <f t="shared" si="58"/>
        <v>3.3333333333333332E-4</v>
      </c>
      <c r="BT27" s="941"/>
      <c r="BU27" s="929"/>
      <c r="BV27" s="939">
        <v>44</v>
      </c>
      <c r="BW27" s="940">
        <f t="shared" si="59"/>
        <v>23</v>
      </c>
      <c r="BX27" s="940"/>
      <c r="BY27" s="925">
        <f t="shared" si="60"/>
        <v>9.3333333333333339</v>
      </c>
      <c r="BZ27" s="941"/>
      <c r="CA27" s="929"/>
      <c r="CB27" s="939">
        <v>44</v>
      </c>
      <c r="CC27" s="940">
        <f t="shared" si="32"/>
        <v>-0.7</v>
      </c>
      <c r="CD27" s="940"/>
      <c r="CE27" s="925">
        <f t="shared" si="61"/>
        <v>0.13333333333333333</v>
      </c>
      <c r="CF27" s="941"/>
      <c r="CH27" s="939">
        <v>44</v>
      </c>
      <c r="CI27" s="940">
        <f t="shared" si="33"/>
        <v>0.25</v>
      </c>
      <c r="CJ27" s="940"/>
      <c r="CK27" s="925">
        <f t="shared" si="62"/>
        <v>7.3333333333333334E-2</v>
      </c>
      <c r="CL27" s="941"/>
      <c r="CN27" s="939">
        <v>44</v>
      </c>
      <c r="CO27" s="940">
        <f t="shared" si="34"/>
        <v>0.56999999999999995</v>
      </c>
      <c r="CP27" s="940"/>
      <c r="CQ27" s="925">
        <f t="shared" si="63"/>
        <v>0.25666666666666665</v>
      </c>
      <c r="CR27" s="941"/>
    </row>
    <row r="28" spans="2:96">
      <c r="B28" s="939">
        <v>50</v>
      </c>
      <c r="C28" s="940">
        <v>0.05</v>
      </c>
      <c r="D28" s="940">
        <f t="shared" si="35"/>
        <v>1.6000000000000001E-3</v>
      </c>
      <c r="E28" s="925">
        <f t="shared" si="36"/>
        <v>4.8400000000000006E-2</v>
      </c>
      <c r="F28" s="1064">
        <f>(((F26-F24)/(F22-F20))*(F19-F20))+F24</f>
        <v>9.5241172206861222E-2</v>
      </c>
      <c r="G28" s="942"/>
      <c r="H28" s="939">
        <v>50</v>
      </c>
      <c r="I28" s="940">
        <v>0.05</v>
      </c>
      <c r="J28" s="940">
        <f t="shared" si="37"/>
        <v>1.6000000000000001E-3</v>
      </c>
      <c r="K28" s="925">
        <f t="shared" si="38"/>
        <v>4.8400000000000006E-2</v>
      </c>
      <c r="L28" s="1064">
        <f>(((L26-L24)/(L22-L20))*(L19-L20))+L24</f>
        <v>5.700720848018459E-2</v>
      </c>
      <c r="M28" s="942"/>
      <c r="N28" s="939">
        <v>50</v>
      </c>
      <c r="O28" s="940"/>
      <c r="P28" s="940">
        <f t="shared" si="39"/>
        <v>1.6000000000000001E-3</v>
      </c>
      <c r="Q28" s="925">
        <f t="shared" si="40"/>
        <v>0.13</v>
      </c>
      <c r="R28" s="1064">
        <f>(((R26-R24)/(R22-R20))*(R19-R20))+R24</f>
        <v>0.13</v>
      </c>
      <c r="S28" s="929"/>
      <c r="T28" s="939">
        <v>50</v>
      </c>
      <c r="U28" s="940">
        <f t="shared" si="41"/>
        <v>1E-3</v>
      </c>
      <c r="V28" s="940"/>
      <c r="W28" s="925">
        <f t="shared" si="42"/>
        <v>3.3333333333333332E-4</v>
      </c>
      <c r="X28" s="1064">
        <f>(((X26-X24)/(X22-X20))*(X19-X20))+X24</f>
        <v>3.3333333333333332E-4</v>
      </c>
      <c r="Y28" s="929"/>
      <c r="Z28" s="939">
        <v>50</v>
      </c>
      <c r="AA28" s="940">
        <f t="shared" si="43"/>
        <v>1E-3</v>
      </c>
      <c r="AB28" s="940"/>
      <c r="AC28" s="925">
        <f t="shared" si="44"/>
        <v>3.3333333333333332E-4</v>
      </c>
      <c r="AD28" s="1064">
        <f>(((AD26-AD24)/(AD22-AD20))*(AD19-AD20))+AD24</f>
        <v>3.3333333333333332E-4</v>
      </c>
      <c r="AE28" s="929"/>
      <c r="AF28" s="939">
        <v>50</v>
      </c>
      <c r="AG28" s="940">
        <f t="shared" si="45"/>
        <v>0.73</v>
      </c>
      <c r="AH28" s="940"/>
      <c r="AI28" s="925">
        <f t="shared" si="46"/>
        <v>0.3066666666666667</v>
      </c>
      <c r="AJ28" s="1064">
        <f>(((AJ26-AJ24)/(AJ22-AJ20))*(AJ19-AJ20))+AJ24</f>
        <v>0.3066666666666667</v>
      </c>
      <c r="AK28" s="929"/>
      <c r="AL28" s="939">
        <v>50</v>
      </c>
      <c r="AM28" s="940">
        <f t="shared" si="47"/>
        <v>1E-3</v>
      </c>
      <c r="AN28" s="940"/>
      <c r="AO28" s="925">
        <f t="shared" si="48"/>
        <v>3.3333333333333332E-4</v>
      </c>
      <c r="AP28" s="1064">
        <f>(((AP26-AP24)/(AP22-AP20))*(AP19-AP20))+AP24</f>
        <v>3.3333333333333332E-4</v>
      </c>
      <c r="AQ28" s="929"/>
      <c r="AR28" s="939">
        <v>50</v>
      </c>
      <c r="AS28" s="940">
        <f t="shared" si="49"/>
        <v>1E-3</v>
      </c>
      <c r="AT28" s="940"/>
      <c r="AU28" s="925">
        <f t="shared" si="50"/>
        <v>3.3333333333333332E-4</v>
      </c>
      <c r="AV28" s="1064">
        <f>(((AV26-AV24)/(AV22-AV20))*(AV19-AV20))+AV24</f>
        <v>3.3333333333333332E-4</v>
      </c>
      <c r="AW28" s="929"/>
      <c r="AX28" s="939">
        <v>50</v>
      </c>
      <c r="AY28" s="940">
        <f t="shared" si="51"/>
        <v>0.39</v>
      </c>
      <c r="AZ28" s="940"/>
      <c r="BA28" s="925">
        <f t="shared" si="52"/>
        <v>0.26333333333333336</v>
      </c>
      <c r="BB28" s="1064">
        <f>(((BB26-BB24)/(BB22-BB20))*(BB19-BB20))+BB24</f>
        <v>0.26333333333333336</v>
      </c>
      <c r="BC28" s="929"/>
      <c r="BD28" s="939">
        <v>50</v>
      </c>
      <c r="BE28" s="940">
        <f t="shared" si="53"/>
        <v>1E-3</v>
      </c>
      <c r="BF28" s="940"/>
      <c r="BG28" s="925">
        <f t="shared" si="54"/>
        <v>3.3333333333333332E-4</v>
      </c>
      <c r="BH28" s="1064">
        <f>(((BH26-BH24)/(BH22-BH20))*(BH19-BH20))+BH24</f>
        <v>3.3333333333333332E-4</v>
      </c>
      <c r="BI28" s="929"/>
      <c r="BJ28" s="939">
        <v>50</v>
      </c>
      <c r="BK28" s="940">
        <f t="shared" si="55"/>
        <v>0.39</v>
      </c>
      <c r="BL28" s="940"/>
      <c r="BM28" s="925">
        <f t="shared" si="56"/>
        <v>0.26333333333333336</v>
      </c>
      <c r="BN28" s="1064">
        <f>(((BN26-BN24)/(BN22-BN20))*(BN19-BN20))+BN24</f>
        <v>0.26333333333333336</v>
      </c>
      <c r="BO28" s="929"/>
      <c r="BP28" s="939">
        <v>50</v>
      </c>
      <c r="BQ28" s="940">
        <f t="shared" si="57"/>
        <v>1E-3</v>
      </c>
      <c r="BR28" s="940"/>
      <c r="BS28" s="925">
        <f t="shared" si="58"/>
        <v>3.3333333333333332E-4</v>
      </c>
      <c r="BT28" s="1064">
        <f>(((BT26-BT24)/(BT22-BT20))*(BT19-BT20))+BT24</f>
        <v>3.3333333333333332E-4</v>
      </c>
      <c r="BU28" s="929"/>
      <c r="BV28" s="939">
        <v>50</v>
      </c>
      <c r="BW28" s="940">
        <f t="shared" si="59"/>
        <v>24</v>
      </c>
      <c r="BX28" s="940"/>
      <c r="BY28" s="925">
        <f t="shared" si="60"/>
        <v>9.3333333333333339</v>
      </c>
      <c r="BZ28" s="1064">
        <f>(((BZ26-BZ24)/(BZ22-BZ20))*(BZ19-BZ20))+BZ24</f>
        <v>9.3333333333333339</v>
      </c>
      <c r="CA28" s="929"/>
      <c r="CB28" s="939">
        <v>50</v>
      </c>
      <c r="CC28" s="940">
        <f t="shared" si="32"/>
        <v>-0.7</v>
      </c>
      <c r="CD28" s="940"/>
      <c r="CE28" s="925">
        <f t="shared" si="61"/>
        <v>0.13333333333333333</v>
      </c>
      <c r="CF28" s="1064">
        <f>(((CF26-CF24)/(CF22-CF20))*(CF19-CF20))+CF24</f>
        <v>0.13333333333333333</v>
      </c>
      <c r="CH28" s="939">
        <v>50</v>
      </c>
      <c r="CI28" s="940">
        <f t="shared" si="33"/>
        <v>0.27</v>
      </c>
      <c r="CJ28" s="940"/>
      <c r="CK28" s="925">
        <f t="shared" si="62"/>
        <v>7.3333333333333334E-2</v>
      </c>
      <c r="CL28" s="1064">
        <f>(((CL26-CL24)/(CL22-CL20))*(CL19-CL20))+CL24</f>
        <v>7.3333333333333334E-2</v>
      </c>
      <c r="CN28" s="939">
        <v>50</v>
      </c>
      <c r="CO28" s="940">
        <f t="shared" si="34"/>
        <v>0.67</v>
      </c>
      <c r="CP28" s="940"/>
      <c r="CQ28" s="925">
        <f t="shared" si="63"/>
        <v>0.25666666666666665</v>
      </c>
      <c r="CR28" s="1064">
        <f>(((CR26-CR24)/(CR22-CR20))*(CR19-CR20))+CR24</f>
        <v>0.25666666666666665</v>
      </c>
    </row>
    <row r="29" spans="2:96">
      <c r="B29" s="939">
        <v>100</v>
      </c>
      <c r="C29" s="940">
        <v>1.1000000000000001E-3</v>
      </c>
      <c r="D29" s="940">
        <f t="shared" si="35"/>
        <v>0.23</v>
      </c>
      <c r="E29" s="925">
        <f t="shared" si="36"/>
        <v>0.22890000000000002</v>
      </c>
      <c r="F29" s="941"/>
      <c r="G29" s="942"/>
      <c r="H29" s="939">
        <v>100</v>
      </c>
      <c r="I29" s="940">
        <v>1.1000000000000001E-3</v>
      </c>
      <c r="J29" s="940">
        <f t="shared" si="37"/>
        <v>0.03</v>
      </c>
      <c r="K29" s="925">
        <f t="shared" si="38"/>
        <v>2.8899999999999999E-2</v>
      </c>
      <c r="L29" s="941"/>
      <c r="M29" s="942"/>
      <c r="N29" s="939">
        <v>100</v>
      </c>
      <c r="O29" s="940"/>
      <c r="P29" s="940">
        <f t="shared" si="39"/>
        <v>-1.1000000000000001E-3</v>
      </c>
      <c r="Q29" s="925">
        <f t="shared" si="40"/>
        <v>0.13</v>
      </c>
      <c r="R29" s="941"/>
      <c r="S29" s="929"/>
      <c r="T29" s="939">
        <v>100</v>
      </c>
      <c r="U29" s="940">
        <f t="shared" si="41"/>
        <v>1E-3</v>
      </c>
      <c r="V29" s="940"/>
      <c r="W29" s="925">
        <f t="shared" si="42"/>
        <v>3.3333333333333332E-4</v>
      </c>
      <c r="X29" s="941"/>
      <c r="Y29" s="929"/>
      <c r="Z29" s="939">
        <v>100</v>
      </c>
      <c r="AA29" s="940">
        <f t="shared" si="43"/>
        <v>1E-3</v>
      </c>
      <c r="AB29" s="940"/>
      <c r="AC29" s="925">
        <f t="shared" si="44"/>
        <v>3.3333333333333332E-4</v>
      </c>
      <c r="AD29" s="941"/>
      <c r="AE29" s="929"/>
      <c r="AF29" s="939">
        <v>100</v>
      </c>
      <c r="AG29" s="940">
        <f t="shared" si="45"/>
        <v>0.52</v>
      </c>
      <c r="AH29" s="940"/>
      <c r="AI29" s="925">
        <f t="shared" si="46"/>
        <v>0.3066666666666667</v>
      </c>
      <c r="AJ29" s="941"/>
      <c r="AK29" s="929"/>
      <c r="AL29" s="939">
        <v>100</v>
      </c>
      <c r="AM29" s="940">
        <f t="shared" si="47"/>
        <v>1E-3</v>
      </c>
      <c r="AN29" s="940"/>
      <c r="AO29" s="925">
        <f t="shared" si="48"/>
        <v>3.3333333333333332E-4</v>
      </c>
      <c r="AP29" s="941"/>
      <c r="AQ29" s="929"/>
      <c r="AR29" s="939">
        <v>100</v>
      </c>
      <c r="AS29" s="940">
        <f t="shared" si="49"/>
        <v>1E-3</v>
      </c>
      <c r="AT29" s="940"/>
      <c r="AU29" s="925">
        <f t="shared" si="50"/>
        <v>3.3333333333333332E-4</v>
      </c>
      <c r="AV29" s="941"/>
      <c r="AW29" s="929"/>
      <c r="AX29" s="939">
        <v>100</v>
      </c>
      <c r="AY29" s="940">
        <f t="shared" si="51"/>
        <v>1.9E-3</v>
      </c>
      <c r="AZ29" s="940"/>
      <c r="BA29" s="925">
        <f t="shared" si="52"/>
        <v>0.26333333333333336</v>
      </c>
      <c r="BB29" s="941"/>
      <c r="BC29" s="929"/>
      <c r="BD29" s="939">
        <v>100</v>
      </c>
      <c r="BE29" s="940">
        <f t="shared" si="53"/>
        <v>1E-3</v>
      </c>
      <c r="BF29" s="940"/>
      <c r="BG29" s="925">
        <f t="shared" si="54"/>
        <v>3.3333333333333332E-4</v>
      </c>
      <c r="BH29" s="941"/>
      <c r="BI29" s="929"/>
      <c r="BJ29" s="939">
        <v>100</v>
      </c>
      <c r="BK29" s="940">
        <f t="shared" si="55"/>
        <v>1.9E-3</v>
      </c>
      <c r="BL29" s="940"/>
      <c r="BM29" s="925">
        <f t="shared" si="56"/>
        <v>0.26333333333333336</v>
      </c>
      <c r="BN29" s="941"/>
      <c r="BO29" s="929"/>
      <c r="BP29" s="939">
        <v>100</v>
      </c>
      <c r="BQ29" s="940">
        <f t="shared" si="57"/>
        <v>1E-3</v>
      </c>
      <c r="BR29" s="940"/>
      <c r="BS29" s="925">
        <f t="shared" si="58"/>
        <v>3.3333333333333332E-4</v>
      </c>
      <c r="BT29" s="941"/>
      <c r="BU29" s="929"/>
      <c r="BV29" s="939">
        <v>100</v>
      </c>
      <c r="BW29" s="940">
        <f t="shared" si="59"/>
        <v>25</v>
      </c>
      <c r="BX29" s="940"/>
      <c r="BY29" s="925">
        <f t="shared" si="60"/>
        <v>9.3333333333333339</v>
      </c>
      <c r="BZ29" s="941"/>
      <c r="CA29" s="929"/>
      <c r="CB29" s="939">
        <v>100</v>
      </c>
      <c r="CC29" s="940">
        <f t="shared" si="32"/>
        <v>-0.7</v>
      </c>
      <c r="CD29" s="940"/>
      <c r="CE29" s="925">
        <f t="shared" si="61"/>
        <v>0.13333333333333333</v>
      </c>
      <c r="CF29" s="941"/>
      <c r="CH29" s="939">
        <v>100</v>
      </c>
      <c r="CI29" s="940">
        <f t="shared" si="33"/>
        <v>0.31</v>
      </c>
      <c r="CJ29" s="940"/>
      <c r="CK29" s="925">
        <f t="shared" si="62"/>
        <v>7.3333333333333334E-2</v>
      </c>
      <c r="CL29" s="941"/>
      <c r="CN29" s="939">
        <v>100</v>
      </c>
      <c r="CO29" s="940">
        <f t="shared" si="34"/>
        <v>0.95</v>
      </c>
      <c r="CP29" s="940"/>
      <c r="CQ29" s="925">
        <f t="shared" si="63"/>
        <v>0.25666666666666665</v>
      </c>
      <c r="CR29" s="941"/>
    </row>
    <row r="30" spans="2:96">
      <c r="B30" s="939">
        <v>150</v>
      </c>
      <c r="C30" s="940">
        <v>0.05</v>
      </c>
      <c r="D30" s="940">
        <f t="shared" si="35"/>
        <v>0.28000000000000003</v>
      </c>
      <c r="E30" s="925">
        <f t="shared" si="36"/>
        <v>0.23000000000000004</v>
      </c>
      <c r="F30" s="941"/>
      <c r="G30" s="942"/>
      <c r="H30" s="939">
        <v>150</v>
      </c>
      <c r="I30" s="940">
        <v>0.05</v>
      </c>
      <c r="J30" s="940">
        <f t="shared" si="37"/>
        <v>-0.06</v>
      </c>
      <c r="K30" s="925">
        <f t="shared" si="38"/>
        <v>0.11</v>
      </c>
      <c r="L30" s="941"/>
      <c r="M30" s="942"/>
      <c r="N30" s="939">
        <v>150</v>
      </c>
      <c r="O30" s="940"/>
      <c r="P30" s="940">
        <f t="shared" si="39"/>
        <v>-0.44</v>
      </c>
      <c r="Q30" s="925">
        <f t="shared" si="40"/>
        <v>0.13</v>
      </c>
      <c r="R30" s="941"/>
      <c r="S30" s="929"/>
      <c r="T30" s="939">
        <v>150</v>
      </c>
      <c r="U30" s="940">
        <f t="shared" si="41"/>
        <v>1E-3</v>
      </c>
      <c r="V30" s="940"/>
      <c r="W30" s="925">
        <f t="shared" si="42"/>
        <v>3.3333333333333332E-4</v>
      </c>
      <c r="X30" s="941"/>
      <c r="Y30" s="929"/>
      <c r="Z30" s="939">
        <v>150</v>
      </c>
      <c r="AA30" s="940">
        <f t="shared" si="43"/>
        <v>1E-3</v>
      </c>
      <c r="AB30" s="940"/>
      <c r="AC30" s="925">
        <f t="shared" si="44"/>
        <v>3.3333333333333332E-4</v>
      </c>
      <c r="AD30" s="941"/>
      <c r="AE30" s="929"/>
      <c r="AF30" s="939">
        <v>150</v>
      </c>
      <c r="AG30" s="940">
        <f t="shared" si="45"/>
        <v>1E-3</v>
      </c>
      <c r="AH30" s="940"/>
      <c r="AI30" s="925">
        <f t="shared" si="46"/>
        <v>0.3066666666666667</v>
      </c>
      <c r="AJ30" s="941"/>
      <c r="AK30" s="929"/>
      <c r="AL30" s="939">
        <v>150</v>
      </c>
      <c r="AM30" s="940">
        <f t="shared" si="47"/>
        <v>1E-3</v>
      </c>
      <c r="AN30" s="940"/>
      <c r="AO30" s="925">
        <f t="shared" si="48"/>
        <v>3.3333333333333332E-4</v>
      </c>
      <c r="AP30" s="941"/>
      <c r="AQ30" s="929"/>
      <c r="AR30" s="939">
        <v>150</v>
      </c>
      <c r="AS30" s="940">
        <f t="shared" si="49"/>
        <v>1E-3</v>
      </c>
      <c r="AT30" s="940"/>
      <c r="AU30" s="925">
        <f t="shared" si="50"/>
        <v>3.3333333333333332E-4</v>
      </c>
      <c r="AV30" s="941"/>
      <c r="AW30" s="929"/>
      <c r="AX30" s="939">
        <v>150</v>
      </c>
      <c r="AY30" s="940">
        <f t="shared" si="51"/>
        <v>-0.03</v>
      </c>
      <c r="AZ30" s="940"/>
      <c r="BA30" s="925">
        <f t="shared" si="52"/>
        <v>0.26333333333333336</v>
      </c>
      <c r="BB30" s="941"/>
      <c r="BC30" s="929"/>
      <c r="BD30" s="939">
        <v>150</v>
      </c>
      <c r="BE30" s="940">
        <f t="shared" si="53"/>
        <v>1E-3</v>
      </c>
      <c r="BF30" s="940"/>
      <c r="BG30" s="925">
        <f t="shared" si="54"/>
        <v>3.3333333333333332E-4</v>
      </c>
      <c r="BH30" s="941"/>
      <c r="BI30" s="929"/>
      <c r="BJ30" s="939">
        <v>150</v>
      </c>
      <c r="BK30" s="940">
        <f t="shared" si="55"/>
        <v>-0.03</v>
      </c>
      <c r="BL30" s="940"/>
      <c r="BM30" s="925">
        <f t="shared" si="56"/>
        <v>0.26333333333333336</v>
      </c>
      <c r="BN30" s="941"/>
      <c r="BO30" s="929"/>
      <c r="BP30" s="939">
        <v>150</v>
      </c>
      <c r="BQ30" s="940">
        <f t="shared" si="57"/>
        <v>1E-3</v>
      </c>
      <c r="BR30" s="940"/>
      <c r="BS30" s="925">
        <f t="shared" si="58"/>
        <v>3.3333333333333332E-4</v>
      </c>
      <c r="BT30" s="941"/>
      <c r="BU30" s="929"/>
      <c r="BV30" s="939">
        <v>150</v>
      </c>
      <c r="BW30" s="940">
        <f t="shared" si="59"/>
        <v>26</v>
      </c>
      <c r="BX30" s="940"/>
      <c r="BY30" s="925">
        <f t="shared" si="60"/>
        <v>9.3333333333333339</v>
      </c>
      <c r="BZ30" s="941"/>
      <c r="CA30" s="929"/>
      <c r="CB30" s="939">
        <v>150</v>
      </c>
      <c r="CC30" s="940">
        <f t="shared" si="32"/>
        <v>-0.7</v>
      </c>
      <c r="CD30" s="940"/>
      <c r="CE30" s="925">
        <f t="shared" si="61"/>
        <v>0.13333333333333333</v>
      </c>
      <c r="CF30" s="941"/>
      <c r="CH30" s="939">
        <v>150</v>
      </c>
      <c r="CI30" s="940">
        <f t="shared" si="33"/>
        <v>0.3</v>
      </c>
      <c r="CJ30" s="940"/>
      <c r="CK30" s="925">
        <f t="shared" si="62"/>
        <v>7.3333333333333334E-2</v>
      </c>
      <c r="CL30" s="941"/>
      <c r="CN30" s="939">
        <v>150</v>
      </c>
      <c r="CO30" s="940">
        <f t="shared" si="34"/>
        <v>0.49</v>
      </c>
      <c r="CP30" s="940"/>
      <c r="CQ30" s="925">
        <f t="shared" si="63"/>
        <v>0.25666666666666665</v>
      </c>
      <c r="CR30" s="941"/>
    </row>
    <row r="31" spans="2:96">
      <c r="B31" s="939">
        <v>200</v>
      </c>
      <c r="C31" s="940">
        <v>-1.4E-3</v>
      </c>
      <c r="D31" s="940">
        <f t="shared" si="35"/>
        <v>0.56000000000000005</v>
      </c>
      <c r="E31" s="925">
        <f t="shared" si="36"/>
        <v>0.56140000000000001</v>
      </c>
      <c r="F31" s="941"/>
      <c r="G31" s="942"/>
      <c r="H31" s="939">
        <v>200</v>
      </c>
      <c r="I31" s="940">
        <v>-1.4E-3</v>
      </c>
      <c r="J31" s="940">
        <f t="shared" si="37"/>
        <v>0.45</v>
      </c>
      <c r="K31" s="925">
        <f t="shared" si="38"/>
        <v>0.45140000000000002</v>
      </c>
      <c r="L31" s="941"/>
      <c r="M31" s="942"/>
      <c r="N31" s="939">
        <v>200</v>
      </c>
      <c r="O31" s="940"/>
      <c r="P31" s="940">
        <f t="shared" si="39"/>
        <v>-1E-3</v>
      </c>
      <c r="Q31" s="925">
        <f t="shared" si="40"/>
        <v>0.13</v>
      </c>
      <c r="R31" s="941"/>
      <c r="S31" s="929"/>
      <c r="T31" s="939">
        <v>200</v>
      </c>
      <c r="U31" s="940">
        <f t="shared" si="41"/>
        <v>1E-3</v>
      </c>
      <c r="V31" s="940"/>
      <c r="W31" s="925">
        <f t="shared" si="42"/>
        <v>3.3333333333333332E-4</v>
      </c>
      <c r="X31" s="941"/>
      <c r="Y31" s="929"/>
      <c r="Z31" s="939">
        <v>200</v>
      </c>
      <c r="AA31" s="940">
        <f t="shared" si="43"/>
        <v>1E-3</v>
      </c>
      <c r="AB31" s="940"/>
      <c r="AC31" s="925">
        <f t="shared" si="44"/>
        <v>3.3333333333333332E-4</v>
      </c>
      <c r="AD31" s="941"/>
      <c r="AE31" s="929"/>
      <c r="AF31" s="939">
        <v>200</v>
      </c>
      <c r="AG31" s="940">
        <f t="shared" si="45"/>
        <v>-0.47</v>
      </c>
      <c r="AH31" s="940"/>
      <c r="AI31" s="925">
        <f t="shared" si="46"/>
        <v>0.3066666666666667</v>
      </c>
      <c r="AJ31" s="941"/>
      <c r="AK31" s="929"/>
      <c r="AL31" s="939">
        <v>200</v>
      </c>
      <c r="AM31" s="940">
        <f t="shared" si="47"/>
        <v>1E-3</v>
      </c>
      <c r="AN31" s="940"/>
      <c r="AO31" s="925">
        <f t="shared" si="48"/>
        <v>3.3333333333333332E-4</v>
      </c>
      <c r="AP31" s="941"/>
      <c r="AQ31" s="929"/>
      <c r="AR31" s="939">
        <v>200</v>
      </c>
      <c r="AS31" s="940">
        <f t="shared" si="49"/>
        <v>1E-3</v>
      </c>
      <c r="AT31" s="940"/>
      <c r="AU31" s="925">
        <f t="shared" si="50"/>
        <v>3.3333333333333332E-4</v>
      </c>
      <c r="AV31" s="941"/>
      <c r="AW31" s="929"/>
      <c r="AX31" s="939">
        <v>200</v>
      </c>
      <c r="AY31" s="940">
        <f t="shared" si="51"/>
        <v>-0.28000000000000003</v>
      </c>
      <c r="AZ31" s="940"/>
      <c r="BA31" s="925">
        <f t="shared" si="52"/>
        <v>0.26333333333333336</v>
      </c>
      <c r="BB31" s="941"/>
      <c r="BC31" s="929"/>
      <c r="BD31" s="939">
        <v>200</v>
      </c>
      <c r="BE31" s="940">
        <f t="shared" si="53"/>
        <v>1E-3</v>
      </c>
      <c r="BF31" s="940"/>
      <c r="BG31" s="925">
        <f t="shared" si="54"/>
        <v>3.3333333333333332E-4</v>
      </c>
      <c r="BH31" s="941"/>
      <c r="BI31" s="929"/>
      <c r="BJ31" s="939">
        <v>200</v>
      </c>
      <c r="BK31" s="940">
        <f t="shared" si="55"/>
        <v>-0.28000000000000003</v>
      </c>
      <c r="BL31" s="940"/>
      <c r="BM31" s="925">
        <f t="shared" si="56"/>
        <v>0.26333333333333336</v>
      </c>
      <c r="BN31" s="941"/>
      <c r="BO31" s="929"/>
      <c r="BP31" s="939">
        <v>200</v>
      </c>
      <c r="BQ31" s="940">
        <f t="shared" si="57"/>
        <v>1E-3</v>
      </c>
      <c r="BR31" s="940"/>
      <c r="BS31" s="925">
        <f t="shared" si="58"/>
        <v>3.3333333333333332E-4</v>
      </c>
      <c r="BT31" s="941"/>
      <c r="BU31" s="929"/>
      <c r="BV31" s="939">
        <v>200</v>
      </c>
      <c r="BW31" s="940">
        <f t="shared" si="59"/>
        <v>27</v>
      </c>
      <c r="BX31" s="940"/>
      <c r="BY31" s="925">
        <f t="shared" si="60"/>
        <v>9.3333333333333339</v>
      </c>
      <c r="BZ31" s="941"/>
      <c r="CA31" s="929"/>
      <c r="CB31" s="939">
        <v>200</v>
      </c>
      <c r="CC31" s="940">
        <f t="shared" si="32"/>
        <v>-0.6</v>
      </c>
      <c r="CD31" s="940"/>
      <c r="CE31" s="925">
        <f t="shared" si="61"/>
        <v>0.13333333333333333</v>
      </c>
      <c r="CF31" s="941"/>
      <c r="CH31" s="939">
        <v>200</v>
      </c>
      <c r="CI31" s="940">
        <f t="shared" si="33"/>
        <v>0.34</v>
      </c>
      <c r="CJ31" s="940"/>
      <c r="CK31" s="925">
        <f t="shared" si="62"/>
        <v>7.3333333333333334E-2</v>
      </c>
      <c r="CL31" s="941"/>
      <c r="CN31" s="939">
        <v>200</v>
      </c>
      <c r="CO31" s="940">
        <f t="shared" si="34"/>
        <v>-0.26</v>
      </c>
      <c r="CP31" s="940"/>
      <c r="CQ31" s="925">
        <f t="shared" si="63"/>
        <v>0.25666666666666665</v>
      </c>
      <c r="CR31" s="941"/>
    </row>
    <row r="32" spans="2:96" s="929" customFormat="1">
      <c r="B32" s="947"/>
      <c r="C32" s="930"/>
      <c r="D32" s="930"/>
      <c r="E32" s="944"/>
      <c r="F32" s="942"/>
      <c r="G32" s="942"/>
      <c r="H32" s="947"/>
      <c r="I32" s="930"/>
      <c r="J32" s="930"/>
      <c r="K32" s="944"/>
      <c r="L32" s="931"/>
      <c r="M32" s="942"/>
      <c r="N32" s="947"/>
      <c r="O32" s="930"/>
      <c r="P32" s="930"/>
      <c r="Q32" s="944"/>
      <c r="R32" s="931"/>
      <c r="T32" s="947"/>
      <c r="U32" s="930"/>
      <c r="V32" s="930"/>
      <c r="W32" s="944"/>
      <c r="X32" s="931"/>
      <c r="Z32" s="947"/>
      <c r="AA32" s="930"/>
      <c r="AB32" s="930"/>
      <c r="AC32" s="944"/>
      <c r="AD32" s="931"/>
      <c r="AF32" s="947"/>
      <c r="AG32" s="930"/>
      <c r="AH32" s="930"/>
      <c r="AI32" s="944"/>
      <c r="AJ32" s="931"/>
      <c r="AL32" s="947"/>
      <c r="AM32" s="930"/>
      <c r="AN32" s="930"/>
      <c r="AO32" s="944"/>
      <c r="AP32" s="931"/>
      <c r="AR32" s="947"/>
      <c r="AS32" s="930"/>
      <c r="AT32" s="930"/>
      <c r="AU32" s="944"/>
      <c r="AV32" s="931"/>
      <c r="AX32" s="947"/>
      <c r="AY32" s="930"/>
      <c r="AZ32" s="930"/>
      <c r="BA32" s="944"/>
      <c r="BB32" s="931"/>
      <c r="BD32" s="947"/>
      <c r="BE32" s="930"/>
      <c r="BF32" s="930"/>
      <c r="BG32" s="944"/>
      <c r="BH32" s="931"/>
      <c r="BJ32" s="947"/>
      <c r="BK32" s="930"/>
      <c r="BL32" s="930"/>
      <c r="BM32" s="944"/>
      <c r="BN32" s="931"/>
      <c r="BP32" s="947"/>
      <c r="BQ32" s="930"/>
      <c r="BR32" s="930"/>
      <c r="BS32" s="944"/>
      <c r="BT32" s="931"/>
      <c r="BV32" s="947"/>
      <c r="BW32" s="930"/>
      <c r="BX32" s="930"/>
      <c r="BY32" s="944"/>
      <c r="BZ32" s="931"/>
      <c r="CB32" s="947"/>
      <c r="CC32" s="930"/>
      <c r="CD32" s="930"/>
      <c r="CE32" s="944"/>
      <c r="CF32" s="931"/>
      <c r="CH32" s="947"/>
      <c r="CI32" s="930"/>
      <c r="CJ32" s="930"/>
      <c r="CK32" s="944"/>
      <c r="CL32" s="931"/>
      <c r="CN32" s="947"/>
      <c r="CO32" s="930"/>
      <c r="CP32" s="930"/>
      <c r="CQ32" s="944"/>
      <c r="CR32" s="931"/>
    </row>
    <row r="33" spans="2:96" ht="24" customHeight="1">
      <c r="B33" s="1314" t="s">
        <v>217</v>
      </c>
      <c r="C33" s="1316" t="str">
        <f>C18</f>
        <v>Thermocouple Data Logger, Merek : MADGETECH, Model : OctTemp 2000, SN : P40270</v>
      </c>
      <c r="D33" s="1316"/>
      <c r="E33" s="1316"/>
      <c r="F33" s="932" t="str">
        <f>F18</f>
        <v>Interpolasi</v>
      </c>
      <c r="G33" s="933"/>
      <c r="H33" s="1314" t="s">
        <v>217</v>
      </c>
      <c r="I33" s="1316" t="str">
        <f>I18</f>
        <v>Thermocouple Data Logger, Merek : MADGETECH, Model : OctTemp 2000, SN : P41878</v>
      </c>
      <c r="J33" s="1316"/>
      <c r="K33" s="1316"/>
      <c r="L33" s="932" t="s">
        <v>572</v>
      </c>
      <c r="M33" s="933"/>
      <c r="N33" s="1314" t="s">
        <v>217</v>
      </c>
      <c r="O33" s="1316" t="str">
        <f>O18</f>
        <v>Mobile Corder, Merek : Yokogawa, Model : GP 10, SN : S5T810599</v>
      </c>
      <c r="P33" s="1317"/>
      <c r="Q33" s="1316"/>
      <c r="R33" s="932" t="s">
        <v>572</v>
      </c>
      <c r="S33" s="929"/>
      <c r="T33" s="1314" t="s">
        <v>217</v>
      </c>
      <c r="U33" s="1316" t="str">
        <f>U18</f>
        <v>Wireless Temperature Recorder : Merek : HIOKI, Model : LR 8510, SN : 200936000</v>
      </c>
      <c r="V33" s="1317"/>
      <c r="W33" s="1316"/>
      <c r="X33" s="932" t="s">
        <v>572</v>
      </c>
      <c r="Y33" s="929"/>
      <c r="Z33" s="1314" t="s">
        <v>217</v>
      </c>
      <c r="AA33" s="1316" t="str">
        <f>AA18</f>
        <v>Wireless Temperature Recorder : Merek : HIOKI, Model : LR 8510, SN : 200936001</v>
      </c>
      <c r="AB33" s="1317"/>
      <c r="AC33" s="1316"/>
      <c r="AD33" s="932" t="s">
        <v>572</v>
      </c>
      <c r="AE33" s="929"/>
      <c r="AF33" s="1314" t="s">
        <v>217</v>
      </c>
      <c r="AG33" s="1316" t="str">
        <f>AG18</f>
        <v>Wireless Temperature Recorder : Merek : HIOKI, Model : LR 8510, SN : 200821397</v>
      </c>
      <c r="AH33" s="1317"/>
      <c r="AI33" s="1316"/>
      <c r="AJ33" s="932" t="s">
        <v>572</v>
      </c>
      <c r="AK33" s="929"/>
      <c r="AL33" s="1314" t="s">
        <v>217</v>
      </c>
      <c r="AM33" s="1316" t="str">
        <f>AM18</f>
        <v>Wireless Temperature Recorder : Merek : HIOKI, Model : LR 8510, SN : 210411983</v>
      </c>
      <c r="AN33" s="1317"/>
      <c r="AO33" s="1316"/>
      <c r="AP33" s="932" t="s">
        <v>572</v>
      </c>
      <c r="AQ33" s="929"/>
      <c r="AR33" s="1314" t="s">
        <v>217</v>
      </c>
      <c r="AS33" s="1316" t="str">
        <f>AS18</f>
        <v>Wireless Temperature Recorder : Merek : HIOKI, Model : LR 8510, SN : 210411984</v>
      </c>
      <c r="AT33" s="1317"/>
      <c r="AU33" s="1316"/>
      <c r="AV33" s="932" t="s">
        <v>572</v>
      </c>
      <c r="AW33" s="929"/>
      <c r="AX33" s="1314" t="s">
        <v>217</v>
      </c>
      <c r="AY33" s="1316" t="str">
        <f>AY18</f>
        <v>Wireless Temperature Recorder : Merek : HIOKI, Model : LR 8510, SN : 210411985</v>
      </c>
      <c r="AZ33" s="1317"/>
      <c r="BA33" s="1316"/>
      <c r="BB33" s="932" t="s">
        <v>572</v>
      </c>
      <c r="BC33" s="929"/>
      <c r="BD33" s="1314" t="s">
        <v>217</v>
      </c>
      <c r="BE33" s="1316" t="str">
        <f>BE18</f>
        <v>Wireless Temperature Recorder : Merek : HIOKI, Model : LR 8510, SN : 210746054</v>
      </c>
      <c r="BF33" s="1317"/>
      <c r="BG33" s="1316"/>
      <c r="BH33" s="932" t="s">
        <v>572</v>
      </c>
      <c r="BI33" s="929"/>
      <c r="BJ33" s="1314" t="s">
        <v>217</v>
      </c>
      <c r="BK33" s="1316" t="str">
        <f>BK18</f>
        <v>Wireless Temperature Recorder : Merek : HIOKI, Model : LR 8510, SN : 210746055</v>
      </c>
      <c r="BL33" s="1317"/>
      <c r="BM33" s="1316"/>
      <c r="BN33" s="932" t="s">
        <v>572</v>
      </c>
      <c r="BO33" s="929"/>
      <c r="BP33" s="1314" t="s">
        <v>217</v>
      </c>
      <c r="BQ33" s="1316" t="str">
        <f>BQ18</f>
        <v>Wireless Temperature Recorder : Merek : HIOKI, Model : LR 8510, SN : 210746056</v>
      </c>
      <c r="BR33" s="1317"/>
      <c r="BS33" s="1316"/>
      <c r="BT33" s="932" t="s">
        <v>572</v>
      </c>
      <c r="BU33" s="929"/>
      <c r="BV33" s="1314" t="s">
        <v>217</v>
      </c>
      <c r="BW33" s="1316" t="str">
        <f>BW18</f>
        <v>Wireless Temperature Recorder : Merek : HIOKI, Model : LR 8510, SN : x x x</v>
      </c>
      <c r="BX33" s="1317"/>
      <c r="BY33" s="1316"/>
      <c r="BZ33" s="932" t="s">
        <v>572</v>
      </c>
      <c r="CA33" s="929"/>
      <c r="CB33" s="1314" t="s">
        <v>217</v>
      </c>
      <c r="CC33" s="1316" t="str">
        <f>CC18</f>
        <v>Reference Thermometer, Merek : APPA, Model : APPA51, SN : 03002948</v>
      </c>
      <c r="CD33" s="1317"/>
      <c r="CE33" s="1316"/>
      <c r="CF33" s="932" t="s">
        <v>572</v>
      </c>
      <c r="CH33" s="1314" t="s">
        <v>217</v>
      </c>
      <c r="CI33" s="1316" t="str">
        <f t="shared" ref="CI33:CI46" si="64">CI18</f>
        <v>Reference Thermometer, Merek : FLUKE, Model : 1524, SN : 1803038</v>
      </c>
      <c r="CJ33" s="1317"/>
      <c r="CK33" s="1316"/>
      <c r="CL33" s="932" t="s">
        <v>572</v>
      </c>
      <c r="CN33" s="1314" t="s">
        <v>217</v>
      </c>
      <c r="CO33" s="1316" t="str">
        <f t="shared" ref="CO33:CO46" si="65">CO18</f>
        <v>Reference Thermometer, Merek : FLUKE, Model : 1524, SN : 1803037</v>
      </c>
      <c r="CP33" s="1317"/>
      <c r="CQ33" s="1316"/>
      <c r="CR33" s="932" t="s">
        <v>572</v>
      </c>
    </row>
    <row r="34" spans="2:96">
      <c r="B34" s="1315"/>
      <c r="C34" s="935">
        <f>C19</f>
        <v>2019</v>
      </c>
      <c r="D34" s="935">
        <f>D19</f>
        <v>2021</v>
      </c>
      <c r="E34" s="936" t="s">
        <v>215</v>
      </c>
      <c r="F34" s="1063">
        <f>F19</f>
        <v>6.4428226504297132</v>
      </c>
      <c r="G34" s="937"/>
      <c r="H34" s="1315"/>
      <c r="I34" s="938">
        <f>I19</f>
        <v>2020</v>
      </c>
      <c r="J34" s="935">
        <f>J19</f>
        <v>2021</v>
      </c>
      <c r="K34" s="936" t="s">
        <v>215</v>
      </c>
      <c r="L34" s="1063">
        <f>F34</f>
        <v>6.4428226504297132</v>
      </c>
      <c r="M34" s="937"/>
      <c r="N34" s="1315"/>
      <c r="O34" s="938">
        <f>O4</f>
        <v>2018</v>
      </c>
      <c r="P34" s="935">
        <f>P4</f>
        <v>2021</v>
      </c>
      <c r="Q34" s="936" t="s">
        <v>215</v>
      </c>
      <c r="R34" s="1063">
        <f>L34</f>
        <v>6.4428226504297132</v>
      </c>
      <c r="S34" s="929"/>
      <c r="T34" s="1315"/>
      <c r="U34" s="938">
        <f>U19</f>
        <v>2021</v>
      </c>
      <c r="V34" s="935"/>
      <c r="W34" s="936" t="s">
        <v>215</v>
      </c>
      <c r="X34" s="1063">
        <f>R34</f>
        <v>6.4428226504297132</v>
      </c>
      <c r="Y34" s="929"/>
      <c r="Z34" s="1315"/>
      <c r="AA34" s="938">
        <f>AA19</f>
        <v>2021</v>
      </c>
      <c r="AB34" s="935"/>
      <c r="AC34" s="936" t="s">
        <v>215</v>
      </c>
      <c r="AD34" s="1063">
        <f>X34</f>
        <v>6.4428226504297132</v>
      </c>
      <c r="AE34" s="929"/>
      <c r="AF34" s="1315"/>
      <c r="AG34" s="938">
        <f>AG19</f>
        <v>2021</v>
      </c>
      <c r="AH34" s="938">
        <f>AH19</f>
        <v>0</v>
      </c>
      <c r="AI34" s="936" t="s">
        <v>215</v>
      </c>
      <c r="AJ34" s="1063">
        <f>AD34</f>
        <v>6.4428226504297132</v>
      </c>
      <c r="AK34" s="929"/>
      <c r="AL34" s="1315"/>
      <c r="AM34" s="938">
        <f>AM19</f>
        <v>2021</v>
      </c>
      <c r="AN34" s="935"/>
      <c r="AO34" s="936" t="s">
        <v>215</v>
      </c>
      <c r="AP34" s="1063">
        <f>AJ34</f>
        <v>6.4428226504297132</v>
      </c>
      <c r="AQ34" s="929"/>
      <c r="AR34" s="1315"/>
      <c r="AS34" s="938">
        <f>AS19</f>
        <v>2021</v>
      </c>
      <c r="AT34" s="935"/>
      <c r="AU34" s="936" t="s">
        <v>215</v>
      </c>
      <c r="AV34" s="1063">
        <f>AP34</f>
        <v>6.4428226504297132</v>
      </c>
      <c r="AW34" s="929"/>
      <c r="AX34" s="1315"/>
      <c r="AY34" s="938">
        <f>AY19</f>
        <v>2021</v>
      </c>
      <c r="AZ34" s="935"/>
      <c r="BA34" s="936" t="s">
        <v>215</v>
      </c>
      <c r="BB34" s="1063">
        <f>AV34</f>
        <v>6.4428226504297132</v>
      </c>
      <c r="BC34" s="929"/>
      <c r="BD34" s="1315"/>
      <c r="BE34" s="938">
        <f>BE19</f>
        <v>2021</v>
      </c>
      <c r="BF34" s="935"/>
      <c r="BG34" s="936" t="s">
        <v>215</v>
      </c>
      <c r="BH34" s="1063">
        <f>BB34</f>
        <v>6.4428226504297132</v>
      </c>
      <c r="BI34" s="929"/>
      <c r="BJ34" s="1315"/>
      <c r="BK34" s="938">
        <f>BK19</f>
        <v>2021</v>
      </c>
      <c r="BL34" s="935"/>
      <c r="BM34" s="936" t="s">
        <v>215</v>
      </c>
      <c r="BN34" s="1063">
        <f>BH34</f>
        <v>6.4428226504297132</v>
      </c>
      <c r="BO34" s="929"/>
      <c r="BP34" s="1315"/>
      <c r="BQ34" s="938">
        <f>BQ19</f>
        <v>2021</v>
      </c>
      <c r="BR34" s="935"/>
      <c r="BS34" s="936" t="s">
        <v>215</v>
      </c>
      <c r="BT34" s="1063">
        <f>BN34</f>
        <v>6.4428226504297132</v>
      </c>
      <c r="BU34" s="929"/>
      <c r="BV34" s="1315"/>
      <c r="BW34" s="938">
        <f>BW19</f>
        <v>2021</v>
      </c>
      <c r="BX34" s="935"/>
      <c r="BY34" s="936" t="s">
        <v>215</v>
      </c>
      <c r="BZ34" s="1063">
        <f>BT34</f>
        <v>6.4428226504297132</v>
      </c>
      <c r="CA34" s="929"/>
      <c r="CB34" s="1315"/>
      <c r="CC34" s="938">
        <f>CC19</f>
        <v>2020</v>
      </c>
      <c r="CD34" s="935"/>
      <c r="CE34" s="936" t="s">
        <v>215</v>
      </c>
      <c r="CF34" s="1063">
        <f>BZ34</f>
        <v>6.4428226504297132</v>
      </c>
      <c r="CH34" s="1315"/>
      <c r="CI34" s="938">
        <f t="shared" si="64"/>
        <v>2021</v>
      </c>
      <c r="CJ34" s="935"/>
      <c r="CK34" s="936" t="s">
        <v>215</v>
      </c>
      <c r="CL34" s="1063">
        <f>CF34</f>
        <v>6.4428226504297132</v>
      </c>
      <c r="CN34" s="1315"/>
      <c r="CO34" s="938">
        <f t="shared" si="65"/>
        <v>2021</v>
      </c>
      <c r="CP34" s="935"/>
      <c r="CQ34" s="936" t="s">
        <v>215</v>
      </c>
      <c r="CR34" s="1063">
        <f>CL34</f>
        <v>6.4428226504297132</v>
      </c>
    </row>
    <row r="35" spans="2:96">
      <c r="B35" s="939">
        <v>-20</v>
      </c>
      <c r="C35" s="940">
        <v>-0.24</v>
      </c>
      <c r="D35" s="940">
        <f t="shared" ref="D35:D46" si="66">C175</f>
        <v>-0.43</v>
      </c>
      <c r="E35" s="925">
        <f t="shared" ref="E35:E46" si="67">IF(OR(C35=0,D35=0),$C$187/3,((MAX(C35:D35)-(MIN(C35:D35)))))</f>
        <v>0.19</v>
      </c>
      <c r="F35" s="1061">
        <f>IF(F34&lt;=B36,B35,IF(F34&lt;=B37,B36,IF(F34&lt;=B38,B37,IF(F34&lt;=B39,B38,IF(F34&lt;=B40,B39)))))</f>
        <v>2</v>
      </c>
      <c r="G35" s="942"/>
      <c r="H35" s="939">
        <v>-20</v>
      </c>
      <c r="I35" s="940">
        <v>-0.22</v>
      </c>
      <c r="J35" s="940">
        <f t="shared" ref="J35:J46" si="68">D175</f>
        <v>-0.77</v>
      </c>
      <c r="K35" s="925">
        <f t="shared" ref="K35:K46" si="69">IF(OR(I35=0,J35=0),$D$187/3,((MAX(I35:J35)-(MIN(I35:J35)))))</f>
        <v>0.55000000000000004</v>
      </c>
      <c r="L35" s="1061">
        <f>IF(L34&lt;=H36,H35,IF(L34&lt;=H37,H36,IF(L34&lt;=H38,H37,IF(L34&lt;=H39,H38,IF(L34&lt;=H40,H39)))))</f>
        <v>2</v>
      </c>
      <c r="M35" s="942"/>
      <c r="N35" s="939">
        <v>-20</v>
      </c>
      <c r="O35" s="940"/>
      <c r="P35" s="940">
        <f t="shared" ref="P35:P46" si="70">E175</f>
        <v>1E-3</v>
      </c>
      <c r="Q35" s="925">
        <f t="shared" ref="Q35:Q46" si="71">IF(OR(O35=0,P35=0),$E$187/3,((MAX(O35:P35)-(MIN(O35:P35)))))</f>
        <v>0.13</v>
      </c>
      <c r="R35" s="1061">
        <f>IF(R34&lt;=N36,N35,IF(R34&lt;=N37,N36,IF(R34&lt;=N38,N37,IF(R34&lt;=N39,N38,IF(R34&lt;=N40,N39)))))</f>
        <v>2</v>
      </c>
      <c r="S35" s="929"/>
      <c r="T35" s="939">
        <v>-20</v>
      </c>
      <c r="U35" s="940">
        <f t="shared" ref="U35:U46" si="72">F175</f>
        <v>1E-3</v>
      </c>
      <c r="V35" s="940"/>
      <c r="W35" s="925">
        <f t="shared" ref="W35:W46" si="73">IF(OR(U35=0,V35=0),$F$187/3,((MAX(U35:V35)-(MIN(U35:V35)))))</f>
        <v>3.3333333333333332E-4</v>
      </c>
      <c r="X35" s="1061">
        <f>IF(X34&lt;=T36,T35,IF(X34&lt;=T37,T36,IF(X34&lt;=T38,T37,IF(X34&lt;=T39,T38,IF(X34&lt;=T40,T39)))))</f>
        <v>2</v>
      </c>
      <c r="Y35" s="929"/>
      <c r="Z35" s="939">
        <v>-20</v>
      </c>
      <c r="AA35" s="940">
        <f t="shared" ref="AA35:AA46" si="74">G175</f>
        <v>1E-3</v>
      </c>
      <c r="AB35" s="940"/>
      <c r="AC35" s="925">
        <f t="shared" ref="AC35:AC46" si="75">IF(OR(AA35=0,AB35=0),$G$187/3,((MAX(AA35:AB35)-(MIN(AA35:AB35)))))</f>
        <v>3.3333333333333332E-4</v>
      </c>
      <c r="AD35" s="1061">
        <f>IF(AD34&lt;=Z36,Z35,IF(AD34&lt;=Z37,Z36,IF(AD34&lt;=Z38,Z37,IF(AD34&lt;=Z39,Z38,IF(AD34&lt;=Z40,Z39)))))</f>
        <v>2</v>
      </c>
      <c r="AE35" s="929"/>
      <c r="AF35" s="939">
        <v>-20</v>
      </c>
      <c r="AG35" s="940">
        <f t="shared" ref="AG35:AG46" si="76">H175</f>
        <v>0.01</v>
      </c>
      <c r="AH35" s="940"/>
      <c r="AI35" s="925">
        <f t="shared" ref="AI35:AI46" si="77">IF(OR(AG35=0,AH35=0),$H$187/3,((MAX(AG35:AH35)-(MIN(AG35:AH35)))))</f>
        <v>0.3066666666666667</v>
      </c>
      <c r="AJ35" s="1061">
        <f>IF(AJ34&lt;=AF36,AF35,IF(AJ34&lt;=AF37,AF36,IF(AJ34&lt;=AF38,AF37,IF(AJ34&lt;=AF39,AF38,IF(AJ34&lt;=AF40,AF39)))))</f>
        <v>2</v>
      </c>
      <c r="AK35" s="929"/>
      <c r="AL35" s="939">
        <v>-20</v>
      </c>
      <c r="AM35" s="940">
        <f t="shared" ref="AM35:AM46" si="78">I175</f>
        <v>1E-3</v>
      </c>
      <c r="AN35" s="940"/>
      <c r="AO35" s="925">
        <f t="shared" ref="AO35:AO46" si="79">IF(OR(AM35=0,AN35=0),$I$187/3,((MAX(AM35:AN35)-(MIN(AM35:AN35)))))</f>
        <v>3.3333333333333332E-4</v>
      </c>
      <c r="AP35" s="1061">
        <f>IF(AP34&lt;=AL36,AL35,IF(AP34&lt;=AL37,AL36,IF(AP34&lt;=AL38,AL37,IF(AP34&lt;=AL39,AL38,IF(AP34&lt;=AL40,AL39)))))</f>
        <v>2</v>
      </c>
      <c r="AQ35" s="929"/>
      <c r="AR35" s="939">
        <v>-20</v>
      </c>
      <c r="AS35" s="940">
        <f t="shared" ref="AS35:AS46" si="80">J175</f>
        <v>1E-3</v>
      </c>
      <c r="AT35" s="940"/>
      <c r="AU35" s="925">
        <f t="shared" ref="AU35:AU46" si="81">IF(OR(AS35=0,AT35=0),$J$187/3,((MAX(AS35:AT35)-(MIN(AS35:AT35)))))</f>
        <v>3.3333333333333332E-4</v>
      </c>
      <c r="AV35" s="1061">
        <f>IF(AV34&lt;=AR36,AR35,IF(AV34&lt;=AR37,AR36,IF(AV34&lt;=AR38,AR37,IF(AV34&lt;=AR39,AR38,IF(AV34&lt;=AR40,AR39)))))</f>
        <v>2</v>
      </c>
      <c r="AW35" s="929"/>
      <c r="AX35" s="939">
        <v>-20</v>
      </c>
      <c r="AY35" s="940">
        <f t="shared" ref="AY35:AY46" si="82">K175</f>
        <v>0.57999999999999996</v>
      </c>
      <c r="AZ35" s="940"/>
      <c r="BA35" s="925">
        <f t="shared" ref="BA35:BA46" si="83">IF(OR(AY35=0,AZ35=0),$K$187/3,((MAX(AY35:AZ35)-(MIN(AY35:AZ35)))))</f>
        <v>0.26333333333333336</v>
      </c>
      <c r="BB35" s="1061">
        <f>IF(BB34&lt;=AX36,AX35,IF(BB34&lt;=AX37,AX36,IF(BB34&lt;=AX38,AX37,IF(BB34&lt;=AX39,AX38,IF(BB34&lt;=AX40,AX39)))))</f>
        <v>2</v>
      </c>
      <c r="BC35" s="929"/>
      <c r="BD35" s="939">
        <v>-20</v>
      </c>
      <c r="BE35" s="940">
        <f t="shared" ref="BE35:BE46" si="84">L175</f>
        <v>1E-3</v>
      </c>
      <c r="BF35" s="940"/>
      <c r="BG35" s="925">
        <f t="shared" ref="BG35:BG46" si="85">IF(OR(BE35=0,BF35=0),$L$187/3,((MAX(BE35:BF35)-(MIN(BE35:BF35)))))</f>
        <v>3.3333333333333332E-4</v>
      </c>
      <c r="BH35" s="1061">
        <f>IF(BH34&lt;=BD36,BD35,IF(BH34&lt;=BD37,BD36,IF(BH34&lt;=BD38,BD37,IF(BH34&lt;=BD39,BD38,IF(BH34&lt;=BD40,BD39)))))</f>
        <v>2</v>
      </c>
      <c r="BI35" s="929"/>
      <c r="BJ35" s="939">
        <v>-20</v>
      </c>
      <c r="BK35" s="940">
        <f t="shared" ref="BK35:BK46" si="86">M175</f>
        <v>0.57999999999999996</v>
      </c>
      <c r="BL35" s="940"/>
      <c r="BM35" s="925">
        <f t="shared" ref="BM35:BM46" si="87">IF(OR(BK35=0,BL35=0),$M$187/3,((MAX(BK35:BL35)-(MIN(BK35:BL35)))))</f>
        <v>0.26333333333333336</v>
      </c>
      <c r="BN35" s="1061">
        <f>IF(BN34&lt;=BJ36,BJ35,IF(BN34&lt;=BJ37,BJ36,IF(BN34&lt;=BJ38,BJ37,IF(BN34&lt;=BJ39,BJ38,IF(BN34&lt;=BJ40,BJ39)))))</f>
        <v>2</v>
      </c>
      <c r="BO35" s="929"/>
      <c r="BP35" s="939">
        <v>-20</v>
      </c>
      <c r="BQ35" s="940">
        <f t="shared" ref="BQ35:BQ46" si="88">N175</f>
        <v>1E-3</v>
      </c>
      <c r="BR35" s="940"/>
      <c r="BS35" s="925">
        <f t="shared" ref="BS35:BS46" si="89">IF(OR(BQ35=0,BR35=0),$N$187/3,((MAX(BQ35:BR35)-(MIN(BQ35:BR35)))))</f>
        <v>3.3333333333333332E-4</v>
      </c>
      <c r="BT35" s="1061">
        <f>IF(BT34&lt;=BP36,BP35,IF(BT34&lt;=BP37,BP36,IF(BT34&lt;=BP38,BP37,IF(BT34&lt;=BP39,BP38,IF(BT34&lt;=BP40,BP39)))))</f>
        <v>2</v>
      </c>
      <c r="BU35" s="929"/>
      <c r="BV35" s="939">
        <v>-20</v>
      </c>
      <c r="BW35" s="940">
        <f t="shared" ref="BW35:BW46" si="90">O175</f>
        <v>2</v>
      </c>
      <c r="BX35" s="940"/>
      <c r="BY35" s="925">
        <f t="shared" ref="BY35:BY46" si="91">IF(OR(BW35=0,BX35=0),$O$187/3,((MAX(BW35:BX35)-(MIN(BW35:BX35)))))</f>
        <v>3.3333333333333332E-4</v>
      </c>
      <c r="BZ35" s="1061">
        <f>IF(BZ34&lt;=BV36,BV35,IF(BZ34&lt;=BV37,BV36,IF(BZ34&lt;=BV38,BV37,IF(BZ34&lt;=BV39,BV38,IF(BZ34&lt;=BV40,BV39)))))</f>
        <v>2</v>
      </c>
      <c r="CA35" s="929"/>
      <c r="CB35" s="939">
        <v>-20</v>
      </c>
      <c r="CC35" s="940">
        <f t="shared" ref="CC35:CC46" si="92">CC5</f>
        <v>-0.7</v>
      </c>
      <c r="CD35" s="940"/>
      <c r="CE35" s="925">
        <f t="shared" ref="CE35:CE46" si="93">CE20</f>
        <v>0.13333333333333333</v>
      </c>
      <c r="CF35" s="1061">
        <f>IF(CF34&lt;=CB36,CB35,IF(CF34&lt;=CB37,CB36,IF(CF34&lt;=CB38,CB37,IF(CF34&lt;=CB39,CB38,IF(CF34&lt;=CB40,CB39)))))</f>
        <v>2</v>
      </c>
      <c r="CH35" s="939">
        <v>-20</v>
      </c>
      <c r="CI35" s="940">
        <f t="shared" si="64"/>
        <v>-1.5E-3</v>
      </c>
      <c r="CJ35" s="940"/>
      <c r="CK35" s="925">
        <f t="shared" ref="CK35:CK46" si="94">CK20</f>
        <v>7.3333333333333334E-2</v>
      </c>
      <c r="CL35" s="1061">
        <f>IF(CL34&lt;=CH36,CH35,IF(CL34&lt;=CH37,CH36,IF(CL34&lt;=CH38,CH37,IF(CL34&lt;=CH39,CH38,IF(CL34&lt;=CH40,CH39)))))</f>
        <v>2</v>
      </c>
      <c r="CN35" s="939">
        <v>-20</v>
      </c>
      <c r="CO35" s="940">
        <f t="shared" si="65"/>
        <v>-1.8</v>
      </c>
      <c r="CP35" s="940"/>
      <c r="CQ35" s="925">
        <f t="shared" ref="CQ35:CQ46" si="95">CQ20</f>
        <v>0.25666666666666665</v>
      </c>
      <c r="CR35" s="1061">
        <f>IF(CR34&lt;=CN36,CN35,IF(CR34&lt;=CN37,CN36,IF(CR34&lt;=CN38,CN37,IF(CR34&lt;=CN39,CN38,IF(CR34&lt;=CN40,CN39)))))</f>
        <v>2</v>
      </c>
    </row>
    <row r="36" spans="2:96">
      <c r="B36" s="939">
        <v>-15</v>
      </c>
      <c r="C36" s="940">
        <v>-0.22</v>
      </c>
      <c r="D36" s="940">
        <f t="shared" si="66"/>
        <v>-0.34</v>
      </c>
      <c r="E36" s="925">
        <f t="shared" si="67"/>
        <v>0.12000000000000002</v>
      </c>
      <c r="F36" s="1056"/>
      <c r="G36" s="942"/>
      <c r="H36" s="939">
        <v>-15</v>
      </c>
      <c r="I36" s="940">
        <v>-1.9E-3</v>
      </c>
      <c r="J36" s="940">
        <f t="shared" si="68"/>
        <v>-0.63</v>
      </c>
      <c r="K36" s="925">
        <f t="shared" si="69"/>
        <v>0.62809999999999999</v>
      </c>
      <c r="L36" s="1056"/>
      <c r="M36" s="942"/>
      <c r="N36" s="939">
        <v>-15</v>
      </c>
      <c r="O36" s="940"/>
      <c r="P36" s="940">
        <f t="shared" si="70"/>
        <v>-0.56000000000000005</v>
      </c>
      <c r="Q36" s="925">
        <f t="shared" si="71"/>
        <v>0.13</v>
      </c>
      <c r="R36" s="1056"/>
      <c r="S36" s="929"/>
      <c r="T36" s="939">
        <v>-15</v>
      </c>
      <c r="U36" s="940">
        <f t="shared" si="72"/>
        <v>1E-3</v>
      </c>
      <c r="V36" s="940"/>
      <c r="W36" s="925">
        <f t="shared" si="73"/>
        <v>3.3333333333333332E-4</v>
      </c>
      <c r="X36" s="1056"/>
      <c r="Y36" s="929"/>
      <c r="Z36" s="939">
        <v>-15</v>
      </c>
      <c r="AA36" s="940">
        <f t="shared" si="74"/>
        <v>1E-3</v>
      </c>
      <c r="AB36" s="940"/>
      <c r="AC36" s="925">
        <f t="shared" si="75"/>
        <v>3.3333333333333332E-4</v>
      </c>
      <c r="AD36" s="1056"/>
      <c r="AE36" s="929"/>
      <c r="AF36" s="939">
        <v>-15</v>
      </c>
      <c r="AG36" s="940">
        <f t="shared" si="76"/>
        <v>1E-3</v>
      </c>
      <c r="AH36" s="940"/>
      <c r="AI36" s="925">
        <f t="shared" si="77"/>
        <v>0.3066666666666667</v>
      </c>
      <c r="AJ36" s="1056"/>
      <c r="AK36" s="929"/>
      <c r="AL36" s="939">
        <v>-15</v>
      </c>
      <c r="AM36" s="940">
        <f t="shared" si="78"/>
        <v>1E-3</v>
      </c>
      <c r="AN36" s="940"/>
      <c r="AO36" s="925">
        <f t="shared" si="79"/>
        <v>3.3333333333333332E-4</v>
      </c>
      <c r="AP36" s="1056"/>
      <c r="AQ36" s="929"/>
      <c r="AR36" s="939">
        <v>-15</v>
      </c>
      <c r="AS36" s="940">
        <f t="shared" si="80"/>
        <v>1E-3</v>
      </c>
      <c r="AT36" s="940"/>
      <c r="AU36" s="925">
        <f t="shared" si="81"/>
        <v>3.3333333333333332E-4</v>
      </c>
      <c r="AV36" s="1056"/>
      <c r="AW36" s="929"/>
      <c r="AX36" s="939">
        <v>-15</v>
      </c>
      <c r="AY36" s="940">
        <f t="shared" si="82"/>
        <v>1E-3</v>
      </c>
      <c r="AZ36" s="940"/>
      <c r="BA36" s="925">
        <f t="shared" si="83"/>
        <v>0.26333333333333336</v>
      </c>
      <c r="BB36" s="1056"/>
      <c r="BC36" s="929"/>
      <c r="BD36" s="939">
        <v>-15</v>
      </c>
      <c r="BE36" s="940">
        <f t="shared" si="84"/>
        <v>1E-3</v>
      </c>
      <c r="BF36" s="940"/>
      <c r="BG36" s="925">
        <f t="shared" si="85"/>
        <v>3.3333333333333332E-4</v>
      </c>
      <c r="BH36" s="1056"/>
      <c r="BI36" s="929"/>
      <c r="BJ36" s="939">
        <v>-15</v>
      </c>
      <c r="BK36" s="940">
        <f t="shared" si="86"/>
        <v>1E-3</v>
      </c>
      <c r="BL36" s="940"/>
      <c r="BM36" s="925">
        <f t="shared" si="87"/>
        <v>0.26333333333333336</v>
      </c>
      <c r="BN36" s="1056"/>
      <c r="BO36" s="929"/>
      <c r="BP36" s="939">
        <v>-15</v>
      </c>
      <c r="BQ36" s="940">
        <f t="shared" si="88"/>
        <v>1E-3</v>
      </c>
      <c r="BR36" s="940"/>
      <c r="BS36" s="925">
        <f t="shared" si="89"/>
        <v>3.3333333333333332E-4</v>
      </c>
      <c r="BT36" s="1056"/>
      <c r="BU36" s="929"/>
      <c r="BV36" s="939">
        <v>-15</v>
      </c>
      <c r="BW36" s="940">
        <f t="shared" si="90"/>
        <v>3</v>
      </c>
      <c r="BX36" s="940"/>
      <c r="BY36" s="925">
        <f t="shared" si="91"/>
        <v>3.3333333333333332E-4</v>
      </c>
      <c r="BZ36" s="1056"/>
      <c r="CA36" s="929"/>
      <c r="CB36" s="939">
        <v>-15</v>
      </c>
      <c r="CC36" s="940">
        <f t="shared" si="92"/>
        <v>-0.7</v>
      </c>
      <c r="CD36" s="940"/>
      <c r="CE36" s="925">
        <f t="shared" si="93"/>
        <v>0.13333333333333333</v>
      </c>
      <c r="CF36" s="1056"/>
      <c r="CH36" s="939">
        <v>-15</v>
      </c>
      <c r="CI36" s="940">
        <f t="shared" si="64"/>
        <v>1E-3</v>
      </c>
      <c r="CJ36" s="940"/>
      <c r="CK36" s="925">
        <f t="shared" si="94"/>
        <v>7.3333333333333334E-2</v>
      </c>
      <c r="CL36" s="1056"/>
      <c r="CN36" s="939">
        <v>-15</v>
      </c>
      <c r="CO36" s="940">
        <f t="shared" si="65"/>
        <v>-1.52</v>
      </c>
      <c r="CP36" s="940"/>
      <c r="CQ36" s="925">
        <f t="shared" si="95"/>
        <v>0.25666666666666665</v>
      </c>
      <c r="CR36" s="1056"/>
    </row>
    <row r="37" spans="2:96">
      <c r="B37" s="939">
        <v>-10</v>
      </c>
      <c r="C37" s="940">
        <v>-1.9E-3</v>
      </c>
      <c r="D37" s="940">
        <f t="shared" si="66"/>
        <v>-0.27</v>
      </c>
      <c r="E37" s="925">
        <f t="shared" si="67"/>
        <v>0.2681</v>
      </c>
      <c r="F37" s="1061">
        <f>IF(F34&lt;=B35,B35,IF(F34&lt;=B36,B36,IF(F34&lt;=B37,B37,IF(F34&lt;=B38,B38,IF(F34&lt;=B39,B39,IF(F34&lt;=B40,B40))))))</f>
        <v>8</v>
      </c>
      <c r="G37" s="942"/>
      <c r="H37" s="939">
        <v>-10</v>
      </c>
      <c r="I37" s="940">
        <v>-1.6999999999999999E-3</v>
      </c>
      <c r="J37" s="940">
        <f t="shared" si="68"/>
        <v>1E-3</v>
      </c>
      <c r="K37" s="925">
        <f t="shared" si="69"/>
        <v>2.7000000000000001E-3</v>
      </c>
      <c r="L37" s="1061">
        <f>IF(L34&lt;=H35,H35,IF(L34&lt;=H36,H36,IF(L34&lt;=H37,H37,IF(L34&lt;=H38,H38,IF(L34&lt;=H39,H39,IF(L34&lt;=H40,H40))))))</f>
        <v>8</v>
      </c>
      <c r="M37" s="942"/>
      <c r="N37" s="939">
        <v>-10</v>
      </c>
      <c r="O37" s="940"/>
      <c r="P37" s="940">
        <f t="shared" si="70"/>
        <v>-0.46</v>
      </c>
      <c r="Q37" s="925">
        <f t="shared" si="71"/>
        <v>0.13</v>
      </c>
      <c r="R37" s="1061">
        <f>IF(R34&lt;=N35,N35,IF(R34&lt;=N36,N36,IF(R34&lt;=N37,N37,IF(R34&lt;=N38,N38,IF(R34&lt;=N39,N39,IF(R34&lt;=N40,N40))))))</f>
        <v>8</v>
      </c>
      <c r="S37" s="929"/>
      <c r="T37" s="939">
        <v>-10</v>
      </c>
      <c r="U37" s="940">
        <f t="shared" si="72"/>
        <v>1E-3</v>
      </c>
      <c r="V37" s="940"/>
      <c r="W37" s="925">
        <f t="shared" si="73"/>
        <v>3.3333333333333332E-4</v>
      </c>
      <c r="X37" s="1061">
        <f>IF(X34&lt;=T35,T35,IF(X34&lt;=T36,T36,IF(X34&lt;=T37,T37,IF(X34&lt;=T38,T38,IF(X34&lt;=T39,T39,IF(X34&lt;=T40,T40))))))</f>
        <v>8</v>
      </c>
      <c r="Y37" s="929"/>
      <c r="Z37" s="939">
        <v>-10</v>
      </c>
      <c r="AA37" s="940">
        <f t="shared" si="74"/>
        <v>1E-3</v>
      </c>
      <c r="AB37" s="940"/>
      <c r="AC37" s="925">
        <f t="shared" si="75"/>
        <v>3.3333333333333332E-4</v>
      </c>
      <c r="AD37" s="1061">
        <f>IF(AD34&lt;=Z35,Z35,IF(AD34&lt;=Z36,Z36,IF(AD34&lt;=Z37,Z37,IF(AD34&lt;=Z38,Z38,IF(AD34&lt;=Z39,Z39,IF(AD34&lt;=Z40,Z40))))))</f>
        <v>8</v>
      </c>
      <c r="AE37" s="929"/>
      <c r="AF37" s="939">
        <v>-10</v>
      </c>
      <c r="AG37" s="940">
        <f t="shared" si="76"/>
        <v>1.9E-3</v>
      </c>
      <c r="AH37" s="940"/>
      <c r="AI37" s="925">
        <f t="shared" si="77"/>
        <v>0.3066666666666667</v>
      </c>
      <c r="AJ37" s="1061">
        <f>IF(AJ34&lt;=AF35,AF35,IF(AJ34&lt;=AF36,AF36,IF(AJ34&lt;=AF37,AF37,IF(AJ34&lt;=AF38,AF38,IF(AJ34&lt;=AF39,AF39,IF(AJ34&lt;=AF40,AF40))))))</f>
        <v>8</v>
      </c>
      <c r="AK37" s="929"/>
      <c r="AL37" s="939">
        <v>-10</v>
      </c>
      <c r="AM37" s="940">
        <f t="shared" si="78"/>
        <v>1E-3</v>
      </c>
      <c r="AN37" s="940"/>
      <c r="AO37" s="925">
        <f t="shared" si="79"/>
        <v>3.3333333333333332E-4</v>
      </c>
      <c r="AP37" s="1061">
        <f>IF(AP34&lt;=AL35,AL35,IF(AP34&lt;=AL36,AL36,IF(AP34&lt;=AL37,AL37,IF(AP34&lt;=AL38,AL38,IF(AP34&lt;=AL39,AL39,IF(AP34&lt;=AL40,AL40))))))</f>
        <v>8</v>
      </c>
      <c r="AQ37" s="929"/>
      <c r="AR37" s="939">
        <v>-10</v>
      </c>
      <c r="AS37" s="940">
        <f t="shared" si="80"/>
        <v>1E-3</v>
      </c>
      <c r="AT37" s="940"/>
      <c r="AU37" s="925">
        <f t="shared" si="81"/>
        <v>3.3333333333333332E-4</v>
      </c>
      <c r="AV37" s="1061">
        <f>IF(AV34&lt;=AR35,AR35,IF(AV34&lt;=AR36,AR36,IF(AV34&lt;=AR37,AR37,IF(AV34&lt;=AR38,AR38,IF(AV34&lt;=AR39,AR39,IF(AV34&lt;=AR40,AR40))))))</f>
        <v>8</v>
      </c>
      <c r="AW37" s="929"/>
      <c r="AX37" s="939">
        <v>-10</v>
      </c>
      <c r="AY37" s="940">
        <f t="shared" si="82"/>
        <v>0.55000000000000004</v>
      </c>
      <c r="AZ37" s="940"/>
      <c r="BA37" s="925">
        <f t="shared" si="83"/>
        <v>0.26333333333333336</v>
      </c>
      <c r="BB37" s="1061">
        <f>IF(BB34&lt;=AX35,AX35,IF(BB34&lt;=AX36,AX36,IF(BB34&lt;=AX37,AX37,IF(BB34&lt;=AX38,AX38,IF(BB34&lt;=AX39,AX39,IF(BB34&lt;=AX40,AX40))))))</f>
        <v>8</v>
      </c>
      <c r="BC37" s="929"/>
      <c r="BD37" s="939">
        <v>-10</v>
      </c>
      <c r="BE37" s="940">
        <f t="shared" si="84"/>
        <v>1E-3</v>
      </c>
      <c r="BF37" s="940"/>
      <c r="BG37" s="925">
        <f t="shared" si="85"/>
        <v>3.3333333333333332E-4</v>
      </c>
      <c r="BH37" s="1061">
        <f>IF(BH34&lt;=BD35,BD35,IF(BH34&lt;=BD36,BD36,IF(BH34&lt;=BD37,BD37,IF(BH34&lt;=BD38,BD38,IF(BH34&lt;=BD39,BD39,IF(BH34&lt;=BD40,BD40))))))</f>
        <v>8</v>
      </c>
      <c r="BI37" s="929"/>
      <c r="BJ37" s="939">
        <v>-10</v>
      </c>
      <c r="BK37" s="940">
        <f t="shared" si="86"/>
        <v>0.55000000000000004</v>
      </c>
      <c r="BL37" s="940"/>
      <c r="BM37" s="925">
        <f t="shared" si="87"/>
        <v>0.26333333333333336</v>
      </c>
      <c r="BN37" s="1061">
        <f>IF(BN34&lt;=BJ35,BJ35,IF(BN34&lt;=BJ36,BJ36,IF(BN34&lt;=BJ37,BJ37,IF(BN34&lt;=BJ38,BJ38,IF(BN34&lt;=BJ39,BJ39,IF(BN34&lt;=BJ40,BJ40))))))</f>
        <v>8</v>
      </c>
      <c r="BO37" s="929"/>
      <c r="BP37" s="939">
        <v>-10</v>
      </c>
      <c r="BQ37" s="940">
        <f t="shared" si="88"/>
        <v>1E-3</v>
      </c>
      <c r="BR37" s="940"/>
      <c r="BS37" s="925">
        <f t="shared" si="89"/>
        <v>3.3333333333333332E-4</v>
      </c>
      <c r="BT37" s="1061">
        <f>IF(BT34&lt;=BP35,BP35,IF(BT34&lt;=BP36,BP36,IF(BT34&lt;=BP37,BP37,IF(BT34&lt;=BP38,BP38,IF(BT34&lt;=BP39,BP39,IF(BT34&lt;=BP40,BP40))))))</f>
        <v>8</v>
      </c>
      <c r="BU37" s="929"/>
      <c r="BV37" s="939">
        <v>-10</v>
      </c>
      <c r="BW37" s="940">
        <f t="shared" si="90"/>
        <v>4</v>
      </c>
      <c r="BX37" s="940"/>
      <c r="BY37" s="925">
        <f t="shared" si="91"/>
        <v>3.3333333333333332E-4</v>
      </c>
      <c r="BZ37" s="1061">
        <f>IF(BZ34&lt;=BV35,BV35,IF(BZ34&lt;=BV36,BV36,IF(BZ34&lt;=BV37,BV37,IF(BZ34&lt;=BV38,BV38,IF(BZ34&lt;=BV39,BV39,IF(BZ34&lt;=BV40,BV40))))))</f>
        <v>8</v>
      </c>
      <c r="CA37" s="929"/>
      <c r="CB37" s="939">
        <v>-10</v>
      </c>
      <c r="CC37" s="940">
        <f t="shared" si="92"/>
        <v>-0.7</v>
      </c>
      <c r="CD37" s="940"/>
      <c r="CE37" s="925">
        <f t="shared" si="93"/>
        <v>0.13333333333333333</v>
      </c>
      <c r="CF37" s="1061">
        <f>IF(CF34&lt;=CB35,CB35,IF(CF34&lt;=CB36,CB36,IF(CF34&lt;=CB37,CB37,IF(CF34&lt;=CB38,CB38,IF(CF34&lt;=CB39,CB39,IF(CF34&lt;=CB40,CB40))))))</f>
        <v>8</v>
      </c>
      <c r="CH37" s="939">
        <v>-10</v>
      </c>
      <c r="CI37" s="940">
        <f t="shared" si="64"/>
        <v>-0.05</v>
      </c>
      <c r="CJ37" s="940"/>
      <c r="CK37" s="925">
        <f t="shared" si="94"/>
        <v>7.3333333333333334E-2</v>
      </c>
      <c r="CL37" s="1061">
        <f>IF(CL34&lt;=CH35,CH35,IF(CL34&lt;=CH36,CH36,IF(CL34&lt;=CH37,CH37,IF(CL34&lt;=CH38,CH38,IF(CL34&lt;=CH39,CH39,IF(CL34&lt;=CH40,CH40))))))</f>
        <v>8</v>
      </c>
      <c r="CN37" s="939">
        <v>-10</v>
      </c>
      <c r="CO37" s="940">
        <f t="shared" si="65"/>
        <v>-1.26</v>
      </c>
      <c r="CP37" s="940"/>
      <c r="CQ37" s="925">
        <f t="shared" si="95"/>
        <v>0.25666666666666665</v>
      </c>
      <c r="CR37" s="1061">
        <f>IF(CR34&lt;=CN35,CN35,IF(CR34&lt;=CN36,CN36,IF(CR34&lt;=CN37,CN37,IF(CR34&lt;=CN38,CN38,IF(CR34&lt;=CN39,CN39,IF(CR34&lt;=CN40,CN40))))))</f>
        <v>8</v>
      </c>
    </row>
    <row r="38" spans="2:96">
      <c r="B38" s="939">
        <v>1E-3</v>
      </c>
      <c r="C38" s="940"/>
      <c r="D38" s="940">
        <f t="shared" si="66"/>
        <v>-1.2999999999999999E-3</v>
      </c>
      <c r="E38" s="1065">
        <f t="shared" si="67"/>
        <v>0.11333333333333334</v>
      </c>
      <c r="F38" s="1056"/>
      <c r="G38" s="942"/>
      <c r="H38" s="939">
        <v>1E-3</v>
      </c>
      <c r="I38" s="940">
        <v>-1.1999999999999999E-3</v>
      </c>
      <c r="J38" s="940">
        <f t="shared" si="68"/>
        <v>-0.28999999999999998</v>
      </c>
      <c r="K38" s="925">
        <f t="shared" si="69"/>
        <v>0.2888</v>
      </c>
      <c r="L38" s="1056"/>
      <c r="M38" s="942"/>
      <c r="N38" s="939">
        <v>1E-3</v>
      </c>
      <c r="O38" s="940"/>
      <c r="P38" s="940">
        <f t="shared" si="70"/>
        <v>-0.38</v>
      </c>
      <c r="Q38" s="925">
        <f t="shared" si="71"/>
        <v>0.13</v>
      </c>
      <c r="R38" s="1056"/>
      <c r="S38" s="929"/>
      <c r="T38" s="939">
        <v>1E-3</v>
      </c>
      <c r="U38" s="940">
        <f t="shared" si="72"/>
        <v>1E-3</v>
      </c>
      <c r="V38" s="940"/>
      <c r="W38" s="925">
        <f t="shared" si="73"/>
        <v>3.3333333333333332E-4</v>
      </c>
      <c r="X38" s="1056"/>
      <c r="Y38" s="929"/>
      <c r="Z38" s="939">
        <v>1E-3</v>
      </c>
      <c r="AA38" s="940">
        <f t="shared" si="74"/>
        <v>1E-3</v>
      </c>
      <c r="AB38" s="940"/>
      <c r="AC38" s="925">
        <f t="shared" si="75"/>
        <v>3.3333333333333332E-4</v>
      </c>
      <c r="AD38" s="1056"/>
      <c r="AE38" s="929"/>
      <c r="AF38" s="939">
        <v>1E-3</v>
      </c>
      <c r="AG38" s="940">
        <f t="shared" si="76"/>
        <v>0.34</v>
      </c>
      <c r="AH38" s="940"/>
      <c r="AI38" s="925">
        <f t="shared" si="77"/>
        <v>0.3066666666666667</v>
      </c>
      <c r="AJ38" s="1056"/>
      <c r="AK38" s="929"/>
      <c r="AL38" s="939">
        <v>1E-3</v>
      </c>
      <c r="AM38" s="940">
        <f t="shared" si="78"/>
        <v>1E-3</v>
      </c>
      <c r="AN38" s="940"/>
      <c r="AO38" s="925">
        <f t="shared" si="79"/>
        <v>3.3333333333333332E-4</v>
      </c>
      <c r="AP38" s="1056"/>
      <c r="AQ38" s="929"/>
      <c r="AR38" s="939">
        <v>1E-3</v>
      </c>
      <c r="AS38" s="940">
        <f t="shared" si="80"/>
        <v>1E-3</v>
      </c>
      <c r="AT38" s="940"/>
      <c r="AU38" s="925">
        <f t="shared" si="81"/>
        <v>3.3333333333333332E-4</v>
      </c>
      <c r="AV38" s="1056"/>
      <c r="AW38" s="929"/>
      <c r="AX38" s="939">
        <v>1E-3</v>
      </c>
      <c r="AY38" s="940">
        <f t="shared" si="82"/>
        <v>0.52</v>
      </c>
      <c r="AZ38" s="940"/>
      <c r="BA38" s="925">
        <f t="shared" si="83"/>
        <v>0.26333333333333336</v>
      </c>
      <c r="BB38" s="1056"/>
      <c r="BC38" s="929"/>
      <c r="BD38" s="939">
        <v>1E-3</v>
      </c>
      <c r="BE38" s="940">
        <f t="shared" si="84"/>
        <v>1E-3</v>
      </c>
      <c r="BF38" s="940"/>
      <c r="BG38" s="925">
        <f t="shared" si="85"/>
        <v>3.3333333333333332E-4</v>
      </c>
      <c r="BH38" s="1056"/>
      <c r="BI38" s="929"/>
      <c r="BJ38" s="939">
        <v>1E-3</v>
      </c>
      <c r="BK38" s="940">
        <f t="shared" si="86"/>
        <v>0.52</v>
      </c>
      <c r="BL38" s="940"/>
      <c r="BM38" s="925">
        <f t="shared" si="87"/>
        <v>0.26333333333333336</v>
      </c>
      <c r="BN38" s="1056"/>
      <c r="BO38" s="929"/>
      <c r="BP38" s="939">
        <v>1E-3</v>
      </c>
      <c r="BQ38" s="940">
        <f t="shared" si="88"/>
        <v>1E-3</v>
      </c>
      <c r="BR38" s="940"/>
      <c r="BS38" s="925">
        <f t="shared" si="89"/>
        <v>3.3333333333333332E-4</v>
      </c>
      <c r="BT38" s="1056"/>
      <c r="BU38" s="929"/>
      <c r="BV38" s="939">
        <v>1E-3</v>
      </c>
      <c r="BW38" s="940">
        <f t="shared" si="90"/>
        <v>5</v>
      </c>
      <c r="BX38" s="940"/>
      <c r="BY38" s="925">
        <f t="shared" si="91"/>
        <v>3.3333333333333332E-4</v>
      </c>
      <c r="BZ38" s="1056"/>
      <c r="CA38" s="929"/>
      <c r="CB38" s="939">
        <v>1E-3</v>
      </c>
      <c r="CC38" s="940">
        <f t="shared" si="92"/>
        <v>-0.7</v>
      </c>
      <c r="CD38" s="940"/>
      <c r="CE38" s="925">
        <f t="shared" si="93"/>
        <v>0.13333333333333333</v>
      </c>
      <c r="CF38" s="1056"/>
      <c r="CH38" s="939">
        <v>1E-3</v>
      </c>
      <c r="CI38" s="940">
        <f t="shared" si="64"/>
        <v>0.03</v>
      </c>
      <c r="CJ38" s="940"/>
      <c r="CK38" s="925">
        <f t="shared" si="94"/>
        <v>7.3333333333333334E-2</v>
      </c>
      <c r="CL38" s="1056"/>
      <c r="CN38" s="939">
        <v>1E-3</v>
      </c>
      <c r="CO38" s="940">
        <f t="shared" si="65"/>
        <v>-0.79</v>
      </c>
      <c r="CP38" s="940"/>
      <c r="CQ38" s="925">
        <f t="shared" si="95"/>
        <v>0.25666666666666665</v>
      </c>
      <c r="CR38" s="1056"/>
    </row>
    <row r="39" spans="2:96">
      <c r="B39" s="939">
        <v>2</v>
      </c>
      <c r="C39" s="940"/>
      <c r="D39" s="940">
        <f t="shared" si="66"/>
        <v>-1.1000000000000001E-3</v>
      </c>
      <c r="E39" s="925">
        <f t="shared" si="67"/>
        <v>0.11333333333333334</v>
      </c>
      <c r="F39" s="1062">
        <f>LOOKUP(F35,B35:E46)</f>
        <v>0.11333333333333334</v>
      </c>
      <c r="G39" s="942"/>
      <c r="H39" s="939">
        <v>2</v>
      </c>
      <c r="I39" s="940">
        <v>-1.1000000000000001E-3</v>
      </c>
      <c r="J39" s="940">
        <f t="shared" si="68"/>
        <v>-0.25</v>
      </c>
      <c r="K39" s="925">
        <f t="shared" si="69"/>
        <v>0.24890000000000001</v>
      </c>
      <c r="L39" s="1062">
        <f>LOOKUP(L35,H35:K46)</f>
        <v>0.24890000000000001</v>
      </c>
      <c r="M39" s="942"/>
      <c r="N39" s="939">
        <v>2</v>
      </c>
      <c r="O39" s="940"/>
      <c r="P39" s="940">
        <f t="shared" si="70"/>
        <v>-0.37</v>
      </c>
      <c r="Q39" s="925">
        <f t="shared" si="71"/>
        <v>0.13</v>
      </c>
      <c r="R39" s="1062">
        <f>LOOKUP(R35,N35:Q46)</f>
        <v>0.13</v>
      </c>
      <c r="S39" s="929"/>
      <c r="T39" s="939">
        <v>2</v>
      </c>
      <c r="U39" s="940">
        <f t="shared" si="72"/>
        <v>1E-3</v>
      </c>
      <c r="V39" s="940"/>
      <c r="W39" s="925">
        <f t="shared" si="73"/>
        <v>3.3333333333333332E-4</v>
      </c>
      <c r="X39" s="1062">
        <f>LOOKUP(X35,T35:W46)</f>
        <v>3.3333333333333332E-4</v>
      </c>
      <c r="Y39" s="929"/>
      <c r="Z39" s="939">
        <v>2</v>
      </c>
      <c r="AA39" s="940">
        <f t="shared" si="74"/>
        <v>1E-3</v>
      </c>
      <c r="AB39" s="940"/>
      <c r="AC39" s="925">
        <f t="shared" si="75"/>
        <v>3.3333333333333332E-4</v>
      </c>
      <c r="AD39" s="1062">
        <f>LOOKUP(AD35,Z35:AC46)</f>
        <v>3.3333333333333332E-4</v>
      </c>
      <c r="AE39" s="929"/>
      <c r="AF39" s="939">
        <v>2</v>
      </c>
      <c r="AG39" s="940">
        <f t="shared" si="76"/>
        <v>0.37</v>
      </c>
      <c r="AH39" s="940"/>
      <c r="AI39" s="925">
        <f t="shared" si="77"/>
        <v>0.3066666666666667</v>
      </c>
      <c r="AJ39" s="1062">
        <f>LOOKUP(AJ35,AF35:AI46)</f>
        <v>0.3066666666666667</v>
      </c>
      <c r="AK39" s="929"/>
      <c r="AL39" s="939">
        <v>2</v>
      </c>
      <c r="AM39" s="940">
        <f t="shared" si="78"/>
        <v>1E-3</v>
      </c>
      <c r="AN39" s="940"/>
      <c r="AO39" s="925">
        <f t="shared" si="79"/>
        <v>3.3333333333333332E-4</v>
      </c>
      <c r="AP39" s="1062">
        <f>LOOKUP(AP35,AL35:AO46)</f>
        <v>3.3333333333333332E-4</v>
      </c>
      <c r="AQ39" s="929"/>
      <c r="AR39" s="939">
        <v>2</v>
      </c>
      <c r="AS39" s="940">
        <f t="shared" si="80"/>
        <v>1E-3</v>
      </c>
      <c r="AT39" s="940"/>
      <c r="AU39" s="925">
        <f t="shared" si="81"/>
        <v>3.3333333333333332E-4</v>
      </c>
      <c r="AV39" s="1062">
        <f>LOOKUP(AV35,AR35:AU46)</f>
        <v>3.3333333333333332E-4</v>
      </c>
      <c r="AW39" s="929"/>
      <c r="AX39" s="939">
        <v>2</v>
      </c>
      <c r="AY39" s="940">
        <f t="shared" si="82"/>
        <v>0.52</v>
      </c>
      <c r="AZ39" s="940"/>
      <c r="BA39" s="925">
        <f t="shared" si="83"/>
        <v>0.26333333333333336</v>
      </c>
      <c r="BB39" s="1062">
        <f>LOOKUP(BB35,AX35:BA46)</f>
        <v>0.26333333333333336</v>
      </c>
      <c r="BC39" s="929"/>
      <c r="BD39" s="939">
        <v>2</v>
      </c>
      <c r="BE39" s="940">
        <f t="shared" si="84"/>
        <v>1E-3</v>
      </c>
      <c r="BF39" s="940"/>
      <c r="BG39" s="925">
        <f t="shared" si="85"/>
        <v>3.3333333333333332E-4</v>
      </c>
      <c r="BH39" s="1062">
        <f>LOOKUP(BH35,BD35:BG46)</f>
        <v>3.3333333333333332E-4</v>
      </c>
      <c r="BI39" s="929"/>
      <c r="BJ39" s="939">
        <v>2</v>
      </c>
      <c r="BK39" s="940">
        <f t="shared" si="86"/>
        <v>0.52</v>
      </c>
      <c r="BL39" s="940"/>
      <c r="BM39" s="925">
        <f t="shared" si="87"/>
        <v>0.26333333333333336</v>
      </c>
      <c r="BN39" s="1062">
        <f>LOOKUP(BN35,BJ35:BM46)</f>
        <v>0.26333333333333336</v>
      </c>
      <c r="BO39" s="929"/>
      <c r="BP39" s="939">
        <v>2</v>
      </c>
      <c r="BQ39" s="940">
        <f t="shared" si="88"/>
        <v>1E-3</v>
      </c>
      <c r="BR39" s="940"/>
      <c r="BS39" s="925">
        <f t="shared" si="89"/>
        <v>3.3333333333333332E-4</v>
      </c>
      <c r="BT39" s="1062">
        <f>LOOKUP(BT35,BP35:BS46)</f>
        <v>3.3333333333333332E-4</v>
      </c>
      <c r="BU39" s="929"/>
      <c r="BV39" s="939">
        <v>2</v>
      </c>
      <c r="BW39" s="940">
        <f t="shared" si="90"/>
        <v>6</v>
      </c>
      <c r="BX39" s="940"/>
      <c r="BY39" s="925">
        <f t="shared" si="91"/>
        <v>3.3333333333333332E-4</v>
      </c>
      <c r="BZ39" s="1062">
        <f>LOOKUP(BZ35,BV35:BY46)</f>
        <v>3.3333333333333332E-4</v>
      </c>
      <c r="CA39" s="929"/>
      <c r="CB39" s="939">
        <v>2</v>
      </c>
      <c r="CC39" s="940">
        <f t="shared" si="92"/>
        <v>-0.7</v>
      </c>
      <c r="CD39" s="940"/>
      <c r="CE39" s="925">
        <f t="shared" si="93"/>
        <v>0.13333333333333333</v>
      </c>
      <c r="CF39" s="1062">
        <f>LOOKUP(CF35,CB35:CE46)</f>
        <v>0.13333333333333333</v>
      </c>
      <c r="CH39" s="939">
        <v>2</v>
      </c>
      <c r="CI39" s="940">
        <f t="shared" si="64"/>
        <v>0.04</v>
      </c>
      <c r="CJ39" s="940"/>
      <c r="CK39" s="925">
        <f t="shared" si="94"/>
        <v>7.3333333333333334E-2</v>
      </c>
      <c r="CL39" s="1062">
        <f>LOOKUP(CL35,CH35:CK46)</f>
        <v>7.3333333333333334E-2</v>
      </c>
      <c r="CN39" s="939">
        <v>2</v>
      </c>
      <c r="CO39" s="940">
        <f t="shared" si="65"/>
        <v>-2.7</v>
      </c>
      <c r="CP39" s="940"/>
      <c r="CQ39" s="925">
        <f t="shared" si="95"/>
        <v>0.25666666666666665</v>
      </c>
      <c r="CR39" s="1062">
        <f>LOOKUP(CR35,CN35:CQ46)</f>
        <v>0.25666666666666665</v>
      </c>
    </row>
    <row r="40" spans="2:96">
      <c r="B40" s="939">
        <v>8</v>
      </c>
      <c r="C40" s="940">
        <v>-1.1000000000000001E-3</v>
      </c>
      <c r="D40" s="940">
        <f t="shared" si="66"/>
        <v>-0.04</v>
      </c>
      <c r="E40" s="925">
        <f t="shared" si="67"/>
        <v>3.8900000000000004E-2</v>
      </c>
      <c r="F40" s="1056"/>
      <c r="G40" s="942"/>
      <c r="H40" s="939">
        <v>8</v>
      </c>
      <c r="I40" s="940">
        <v>0.08</v>
      </c>
      <c r="J40" s="940">
        <f t="shared" si="68"/>
        <v>-1.5E-3</v>
      </c>
      <c r="K40" s="925">
        <f t="shared" si="69"/>
        <v>8.1500000000000003E-2</v>
      </c>
      <c r="L40" s="1056"/>
      <c r="M40" s="942"/>
      <c r="N40" s="939">
        <v>8</v>
      </c>
      <c r="O40" s="940"/>
      <c r="P40" s="940">
        <f t="shared" si="70"/>
        <v>-0.22</v>
      </c>
      <c r="Q40" s="925">
        <f t="shared" si="71"/>
        <v>0.13</v>
      </c>
      <c r="R40" s="1056"/>
      <c r="S40" s="929"/>
      <c r="T40" s="939">
        <v>8</v>
      </c>
      <c r="U40" s="940">
        <f t="shared" si="72"/>
        <v>1E-3</v>
      </c>
      <c r="V40" s="940"/>
      <c r="W40" s="925">
        <f t="shared" si="73"/>
        <v>3.3333333333333332E-4</v>
      </c>
      <c r="X40" s="1056"/>
      <c r="Y40" s="929"/>
      <c r="Z40" s="939">
        <v>8</v>
      </c>
      <c r="AA40" s="940">
        <f t="shared" si="74"/>
        <v>1E-3</v>
      </c>
      <c r="AB40" s="940"/>
      <c r="AC40" s="925">
        <f t="shared" si="75"/>
        <v>3.3333333333333332E-4</v>
      </c>
      <c r="AD40" s="1056"/>
      <c r="AE40" s="929"/>
      <c r="AF40" s="939">
        <v>8</v>
      </c>
      <c r="AG40" s="940">
        <f t="shared" si="76"/>
        <v>0.44</v>
      </c>
      <c r="AH40" s="940"/>
      <c r="AI40" s="925">
        <f t="shared" si="77"/>
        <v>0.3066666666666667</v>
      </c>
      <c r="AJ40" s="1056"/>
      <c r="AK40" s="929"/>
      <c r="AL40" s="939">
        <v>8</v>
      </c>
      <c r="AM40" s="940">
        <f t="shared" si="78"/>
        <v>1E-3</v>
      </c>
      <c r="AN40" s="940"/>
      <c r="AO40" s="925">
        <f t="shared" si="79"/>
        <v>3.3333333333333332E-4</v>
      </c>
      <c r="AP40" s="1056"/>
      <c r="AQ40" s="929"/>
      <c r="AR40" s="939">
        <v>8</v>
      </c>
      <c r="AS40" s="940">
        <f t="shared" si="80"/>
        <v>1E-3</v>
      </c>
      <c r="AT40" s="940"/>
      <c r="AU40" s="925">
        <f t="shared" si="81"/>
        <v>3.3333333333333332E-4</v>
      </c>
      <c r="AV40" s="1056"/>
      <c r="AW40" s="929"/>
      <c r="AX40" s="939">
        <v>8</v>
      </c>
      <c r="AY40" s="940">
        <f t="shared" si="82"/>
        <v>0.5</v>
      </c>
      <c r="AZ40" s="940"/>
      <c r="BA40" s="925">
        <f t="shared" si="83"/>
        <v>0.26333333333333336</v>
      </c>
      <c r="BB40" s="1056"/>
      <c r="BC40" s="929"/>
      <c r="BD40" s="939">
        <v>8</v>
      </c>
      <c r="BE40" s="940">
        <f t="shared" si="84"/>
        <v>1E-3</v>
      </c>
      <c r="BF40" s="940"/>
      <c r="BG40" s="925">
        <f t="shared" si="85"/>
        <v>3.3333333333333332E-4</v>
      </c>
      <c r="BH40" s="1056"/>
      <c r="BI40" s="929"/>
      <c r="BJ40" s="939">
        <v>8</v>
      </c>
      <c r="BK40" s="940">
        <f t="shared" si="86"/>
        <v>0.5</v>
      </c>
      <c r="BL40" s="940"/>
      <c r="BM40" s="925">
        <f t="shared" si="87"/>
        <v>0.26333333333333336</v>
      </c>
      <c r="BN40" s="1056"/>
      <c r="BO40" s="929"/>
      <c r="BP40" s="939">
        <v>8</v>
      </c>
      <c r="BQ40" s="940">
        <f t="shared" si="88"/>
        <v>1E-3</v>
      </c>
      <c r="BR40" s="940"/>
      <c r="BS40" s="925">
        <f t="shared" si="89"/>
        <v>3.3333333333333332E-4</v>
      </c>
      <c r="BT40" s="1056"/>
      <c r="BU40" s="929"/>
      <c r="BV40" s="939">
        <v>8</v>
      </c>
      <c r="BW40" s="940">
        <f t="shared" si="90"/>
        <v>7</v>
      </c>
      <c r="BX40" s="940"/>
      <c r="BY40" s="925">
        <f t="shared" si="91"/>
        <v>3.3333333333333332E-4</v>
      </c>
      <c r="BZ40" s="1056"/>
      <c r="CA40" s="929"/>
      <c r="CB40" s="939">
        <v>8</v>
      </c>
      <c r="CC40" s="940">
        <f t="shared" si="92"/>
        <v>-0.7</v>
      </c>
      <c r="CD40" s="940"/>
      <c r="CE40" s="925">
        <f t="shared" si="93"/>
        <v>0.13333333333333333</v>
      </c>
      <c r="CF40" s="1056"/>
      <c r="CH40" s="939">
        <v>8</v>
      </c>
      <c r="CI40" s="940">
        <f t="shared" si="64"/>
        <v>0.08</v>
      </c>
      <c r="CJ40" s="940"/>
      <c r="CK40" s="925">
        <f t="shared" si="94"/>
        <v>7.3333333333333334E-2</v>
      </c>
      <c r="CL40" s="1056"/>
      <c r="CN40" s="939">
        <v>8</v>
      </c>
      <c r="CO40" s="940">
        <f t="shared" si="65"/>
        <v>-0.46</v>
      </c>
      <c r="CP40" s="940"/>
      <c r="CQ40" s="925">
        <f t="shared" si="95"/>
        <v>0.25666666666666665</v>
      </c>
      <c r="CR40" s="1056"/>
    </row>
    <row r="41" spans="2:96">
      <c r="B41" s="939">
        <v>37</v>
      </c>
      <c r="C41" s="940">
        <v>-0.01</v>
      </c>
      <c r="D41" s="940">
        <f t="shared" si="66"/>
        <v>1.9E-3</v>
      </c>
      <c r="E41" s="925">
        <f t="shared" si="67"/>
        <v>1.1900000000000001E-2</v>
      </c>
      <c r="F41" s="1062">
        <f>LOOKUP(F37,B35:E46)</f>
        <v>3.8900000000000004E-2</v>
      </c>
      <c r="G41" s="942"/>
      <c r="H41" s="939">
        <v>37</v>
      </c>
      <c r="I41" s="940">
        <v>0.02</v>
      </c>
      <c r="J41" s="940">
        <f t="shared" si="68"/>
        <v>1.6999999999999999E-3</v>
      </c>
      <c r="K41" s="925">
        <f t="shared" si="69"/>
        <v>1.83E-2</v>
      </c>
      <c r="L41" s="1062">
        <f>LOOKUP(L37,H35:K46)</f>
        <v>8.1500000000000003E-2</v>
      </c>
      <c r="M41" s="942"/>
      <c r="N41" s="939">
        <v>37</v>
      </c>
      <c r="O41" s="940"/>
      <c r="P41" s="940">
        <f t="shared" si="70"/>
        <v>-1.2999999999999999E-3</v>
      </c>
      <c r="Q41" s="925">
        <f t="shared" si="71"/>
        <v>0.13</v>
      </c>
      <c r="R41" s="1062">
        <f>LOOKUP(R37,N35:Q46)</f>
        <v>0.13</v>
      </c>
      <c r="S41" s="929"/>
      <c r="T41" s="939">
        <v>37</v>
      </c>
      <c r="U41" s="940">
        <f t="shared" si="72"/>
        <v>1E-3</v>
      </c>
      <c r="V41" s="940"/>
      <c r="W41" s="925">
        <f t="shared" si="73"/>
        <v>3.3333333333333332E-4</v>
      </c>
      <c r="X41" s="1062">
        <f>LOOKUP(X37,T35:W46)</f>
        <v>3.3333333333333332E-4</v>
      </c>
      <c r="Y41" s="929"/>
      <c r="Z41" s="939">
        <v>37</v>
      </c>
      <c r="AA41" s="940">
        <f t="shared" si="74"/>
        <v>1E-3</v>
      </c>
      <c r="AB41" s="940"/>
      <c r="AC41" s="925">
        <f t="shared" si="75"/>
        <v>3.3333333333333332E-4</v>
      </c>
      <c r="AD41" s="1062">
        <f>LOOKUP(AD37,Z35:AC46)</f>
        <v>3.3333333333333332E-4</v>
      </c>
      <c r="AE41" s="929"/>
      <c r="AF41" s="939">
        <v>37</v>
      </c>
      <c r="AG41" s="940">
        <f t="shared" si="76"/>
        <v>0.64</v>
      </c>
      <c r="AH41" s="940"/>
      <c r="AI41" s="925">
        <f t="shared" si="77"/>
        <v>0.3066666666666667</v>
      </c>
      <c r="AJ41" s="1062">
        <f>LOOKUP(AJ37,AF35:AI46)</f>
        <v>0.3066666666666667</v>
      </c>
      <c r="AK41" s="929"/>
      <c r="AL41" s="939">
        <v>37</v>
      </c>
      <c r="AM41" s="940">
        <f t="shared" si="78"/>
        <v>1E-3</v>
      </c>
      <c r="AN41" s="940"/>
      <c r="AO41" s="925">
        <f t="shared" si="79"/>
        <v>3.3333333333333332E-4</v>
      </c>
      <c r="AP41" s="1062">
        <f>LOOKUP(AP37,AL35:AO46)</f>
        <v>3.3333333333333332E-4</v>
      </c>
      <c r="AQ41" s="929"/>
      <c r="AR41" s="939">
        <v>37</v>
      </c>
      <c r="AS41" s="940">
        <f t="shared" si="80"/>
        <v>1E-3</v>
      </c>
      <c r="AT41" s="940"/>
      <c r="AU41" s="925">
        <f t="shared" si="81"/>
        <v>3.3333333333333332E-4</v>
      </c>
      <c r="AV41" s="1062">
        <f>LOOKUP(AV37,AR35:AU46)</f>
        <v>3.3333333333333332E-4</v>
      </c>
      <c r="AW41" s="929"/>
      <c r="AX41" s="939">
        <v>37</v>
      </c>
      <c r="AY41" s="940">
        <f t="shared" si="82"/>
        <v>0.41</v>
      </c>
      <c r="AZ41" s="940"/>
      <c r="BA41" s="925">
        <f t="shared" si="83"/>
        <v>0.26333333333333336</v>
      </c>
      <c r="BB41" s="1062">
        <f>LOOKUP(BB37,AX35:BA46)</f>
        <v>0.26333333333333336</v>
      </c>
      <c r="BC41" s="929"/>
      <c r="BD41" s="939">
        <v>37</v>
      </c>
      <c r="BE41" s="940">
        <f t="shared" si="84"/>
        <v>1E-3</v>
      </c>
      <c r="BF41" s="940"/>
      <c r="BG41" s="925">
        <f t="shared" si="85"/>
        <v>3.3333333333333332E-4</v>
      </c>
      <c r="BH41" s="1062">
        <f>LOOKUP(BH37,BD35:BG46)</f>
        <v>3.3333333333333332E-4</v>
      </c>
      <c r="BI41" s="929"/>
      <c r="BJ41" s="939">
        <v>37</v>
      </c>
      <c r="BK41" s="940">
        <f t="shared" si="86"/>
        <v>0.41</v>
      </c>
      <c r="BL41" s="940"/>
      <c r="BM41" s="925">
        <f t="shared" si="87"/>
        <v>0.26333333333333336</v>
      </c>
      <c r="BN41" s="1062">
        <f>LOOKUP(BN37,BJ35:BM46)</f>
        <v>0.26333333333333336</v>
      </c>
      <c r="BO41" s="929"/>
      <c r="BP41" s="939">
        <v>37</v>
      </c>
      <c r="BQ41" s="940">
        <f t="shared" si="88"/>
        <v>1E-3</v>
      </c>
      <c r="BR41" s="940"/>
      <c r="BS41" s="925">
        <f t="shared" si="89"/>
        <v>3.3333333333333332E-4</v>
      </c>
      <c r="BT41" s="1062">
        <f>LOOKUP(BT37,BP35:BS46)</f>
        <v>3.3333333333333332E-4</v>
      </c>
      <c r="BU41" s="929"/>
      <c r="BV41" s="939">
        <v>37</v>
      </c>
      <c r="BW41" s="940">
        <f t="shared" si="90"/>
        <v>8</v>
      </c>
      <c r="BX41" s="940"/>
      <c r="BY41" s="925">
        <f t="shared" si="91"/>
        <v>3.3333333333333332E-4</v>
      </c>
      <c r="BZ41" s="1062">
        <f>LOOKUP(BZ37,BV35:BY46)</f>
        <v>3.3333333333333332E-4</v>
      </c>
      <c r="CA41" s="929"/>
      <c r="CB41" s="939">
        <v>37</v>
      </c>
      <c r="CC41" s="940">
        <f t="shared" si="92"/>
        <v>-0.6</v>
      </c>
      <c r="CD41" s="940"/>
      <c r="CE41" s="925">
        <f t="shared" si="93"/>
        <v>0.13333333333333333</v>
      </c>
      <c r="CF41" s="1062">
        <f>LOOKUP(CF37,CB35:CE46)</f>
        <v>0.13333333333333333</v>
      </c>
      <c r="CH41" s="939">
        <v>37</v>
      </c>
      <c r="CI41" s="940">
        <f t="shared" si="64"/>
        <v>0.23</v>
      </c>
      <c r="CJ41" s="940"/>
      <c r="CK41" s="925">
        <f t="shared" si="94"/>
        <v>7.3333333333333334E-2</v>
      </c>
      <c r="CL41" s="1062">
        <f>LOOKUP(CL37,CH35:CK46)</f>
        <v>7.3333333333333334E-2</v>
      </c>
      <c r="CN41" s="939">
        <v>37</v>
      </c>
      <c r="CO41" s="940">
        <f t="shared" si="65"/>
        <v>0.42</v>
      </c>
      <c r="CP41" s="940"/>
      <c r="CQ41" s="925">
        <f t="shared" si="95"/>
        <v>0.25666666666666665</v>
      </c>
      <c r="CR41" s="1062">
        <f>LOOKUP(CR37,CN35:CQ46)</f>
        <v>0.25666666666666665</v>
      </c>
    </row>
    <row r="42" spans="2:96">
      <c r="B42" s="939">
        <v>44</v>
      </c>
      <c r="C42" s="940">
        <v>0.01</v>
      </c>
      <c r="D42" s="940">
        <f t="shared" si="66"/>
        <v>0.22</v>
      </c>
      <c r="E42" s="925">
        <f t="shared" si="67"/>
        <v>0.21</v>
      </c>
      <c r="F42" s="941"/>
      <c r="G42" s="942"/>
      <c r="H42" s="939">
        <v>44</v>
      </c>
      <c r="I42" s="940">
        <v>0.04</v>
      </c>
      <c r="J42" s="940">
        <f t="shared" si="68"/>
        <v>0.21</v>
      </c>
      <c r="K42" s="925">
        <f t="shared" si="69"/>
        <v>0.16999999999999998</v>
      </c>
      <c r="L42" s="941"/>
      <c r="M42" s="942"/>
      <c r="N42" s="939">
        <v>44</v>
      </c>
      <c r="O42" s="940"/>
      <c r="P42" s="940">
        <f t="shared" si="70"/>
        <v>-1.5E-3</v>
      </c>
      <c r="Q42" s="925">
        <f t="shared" si="71"/>
        <v>0.13</v>
      </c>
      <c r="R42" s="941"/>
      <c r="S42" s="929"/>
      <c r="T42" s="939">
        <v>44</v>
      </c>
      <c r="U42" s="940">
        <f t="shared" si="72"/>
        <v>1E-3</v>
      </c>
      <c r="V42" s="940"/>
      <c r="W42" s="925">
        <f t="shared" si="73"/>
        <v>3.3333333333333332E-4</v>
      </c>
      <c r="X42" s="941"/>
      <c r="Y42" s="929"/>
      <c r="Z42" s="939">
        <v>44</v>
      </c>
      <c r="AA42" s="940">
        <f t="shared" si="74"/>
        <v>1E-3</v>
      </c>
      <c r="AB42" s="940"/>
      <c r="AC42" s="925">
        <f t="shared" si="75"/>
        <v>3.3333333333333332E-4</v>
      </c>
      <c r="AD42" s="941"/>
      <c r="AE42" s="929"/>
      <c r="AF42" s="939">
        <v>44</v>
      </c>
      <c r="AG42" s="940">
        <f t="shared" si="76"/>
        <v>0.65</v>
      </c>
      <c r="AH42" s="940"/>
      <c r="AI42" s="925">
        <f t="shared" si="77"/>
        <v>0.3066666666666667</v>
      </c>
      <c r="AJ42" s="941"/>
      <c r="AK42" s="929"/>
      <c r="AL42" s="939">
        <v>44</v>
      </c>
      <c r="AM42" s="940">
        <f t="shared" si="78"/>
        <v>1E-3</v>
      </c>
      <c r="AN42" s="940"/>
      <c r="AO42" s="925">
        <f t="shared" si="79"/>
        <v>3.3333333333333332E-4</v>
      </c>
      <c r="AP42" s="941"/>
      <c r="AQ42" s="929"/>
      <c r="AR42" s="939">
        <v>44</v>
      </c>
      <c r="AS42" s="940">
        <f t="shared" si="80"/>
        <v>1E-3</v>
      </c>
      <c r="AT42" s="940"/>
      <c r="AU42" s="925">
        <f t="shared" si="81"/>
        <v>3.3333333333333332E-4</v>
      </c>
      <c r="AV42" s="941"/>
      <c r="AW42" s="929"/>
      <c r="AX42" s="939">
        <v>44</v>
      </c>
      <c r="AY42" s="940">
        <f t="shared" si="82"/>
        <v>0.39</v>
      </c>
      <c r="AZ42" s="940"/>
      <c r="BA42" s="925">
        <f t="shared" si="83"/>
        <v>0.26333333333333336</v>
      </c>
      <c r="BB42" s="941"/>
      <c r="BC42" s="929"/>
      <c r="BD42" s="939">
        <v>44</v>
      </c>
      <c r="BE42" s="940">
        <f t="shared" si="84"/>
        <v>1E-3</v>
      </c>
      <c r="BF42" s="940"/>
      <c r="BG42" s="925">
        <f t="shared" si="85"/>
        <v>3.3333333333333332E-4</v>
      </c>
      <c r="BH42" s="941"/>
      <c r="BI42" s="929"/>
      <c r="BJ42" s="939">
        <v>44</v>
      </c>
      <c r="BK42" s="940">
        <f t="shared" si="86"/>
        <v>0.39</v>
      </c>
      <c r="BL42" s="940"/>
      <c r="BM42" s="925">
        <f t="shared" si="87"/>
        <v>0.26333333333333336</v>
      </c>
      <c r="BN42" s="941"/>
      <c r="BO42" s="929"/>
      <c r="BP42" s="939">
        <v>44</v>
      </c>
      <c r="BQ42" s="940">
        <f t="shared" si="88"/>
        <v>1E-3</v>
      </c>
      <c r="BR42" s="940"/>
      <c r="BS42" s="925">
        <f t="shared" si="89"/>
        <v>3.3333333333333332E-4</v>
      </c>
      <c r="BT42" s="941"/>
      <c r="BU42" s="929"/>
      <c r="BV42" s="939">
        <v>44</v>
      </c>
      <c r="BW42" s="940">
        <f t="shared" si="90"/>
        <v>9</v>
      </c>
      <c r="BX42" s="940"/>
      <c r="BY42" s="925">
        <f t="shared" si="91"/>
        <v>3.3333333333333332E-4</v>
      </c>
      <c r="BZ42" s="941"/>
      <c r="CA42" s="929"/>
      <c r="CB42" s="939">
        <v>44</v>
      </c>
      <c r="CC42" s="940">
        <f t="shared" si="92"/>
        <v>-0.7</v>
      </c>
      <c r="CD42" s="940"/>
      <c r="CE42" s="925">
        <f t="shared" si="93"/>
        <v>0.13333333333333333</v>
      </c>
      <c r="CF42" s="941"/>
      <c r="CH42" s="939">
        <v>44</v>
      </c>
      <c r="CI42" s="940">
        <f t="shared" si="64"/>
        <v>0.25</v>
      </c>
      <c r="CJ42" s="940"/>
      <c r="CK42" s="925">
        <f t="shared" si="94"/>
        <v>7.3333333333333334E-2</v>
      </c>
      <c r="CL42" s="941"/>
      <c r="CN42" s="939">
        <v>44</v>
      </c>
      <c r="CO42" s="940">
        <f t="shared" si="65"/>
        <v>0.56999999999999995</v>
      </c>
      <c r="CP42" s="940"/>
      <c r="CQ42" s="925">
        <f t="shared" si="95"/>
        <v>0.25666666666666665</v>
      </c>
      <c r="CR42" s="941"/>
    </row>
    <row r="43" spans="2:96">
      <c r="B43" s="939">
        <v>50</v>
      </c>
      <c r="C43" s="940">
        <v>0.03</v>
      </c>
      <c r="D43" s="940">
        <f t="shared" si="66"/>
        <v>0.25</v>
      </c>
      <c r="E43" s="925">
        <f t="shared" si="67"/>
        <v>0.22</v>
      </c>
      <c r="F43" s="1064">
        <f>(((F41-F39)/(F37-F35))*(F34-F35))+F39</f>
        <v>5.8217650119946951E-2</v>
      </c>
      <c r="G43" s="942"/>
      <c r="H43" s="939">
        <v>50</v>
      </c>
      <c r="I43" s="940">
        <v>0.05</v>
      </c>
      <c r="J43" s="940">
        <f t="shared" si="68"/>
        <v>0.23</v>
      </c>
      <c r="K43" s="925">
        <f t="shared" si="69"/>
        <v>0.18</v>
      </c>
      <c r="L43" s="1064">
        <f>(((L41-L39)/(L37-L35))*(L34-L35))+L39</f>
        <v>0.12494524805301102</v>
      </c>
      <c r="M43" s="942"/>
      <c r="N43" s="939">
        <v>50</v>
      </c>
      <c r="O43" s="940"/>
      <c r="P43" s="940">
        <f t="shared" si="70"/>
        <v>0.2</v>
      </c>
      <c r="Q43" s="925">
        <f t="shared" si="71"/>
        <v>0.13</v>
      </c>
      <c r="R43" s="1064">
        <f>(((R41-R39)/(R37-R35))*(R34-R35))+R39</f>
        <v>0.13</v>
      </c>
      <c r="S43" s="929"/>
      <c r="T43" s="939">
        <v>50</v>
      </c>
      <c r="U43" s="940">
        <f t="shared" si="72"/>
        <v>1E-3</v>
      </c>
      <c r="V43" s="940"/>
      <c r="W43" s="925">
        <f t="shared" si="73"/>
        <v>3.3333333333333332E-4</v>
      </c>
      <c r="X43" s="1064">
        <f>(((X41-X39)/(X37-X35))*(X34-X35))+X39</f>
        <v>3.3333333333333332E-4</v>
      </c>
      <c r="Y43" s="929"/>
      <c r="Z43" s="939">
        <v>50</v>
      </c>
      <c r="AA43" s="940">
        <f t="shared" si="74"/>
        <v>1E-3</v>
      </c>
      <c r="AB43" s="940"/>
      <c r="AC43" s="925">
        <f t="shared" si="75"/>
        <v>3.3333333333333332E-4</v>
      </c>
      <c r="AD43" s="1064">
        <f>(((AD41-AD39)/(AD37-AD35))*(AD34-AD35))+AD39</f>
        <v>3.3333333333333332E-4</v>
      </c>
      <c r="AE43" s="929"/>
      <c r="AF43" s="939">
        <v>50</v>
      </c>
      <c r="AG43" s="940">
        <f t="shared" si="76"/>
        <v>0.66</v>
      </c>
      <c r="AH43" s="940"/>
      <c r="AI43" s="925">
        <f t="shared" si="77"/>
        <v>0.3066666666666667</v>
      </c>
      <c r="AJ43" s="1064">
        <f>(((AJ41-AJ39)/(AJ37-AJ35))*(AJ34-AJ35))+AJ39</f>
        <v>0.3066666666666667</v>
      </c>
      <c r="AK43" s="929"/>
      <c r="AL43" s="939">
        <v>50</v>
      </c>
      <c r="AM43" s="940">
        <f t="shared" si="78"/>
        <v>1E-3</v>
      </c>
      <c r="AN43" s="940"/>
      <c r="AO43" s="925">
        <f t="shared" si="79"/>
        <v>3.3333333333333332E-4</v>
      </c>
      <c r="AP43" s="1064">
        <f>(((AP41-AP39)/(AP37-AP35))*(AP34-AP35))+AP39</f>
        <v>3.3333333333333332E-4</v>
      </c>
      <c r="AQ43" s="929"/>
      <c r="AR43" s="939">
        <v>50</v>
      </c>
      <c r="AS43" s="940">
        <f t="shared" si="80"/>
        <v>1E-3</v>
      </c>
      <c r="AT43" s="940"/>
      <c r="AU43" s="925">
        <f t="shared" si="81"/>
        <v>3.3333333333333332E-4</v>
      </c>
      <c r="AV43" s="1064">
        <f>(((AV41-AV39)/(AV37-AV35))*(AV34-AV35))+AV39</f>
        <v>3.3333333333333332E-4</v>
      </c>
      <c r="AW43" s="929"/>
      <c r="AX43" s="939">
        <v>50</v>
      </c>
      <c r="AY43" s="940">
        <f t="shared" si="82"/>
        <v>0.37</v>
      </c>
      <c r="AZ43" s="940"/>
      <c r="BA43" s="925">
        <f t="shared" si="83"/>
        <v>0.26333333333333336</v>
      </c>
      <c r="BB43" s="1064">
        <f>(((BB41-BB39)/(BB37-BB35))*(BB34-BB35))+BB39</f>
        <v>0.26333333333333336</v>
      </c>
      <c r="BC43" s="929"/>
      <c r="BD43" s="939">
        <v>50</v>
      </c>
      <c r="BE43" s="940">
        <f t="shared" si="84"/>
        <v>1E-3</v>
      </c>
      <c r="BF43" s="940"/>
      <c r="BG43" s="925">
        <f t="shared" si="85"/>
        <v>3.3333333333333332E-4</v>
      </c>
      <c r="BH43" s="1064">
        <f>(((BH41-BH39)/(BH37-BH35))*(BH34-BH35))+BH39</f>
        <v>3.3333333333333332E-4</v>
      </c>
      <c r="BI43" s="929"/>
      <c r="BJ43" s="939">
        <v>50</v>
      </c>
      <c r="BK43" s="940">
        <f t="shared" si="86"/>
        <v>0.37</v>
      </c>
      <c r="BL43" s="940"/>
      <c r="BM43" s="925">
        <f t="shared" si="87"/>
        <v>0.26333333333333336</v>
      </c>
      <c r="BN43" s="1064">
        <f>(((BN41-BN39)/(BN37-BN35))*(BN34-BN35))+BN39</f>
        <v>0.26333333333333336</v>
      </c>
      <c r="BO43" s="929"/>
      <c r="BP43" s="939">
        <v>50</v>
      </c>
      <c r="BQ43" s="940">
        <f t="shared" si="88"/>
        <v>1E-3</v>
      </c>
      <c r="BR43" s="940"/>
      <c r="BS43" s="925">
        <f t="shared" si="89"/>
        <v>3.3333333333333332E-4</v>
      </c>
      <c r="BT43" s="1064">
        <f>(((BT41-BT39)/(BT37-BT35))*(BT34-BT35))+BT39</f>
        <v>3.3333333333333332E-4</v>
      </c>
      <c r="BU43" s="929"/>
      <c r="BV43" s="939">
        <v>50</v>
      </c>
      <c r="BW43" s="940">
        <f t="shared" si="90"/>
        <v>10</v>
      </c>
      <c r="BX43" s="940"/>
      <c r="BY43" s="925">
        <f t="shared" si="91"/>
        <v>3.3333333333333332E-4</v>
      </c>
      <c r="BZ43" s="1064">
        <f>(((BZ41-BZ39)/(BZ37-BZ35))*(BZ34-BZ35))+BZ39</f>
        <v>3.3333333333333332E-4</v>
      </c>
      <c r="CA43" s="929"/>
      <c r="CB43" s="939">
        <v>50</v>
      </c>
      <c r="CC43" s="940">
        <f t="shared" si="92"/>
        <v>-0.7</v>
      </c>
      <c r="CD43" s="940"/>
      <c r="CE43" s="925">
        <f t="shared" si="93"/>
        <v>0.13333333333333333</v>
      </c>
      <c r="CF43" s="1064">
        <f>(((CF41-CF39)/(CF37-CF35))*(CF34-CF35))+CF39</f>
        <v>0.13333333333333333</v>
      </c>
      <c r="CH43" s="939">
        <v>50</v>
      </c>
      <c r="CI43" s="940">
        <f t="shared" si="64"/>
        <v>0.27</v>
      </c>
      <c r="CJ43" s="940"/>
      <c r="CK43" s="925">
        <f t="shared" si="94"/>
        <v>7.3333333333333334E-2</v>
      </c>
      <c r="CL43" s="1064">
        <f>(((CL41-CL39)/(CL37-CL35))*(CL34-CL35))+CL39</f>
        <v>7.3333333333333334E-2</v>
      </c>
      <c r="CN43" s="939">
        <v>50</v>
      </c>
      <c r="CO43" s="940">
        <f t="shared" si="65"/>
        <v>0.67</v>
      </c>
      <c r="CP43" s="940"/>
      <c r="CQ43" s="925">
        <f t="shared" si="95"/>
        <v>0.25666666666666665</v>
      </c>
      <c r="CR43" s="1064">
        <f>(((CR41-CR39)/(CR37-CR35))*(CR34-CR35))+CR39</f>
        <v>0.25666666666666665</v>
      </c>
    </row>
    <row r="44" spans="2:96">
      <c r="B44" s="939">
        <v>100</v>
      </c>
      <c r="C44" s="940">
        <v>0.09</v>
      </c>
      <c r="D44" s="940">
        <f t="shared" si="66"/>
        <v>0.3</v>
      </c>
      <c r="E44" s="925">
        <f t="shared" si="67"/>
        <v>0.21</v>
      </c>
      <c r="F44" s="941"/>
      <c r="G44" s="942"/>
      <c r="H44" s="939">
        <v>100</v>
      </c>
      <c r="I44" s="940">
        <v>1.1000000000000001E-3</v>
      </c>
      <c r="J44" s="940">
        <f t="shared" si="68"/>
        <v>1.6000000000000001E-3</v>
      </c>
      <c r="K44" s="925">
        <f t="shared" si="69"/>
        <v>5.0000000000000001E-4</v>
      </c>
      <c r="L44" s="941"/>
      <c r="M44" s="942"/>
      <c r="N44" s="939">
        <v>100</v>
      </c>
      <c r="O44" s="940"/>
      <c r="P44" s="940">
        <f t="shared" si="70"/>
        <v>-0.01</v>
      </c>
      <c r="Q44" s="925">
        <f t="shared" si="71"/>
        <v>0.13</v>
      </c>
      <c r="R44" s="941"/>
      <c r="S44" s="929"/>
      <c r="T44" s="939">
        <v>100</v>
      </c>
      <c r="U44" s="940">
        <f t="shared" si="72"/>
        <v>1E-3</v>
      </c>
      <c r="V44" s="940"/>
      <c r="W44" s="925">
        <f t="shared" si="73"/>
        <v>3.3333333333333332E-4</v>
      </c>
      <c r="X44" s="941"/>
      <c r="Y44" s="929"/>
      <c r="Z44" s="939">
        <v>100</v>
      </c>
      <c r="AA44" s="940">
        <f t="shared" si="74"/>
        <v>1E-3</v>
      </c>
      <c r="AB44" s="940"/>
      <c r="AC44" s="925">
        <f t="shared" si="75"/>
        <v>3.3333333333333332E-4</v>
      </c>
      <c r="AD44" s="941"/>
      <c r="AE44" s="929"/>
      <c r="AF44" s="939">
        <v>100</v>
      </c>
      <c r="AG44" s="940">
        <f t="shared" si="76"/>
        <v>0.45</v>
      </c>
      <c r="AH44" s="940"/>
      <c r="AI44" s="925">
        <f t="shared" si="77"/>
        <v>0.3066666666666667</v>
      </c>
      <c r="AJ44" s="941"/>
      <c r="AK44" s="929"/>
      <c r="AL44" s="939">
        <v>100</v>
      </c>
      <c r="AM44" s="940">
        <f t="shared" si="78"/>
        <v>1E-3</v>
      </c>
      <c r="AN44" s="940"/>
      <c r="AO44" s="925">
        <f t="shared" si="79"/>
        <v>3.3333333333333332E-4</v>
      </c>
      <c r="AP44" s="941"/>
      <c r="AQ44" s="929"/>
      <c r="AR44" s="939">
        <v>100</v>
      </c>
      <c r="AS44" s="940">
        <f t="shared" si="80"/>
        <v>1E-3</v>
      </c>
      <c r="AT44" s="940"/>
      <c r="AU44" s="925">
        <f t="shared" si="81"/>
        <v>3.3333333333333332E-4</v>
      </c>
      <c r="AV44" s="941"/>
      <c r="AW44" s="929"/>
      <c r="AX44" s="939">
        <v>100</v>
      </c>
      <c r="AY44" s="940">
        <f t="shared" si="82"/>
        <v>1.9E-3</v>
      </c>
      <c r="AZ44" s="940"/>
      <c r="BA44" s="925">
        <f t="shared" si="83"/>
        <v>0.26333333333333336</v>
      </c>
      <c r="BB44" s="941"/>
      <c r="BC44" s="929"/>
      <c r="BD44" s="939">
        <v>100</v>
      </c>
      <c r="BE44" s="940">
        <f t="shared" si="84"/>
        <v>1E-3</v>
      </c>
      <c r="BF44" s="940"/>
      <c r="BG44" s="925">
        <f t="shared" si="85"/>
        <v>3.3333333333333332E-4</v>
      </c>
      <c r="BH44" s="941"/>
      <c r="BI44" s="929"/>
      <c r="BJ44" s="939">
        <v>100</v>
      </c>
      <c r="BK44" s="940">
        <f t="shared" si="86"/>
        <v>1.9E-3</v>
      </c>
      <c r="BL44" s="940"/>
      <c r="BM44" s="925">
        <f t="shared" si="87"/>
        <v>0.26333333333333336</v>
      </c>
      <c r="BN44" s="941"/>
      <c r="BO44" s="929"/>
      <c r="BP44" s="939">
        <v>100</v>
      </c>
      <c r="BQ44" s="940">
        <f t="shared" si="88"/>
        <v>1E-3</v>
      </c>
      <c r="BR44" s="940"/>
      <c r="BS44" s="925">
        <f t="shared" si="89"/>
        <v>3.3333333333333332E-4</v>
      </c>
      <c r="BT44" s="941"/>
      <c r="BU44" s="929"/>
      <c r="BV44" s="939">
        <v>100</v>
      </c>
      <c r="BW44" s="940">
        <f t="shared" si="90"/>
        <v>11</v>
      </c>
      <c r="BX44" s="940"/>
      <c r="BY44" s="925">
        <f t="shared" si="91"/>
        <v>3.3333333333333332E-4</v>
      </c>
      <c r="BZ44" s="941"/>
      <c r="CA44" s="929"/>
      <c r="CB44" s="939">
        <v>100</v>
      </c>
      <c r="CC44" s="940">
        <f t="shared" si="92"/>
        <v>-0.7</v>
      </c>
      <c r="CD44" s="940"/>
      <c r="CE44" s="925">
        <f t="shared" si="93"/>
        <v>0.13333333333333333</v>
      </c>
      <c r="CF44" s="941"/>
      <c r="CH44" s="939">
        <v>100</v>
      </c>
      <c r="CI44" s="940">
        <f t="shared" si="64"/>
        <v>0.31</v>
      </c>
      <c r="CJ44" s="940"/>
      <c r="CK44" s="925">
        <f t="shared" si="94"/>
        <v>7.3333333333333334E-2</v>
      </c>
      <c r="CL44" s="941"/>
      <c r="CN44" s="939">
        <v>100</v>
      </c>
      <c r="CO44" s="940">
        <f t="shared" si="65"/>
        <v>0.95</v>
      </c>
      <c r="CP44" s="940"/>
      <c r="CQ44" s="925">
        <f t="shared" si="95"/>
        <v>0.25666666666666665</v>
      </c>
      <c r="CR44" s="941"/>
    </row>
    <row r="45" spans="2:96">
      <c r="B45" s="939">
        <v>150</v>
      </c>
      <c r="C45" s="940">
        <v>0.04</v>
      </c>
      <c r="D45" s="940">
        <f t="shared" si="66"/>
        <v>0.28000000000000003</v>
      </c>
      <c r="E45" s="925">
        <f t="shared" si="67"/>
        <v>0.24000000000000002</v>
      </c>
      <c r="F45" s="941"/>
      <c r="G45" s="942"/>
      <c r="H45" s="939">
        <v>150</v>
      </c>
      <c r="I45" s="940">
        <v>0.05</v>
      </c>
      <c r="J45" s="940">
        <f t="shared" si="68"/>
        <v>-0.02</v>
      </c>
      <c r="K45" s="925">
        <f t="shared" si="69"/>
        <v>7.0000000000000007E-2</v>
      </c>
      <c r="L45" s="941"/>
      <c r="M45" s="942"/>
      <c r="N45" s="939">
        <v>150</v>
      </c>
      <c r="O45" s="940"/>
      <c r="P45" s="940">
        <f t="shared" si="70"/>
        <v>-0.3</v>
      </c>
      <c r="Q45" s="925">
        <f t="shared" si="71"/>
        <v>0.13</v>
      </c>
      <c r="R45" s="941"/>
      <c r="S45" s="929"/>
      <c r="T45" s="939">
        <v>150</v>
      </c>
      <c r="U45" s="940">
        <f t="shared" si="72"/>
        <v>1E-3</v>
      </c>
      <c r="V45" s="940"/>
      <c r="W45" s="925">
        <f t="shared" si="73"/>
        <v>3.3333333333333332E-4</v>
      </c>
      <c r="X45" s="941"/>
      <c r="Y45" s="929"/>
      <c r="Z45" s="939">
        <v>150</v>
      </c>
      <c r="AA45" s="940">
        <f t="shared" si="74"/>
        <v>1E-3</v>
      </c>
      <c r="AB45" s="940"/>
      <c r="AC45" s="925">
        <f t="shared" si="75"/>
        <v>3.3333333333333332E-4</v>
      </c>
      <c r="AD45" s="941"/>
      <c r="AE45" s="929"/>
      <c r="AF45" s="939">
        <v>150</v>
      </c>
      <c r="AG45" s="940">
        <f t="shared" si="76"/>
        <v>0.01</v>
      </c>
      <c r="AH45" s="940"/>
      <c r="AI45" s="925">
        <f t="shared" si="77"/>
        <v>0.3066666666666667</v>
      </c>
      <c r="AJ45" s="941"/>
      <c r="AK45" s="929"/>
      <c r="AL45" s="939">
        <v>150</v>
      </c>
      <c r="AM45" s="940">
        <f t="shared" si="78"/>
        <v>1E-3</v>
      </c>
      <c r="AN45" s="940"/>
      <c r="AO45" s="925">
        <f t="shared" si="79"/>
        <v>3.3333333333333332E-4</v>
      </c>
      <c r="AP45" s="941"/>
      <c r="AQ45" s="929"/>
      <c r="AR45" s="939">
        <v>150</v>
      </c>
      <c r="AS45" s="940">
        <f t="shared" si="80"/>
        <v>1E-3</v>
      </c>
      <c r="AT45" s="940"/>
      <c r="AU45" s="925">
        <f t="shared" si="81"/>
        <v>3.3333333333333332E-4</v>
      </c>
      <c r="AV45" s="941"/>
      <c r="AW45" s="929"/>
      <c r="AX45" s="939">
        <v>150</v>
      </c>
      <c r="AY45" s="940">
        <f t="shared" si="82"/>
        <v>1E-3</v>
      </c>
      <c r="AZ45" s="940"/>
      <c r="BA45" s="925">
        <f t="shared" si="83"/>
        <v>0.26333333333333336</v>
      </c>
      <c r="BB45" s="941"/>
      <c r="BC45" s="929"/>
      <c r="BD45" s="939">
        <v>150</v>
      </c>
      <c r="BE45" s="940">
        <f t="shared" si="84"/>
        <v>1E-3</v>
      </c>
      <c r="BF45" s="940"/>
      <c r="BG45" s="925">
        <f t="shared" si="85"/>
        <v>3.3333333333333332E-4</v>
      </c>
      <c r="BH45" s="941"/>
      <c r="BI45" s="929"/>
      <c r="BJ45" s="939">
        <v>150</v>
      </c>
      <c r="BK45" s="940">
        <f t="shared" si="86"/>
        <v>1E-3</v>
      </c>
      <c r="BL45" s="940"/>
      <c r="BM45" s="925">
        <f t="shared" si="87"/>
        <v>0.26333333333333336</v>
      </c>
      <c r="BN45" s="941"/>
      <c r="BO45" s="929"/>
      <c r="BP45" s="939">
        <v>150</v>
      </c>
      <c r="BQ45" s="940">
        <f t="shared" si="88"/>
        <v>1E-3</v>
      </c>
      <c r="BR45" s="940"/>
      <c r="BS45" s="925">
        <f t="shared" si="89"/>
        <v>3.3333333333333332E-4</v>
      </c>
      <c r="BT45" s="941"/>
      <c r="BU45" s="929"/>
      <c r="BV45" s="939">
        <v>150</v>
      </c>
      <c r="BW45" s="940">
        <f t="shared" si="90"/>
        <v>12</v>
      </c>
      <c r="BX45" s="940"/>
      <c r="BY45" s="925">
        <f t="shared" si="91"/>
        <v>3.3333333333333332E-4</v>
      </c>
      <c r="BZ45" s="941"/>
      <c r="CA45" s="929"/>
      <c r="CB45" s="939">
        <v>150</v>
      </c>
      <c r="CC45" s="940">
        <f t="shared" si="92"/>
        <v>-0.7</v>
      </c>
      <c r="CD45" s="940"/>
      <c r="CE45" s="925">
        <f t="shared" si="93"/>
        <v>0.13333333333333333</v>
      </c>
      <c r="CF45" s="941"/>
      <c r="CH45" s="939">
        <v>150</v>
      </c>
      <c r="CI45" s="940">
        <f t="shared" si="64"/>
        <v>0.3</v>
      </c>
      <c r="CJ45" s="940"/>
      <c r="CK45" s="925">
        <f t="shared" si="94"/>
        <v>7.3333333333333334E-2</v>
      </c>
      <c r="CL45" s="941"/>
      <c r="CN45" s="939">
        <v>150</v>
      </c>
      <c r="CO45" s="940">
        <f t="shared" si="65"/>
        <v>0.49</v>
      </c>
      <c r="CP45" s="940"/>
      <c r="CQ45" s="925">
        <f t="shared" si="95"/>
        <v>0.25666666666666665</v>
      </c>
      <c r="CR45" s="941"/>
    </row>
    <row r="46" spans="2:96">
      <c r="B46" s="939">
        <v>200</v>
      </c>
      <c r="C46" s="940">
        <v>-1.1999999999999999E-3</v>
      </c>
      <c r="D46" s="940">
        <f t="shared" si="66"/>
        <v>0.56000000000000005</v>
      </c>
      <c r="E46" s="925">
        <f t="shared" si="67"/>
        <v>0.56120000000000003</v>
      </c>
      <c r="F46" s="941"/>
      <c r="G46" s="942"/>
      <c r="H46" s="939">
        <v>200</v>
      </c>
      <c r="I46" s="940">
        <v>-1.2999999999999999E-3</v>
      </c>
      <c r="J46" s="940">
        <f t="shared" si="68"/>
        <v>1.6000000000000001E-3</v>
      </c>
      <c r="K46" s="925">
        <f t="shared" si="69"/>
        <v>2.8999999999999998E-3</v>
      </c>
      <c r="L46" s="941"/>
      <c r="M46" s="942"/>
      <c r="N46" s="939">
        <v>200</v>
      </c>
      <c r="O46" s="940"/>
      <c r="P46" s="940">
        <f t="shared" si="70"/>
        <v>0.09</v>
      </c>
      <c r="Q46" s="925">
        <f t="shared" si="71"/>
        <v>0.13</v>
      </c>
      <c r="R46" s="941"/>
      <c r="S46" s="929"/>
      <c r="T46" s="939">
        <v>200</v>
      </c>
      <c r="U46" s="940">
        <f t="shared" si="72"/>
        <v>1E-3</v>
      </c>
      <c r="V46" s="940"/>
      <c r="W46" s="925">
        <f t="shared" si="73"/>
        <v>3.3333333333333332E-4</v>
      </c>
      <c r="X46" s="941"/>
      <c r="Y46" s="929"/>
      <c r="Z46" s="939">
        <v>200</v>
      </c>
      <c r="AA46" s="940">
        <f t="shared" si="74"/>
        <v>1E-3</v>
      </c>
      <c r="AB46" s="940"/>
      <c r="AC46" s="925">
        <f t="shared" si="75"/>
        <v>3.3333333333333332E-4</v>
      </c>
      <c r="AD46" s="941"/>
      <c r="AE46" s="929"/>
      <c r="AF46" s="939">
        <v>200</v>
      </c>
      <c r="AG46" s="940">
        <f t="shared" si="76"/>
        <v>-0.4</v>
      </c>
      <c r="AH46" s="940"/>
      <c r="AI46" s="925">
        <f t="shared" si="77"/>
        <v>0.3066666666666667</v>
      </c>
      <c r="AJ46" s="941"/>
      <c r="AK46" s="929"/>
      <c r="AL46" s="939">
        <v>200</v>
      </c>
      <c r="AM46" s="940">
        <f t="shared" si="78"/>
        <v>1E-3</v>
      </c>
      <c r="AN46" s="940"/>
      <c r="AO46" s="925">
        <f t="shared" si="79"/>
        <v>3.3333333333333332E-4</v>
      </c>
      <c r="AP46" s="941"/>
      <c r="AQ46" s="929"/>
      <c r="AR46" s="939">
        <v>200</v>
      </c>
      <c r="AS46" s="940">
        <f t="shared" si="80"/>
        <v>1E-3</v>
      </c>
      <c r="AT46" s="940"/>
      <c r="AU46" s="925">
        <f t="shared" si="81"/>
        <v>3.3333333333333332E-4</v>
      </c>
      <c r="AV46" s="941"/>
      <c r="AW46" s="929"/>
      <c r="AX46" s="939">
        <v>200</v>
      </c>
      <c r="AY46" s="940">
        <f t="shared" si="82"/>
        <v>-0.22</v>
      </c>
      <c r="AZ46" s="940"/>
      <c r="BA46" s="925">
        <f t="shared" si="83"/>
        <v>0.26333333333333336</v>
      </c>
      <c r="BB46" s="941"/>
      <c r="BC46" s="929"/>
      <c r="BD46" s="939">
        <v>200</v>
      </c>
      <c r="BE46" s="940">
        <f t="shared" si="84"/>
        <v>1E-3</v>
      </c>
      <c r="BF46" s="940"/>
      <c r="BG46" s="925">
        <f t="shared" si="85"/>
        <v>3.3333333333333332E-4</v>
      </c>
      <c r="BH46" s="941"/>
      <c r="BI46" s="929"/>
      <c r="BJ46" s="939">
        <v>200</v>
      </c>
      <c r="BK46" s="940">
        <f t="shared" si="86"/>
        <v>-0.22</v>
      </c>
      <c r="BL46" s="940"/>
      <c r="BM46" s="925">
        <f t="shared" si="87"/>
        <v>0.26333333333333336</v>
      </c>
      <c r="BN46" s="941"/>
      <c r="BO46" s="929"/>
      <c r="BP46" s="939">
        <v>200</v>
      </c>
      <c r="BQ46" s="940">
        <f t="shared" si="88"/>
        <v>1E-3</v>
      </c>
      <c r="BR46" s="940"/>
      <c r="BS46" s="925">
        <f t="shared" si="89"/>
        <v>3.3333333333333332E-4</v>
      </c>
      <c r="BT46" s="941"/>
      <c r="BU46" s="929"/>
      <c r="BV46" s="939">
        <v>200</v>
      </c>
      <c r="BW46" s="940">
        <f t="shared" si="90"/>
        <v>13</v>
      </c>
      <c r="BX46" s="940"/>
      <c r="BY46" s="925">
        <f t="shared" si="91"/>
        <v>3.3333333333333332E-4</v>
      </c>
      <c r="BZ46" s="941"/>
      <c r="CA46" s="929"/>
      <c r="CB46" s="939">
        <v>200</v>
      </c>
      <c r="CC46" s="940">
        <f t="shared" si="92"/>
        <v>-0.6</v>
      </c>
      <c r="CD46" s="940"/>
      <c r="CE46" s="925">
        <f t="shared" si="93"/>
        <v>0.13333333333333333</v>
      </c>
      <c r="CF46" s="941"/>
      <c r="CH46" s="939">
        <v>200</v>
      </c>
      <c r="CI46" s="940">
        <f t="shared" si="64"/>
        <v>0.34</v>
      </c>
      <c r="CJ46" s="940"/>
      <c r="CK46" s="925">
        <f t="shared" si="94"/>
        <v>7.3333333333333334E-2</v>
      </c>
      <c r="CL46" s="941"/>
      <c r="CN46" s="939">
        <v>200</v>
      </c>
      <c r="CO46" s="940">
        <f t="shared" si="65"/>
        <v>-0.26</v>
      </c>
      <c r="CP46" s="940"/>
      <c r="CQ46" s="925">
        <f t="shared" si="95"/>
        <v>0.25666666666666665</v>
      </c>
      <c r="CR46" s="941"/>
    </row>
    <row r="47" spans="2:96" s="929" customFormat="1">
      <c r="B47" s="947"/>
      <c r="C47" s="930"/>
      <c r="D47" s="930"/>
      <c r="E47" s="944"/>
      <c r="F47" s="942"/>
      <c r="G47" s="942"/>
      <c r="H47" s="947"/>
      <c r="I47" s="930"/>
      <c r="J47" s="930"/>
      <c r="K47" s="944"/>
      <c r="L47" s="931"/>
      <c r="M47" s="942"/>
      <c r="N47" s="947"/>
      <c r="O47" s="930"/>
      <c r="P47" s="930"/>
      <c r="Q47" s="944"/>
      <c r="R47" s="931"/>
      <c r="T47" s="947"/>
      <c r="U47" s="930"/>
      <c r="V47" s="930"/>
      <c r="W47" s="944"/>
      <c r="X47" s="931"/>
      <c r="Z47" s="947"/>
      <c r="AA47" s="930"/>
      <c r="AB47" s="930"/>
      <c r="AC47" s="944"/>
      <c r="AD47" s="931"/>
      <c r="AF47" s="947"/>
      <c r="AG47" s="930"/>
      <c r="AH47" s="930"/>
      <c r="AI47" s="944"/>
      <c r="AJ47" s="931"/>
      <c r="AL47" s="947"/>
      <c r="AM47" s="930"/>
      <c r="AN47" s="930"/>
      <c r="AO47" s="944"/>
      <c r="AP47" s="931"/>
      <c r="AR47" s="947"/>
      <c r="AS47" s="930"/>
      <c r="AT47" s="930"/>
      <c r="AU47" s="944"/>
      <c r="AV47" s="931"/>
      <c r="AX47" s="947"/>
      <c r="AY47" s="930"/>
      <c r="AZ47" s="930"/>
      <c r="BA47" s="944"/>
      <c r="BB47" s="931"/>
      <c r="BD47" s="947"/>
      <c r="BE47" s="930"/>
      <c r="BF47" s="930"/>
      <c r="BG47" s="944"/>
      <c r="BH47" s="931"/>
      <c r="BJ47" s="947"/>
      <c r="BK47" s="930"/>
      <c r="BL47" s="930"/>
      <c r="BM47" s="944"/>
      <c r="BN47" s="931"/>
      <c r="BP47" s="947"/>
      <c r="BQ47" s="930"/>
      <c r="BR47" s="930"/>
      <c r="BS47" s="944"/>
      <c r="BT47" s="931"/>
      <c r="BV47" s="947"/>
      <c r="BW47" s="930"/>
      <c r="BX47" s="930"/>
      <c r="BY47" s="944"/>
      <c r="BZ47" s="931"/>
      <c r="CB47" s="947"/>
      <c r="CC47" s="930"/>
      <c r="CD47" s="930"/>
      <c r="CE47" s="944"/>
      <c r="CF47" s="931"/>
      <c r="CH47" s="947"/>
      <c r="CI47" s="930"/>
      <c r="CJ47" s="930"/>
      <c r="CK47" s="944"/>
      <c r="CL47" s="931"/>
      <c r="CN47" s="947"/>
      <c r="CO47" s="930"/>
      <c r="CP47" s="930"/>
      <c r="CQ47" s="944"/>
      <c r="CR47" s="931"/>
    </row>
    <row r="48" spans="2:96" ht="21.75" customHeight="1">
      <c r="B48" s="1314" t="s">
        <v>218</v>
      </c>
      <c r="C48" s="1316" t="str">
        <f>C33</f>
        <v>Thermocouple Data Logger, Merek : MADGETECH, Model : OctTemp 2000, SN : P40270</v>
      </c>
      <c r="D48" s="1316"/>
      <c r="E48" s="1316"/>
      <c r="F48" s="932" t="str">
        <f>F33</f>
        <v>Interpolasi</v>
      </c>
      <c r="G48" s="933"/>
      <c r="H48" s="1314" t="s">
        <v>218</v>
      </c>
      <c r="I48" s="1316" t="str">
        <f>I33</f>
        <v>Thermocouple Data Logger, Merek : MADGETECH, Model : OctTemp 2000, SN : P41878</v>
      </c>
      <c r="J48" s="1316"/>
      <c r="K48" s="1316"/>
      <c r="L48" s="932" t="s">
        <v>572</v>
      </c>
      <c r="M48" s="933"/>
      <c r="N48" s="1314" t="s">
        <v>218</v>
      </c>
      <c r="O48" s="1316" t="str">
        <f>O33</f>
        <v>Mobile Corder, Merek : Yokogawa, Model : GP 10, SN : S5T810599</v>
      </c>
      <c r="P48" s="1317"/>
      <c r="Q48" s="1316"/>
      <c r="R48" s="932" t="s">
        <v>572</v>
      </c>
      <c r="S48" s="929"/>
      <c r="T48" s="1314" t="s">
        <v>218</v>
      </c>
      <c r="U48" s="1316" t="str">
        <f>U33</f>
        <v>Wireless Temperature Recorder : Merek : HIOKI, Model : LR 8510, SN : 200936000</v>
      </c>
      <c r="V48" s="1317"/>
      <c r="W48" s="1316"/>
      <c r="X48" s="932" t="s">
        <v>572</v>
      </c>
      <c r="Y48" s="929"/>
      <c r="Z48" s="1314" t="s">
        <v>218</v>
      </c>
      <c r="AA48" s="1316" t="str">
        <f>AA33</f>
        <v>Wireless Temperature Recorder : Merek : HIOKI, Model : LR 8510, SN : 200936001</v>
      </c>
      <c r="AB48" s="1317"/>
      <c r="AC48" s="1316"/>
      <c r="AD48" s="932" t="s">
        <v>572</v>
      </c>
      <c r="AE48" s="929"/>
      <c r="AF48" s="1314" t="s">
        <v>218</v>
      </c>
      <c r="AG48" s="1316" t="str">
        <f>AG33</f>
        <v>Wireless Temperature Recorder : Merek : HIOKI, Model : LR 8510, SN : 200821397</v>
      </c>
      <c r="AH48" s="1317"/>
      <c r="AI48" s="1316"/>
      <c r="AJ48" s="932" t="s">
        <v>572</v>
      </c>
      <c r="AK48" s="929"/>
      <c r="AL48" s="1314" t="s">
        <v>218</v>
      </c>
      <c r="AM48" s="1316" t="str">
        <f>AM33</f>
        <v>Wireless Temperature Recorder : Merek : HIOKI, Model : LR 8510, SN : 210411983</v>
      </c>
      <c r="AN48" s="1317"/>
      <c r="AO48" s="1316"/>
      <c r="AP48" s="932" t="s">
        <v>572</v>
      </c>
      <c r="AQ48" s="929"/>
      <c r="AR48" s="1314" t="s">
        <v>218</v>
      </c>
      <c r="AS48" s="1316" t="str">
        <f>AS33</f>
        <v>Wireless Temperature Recorder : Merek : HIOKI, Model : LR 8510, SN : 210411984</v>
      </c>
      <c r="AT48" s="1317"/>
      <c r="AU48" s="1316"/>
      <c r="AV48" s="932" t="s">
        <v>572</v>
      </c>
      <c r="AW48" s="929"/>
      <c r="AX48" s="1314" t="s">
        <v>218</v>
      </c>
      <c r="AY48" s="1316" t="str">
        <f>AY33</f>
        <v>Wireless Temperature Recorder : Merek : HIOKI, Model : LR 8510, SN : 210411985</v>
      </c>
      <c r="AZ48" s="1317"/>
      <c r="BA48" s="1316"/>
      <c r="BB48" s="932" t="s">
        <v>572</v>
      </c>
      <c r="BC48" s="929"/>
      <c r="BD48" s="1314" t="s">
        <v>218</v>
      </c>
      <c r="BE48" s="1316" t="str">
        <f>BE33</f>
        <v>Wireless Temperature Recorder : Merek : HIOKI, Model : LR 8510, SN : 210746054</v>
      </c>
      <c r="BF48" s="1317"/>
      <c r="BG48" s="1316"/>
      <c r="BH48" s="932" t="s">
        <v>572</v>
      </c>
      <c r="BI48" s="929"/>
      <c r="BJ48" s="1314" t="s">
        <v>218</v>
      </c>
      <c r="BK48" s="1316" t="str">
        <f>BK33</f>
        <v>Wireless Temperature Recorder : Merek : HIOKI, Model : LR 8510, SN : 210746055</v>
      </c>
      <c r="BL48" s="1317"/>
      <c r="BM48" s="1316"/>
      <c r="BN48" s="932" t="s">
        <v>572</v>
      </c>
      <c r="BO48" s="929"/>
      <c r="BP48" s="1314" t="s">
        <v>218</v>
      </c>
      <c r="BQ48" s="1316" t="str">
        <f>BQ33</f>
        <v>Wireless Temperature Recorder : Merek : HIOKI, Model : LR 8510, SN : 210746056</v>
      </c>
      <c r="BR48" s="1317"/>
      <c r="BS48" s="1316"/>
      <c r="BT48" s="932" t="s">
        <v>572</v>
      </c>
      <c r="BU48" s="929"/>
      <c r="BV48" s="1314" t="s">
        <v>218</v>
      </c>
      <c r="BW48" s="1316" t="str">
        <f>BW33</f>
        <v>Wireless Temperature Recorder : Merek : HIOKI, Model : LR 8510, SN : x x x</v>
      </c>
      <c r="BX48" s="1317"/>
      <c r="BY48" s="1316"/>
      <c r="BZ48" s="932" t="s">
        <v>572</v>
      </c>
      <c r="CA48" s="929"/>
      <c r="CB48" s="1314" t="s">
        <v>218</v>
      </c>
      <c r="CC48" s="1316" t="str">
        <f t="shared" ref="CC48:CC61" si="96">CC33</f>
        <v>Reference Thermometer, Merek : APPA, Model : APPA51, SN : 03002948</v>
      </c>
      <c r="CD48" s="1317"/>
      <c r="CE48" s="1316"/>
      <c r="CF48" s="932" t="s">
        <v>572</v>
      </c>
      <c r="CH48" s="1314" t="s">
        <v>218</v>
      </c>
      <c r="CI48" s="1316" t="str">
        <f t="shared" ref="CI48:CI61" si="97">CI33</f>
        <v>Reference Thermometer, Merek : FLUKE, Model : 1524, SN : 1803038</v>
      </c>
      <c r="CJ48" s="1317"/>
      <c r="CK48" s="1316"/>
      <c r="CL48" s="932" t="s">
        <v>572</v>
      </c>
      <c r="CN48" s="1314" t="s">
        <v>218</v>
      </c>
      <c r="CO48" s="1316" t="str">
        <f t="shared" ref="CO48:CO61" si="98">CO33</f>
        <v>Reference Thermometer, Merek : FLUKE, Model : 1524, SN : 1803037</v>
      </c>
      <c r="CP48" s="1317"/>
      <c r="CQ48" s="1316"/>
      <c r="CR48" s="932" t="s">
        <v>572</v>
      </c>
    </row>
    <row r="49" spans="2:96">
      <c r="B49" s="1315"/>
      <c r="C49" s="935">
        <f>C34</f>
        <v>2019</v>
      </c>
      <c r="D49" s="935">
        <f>D34</f>
        <v>2021</v>
      </c>
      <c r="E49" s="936" t="s">
        <v>215</v>
      </c>
      <c r="F49" s="1063">
        <f>F34</f>
        <v>6.4428226504297132</v>
      </c>
      <c r="G49" s="937"/>
      <c r="H49" s="1315"/>
      <c r="I49" s="938">
        <f>I34</f>
        <v>2020</v>
      </c>
      <c r="J49" s="935">
        <f>J34</f>
        <v>2021</v>
      </c>
      <c r="K49" s="936" t="s">
        <v>215</v>
      </c>
      <c r="L49" s="1063">
        <f>F49</f>
        <v>6.4428226504297132</v>
      </c>
      <c r="M49" s="937"/>
      <c r="N49" s="1315"/>
      <c r="O49" s="938">
        <f>O4</f>
        <v>2018</v>
      </c>
      <c r="P49" s="935">
        <f>P4</f>
        <v>2021</v>
      </c>
      <c r="Q49" s="936" t="s">
        <v>215</v>
      </c>
      <c r="R49" s="1063">
        <f>L49</f>
        <v>6.4428226504297132</v>
      </c>
      <c r="S49" s="929"/>
      <c r="T49" s="1315"/>
      <c r="U49" s="938">
        <f>U34</f>
        <v>2021</v>
      </c>
      <c r="V49" s="935"/>
      <c r="W49" s="936" t="s">
        <v>215</v>
      </c>
      <c r="X49" s="1063">
        <f>R49</f>
        <v>6.4428226504297132</v>
      </c>
      <c r="Y49" s="929"/>
      <c r="Z49" s="1315"/>
      <c r="AA49" s="938">
        <f>AA34</f>
        <v>2021</v>
      </c>
      <c r="AB49" s="935"/>
      <c r="AC49" s="936" t="s">
        <v>215</v>
      </c>
      <c r="AD49" s="1063">
        <f>X49</f>
        <v>6.4428226504297132</v>
      </c>
      <c r="AE49" s="929"/>
      <c r="AF49" s="1315"/>
      <c r="AG49" s="938">
        <f>AG34</f>
        <v>2021</v>
      </c>
      <c r="AH49" s="938">
        <f>AH34</f>
        <v>0</v>
      </c>
      <c r="AI49" s="936" t="s">
        <v>215</v>
      </c>
      <c r="AJ49" s="1063">
        <f>AD49</f>
        <v>6.4428226504297132</v>
      </c>
      <c r="AK49" s="929"/>
      <c r="AL49" s="1315"/>
      <c r="AM49" s="938">
        <f>AM34</f>
        <v>2021</v>
      </c>
      <c r="AN49" s="935"/>
      <c r="AO49" s="936" t="s">
        <v>215</v>
      </c>
      <c r="AP49" s="1063">
        <f>AJ49</f>
        <v>6.4428226504297132</v>
      </c>
      <c r="AQ49" s="929"/>
      <c r="AR49" s="1315"/>
      <c r="AS49" s="938">
        <f>AS34</f>
        <v>2021</v>
      </c>
      <c r="AT49" s="935"/>
      <c r="AU49" s="936" t="s">
        <v>215</v>
      </c>
      <c r="AV49" s="1063">
        <f>AP49</f>
        <v>6.4428226504297132</v>
      </c>
      <c r="AW49" s="929"/>
      <c r="AX49" s="1315"/>
      <c r="AY49" s="938">
        <f>AY34</f>
        <v>2021</v>
      </c>
      <c r="AZ49" s="935"/>
      <c r="BA49" s="936" t="s">
        <v>215</v>
      </c>
      <c r="BB49" s="1063">
        <f>AV49</f>
        <v>6.4428226504297132</v>
      </c>
      <c r="BC49" s="929"/>
      <c r="BD49" s="1315"/>
      <c r="BE49" s="938">
        <f>BE34</f>
        <v>2021</v>
      </c>
      <c r="BF49" s="935"/>
      <c r="BG49" s="936" t="s">
        <v>215</v>
      </c>
      <c r="BH49" s="1063">
        <f>BB49</f>
        <v>6.4428226504297132</v>
      </c>
      <c r="BI49" s="929"/>
      <c r="BJ49" s="1315"/>
      <c r="BK49" s="938">
        <f>BK34</f>
        <v>2021</v>
      </c>
      <c r="BL49" s="935"/>
      <c r="BM49" s="936" t="s">
        <v>215</v>
      </c>
      <c r="BN49" s="1063">
        <f>BH49</f>
        <v>6.4428226504297132</v>
      </c>
      <c r="BO49" s="929"/>
      <c r="BP49" s="1315"/>
      <c r="BQ49" s="938">
        <f>BQ34</f>
        <v>2021</v>
      </c>
      <c r="BR49" s="935"/>
      <c r="BS49" s="936" t="s">
        <v>215</v>
      </c>
      <c r="BT49" s="1063">
        <f>BN49</f>
        <v>6.4428226504297132</v>
      </c>
      <c r="BU49" s="929"/>
      <c r="BV49" s="1315"/>
      <c r="BW49" s="938">
        <f>BW34</f>
        <v>2021</v>
      </c>
      <c r="BX49" s="935"/>
      <c r="BY49" s="936" t="s">
        <v>215</v>
      </c>
      <c r="BZ49" s="1063">
        <f>BT49</f>
        <v>6.4428226504297132</v>
      </c>
      <c r="CA49" s="929"/>
      <c r="CB49" s="1315"/>
      <c r="CC49" s="938">
        <f t="shared" si="96"/>
        <v>2020</v>
      </c>
      <c r="CD49" s="935"/>
      <c r="CE49" s="936" t="s">
        <v>215</v>
      </c>
      <c r="CF49" s="1063">
        <f>BZ49</f>
        <v>6.4428226504297132</v>
      </c>
      <c r="CH49" s="1315"/>
      <c r="CI49" s="938">
        <f t="shared" si="97"/>
        <v>2021</v>
      </c>
      <c r="CJ49" s="935"/>
      <c r="CK49" s="936" t="s">
        <v>215</v>
      </c>
      <c r="CL49" s="1063">
        <f>CF49</f>
        <v>6.4428226504297132</v>
      </c>
      <c r="CN49" s="1315"/>
      <c r="CO49" s="938">
        <f t="shared" si="98"/>
        <v>2021</v>
      </c>
      <c r="CP49" s="935"/>
      <c r="CQ49" s="936" t="s">
        <v>215</v>
      </c>
      <c r="CR49" s="1063">
        <f>CL49</f>
        <v>6.4428226504297132</v>
      </c>
    </row>
    <row r="50" spans="2:96">
      <c r="B50" s="939">
        <v>-20</v>
      </c>
      <c r="C50" s="940">
        <v>-0.21</v>
      </c>
      <c r="D50" s="940">
        <f t="shared" ref="D50:D61" si="99">U175</f>
        <v>-0.37</v>
      </c>
      <c r="E50" s="925">
        <f t="shared" ref="E50:E61" si="100">IF(OR(C50=0,D50=0),$U$187/3,((MAX(C50:D50)-(MIN(C50:D50)))))</f>
        <v>0.16</v>
      </c>
      <c r="F50" s="1061">
        <f>IF(F49&lt;=B51,B50,IF(F49&lt;=B52,B51,IF(F49&lt;=B53,B52,IF(F49&lt;=B54,B53,IF(F49&lt;=B55,B54)))))</f>
        <v>2</v>
      </c>
      <c r="G50" s="942"/>
      <c r="H50" s="939">
        <v>-20</v>
      </c>
      <c r="I50" s="940">
        <v>-1.1999999999999999E-3</v>
      </c>
      <c r="J50" s="940">
        <f t="shared" ref="J50:J61" si="101">V175</f>
        <v>-0.63</v>
      </c>
      <c r="K50" s="925">
        <f t="shared" ref="K50:K61" si="102">IF(OR(I50=0,J50=0),$V$187/3,((MAX(I50:J50)-(MIN(I50:J50)))))</f>
        <v>0.62880000000000003</v>
      </c>
      <c r="L50" s="1061">
        <f>IF(L49&lt;=H51,H50,IF(L49&lt;=H52,H51,IF(L49&lt;=H53,H52,IF(L49&lt;=H54,H53,IF(L49&lt;=H55,H54)))))</f>
        <v>2</v>
      </c>
      <c r="M50" s="942"/>
      <c r="N50" s="939">
        <v>-20</v>
      </c>
      <c r="O50" s="940"/>
      <c r="P50" s="940">
        <f t="shared" ref="P50:P61" si="103">W175</f>
        <v>1E-3</v>
      </c>
      <c r="Q50" s="925">
        <f t="shared" ref="Q50:Q61" si="104">IF(OR(O50=0,P50=0),$W$187/3,((MAX(O50:P50)-(MIN(O50:P50)))))</f>
        <v>0.13</v>
      </c>
      <c r="R50" s="1061">
        <f>IF(R49&lt;=N51,N50,IF(R49&lt;=N52,N51,IF(R49&lt;=N53,N52,IF(R49&lt;=N54,N53,IF(R49&lt;=N55,N54)))))</f>
        <v>2</v>
      </c>
      <c r="S50" s="929"/>
      <c r="T50" s="939">
        <v>-20</v>
      </c>
      <c r="U50" s="940">
        <f t="shared" ref="U50:U61" si="105">X175</f>
        <v>1E-3</v>
      </c>
      <c r="V50" s="940"/>
      <c r="W50" s="925">
        <f t="shared" ref="W50:W61" si="106">IF(OR(U50=0,V50=0),$X$187/3,((MAX(U50:V50)-(MIN(U50:V50)))))</f>
        <v>3.3333333333333332E-4</v>
      </c>
      <c r="X50" s="1061">
        <f>IF(X49&lt;=T51,T50,IF(X49&lt;=T52,T51,IF(X49&lt;=T53,T52,IF(X49&lt;=T54,T53,IF(X49&lt;=T55,T54)))))</f>
        <v>2</v>
      </c>
      <c r="Y50" s="929"/>
      <c r="Z50" s="939">
        <v>-20</v>
      </c>
      <c r="AA50" s="940">
        <f t="shared" ref="AA50:AA61" si="107">Y175</f>
        <v>1E-3</v>
      </c>
      <c r="AB50" s="940"/>
      <c r="AC50" s="925">
        <f t="shared" ref="AC50:AC61" si="108">IF(OR(AA50=0,AB50=0),$Y$187/3,((MAX(AA50:AB50)-(MIN(AA50:AB50)))))</f>
        <v>3.3333333333333332E-4</v>
      </c>
      <c r="AD50" s="1061">
        <f>IF(AD49&lt;=Z51,Z50,IF(AD49&lt;=Z52,Z51,IF(AD49&lt;=Z53,Z52,IF(AD49&lt;=Z54,Z53,IF(AD49&lt;=Z55,Z54)))))</f>
        <v>2</v>
      </c>
      <c r="AE50" s="929"/>
      <c r="AF50" s="939">
        <v>-20</v>
      </c>
      <c r="AG50" s="940">
        <f t="shared" ref="AG50:AG61" si="109">Z175</f>
        <v>0.04</v>
      </c>
      <c r="AH50" s="940"/>
      <c r="AI50" s="925">
        <f t="shared" ref="AI50:AI61" si="110">IF(OR(AG50=0,AH50=0),$Z$187/3,((MAX(AG50:AH50)-(MIN(AG50:AH50)))))</f>
        <v>0.3066666666666667</v>
      </c>
      <c r="AJ50" s="1061">
        <f>IF(AJ49&lt;=AF51,AF50,IF(AJ49&lt;=AF52,AF51,IF(AJ49&lt;=AF53,AF52,IF(AJ49&lt;=AF54,AF53,IF(AJ49&lt;=AF55,AF54)))))</f>
        <v>2</v>
      </c>
      <c r="AK50" s="929"/>
      <c r="AL50" s="939">
        <v>-20</v>
      </c>
      <c r="AM50" s="940">
        <f t="shared" ref="AM50:AM61" si="111">AA175</f>
        <v>1E-3</v>
      </c>
      <c r="AN50" s="940"/>
      <c r="AO50" s="925">
        <f t="shared" ref="AO50:AO61" si="112">IF(OR(AM50=0,AN50=0),$AA$187/3,((MAX(AM50:AN50)-(MIN(AM50:AN50)))))</f>
        <v>3.3333333333333332E-4</v>
      </c>
      <c r="AP50" s="1061">
        <f>IF(AP49&lt;=AL51,AL50,IF(AP49&lt;=AL52,AL51,IF(AP49&lt;=AL53,AL52,IF(AP49&lt;=AL54,AL53,IF(AP49&lt;=AL55,AL54)))))</f>
        <v>2</v>
      </c>
      <c r="AQ50" s="929"/>
      <c r="AR50" s="939">
        <v>-20</v>
      </c>
      <c r="AS50" s="940">
        <f t="shared" ref="AS50:AS61" si="113">AB175</f>
        <v>1E-3</v>
      </c>
      <c r="AT50" s="940"/>
      <c r="AU50" s="925">
        <f t="shared" ref="AU50:AU61" si="114">IF(OR(AS50=0,AT50=0),$AB$187/3,((MAX(AS50:AT50)-(MIN(AS50:AT50)))))</f>
        <v>3.3333333333333332E-4</v>
      </c>
      <c r="AV50" s="1061">
        <f>IF(AV49&lt;=AR51,AR50,IF(AV49&lt;=AR52,AR51,IF(AV49&lt;=AR53,AR52,IF(AV49&lt;=AR54,AR53,IF(AV49&lt;=AR55,AR54)))))</f>
        <v>2</v>
      </c>
      <c r="AW50" s="929"/>
      <c r="AX50" s="939">
        <v>-20</v>
      </c>
      <c r="AY50" s="940">
        <f t="shared" ref="AY50:AY61" si="115">AC175</f>
        <v>0.64</v>
      </c>
      <c r="AZ50" s="940"/>
      <c r="BA50" s="925">
        <f t="shared" ref="BA50:BA61" si="116">IF(OR(AY50=0,AZ50=0),$AC$187/3,((MAX(AY50:AZ50)-(MIN(AY50:AZ50)))))</f>
        <v>0.26333333333333336</v>
      </c>
      <c r="BB50" s="1061">
        <f>IF(BB49&lt;=AX51,AX50,IF(BB49&lt;=AX52,AX51,IF(BB49&lt;=AX53,AX52,IF(BB49&lt;=AX54,AX53,IF(BB49&lt;=AX55,AX54)))))</f>
        <v>2</v>
      </c>
      <c r="BC50" s="929"/>
      <c r="BD50" s="939">
        <v>-20</v>
      </c>
      <c r="BE50" s="940">
        <f t="shared" ref="BE50:BE61" si="117">AD175</f>
        <v>1E-3</v>
      </c>
      <c r="BF50" s="940"/>
      <c r="BG50" s="925">
        <f t="shared" ref="BG50:BG61" si="118">IF(OR(BE50=0,BF50=0),$AD$187/3,((MAX(BE50:BF50)-(MIN(BE50:BF50)))))</f>
        <v>3.3333333333333332E-4</v>
      </c>
      <c r="BH50" s="1061">
        <f>IF(BH49&lt;=BD51,BD50,IF(BH49&lt;=BD52,BD51,IF(BH49&lt;=BD53,BD52,IF(BH49&lt;=BD54,BD53,IF(BH49&lt;=BD55,BD54)))))</f>
        <v>2</v>
      </c>
      <c r="BI50" s="929"/>
      <c r="BJ50" s="939">
        <v>-20</v>
      </c>
      <c r="BK50" s="940">
        <f t="shared" ref="BK50:BK61" si="119">AE175</f>
        <v>0.64</v>
      </c>
      <c r="BL50" s="940"/>
      <c r="BM50" s="925">
        <f t="shared" ref="BM50:BM61" si="120">IF(OR(BK50=0,BL50=0),$AE$187/3,((MAX(BK50:BL50)-(MIN(BK50:BL50)))))</f>
        <v>0.26333333333333336</v>
      </c>
      <c r="BN50" s="1061">
        <f>IF(BN49&lt;=BJ51,BJ50,IF(BN49&lt;=BJ52,BJ51,IF(BN49&lt;=BJ53,BJ52,IF(BN49&lt;=BJ54,BJ53,IF(BN49&lt;=BJ55,BJ54)))))</f>
        <v>2</v>
      </c>
      <c r="BO50" s="929"/>
      <c r="BP50" s="939">
        <v>-20</v>
      </c>
      <c r="BQ50" s="940">
        <f t="shared" ref="BQ50:BQ61" si="121">AF175</f>
        <v>1E-3</v>
      </c>
      <c r="BR50" s="940"/>
      <c r="BS50" s="925">
        <f t="shared" ref="BS50:BS61" si="122">IF(OR(BQ50=0,BR50=0),$AF$187/3,((MAX(BQ50:BR50)-(MIN(BQ50:BR50)))))</f>
        <v>3.3333333333333332E-4</v>
      </c>
      <c r="BT50" s="1061">
        <f>IF(BT49&lt;=BP51,BP50,IF(BT49&lt;=BP52,BP51,IF(BT49&lt;=BP53,BP52,IF(BT49&lt;=BP54,BP53,IF(BT49&lt;=BP55,BP54)))))</f>
        <v>2</v>
      </c>
      <c r="BU50" s="929"/>
      <c r="BV50" s="939">
        <v>-20</v>
      </c>
      <c r="BW50" s="940">
        <f t="shared" ref="BW50:BW61" si="123">AG175</f>
        <v>16</v>
      </c>
      <c r="BX50" s="940"/>
      <c r="BY50" s="925">
        <f t="shared" ref="BY50:BY61" si="124">IF(OR(BW50=0,BX50=0),$AG$187/3,((MAX(BW50:BX50)-(MIN(BW50:BX50)))))</f>
        <v>9.3333333333333339</v>
      </c>
      <c r="BZ50" s="1061">
        <f>IF(BZ49&lt;=BV51,BV50,IF(BZ49&lt;=BV52,BV51,IF(BZ49&lt;=BV53,BV52,IF(BZ49&lt;=BV54,BV53,IF(BZ49&lt;=BV55,BV54)))))</f>
        <v>2</v>
      </c>
      <c r="CA50" s="929"/>
      <c r="CB50" s="939">
        <v>-20</v>
      </c>
      <c r="CC50" s="940">
        <f t="shared" si="96"/>
        <v>-0.7</v>
      </c>
      <c r="CD50" s="940"/>
      <c r="CE50" s="925">
        <f t="shared" ref="CE50:CE61" si="125">CE35</f>
        <v>0.13333333333333333</v>
      </c>
      <c r="CF50" s="1061">
        <f>IF(CF49&lt;=CB51,CB50,IF(CF49&lt;=CB52,CB51,IF(CF49&lt;=CB53,CB52,IF(CF49&lt;=CB54,CB53,IF(CF49&lt;=CB55,CB54)))))</f>
        <v>2</v>
      </c>
      <c r="CH50" s="939">
        <v>-20</v>
      </c>
      <c r="CI50" s="940">
        <f t="shared" si="97"/>
        <v>-1.5E-3</v>
      </c>
      <c r="CJ50" s="940"/>
      <c r="CK50" s="925">
        <f t="shared" ref="CK50:CK61" si="126">CK35</f>
        <v>7.3333333333333334E-2</v>
      </c>
      <c r="CL50" s="1061">
        <f>IF(CL49&lt;=CH51,CH50,IF(CL49&lt;=CH52,CH51,IF(CL49&lt;=CH53,CH52,IF(CL49&lt;=CH54,CH53,IF(CL49&lt;=CH55,CH54)))))</f>
        <v>2</v>
      </c>
      <c r="CN50" s="939">
        <v>-20</v>
      </c>
      <c r="CO50" s="940">
        <f t="shared" si="98"/>
        <v>-1.8</v>
      </c>
      <c r="CP50" s="940"/>
      <c r="CQ50" s="925">
        <f t="shared" ref="CQ50:CQ61" si="127">CQ35</f>
        <v>0.25666666666666665</v>
      </c>
      <c r="CR50" s="1061">
        <f>IF(CR49&lt;=CN51,CN50,IF(CR49&lt;=CN52,CN51,IF(CR49&lt;=CN53,CN52,IF(CR49&lt;=CN54,CN53,IF(CR49&lt;=CN55,CN54)))))</f>
        <v>2</v>
      </c>
    </row>
    <row r="51" spans="2:96">
      <c r="B51" s="939">
        <v>-15</v>
      </c>
      <c r="C51" s="940">
        <v>-1.9E-3</v>
      </c>
      <c r="D51" s="940">
        <f t="shared" si="99"/>
        <v>-0.31</v>
      </c>
      <c r="E51" s="925">
        <f t="shared" si="100"/>
        <v>0.30809999999999998</v>
      </c>
      <c r="F51" s="1056"/>
      <c r="G51" s="942"/>
      <c r="H51" s="939">
        <v>-15</v>
      </c>
      <c r="I51" s="940">
        <v>-1E-3</v>
      </c>
      <c r="J51" s="940">
        <f t="shared" si="101"/>
        <v>-0.51</v>
      </c>
      <c r="K51" s="925">
        <f t="shared" si="102"/>
        <v>0.50900000000000001</v>
      </c>
      <c r="L51" s="1056"/>
      <c r="M51" s="942"/>
      <c r="N51" s="939">
        <v>-15</v>
      </c>
      <c r="O51" s="940"/>
      <c r="P51" s="940">
        <f t="shared" si="103"/>
        <v>-0.52</v>
      </c>
      <c r="Q51" s="925">
        <f t="shared" si="104"/>
        <v>0.13</v>
      </c>
      <c r="R51" s="1056"/>
      <c r="S51" s="929"/>
      <c r="T51" s="939">
        <v>-15</v>
      </c>
      <c r="U51" s="940">
        <f t="shared" si="105"/>
        <v>1E-3</v>
      </c>
      <c r="V51" s="940"/>
      <c r="W51" s="925">
        <f t="shared" si="106"/>
        <v>3.3333333333333332E-4</v>
      </c>
      <c r="X51" s="1056"/>
      <c r="Y51" s="929"/>
      <c r="Z51" s="939">
        <v>-15</v>
      </c>
      <c r="AA51" s="940">
        <f t="shared" si="107"/>
        <v>1E-3</v>
      </c>
      <c r="AB51" s="940"/>
      <c r="AC51" s="925">
        <f t="shared" si="108"/>
        <v>3.3333333333333332E-4</v>
      </c>
      <c r="AD51" s="1056"/>
      <c r="AE51" s="929"/>
      <c r="AF51" s="939">
        <v>-15</v>
      </c>
      <c r="AG51" s="940">
        <f t="shared" si="109"/>
        <v>1E-3</v>
      </c>
      <c r="AH51" s="940"/>
      <c r="AI51" s="925">
        <f t="shared" si="110"/>
        <v>0.3066666666666667</v>
      </c>
      <c r="AJ51" s="1056"/>
      <c r="AK51" s="929"/>
      <c r="AL51" s="939">
        <v>-15</v>
      </c>
      <c r="AM51" s="940">
        <f t="shared" si="111"/>
        <v>1E-3</v>
      </c>
      <c r="AN51" s="940"/>
      <c r="AO51" s="925">
        <f t="shared" si="112"/>
        <v>3.3333333333333332E-4</v>
      </c>
      <c r="AP51" s="1056"/>
      <c r="AQ51" s="929"/>
      <c r="AR51" s="939">
        <v>-15</v>
      </c>
      <c r="AS51" s="940">
        <f t="shared" si="113"/>
        <v>1E-3</v>
      </c>
      <c r="AT51" s="940"/>
      <c r="AU51" s="925">
        <f t="shared" si="114"/>
        <v>3.3333333333333332E-4</v>
      </c>
      <c r="AV51" s="1056"/>
      <c r="AW51" s="929"/>
      <c r="AX51" s="939">
        <v>-15</v>
      </c>
      <c r="AY51" s="940">
        <f t="shared" si="115"/>
        <v>1E-3</v>
      </c>
      <c r="AZ51" s="940"/>
      <c r="BA51" s="925">
        <f t="shared" si="116"/>
        <v>0.26333333333333336</v>
      </c>
      <c r="BB51" s="1056"/>
      <c r="BC51" s="929"/>
      <c r="BD51" s="939">
        <v>-15</v>
      </c>
      <c r="BE51" s="940">
        <f t="shared" si="117"/>
        <v>1E-3</v>
      </c>
      <c r="BF51" s="940"/>
      <c r="BG51" s="925">
        <f t="shared" si="118"/>
        <v>3.3333333333333332E-4</v>
      </c>
      <c r="BH51" s="1056"/>
      <c r="BI51" s="929"/>
      <c r="BJ51" s="939">
        <v>-15</v>
      </c>
      <c r="BK51" s="940">
        <f t="shared" si="119"/>
        <v>1E-3</v>
      </c>
      <c r="BL51" s="940"/>
      <c r="BM51" s="925">
        <f t="shared" si="120"/>
        <v>0.26333333333333336</v>
      </c>
      <c r="BN51" s="1056"/>
      <c r="BO51" s="929"/>
      <c r="BP51" s="939">
        <v>-15</v>
      </c>
      <c r="BQ51" s="940">
        <f t="shared" si="121"/>
        <v>1E-3</v>
      </c>
      <c r="BR51" s="940"/>
      <c r="BS51" s="925">
        <f t="shared" si="122"/>
        <v>3.3333333333333332E-4</v>
      </c>
      <c r="BT51" s="1056"/>
      <c r="BU51" s="929"/>
      <c r="BV51" s="939">
        <v>-15</v>
      </c>
      <c r="BW51" s="940">
        <f t="shared" si="123"/>
        <v>17</v>
      </c>
      <c r="BX51" s="940"/>
      <c r="BY51" s="925">
        <f t="shared" si="124"/>
        <v>9.3333333333333339</v>
      </c>
      <c r="BZ51" s="1056"/>
      <c r="CA51" s="929"/>
      <c r="CB51" s="939">
        <v>-15</v>
      </c>
      <c r="CC51" s="940">
        <f t="shared" si="96"/>
        <v>-0.7</v>
      </c>
      <c r="CD51" s="940"/>
      <c r="CE51" s="925">
        <f t="shared" si="125"/>
        <v>0.13333333333333333</v>
      </c>
      <c r="CF51" s="1056"/>
      <c r="CH51" s="939">
        <v>-15</v>
      </c>
      <c r="CI51" s="940">
        <f t="shared" si="97"/>
        <v>1E-3</v>
      </c>
      <c r="CJ51" s="940"/>
      <c r="CK51" s="925">
        <f t="shared" si="126"/>
        <v>7.3333333333333334E-2</v>
      </c>
      <c r="CL51" s="1056"/>
      <c r="CN51" s="939">
        <v>-15</v>
      </c>
      <c r="CO51" s="940">
        <f t="shared" si="98"/>
        <v>-1.52</v>
      </c>
      <c r="CP51" s="940"/>
      <c r="CQ51" s="925">
        <f t="shared" si="127"/>
        <v>0.25666666666666665</v>
      </c>
      <c r="CR51" s="1056"/>
    </row>
    <row r="52" spans="2:96">
      <c r="B52" s="939">
        <v>-10</v>
      </c>
      <c r="C52" s="940">
        <v>-1.6000000000000001E-3</v>
      </c>
      <c r="D52" s="940">
        <f t="shared" si="99"/>
        <v>-0.25</v>
      </c>
      <c r="E52" s="925">
        <f t="shared" si="100"/>
        <v>0.24840000000000001</v>
      </c>
      <c r="F52" s="1061">
        <f>IF(F49&lt;=B50,B50,IF(F49&lt;=B51,B51,IF(F49&lt;=B52,B52,IF(F49&lt;=B53,B53,IF(F49&lt;=B54,B54,IF(F49&lt;=B55,B55))))))</f>
        <v>8</v>
      </c>
      <c r="G52" s="942"/>
      <c r="H52" s="939">
        <v>-10</v>
      </c>
      <c r="I52" s="940">
        <v>-0.08</v>
      </c>
      <c r="J52" s="940">
        <f t="shared" si="101"/>
        <v>1E-3</v>
      </c>
      <c r="K52" s="925">
        <f t="shared" si="102"/>
        <v>8.1000000000000003E-2</v>
      </c>
      <c r="L52" s="1061">
        <f>IF(L49&lt;=H50,H50,IF(L49&lt;=H51,H51,IF(L49&lt;=H52,H52,IF(L49&lt;=H53,H53,IF(L49&lt;=H54,H54,IF(L49&lt;=H55,H55))))))</f>
        <v>8</v>
      </c>
      <c r="M52" s="942"/>
      <c r="N52" s="939">
        <v>-10</v>
      </c>
      <c r="O52" s="940"/>
      <c r="P52" s="940">
        <f t="shared" si="103"/>
        <v>-0.43</v>
      </c>
      <c r="Q52" s="925">
        <f t="shared" si="104"/>
        <v>0.13</v>
      </c>
      <c r="R52" s="1061">
        <f>IF(R49&lt;=N50,N50,IF(R49&lt;=N51,N51,IF(R49&lt;=N52,N52,IF(R49&lt;=N53,N53,IF(R49&lt;=N54,N54,IF(R49&lt;=N55,N55))))))</f>
        <v>8</v>
      </c>
      <c r="S52" s="929"/>
      <c r="T52" s="939">
        <v>-10</v>
      </c>
      <c r="U52" s="940">
        <f t="shared" si="105"/>
        <v>1E-3</v>
      </c>
      <c r="V52" s="940"/>
      <c r="W52" s="925">
        <f t="shared" si="106"/>
        <v>3.3333333333333332E-4</v>
      </c>
      <c r="X52" s="1061">
        <f>IF(X49&lt;=T50,T50,IF(X49&lt;=T51,T51,IF(X49&lt;=T52,T52,IF(X49&lt;=T53,T53,IF(X49&lt;=T54,T54,IF(X49&lt;=T55,T55))))))</f>
        <v>8</v>
      </c>
      <c r="Y52" s="929"/>
      <c r="Z52" s="939">
        <v>-10</v>
      </c>
      <c r="AA52" s="940">
        <f t="shared" si="107"/>
        <v>1E-3</v>
      </c>
      <c r="AB52" s="940"/>
      <c r="AC52" s="925">
        <f t="shared" si="108"/>
        <v>3.3333333333333332E-4</v>
      </c>
      <c r="AD52" s="1061">
        <f>IF(AD49&lt;=Z50,Z50,IF(AD49&lt;=Z51,Z51,IF(AD49&lt;=Z52,Z52,IF(AD49&lt;=Z53,Z53,IF(AD49&lt;=Z54,Z54,IF(AD49&lt;=Z55,Z55))))))</f>
        <v>8</v>
      </c>
      <c r="AE52" s="929"/>
      <c r="AF52" s="939">
        <v>-10</v>
      </c>
      <c r="AG52" s="940">
        <f t="shared" si="109"/>
        <v>0.21</v>
      </c>
      <c r="AH52" s="940"/>
      <c r="AI52" s="925">
        <f t="shared" si="110"/>
        <v>0.3066666666666667</v>
      </c>
      <c r="AJ52" s="1061">
        <f>IF(AJ49&lt;=AF50,AF50,IF(AJ49&lt;=AF51,AF51,IF(AJ49&lt;=AF52,AF52,IF(AJ49&lt;=AF53,AF53,IF(AJ49&lt;=AF54,AF54,IF(AJ49&lt;=AF55,AF55))))))</f>
        <v>8</v>
      </c>
      <c r="AK52" s="929"/>
      <c r="AL52" s="939">
        <v>-10</v>
      </c>
      <c r="AM52" s="940">
        <f t="shared" si="111"/>
        <v>1E-3</v>
      </c>
      <c r="AN52" s="940"/>
      <c r="AO52" s="925">
        <f t="shared" si="112"/>
        <v>3.3333333333333332E-4</v>
      </c>
      <c r="AP52" s="1061">
        <f>IF(AP49&lt;=AL50,AL50,IF(AP49&lt;=AL51,AL51,IF(AP49&lt;=AL52,AL52,IF(AP49&lt;=AL53,AL53,IF(AP49&lt;=AL54,AL54,IF(AP49&lt;=AL55,AL55))))))</f>
        <v>8</v>
      </c>
      <c r="AQ52" s="929"/>
      <c r="AR52" s="939">
        <v>-10</v>
      </c>
      <c r="AS52" s="940">
        <f t="shared" si="113"/>
        <v>1E-3</v>
      </c>
      <c r="AT52" s="940"/>
      <c r="AU52" s="925">
        <f t="shared" si="114"/>
        <v>3.3333333333333332E-4</v>
      </c>
      <c r="AV52" s="1061">
        <f>IF(AV49&lt;=AR50,AR50,IF(AV49&lt;=AR51,AR51,IF(AV49&lt;=AR52,AR52,IF(AV49&lt;=AR53,AR53,IF(AV49&lt;=AR54,AR54,IF(AV49&lt;=AR55,AR55))))))</f>
        <v>8</v>
      </c>
      <c r="AW52" s="929"/>
      <c r="AX52" s="939">
        <v>-10</v>
      </c>
      <c r="AY52" s="940">
        <f t="shared" si="115"/>
        <v>0.6</v>
      </c>
      <c r="AZ52" s="940"/>
      <c r="BA52" s="925">
        <f t="shared" si="116"/>
        <v>0.26333333333333336</v>
      </c>
      <c r="BB52" s="1061">
        <f>IF(BB49&lt;=AX50,AX50,IF(BB49&lt;=AX51,AX51,IF(BB49&lt;=AX52,AX52,IF(BB49&lt;=AX53,AX53,IF(BB49&lt;=AX54,AX54,IF(BB49&lt;=AX55,AX55))))))</f>
        <v>8</v>
      </c>
      <c r="BC52" s="929"/>
      <c r="BD52" s="939">
        <v>-10</v>
      </c>
      <c r="BE52" s="940">
        <f t="shared" si="117"/>
        <v>1E-3</v>
      </c>
      <c r="BF52" s="940"/>
      <c r="BG52" s="925">
        <f t="shared" si="118"/>
        <v>3.3333333333333332E-4</v>
      </c>
      <c r="BH52" s="1061">
        <f>IF(BH49&lt;=BD50,BD50,IF(BH49&lt;=BD51,BD51,IF(BH49&lt;=BD52,BD52,IF(BH49&lt;=BD53,BD53,IF(BH49&lt;=BD54,BD54,IF(BH49&lt;=BD55,BD55))))))</f>
        <v>8</v>
      </c>
      <c r="BI52" s="929"/>
      <c r="BJ52" s="939">
        <v>-10</v>
      </c>
      <c r="BK52" s="940">
        <f t="shared" si="119"/>
        <v>0.6</v>
      </c>
      <c r="BL52" s="940"/>
      <c r="BM52" s="925">
        <f t="shared" si="120"/>
        <v>0.26333333333333336</v>
      </c>
      <c r="BN52" s="1061">
        <f>IF(BN49&lt;=BJ50,BJ50,IF(BN49&lt;=BJ51,BJ51,IF(BN49&lt;=BJ52,BJ52,IF(BN49&lt;=BJ53,BJ53,IF(BN49&lt;=BJ54,BJ54,IF(BN49&lt;=BJ55,BJ55))))))</f>
        <v>8</v>
      </c>
      <c r="BO52" s="929"/>
      <c r="BP52" s="939">
        <v>-10</v>
      </c>
      <c r="BQ52" s="940">
        <f t="shared" si="121"/>
        <v>1E-3</v>
      </c>
      <c r="BR52" s="940"/>
      <c r="BS52" s="925">
        <f t="shared" si="122"/>
        <v>3.3333333333333332E-4</v>
      </c>
      <c r="BT52" s="1061">
        <f>IF(BT49&lt;=BP50,BP50,IF(BT49&lt;=BP51,BP51,IF(BT49&lt;=BP52,BP52,IF(BT49&lt;=BP53,BP53,IF(BT49&lt;=BP54,BP54,IF(BT49&lt;=BP55,BP55))))))</f>
        <v>8</v>
      </c>
      <c r="BU52" s="929"/>
      <c r="BV52" s="939">
        <v>-10</v>
      </c>
      <c r="BW52" s="940">
        <f t="shared" si="123"/>
        <v>18</v>
      </c>
      <c r="BX52" s="940"/>
      <c r="BY52" s="925">
        <f t="shared" si="124"/>
        <v>9.3333333333333339</v>
      </c>
      <c r="BZ52" s="1061">
        <f>IF(BZ49&lt;=BV50,BV50,IF(BZ49&lt;=BV51,BV51,IF(BZ49&lt;=BV52,BV52,IF(BZ49&lt;=BV53,BV53,IF(BZ49&lt;=BV54,BV54,IF(BZ49&lt;=BV55,BV55))))))</f>
        <v>8</v>
      </c>
      <c r="CA52" s="929"/>
      <c r="CB52" s="939">
        <v>-10</v>
      </c>
      <c r="CC52" s="940">
        <f t="shared" si="96"/>
        <v>-0.7</v>
      </c>
      <c r="CD52" s="940"/>
      <c r="CE52" s="925">
        <f t="shared" si="125"/>
        <v>0.13333333333333333</v>
      </c>
      <c r="CF52" s="1061">
        <f>IF(CF49&lt;=CB50,CB50,IF(CF49&lt;=CB51,CB51,IF(CF49&lt;=CB52,CB52,IF(CF49&lt;=CB53,CB53,IF(CF49&lt;=CB54,CB54,IF(CF49&lt;=CB55,CB55))))))</f>
        <v>8</v>
      </c>
      <c r="CH52" s="939">
        <v>-10</v>
      </c>
      <c r="CI52" s="940">
        <f t="shared" si="97"/>
        <v>-0.05</v>
      </c>
      <c r="CJ52" s="940"/>
      <c r="CK52" s="925">
        <f t="shared" si="126"/>
        <v>7.3333333333333334E-2</v>
      </c>
      <c r="CL52" s="1061">
        <f>IF(CL49&lt;=CH50,CH50,IF(CL49&lt;=CH51,CH51,IF(CL49&lt;=CH52,CH52,IF(CL49&lt;=CH53,CH53,IF(CL49&lt;=CH54,CH54,IF(CL49&lt;=CH55,CH55))))))</f>
        <v>8</v>
      </c>
      <c r="CN52" s="939">
        <v>-10</v>
      </c>
      <c r="CO52" s="940">
        <f t="shared" si="98"/>
        <v>-1.26</v>
      </c>
      <c r="CP52" s="940"/>
      <c r="CQ52" s="925">
        <f t="shared" si="127"/>
        <v>0.25666666666666665</v>
      </c>
      <c r="CR52" s="1061">
        <f>IF(CR49&lt;=CN50,CN50,IF(CR49&lt;=CN51,CN51,IF(CR49&lt;=CN52,CN52,IF(CR49&lt;=CN53,CN53,IF(CR49&lt;=CN54,CN54,IF(CR49&lt;=CN55,CN55))))))</f>
        <v>8</v>
      </c>
    </row>
    <row r="53" spans="2:96">
      <c r="B53" s="939">
        <v>1E-3</v>
      </c>
      <c r="C53" s="940"/>
      <c r="D53" s="940">
        <f t="shared" si="99"/>
        <v>-1.6000000000000001E-3</v>
      </c>
      <c r="E53" s="925">
        <f t="shared" si="100"/>
        <v>0.11333333333333334</v>
      </c>
      <c r="F53" s="1056"/>
      <c r="G53" s="942"/>
      <c r="H53" s="939">
        <v>1E-3</v>
      </c>
      <c r="I53" s="940">
        <v>-0.03</v>
      </c>
      <c r="J53" s="940">
        <f t="shared" si="101"/>
        <v>-0.22</v>
      </c>
      <c r="K53" s="925">
        <f t="shared" si="102"/>
        <v>0.19</v>
      </c>
      <c r="L53" s="1056"/>
      <c r="M53" s="942"/>
      <c r="N53" s="939">
        <v>1E-3</v>
      </c>
      <c r="O53" s="940"/>
      <c r="P53" s="940">
        <f t="shared" si="103"/>
        <v>-0.36</v>
      </c>
      <c r="Q53" s="925">
        <f t="shared" si="104"/>
        <v>0.13</v>
      </c>
      <c r="R53" s="1056"/>
      <c r="S53" s="929"/>
      <c r="T53" s="939">
        <v>1E-3</v>
      </c>
      <c r="U53" s="940">
        <f t="shared" si="105"/>
        <v>1E-3</v>
      </c>
      <c r="V53" s="940"/>
      <c r="W53" s="925">
        <f t="shared" si="106"/>
        <v>3.3333333333333332E-4</v>
      </c>
      <c r="X53" s="1056"/>
      <c r="Y53" s="929"/>
      <c r="Z53" s="939">
        <v>1E-3</v>
      </c>
      <c r="AA53" s="940">
        <f t="shared" si="107"/>
        <v>1E-3</v>
      </c>
      <c r="AB53" s="940"/>
      <c r="AC53" s="925">
        <f t="shared" si="108"/>
        <v>3.3333333333333332E-4</v>
      </c>
      <c r="AD53" s="1056"/>
      <c r="AE53" s="929"/>
      <c r="AF53" s="939">
        <v>1E-3</v>
      </c>
      <c r="AG53" s="940">
        <f t="shared" si="109"/>
        <v>0.35</v>
      </c>
      <c r="AH53" s="940"/>
      <c r="AI53" s="925">
        <f t="shared" si="110"/>
        <v>0.3066666666666667</v>
      </c>
      <c r="AJ53" s="1056"/>
      <c r="AK53" s="929"/>
      <c r="AL53" s="939">
        <v>1E-3</v>
      </c>
      <c r="AM53" s="940">
        <f t="shared" si="111"/>
        <v>1E-3</v>
      </c>
      <c r="AN53" s="940"/>
      <c r="AO53" s="925">
        <f t="shared" si="112"/>
        <v>3.3333333333333332E-4</v>
      </c>
      <c r="AP53" s="1056"/>
      <c r="AQ53" s="929"/>
      <c r="AR53" s="939">
        <v>1E-3</v>
      </c>
      <c r="AS53" s="940">
        <f t="shared" si="113"/>
        <v>1E-3</v>
      </c>
      <c r="AT53" s="940"/>
      <c r="AU53" s="925">
        <f t="shared" si="114"/>
        <v>3.3333333333333332E-4</v>
      </c>
      <c r="AV53" s="1056"/>
      <c r="AW53" s="929"/>
      <c r="AX53" s="939">
        <v>1E-3</v>
      </c>
      <c r="AY53" s="940">
        <f t="shared" si="115"/>
        <v>0.56999999999999995</v>
      </c>
      <c r="AZ53" s="940"/>
      <c r="BA53" s="925">
        <f t="shared" si="116"/>
        <v>0.26333333333333336</v>
      </c>
      <c r="BB53" s="1056"/>
      <c r="BC53" s="929"/>
      <c r="BD53" s="939">
        <v>1E-3</v>
      </c>
      <c r="BE53" s="940">
        <f t="shared" si="117"/>
        <v>1E-3</v>
      </c>
      <c r="BF53" s="940"/>
      <c r="BG53" s="925">
        <f t="shared" si="118"/>
        <v>3.3333333333333332E-4</v>
      </c>
      <c r="BH53" s="1056"/>
      <c r="BI53" s="929"/>
      <c r="BJ53" s="939">
        <v>1E-3</v>
      </c>
      <c r="BK53" s="940">
        <f t="shared" si="119"/>
        <v>0.56999999999999995</v>
      </c>
      <c r="BL53" s="940"/>
      <c r="BM53" s="925">
        <f t="shared" si="120"/>
        <v>0.26333333333333336</v>
      </c>
      <c r="BN53" s="1056"/>
      <c r="BO53" s="929"/>
      <c r="BP53" s="939">
        <v>1E-3</v>
      </c>
      <c r="BQ53" s="940">
        <f t="shared" si="121"/>
        <v>1E-3</v>
      </c>
      <c r="BR53" s="940"/>
      <c r="BS53" s="925">
        <f t="shared" si="122"/>
        <v>3.3333333333333332E-4</v>
      </c>
      <c r="BT53" s="1056"/>
      <c r="BU53" s="929"/>
      <c r="BV53" s="939">
        <v>1E-3</v>
      </c>
      <c r="BW53" s="940">
        <f t="shared" si="123"/>
        <v>19</v>
      </c>
      <c r="BX53" s="940"/>
      <c r="BY53" s="925">
        <f t="shared" si="124"/>
        <v>9.3333333333333339</v>
      </c>
      <c r="BZ53" s="1056"/>
      <c r="CA53" s="929"/>
      <c r="CB53" s="939">
        <v>1E-3</v>
      </c>
      <c r="CC53" s="940">
        <f t="shared" si="96"/>
        <v>-0.7</v>
      </c>
      <c r="CD53" s="940"/>
      <c r="CE53" s="925">
        <f t="shared" si="125"/>
        <v>0.13333333333333333</v>
      </c>
      <c r="CF53" s="1056"/>
      <c r="CH53" s="939">
        <v>1E-3</v>
      </c>
      <c r="CI53" s="940">
        <f t="shared" si="97"/>
        <v>0.03</v>
      </c>
      <c r="CJ53" s="940"/>
      <c r="CK53" s="925">
        <f t="shared" si="126"/>
        <v>7.3333333333333334E-2</v>
      </c>
      <c r="CL53" s="1056"/>
      <c r="CN53" s="939">
        <v>1E-3</v>
      </c>
      <c r="CO53" s="940">
        <f t="shared" si="98"/>
        <v>-0.79</v>
      </c>
      <c r="CP53" s="940"/>
      <c r="CQ53" s="925">
        <f t="shared" si="127"/>
        <v>0.25666666666666665</v>
      </c>
      <c r="CR53" s="1056"/>
    </row>
    <row r="54" spans="2:96">
      <c r="B54" s="939">
        <v>2</v>
      </c>
      <c r="C54" s="940">
        <v>-1.1000000000000001E-3</v>
      </c>
      <c r="D54" s="940">
        <f t="shared" si="99"/>
        <v>-1.4E-3</v>
      </c>
      <c r="E54" s="1065">
        <f t="shared" si="100"/>
        <v>2.9999999999999992E-4</v>
      </c>
      <c r="F54" s="1062">
        <f>LOOKUP(F50,B50:E61)</f>
        <v>2.9999999999999992E-4</v>
      </c>
      <c r="G54" s="942"/>
      <c r="H54" s="939">
        <v>2</v>
      </c>
      <c r="I54" s="940">
        <v>-0.02</v>
      </c>
      <c r="J54" s="940">
        <f t="shared" si="101"/>
        <v>-1.9E-3</v>
      </c>
      <c r="K54" s="925">
        <f t="shared" si="102"/>
        <v>1.8100000000000002E-2</v>
      </c>
      <c r="L54" s="1062">
        <f>LOOKUP(L50,H50:K61)</f>
        <v>1.8100000000000002E-2</v>
      </c>
      <c r="M54" s="942"/>
      <c r="N54" s="939">
        <v>2</v>
      </c>
      <c r="O54" s="940"/>
      <c r="P54" s="940">
        <f t="shared" si="103"/>
        <v>-0.35</v>
      </c>
      <c r="Q54" s="925">
        <f t="shared" si="104"/>
        <v>0.13</v>
      </c>
      <c r="R54" s="1062">
        <f>LOOKUP(R50,N50:Q61)</f>
        <v>0.13</v>
      </c>
      <c r="S54" s="929"/>
      <c r="T54" s="939">
        <v>2</v>
      </c>
      <c r="U54" s="940">
        <f t="shared" si="105"/>
        <v>1E-3</v>
      </c>
      <c r="V54" s="940"/>
      <c r="W54" s="925">
        <f t="shared" si="106"/>
        <v>3.3333333333333332E-4</v>
      </c>
      <c r="X54" s="1062">
        <f>LOOKUP(X50,T50:W61)</f>
        <v>3.3333333333333332E-4</v>
      </c>
      <c r="Y54" s="929"/>
      <c r="Z54" s="939">
        <v>2</v>
      </c>
      <c r="AA54" s="940">
        <f t="shared" si="107"/>
        <v>1E-3</v>
      </c>
      <c r="AB54" s="940"/>
      <c r="AC54" s="925">
        <f t="shared" si="108"/>
        <v>3.3333333333333332E-4</v>
      </c>
      <c r="AD54" s="1062">
        <f>LOOKUP(AD50,Z50:AC61)</f>
        <v>3.3333333333333332E-4</v>
      </c>
      <c r="AE54" s="929"/>
      <c r="AF54" s="939">
        <v>2</v>
      </c>
      <c r="AG54" s="940">
        <f t="shared" si="109"/>
        <v>0.37</v>
      </c>
      <c r="AH54" s="940"/>
      <c r="AI54" s="925">
        <f t="shared" si="110"/>
        <v>0.3066666666666667</v>
      </c>
      <c r="AJ54" s="1062">
        <f>LOOKUP(AJ50,AF50:AI61)</f>
        <v>0.3066666666666667</v>
      </c>
      <c r="AK54" s="929"/>
      <c r="AL54" s="939">
        <v>2</v>
      </c>
      <c r="AM54" s="940">
        <f t="shared" si="111"/>
        <v>1E-3</v>
      </c>
      <c r="AN54" s="940"/>
      <c r="AO54" s="925">
        <f t="shared" si="112"/>
        <v>3.3333333333333332E-4</v>
      </c>
      <c r="AP54" s="1062">
        <f>LOOKUP(AP50,AL50:AO61)</f>
        <v>3.3333333333333332E-4</v>
      </c>
      <c r="AQ54" s="929"/>
      <c r="AR54" s="939">
        <v>2</v>
      </c>
      <c r="AS54" s="940">
        <f t="shared" si="113"/>
        <v>1E-3</v>
      </c>
      <c r="AT54" s="940"/>
      <c r="AU54" s="925">
        <f t="shared" si="114"/>
        <v>3.3333333333333332E-4</v>
      </c>
      <c r="AV54" s="1062">
        <f>LOOKUP(AV50,AR50:AU61)</f>
        <v>3.3333333333333332E-4</v>
      </c>
      <c r="AW54" s="929"/>
      <c r="AX54" s="939">
        <v>2</v>
      </c>
      <c r="AY54" s="940">
        <f t="shared" si="115"/>
        <v>0.56000000000000005</v>
      </c>
      <c r="AZ54" s="940"/>
      <c r="BA54" s="925">
        <f t="shared" si="116"/>
        <v>0.26333333333333336</v>
      </c>
      <c r="BB54" s="1062">
        <f>LOOKUP(BB50,AX50:BA61)</f>
        <v>0.26333333333333336</v>
      </c>
      <c r="BC54" s="929"/>
      <c r="BD54" s="939">
        <v>2</v>
      </c>
      <c r="BE54" s="940">
        <f t="shared" si="117"/>
        <v>1E-3</v>
      </c>
      <c r="BF54" s="940"/>
      <c r="BG54" s="925">
        <f t="shared" si="118"/>
        <v>3.3333333333333332E-4</v>
      </c>
      <c r="BH54" s="1062">
        <f>LOOKUP(BH50,BD50:BG61)</f>
        <v>3.3333333333333332E-4</v>
      </c>
      <c r="BI54" s="929"/>
      <c r="BJ54" s="939">
        <v>2</v>
      </c>
      <c r="BK54" s="940">
        <f t="shared" si="119"/>
        <v>0.56000000000000005</v>
      </c>
      <c r="BL54" s="940"/>
      <c r="BM54" s="925">
        <f t="shared" si="120"/>
        <v>0.26333333333333336</v>
      </c>
      <c r="BN54" s="1062">
        <f>LOOKUP(BN50,BJ50:BM61)</f>
        <v>0.26333333333333336</v>
      </c>
      <c r="BO54" s="929"/>
      <c r="BP54" s="939">
        <v>2</v>
      </c>
      <c r="BQ54" s="940">
        <f t="shared" si="121"/>
        <v>1E-3</v>
      </c>
      <c r="BR54" s="940"/>
      <c r="BS54" s="925">
        <f t="shared" si="122"/>
        <v>3.3333333333333332E-4</v>
      </c>
      <c r="BT54" s="1062">
        <f>LOOKUP(BT50,BP50:BS61)</f>
        <v>3.3333333333333332E-4</v>
      </c>
      <c r="BU54" s="929"/>
      <c r="BV54" s="939">
        <v>2</v>
      </c>
      <c r="BW54" s="940">
        <f t="shared" si="123"/>
        <v>20</v>
      </c>
      <c r="BX54" s="940"/>
      <c r="BY54" s="925">
        <f t="shared" si="124"/>
        <v>9.3333333333333339</v>
      </c>
      <c r="BZ54" s="1062">
        <f>LOOKUP(BZ50,BV50:BY61)</f>
        <v>9.3333333333333339</v>
      </c>
      <c r="CA54" s="929"/>
      <c r="CB54" s="939">
        <v>2</v>
      </c>
      <c r="CC54" s="940">
        <f t="shared" si="96"/>
        <v>-0.7</v>
      </c>
      <c r="CD54" s="940"/>
      <c r="CE54" s="925">
        <f t="shared" si="125"/>
        <v>0.13333333333333333</v>
      </c>
      <c r="CF54" s="1062">
        <f>LOOKUP(CF50,CB50:CE61)</f>
        <v>0.13333333333333333</v>
      </c>
      <c r="CH54" s="939">
        <v>2</v>
      </c>
      <c r="CI54" s="940">
        <f t="shared" si="97"/>
        <v>0.04</v>
      </c>
      <c r="CJ54" s="940"/>
      <c r="CK54" s="925">
        <f t="shared" si="126"/>
        <v>7.3333333333333334E-2</v>
      </c>
      <c r="CL54" s="1062">
        <f>LOOKUP(CL50,CH50:CK61)</f>
        <v>7.3333333333333334E-2</v>
      </c>
      <c r="CN54" s="939">
        <v>2</v>
      </c>
      <c r="CO54" s="940">
        <f t="shared" si="98"/>
        <v>-2.7</v>
      </c>
      <c r="CP54" s="940"/>
      <c r="CQ54" s="925">
        <f t="shared" si="127"/>
        <v>0.25666666666666665</v>
      </c>
      <c r="CR54" s="1062">
        <f>LOOKUP(CR50,CN50:CQ61)</f>
        <v>0.25666666666666665</v>
      </c>
    </row>
    <row r="55" spans="2:96">
      <c r="B55" s="939">
        <v>8</v>
      </c>
      <c r="C55" s="948"/>
      <c r="D55" s="940">
        <f t="shared" si="99"/>
        <v>-0.09</v>
      </c>
      <c r="E55" s="925">
        <f t="shared" si="100"/>
        <v>0.11333333333333334</v>
      </c>
      <c r="F55" s="1056"/>
      <c r="G55" s="942"/>
      <c r="H55" s="939">
        <v>8</v>
      </c>
      <c r="I55" s="940">
        <v>1E-3</v>
      </c>
      <c r="J55" s="940">
        <f t="shared" si="101"/>
        <v>-1E-3</v>
      </c>
      <c r="K55" s="925">
        <f t="shared" si="102"/>
        <v>2E-3</v>
      </c>
      <c r="L55" s="1056"/>
      <c r="M55" s="942"/>
      <c r="N55" s="939">
        <v>8</v>
      </c>
      <c r="O55" s="940"/>
      <c r="P55" s="940">
        <f t="shared" si="103"/>
        <v>-0.22</v>
      </c>
      <c r="Q55" s="925">
        <f t="shared" si="104"/>
        <v>0.13</v>
      </c>
      <c r="R55" s="1056"/>
      <c r="S55" s="929"/>
      <c r="T55" s="939">
        <v>8</v>
      </c>
      <c r="U55" s="940">
        <f t="shared" si="105"/>
        <v>1E-3</v>
      </c>
      <c r="V55" s="940"/>
      <c r="W55" s="925">
        <f t="shared" si="106"/>
        <v>3.3333333333333332E-4</v>
      </c>
      <c r="X55" s="1056"/>
      <c r="Y55" s="929"/>
      <c r="Z55" s="939">
        <v>8</v>
      </c>
      <c r="AA55" s="940">
        <f t="shared" si="107"/>
        <v>1E-3</v>
      </c>
      <c r="AB55" s="940"/>
      <c r="AC55" s="925">
        <f t="shared" si="108"/>
        <v>3.3333333333333332E-4</v>
      </c>
      <c r="AD55" s="1056"/>
      <c r="AE55" s="929"/>
      <c r="AF55" s="939">
        <v>8</v>
      </c>
      <c r="AG55" s="940">
        <f t="shared" si="109"/>
        <v>0.44</v>
      </c>
      <c r="AH55" s="940"/>
      <c r="AI55" s="925">
        <f t="shared" si="110"/>
        <v>0.3066666666666667</v>
      </c>
      <c r="AJ55" s="1056"/>
      <c r="AK55" s="929"/>
      <c r="AL55" s="939">
        <v>8</v>
      </c>
      <c r="AM55" s="940">
        <f t="shared" si="111"/>
        <v>1E-3</v>
      </c>
      <c r="AN55" s="940"/>
      <c r="AO55" s="925">
        <f t="shared" si="112"/>
        <v>3.3333333333333332E-4</v>
      </c>
      <c r="AP55" s="1056"/>
      <c r="AQ55" s="929"/>
      <c r="AR55" s="939">
        <v>8</v>
      </c>
      <c r="AS55" s="940">
        <f t="shared" si="113"/>
        <v>1E-3</v>
      </c>
      <c r="AT55" s="940"/>
      <c r="AU55" s="925">
        <f t="shared" si="114"/>
        <v>3.3333333333333332E-4</v>
      </c>
      <c r="AV55" s="1056"/>
      <c r="AW55" s="929"/>
      <c r="AX55" s="939">
        <v>8</v>
      </c>
      <c r="AY55" s="940">
        <f t="shared" si="115"/>
        <v>0.54</v>
      </c>
      <c r="AZ55" s="940"/>
      <c r="BA55" s="925">
        <f t="shared" si="116"/>
        <v>0.26333333333333336</v>
      </c>
      <c r="BB55" s="1056"/>
      <c r="BC55" s="929"/>
      <c r="BD55" s="939">
        <v>8</v>
      </c>
      <c r="BE55" s="940">
        <f t="shared" si="117"/>
        <v>1E-3</v>
      </c>
      <c r="BF55" s="940"/>
      <c r="BG55" s="925">
        <f t="shared" si="118"/>
        <v>3.3333333333333332E-4</v>
      </c>
      <c r="BH55" s="1056"/>
      <c r="BI55" s="929"/>
      <c r="BJ55" s="939">
        <v>8</v>
      </c>
      <c r="BK55" s="940">
        <f t="shared" si="119"/>
        <v>0.54</v>
      </c>
      <c r="BL55" s="940"/>
      <c r="BM55" s="925">
        <f t="shared" si="120"/>
        <v>0.26333333333333336</v>
      </c>
      <c r="BN55" s="1056"/>
      <c r="BO55" s="929"/>
      <c r="BP55" s="939">
        <v>8</v>
      </c>
      <c r="BQ55" s="940">
        <f t="shared" si="121"/>
        <v>1E-3</v>
      </c>
      <c r="BR55" s="940"/>
      <c r="BS55" s="925">
        <f t="shared" si="122"/>
        <v>3.3333333333333332E-4</v>
      </c>
      <c r="BT55" s="1056"/>
      <c r="BU55" s="929"/>
      <c r="BV55" s="939">
        <v>8</v>
      </c>
      <c r="BW55" s="940">
        <f t="shared" si="123"/>
        <v>21</v>
      </c>
      <c r="BX55" s="940"/>
      <c r="BY55" s="925">
        <f t="shared" si="124"/>
        <v>9.3333333333333339</v>
      </c>
      <c r="BZ55" s="1056"/>
      <c r="CA55" s="929"/>
      <c r="CB55" s="939">
        <v>8</v>
      </c>
      <c r="CC55" s="940">
        <f t="shared" si="96"/>
        <v>-0.7</v>
      </c>
      <c r="CD55" s="940"/>
      <c r="CE55" s="925">
        <f t="shared" si="125"/>
        <v>0.13333333333333333</v>
      </c>
      <c r="CF55" s="1056"/>
      <c r="CH55" s="939">
        <v>8</v>
      </c>
      <c r="CI55" s="940">
        <f t="shared" si="97"/>
        <v>0.08</v>
      </c>
      <c r="CJ55" s="940"/>
      <c r="CK55" s="925">
        <f t="shared" si="126"/>
        <v>7.3333333333333334E-2</v>
      </c>
      <c r="CL55" s="1056"/>
      <c r="CN55" s="939">
        <v>8</v>
      </c>
      <c r="CO55" s="940">
        <f t="shared" si="98"/>
        <v>-0.46</v>
      </c>
      <c r="CP55" s="940"/>
      <c r="CQ55" s="925">
        <f t="shared" si="127"/>
        <v>0.25666666666666665</v>
      </c>
      <c r="CR55" s="1056"/>
    </row>
    <row r="56" spans="2:96">
      <c r="B56" s="939">
        <v>37</v>
      </c>
      <c r="C56" s="940">
        <v>1E-3</v>
      </c>
      <c r="D56" s="940">
        <f t="shared" si="99"/>
        <v>0.06</v>
      </c>
      <c r="E56" s="925">
        <f t="shared" si="100"/>
        <v>5.8999999999999997E-2</v>
      </c>
      <c r="F56" s="1062">
        <f>LOOKUP(F52,B50:E61)</f>
        <v>0.11333333333333334</v>
      </c>
      <c r="G56" s="942"/>
      <c r="H56" s="939">
        <v>37</v>
      </c>
      <c r="I56" s="940">
        <v>0.09</v>
      </c>
      <c r="J56" s="940">
        <f t="shared" si="101"/>
        <v>1.6000000000000001E-3</v>
      </c>
      <c r="K56" s="925">
        <f t="shared" si="102"/>
        <v>8.8399999999999992E-2</v>
      </c>
      <c r="L56" s="1062">
        <f>LOOKUP(L52,H50:K61)</f>
        <v>2E-3</v>
      </c>
      <c r="M56" s="942"/>
      <c r="N56" s="939">
        <v>37</v>
      </c>
      <c r="O56" s="940"/>
      <c r="P56" s="940">
        <f t="shared" si="103"/>
        <v>-1.1000000000000001E-3</v>
      </c>
      <c r="Q56" s="925">
        <f t="shared" si="104"/>
        <v>0.13</v>
      </c>
      <c r="R56" s="1062">
        <f>LOOKUP(R52,N50:Q61)</f>
        <v>0.13</v>
      </c>
      <c r="S56" s="929"/>
      <c r="T56" s="939">
        <v>37</v>
      </c>
      <c r="U56" s="940">
        <f t="shared" si="105"/>
        <v>1E-3</v>
      </c>
      <c r="V56" s="940"/>
      <c r="W56" s="925">
        <f t="shared" si="106"/>
        <v>3.3333333333333332E-4</v>
      </c>
      <c r="X56" s="1062">
        <f>LOOKUP(X52,T50:W61)</f>
        <v>3.3333333333333332E-4</v>
      </c>
      <c r="Y56" s="929"/>
      <c r="Z56" s="939">
        <v>37</v>
      </c>
      <c r="AA56" s="940">
        <f t="shared" si="107"/>
        <v>1E-3</v>
      </c>
      <c r="AB56" s="940"/>
      <c r="AC56" s="925">
        <f t="shared" si="108"/>
        <v>3.3333333333333332E-4</v>
      </c>
      <c r="AD56" s="1062">
        <f>LOOKUP(AD52,Z50:AC61)</f>
        <v>3.3333333333333332E-4</v>
      </c>
      <c r="AE56" s="929"/>
      <c r="AF56" s="939">
        <v>37</v>
      </c>
      <c r="AG56" s="940">
        <f t="shared" si="109"/>
        <v>0.64</v>
      </c>
      <c r="AH56" s="940"/>
      <c r="AI56" s="925">
        <f t="shared" si="110"/>
        <v>0.3066666666666667</v>
      </c>
      <c r="AJ56" s="1062">
        <f>LOOKUP(AJ52,AF50:AI61)</f>
        <v>0.3066666666666667</v>
      </c>
      <c r="AK56" s="929"/>
      <c r="AL56" s="939">
        <v>37</v>
      </c>
      <c r="AM56" s="940">
        <f t="shared" si="111"/>
        <v>1E-3</v>
      </c>
      <c r="AN56" s="940"/>
      <c r="AO56" s="925">
        <f t="shared" si="112"/>
        <v>3.3333333333333332E-4</v>
      </c>
      <c r="AP56" s="1062">
        <f>LOOKUP(AP52,AL50:AO61)</f>
        <v>3.3333333333333332E-4</v>
      </c>
      <c r="AQ56" s="929"/>
      <c r="AR56" s="939">
        <v>37</v>
      </c>
      <c r="AS56" s="940">
        <f t="shared" si="113"/>
        <v>1E-3</v>
      </c>
      <c r="AT56" s="940"/>
      <c r="AU56" s="925">
        <f t="shared" si="114"/>
        <v>3.3333333333333332E-4</v>
      </c>
      <c r="AV56" s="1062">
        <f>LOOKUP(AV52,AR50:AU61)</f>
        <v>3.3333333333333332E-4</v>
      </c>
      <c r="AW56" s="929"/>
      <c r="AX56" s="939">
        <v>37</v>
      </c>
      <c r="AY56" s="940">
        <f t="shared" si="115"/>
        <v>0.43</v>
      </c>
      <c r="AZ56" s="940"/>
      <c r="BA56" s="925">
        <f t="shared" si="116"/>
        <v>0.26333333333333336</v>
      </c>
      <c r="BB56" s="1062">
        <f>LOOKUP(BB52,AX50:BA61)</f>
        <v>0.26333333333333336</v>
      </c>
      <c r="BC56" s="929"/>
      <c r="BD56" s="939">
        <v>37</v>
      </c>
      <c r="BE56" s="940">
        <f t="shared" si="117"/>
        <v>1E-3</v>
      </c>
      <c r="BF56" s="940"/>
      <c r="BG56" s="925">
        <f t="shared" si="118"/>
        <v>3.3333333333333332E-4</v>
      </c>
      <c r="BH56" s="1062">
        <f>LOOKUP(BH52,BD50:BG61)</f>
        <v>3.3333333333333332E-4</v>
      </c>
      <c r="BI56" s="929"/>
      <c r="BJ56" s="939">
        <v>37</v>
      </c>
      <c r="BK56" s="940">
        <f t="shared" si="119"/>
        <v>0.43</v>
      </c>
      <c r="BL56" s="940"/>
      <c r="BM56" s="925">
        <f t="shared" si="120"/>
        <v>0.26333333333333336</v>
      </c>
      <c r="BN56" s="1062">
        <f>LOOKUP(BN52,BJ50:BM61)</f>
        <v>0.26333333333333336</v>
      </c>
      <c r="BO56" s="929"/>
      <c r="BP56" s="939">
        <v>37</v>
      </c>
      <c r="BQ56" s="940">
        <f t="shared" si="121"/>
        <v>1E-3</v>
      </c>
      <c r="BR56" s="940"/>
      <c r="BS56" s="925">
        <f t="shared" si="122"/>
        <v>3.3333333333333332E-4</v>
      </c>
      <c r="BT56" s="1062">
        <f>LOOKUP(BT52,BP50:BS61)</f>
        <v>3.3333333333333332E-4</v>
      </c>
      <c r="BU56" s="929"/>
      <c r="BV56" s="939">
        <v>37</v>
      </c>
      <c r="BW56" s="940">
        <f t="shared" si="123"/>
        <v>22</v>
      </c>
      <c r="BX56" s="940"/>
      <c r="BY56" s="925">
        <f t="shared" si="124"/>
        <v>9.3333333333333339</v>
      </c>
      <c r="BZ56" s="1062">
        <f>LOOKUP(BZ52,BV50:BY61)</f>
        <v>9.3333333333333339</v>
      </c>
      <c r="CA56" s="929"/>
      <c r="CB56" s="939">
        <v>37</v>
      </c>
      <c r="CC56" s="940">
        <f t="shared" si="96"/>
        <v>-0.6</v>
      </c>
      <c r="CD56" s="940"/>
      <c r="CE56" s="925">
        <f t="shared" si="125"/>
        <v>0.13333333333333333</v>
      </c>
      <c r="CF56" s="1062">
        <f>LOOKUP(CF52,CB50:CE61)</f>
        <v>0.13333333333333333</v>
      </c>
      <c r="CH56" s="939">
        <v>37</v>
      </c>
      <c r="CI56" s="940">
        <f t="shared" si="97"/>
        <v>0.23</v>
      </c>
      <c r="CJ56" s="940"/>
      <c r="CK56" s="925">
        <f t="shared" si="126"/>
        <v>7.3333333333333334E-2</v>
      </c>
      <c r="CL56" s="1062">
        <f>LOOKUP(CL52,CH50:CK61)</f>
        <v>7.3333333333333334E-2</v>
      </c>
      <c r="CN56" s="939">
        <v>37</v>
      </c>
      <c r="CO56" s="940">
        <f t="shared" si="98"/>
        <v>0.42</v>
      </c>
      <c r="CP56" s="940"/>
      <c r="CQ56" s="925">
        <f t="shared" si="127"/>
        <v>0.25666666666666665</v>
      </c>
      <c r="CR56" s="1062">
        <f>LOOKUP(CR52,CN50:CQ61)</f>
        <v>0.25666666666666665</v>
      </c>
    </row>
    <row r="57" spans="2:96">
      <c r="B57" s="939">
        <v>44</v>
      </c>
      <c r="C57" s="940">
        <v>0.02</v>
      </c>
      <c r="D57" s="940">
        <f t="shared" si="99"/>
        <v>0.08</v>
      </c>
      <c r="E57" s="925">
        <f t="shared" si="100"/>
        <v>0.06</v>
      </c>
      <c r="F57" s="941"/>
      <c r="G57" s="942"/>
      <c r="H57" s="939">
        <v>44</v>
      </c>
      <c r="I57" s="940">
        <v>1E-3</v>
      </c>
      <c r="J57" s="940">
        <f t="shared" si="101"/>
        <v>1.9E-3</v>
      </c>
      <c r="K57" s="925">
        <f t="shared" si="102"/>
        <v>8.9999999999999998E-4</v>
      </c>
      <c r="L57" s="941"/>
      <c r="M57" s="942"/>
      <c r="N57" s="939">
        <v>44</v>
      </c>
      <c r="O57" s="940"/>
      <c r="P57" s="940">
        <f t="shared" si="103"/>
        <v>-1.2999999999999999E-3</v>
      </c>
      <c r="Q57" s="925">
        <f t="shared" si="104"/>
        <v>0.13</v>
      </c>
      <c r="R57" s="941"/>
      <c r="S57" s="929"/>
      <c r="T57" s="939">
        <v>44</v>
      </c>
      <c r="U57" s="940">
        <f t="shared" si="105"/>
        <v>1E-3</v>
      </c>
      <c r="V57" s="940"/>
      <c r="W57" s="925">
        <f t="shared" si="106"/>
        <v>3.3333333333333332E-4</v>
      </c>
      <c r="X57" s="941"/>
      <c r="Y57" s="929"/>
      <c r="Z57" s="939">
        <v>44</v>
      </c>
      <c r="AA57" s="940">
        <f t="shared" si="107"/>
        <v>1E-3</v>
      </c>
      <c r="AB57" s="940"/>
      <c r="AC57" s="925">
        <f t="shared" si="108"/>
        <v>3.3333333333333332E-4</v>
      </c>
      <c r="AD57" s="941"/>
      <c r="AE57" s="929"/>
      <c r="AF57" s="939">
        <v>44</v>
      </c>
      <c r="AG57" s="940">
        <f t="shared" si="109"/>
        <v>0.66</v>
      </c>
      <c r="AH57" s="940"/>
      <c r="AI57" s="925">
        <f t="shared" si="110"/>
        <v>0.3066666666666667</v>
      </c>
      <c r="AJ57" s="941"/>
      <c r="AK57" s="929"/>
      <c r="AL57" s="939">
        <v>44</v>
      </c>
      <c r="AM57" s="940">
        <f t="shared" si="111"/>
        <v>1E-3</v>
      </c>
      <c r="AN57" s="940"/>
      <c r="AO57" s="925">
        <f t="shared" si="112"/>
        <v>3.3333333333333332E-4</v>
      </c>
      <c r="AP57" s="941"/>
      <c r="AQ57" s="929"/>
      <c r="AR57" s="939">
        <v>44</v>
      </c>
      <c r="AS57" s="940">
        <f t="shared" si="113"/>
        <v>1E-3</v>
      </c>
      <c r="AT57" s="940"/>
      <c r="AU57" s="925">
        <f t="shared" si="114"/>
        <v>3.3333333333333332E-4</v>
      </c>
      <c r="AV57" s="941"/>
      <c r="AW57" s="929"/>
      <c r="AX57" s="939">
        <v>44</v>
      </c>
      <c r="AY57" s="940">
        <f t="shared" si="115"/>
        <v>0.4</v>
      </c>
      <c r="AZ57" s="940"/>
      <c r="BA57" s="925">
        <f t="shared" si="116"/>
        <v>0.26333333333333336</v>
      </c>
      <c r="BB57" s="941"/>
      <c r="BC57" s="929"/>
      <c r="BD57" s="939">
        <v>44</v>
      </c>
      <c r="BE57" s="940">
        <f t="shared" si="117"/>
        <v>1E-3</v>
      </c>
      <c r="BF57" s="940"/>
      <c r="BG57" s="925">
        <f t="shared" si="118"/>
        <v>3.3333333333333332E-4</v>
      </c>
      <c r="BH57" s="941"/>
      <c r="BI57" s="929"/>
      <c r="BJ57" s="939">
        <v>44</v>
      </c>
      <c r="BK57" s="940">
        <f t="shared" si="119"/>
        <v>0.4</v>
      </c>
      <c r="BL57" s="940"/>
      <c r="BM57" s="925">
        <f t="shared" si="120"/>
        <v>0.26333333333333336</v>
      </c>
      <c r="BN57" s="941"/>
      <c r="BO57" s="929"/>
      <c r="BP57" s="939">
        <v>44</v>
      </c>
      <c r="BQ57" s="940">
        <f t="shared" si="121"/>
        <v>1E-3</v>
      </c>
      <c r="BR57" s="940"/>
      <c r="BS57" s="925">
        <f t="shared" si="122"/>
        <v>3.3333333333333332E-4</v>
      </c>
      <c r="BT57" s="941"/>
      <c r="BU57" s="929"/>
      <c r="BV57" s="939">
        <v>44</v>
      </c>
      <c r="BW57" s="940">
        <f t="shared" si="123"/>
        <v>23</v>
      </c>
      <c r="BX57" s="940"/>
      <c r="BY57" s="925">
        <f t="shared" si="124"/>
        <v>9.3333333333333339</v>
      </c>
      <c r="BZ57" s="941"/>
      <c r="CA57" s="929"/>
      <c r="CB57" s="939">
        <v>44</v>
      </c>
      <c r="CC57" s="940">
        <f t="shared" si="96"/>
        <v>-0.7</v>
      </c>
      <c r="CD57" s="940"/>
      <c r="CE57" s="925">
        <f t="shared" si="125"/>
        <v>0.13333333333333333</v>
      </c>
      <c r="CF57" s="941"/>
      <c r="CH57" s="939">
        <v>44</v>
      </c>
      <c r="CI57" s="940">
        <f t="shared" si="97"/>
        <v>0.25</v>
      </c>
      <c r="CJ57" s="940"/>
      <c r="CK57" s="925">
        <f t="shared" si="126"/>
        <v>7.3333333333333334E-2</v>
      </c>
      <c r="CL57" s="941"/>
      <c r="CN57" s="939">
        <v>44</v>
      </c>
      <c r="CO57" s="940">
        <f t="shared" si="98"/>
        <v>0.56999999999999995</v>
      </c>
      <c r="CP57" s="940"/>
      <c r="CQ57" s="925">
        <f t="shared" si="127"/>
        <v>0.25666666666666665</v>
      </c>
      <c r="CR57" s="941"/>
    </row>
    <row r="58" spans="2:96">
      <c r="B58" s="939">
        <v>50</v>
      </c>
      <c r="C58" s="940">
        <v>0.03</v>
      </c>
      <c r="D58" s="940">
        <f t="shared" si="99"/>
        <v>0.09</v>
      </c>
      <c r="E58" s="925">
        <f t="shared" si="100"/>
        <v>0.06</v>
      </c>
      <c r="F58" s="1066">
        <f>(((F56-F54)/(F52-F50))*(F49-F50))+F54</f>
        <v>8.3997842264484215E-2</v>
      </c>
      <c r="G58" s="942"/>
      <c r="H58" s="939">
        <v>50</v>
      </c>
      <c r="I58" s="940">
        <v>1.1000000000000001E-3</v>
      </c>
      <c r="J58" s="940">
        <f t="shared" si="101"/>
        <v>0.21</v>
      </c>
      <c r="K58" s="925">
        <f t="shared" si="102"/>
        <v>0.2089</v>
      </c>
      <c r="L58" s="1064">
        <f>(((L56-L54)/(L52-L50))*(L49-L50))+L54</f>
        <v>6.1784258880136014E-3</v>
      </c>
      <c r="M58" s="942"/>
      <c r="N58" s="939">
        <v>50</v>
      </c>
      <c r="O58" s="940"/>
      <c r="P58" s="940">
        <f t="shared" si="103"/>
        <v>0.22</v>
      </c>
      <c r="Q58" s="925">
        <f t="shared" si="104"/>
        <v>0.13</v>
      </c>
      <c r="R58" s="1064">
        <f>(((R56-R54)/(R52-R50))*(R49-R50))+R54</f>
        <v>0.13</v>
      </c>
      <c r="S58" s="929"/>
      <c r="T58" s="939">
        <v>50</v>
      </c>
      <c r="U58" s="940">
        <f t="shared" si="105"/>
        <v>1E-3</v>
      </c>
      <c r="V58" s="940"/>
      <c r="W58" s="925">
        <f t="shared" si="106"/>
        <v>3.3333333333333332E-4</v>
      </c>
      <c r="X58" s="1064">
        <f>(((X56-X54)/(X52-X50))*(X49-X50))+X54</f>
        <v>3.3333333333333332E-4</v>
      </c>
      <c r="Y58" s="929"/>
      <c r="Z58" s="939">
        <v>50</v>
      </c>
      <c r="AA58" s="940">
        <f t="shared" si="107"/>
        <v>1E-3</v>
      </c>
      <c r="AB58" s="940"/>
      <c r="AC58" s="925">
        <f t="shared" si="108"/>
        <v>3.3333333333333332E-4</v>
      </c>
      <c r="AD58" s="1064">
        <f>(((AD56-AD54)/(AD52-AD50))*(AD49-AD50))+AD54</f>
        <v>3.3333333333333332E-4</v>
      </c>
      <c r="AE58" s="929"/>
      <c r="AF58" s="939">
        <v>50</v>
      </c>
      <c r="AG58" s="940">
        <f t="shared" si="109"/>
        <v>0.67</v>
      </c>
      <c r="AH58" s="940"/>
      <c r="AI58" s="925">
        <f t="shared" si="110"/>
        <v>0.3066666666666667</v>
      </c>
      <c r="AJ58" s="1064">
        <f>(((AJ56-AJ54)/(AJ52-AJ50))*(AJ49-AJ50))+AJ54</f>
        <v>0.3066666666666667</v>
      </c>
      <c r="AK58" s="929"/>
      <c r="AL58" s="939">
        <v>50</v>
      </c>
      <c r="AM58" s="940">
        <f t="shared" si="111"/>
        <v>1E-3</v>
      </c>
      <c r="AN58" s="940"/>
      <c r="AO58" s="925">
        <f t="shared" si="112"/>
        <v>3.3333333333333332E-4</v>
      </c>
      <c r="AP58" s="1064">
        <f>(((AP56-AP54)/(AP52-AP50))*(AP49-AP50))+AP54</f>
        <v>3.3333333333333332E-4</v>
      </c>
      <c r="AQ58" s="929"/>
      <c r="AR58" s="939">
        <v>50</v>
      </c>
      <c r="AS58" s="940">
        <f t="shared" si="113"/>
        <v>1E-3</v>
      </c>
      <c r="AT58" s="940"/>
      <c r="AU58" s="925">
        <f t="shared" si="114"/>
        <v>3.3333333333333332E-4</v>
      </c>
      <c r="AV58" s="1064">
        <f>(((AV56-AV54)/(AV52-AV50))*(AV49-AV50))+AV54</f>
        <v>3.3333333333333332E-4</v>
      </c>
      <c r="AW58" s="929"/>
      <c r="AX58" s="939">
        <v>50</v>
      </c>
      <c r="AY58" s="940">
        <f t="shared" si="115"/>
        <v>0.38</v>
      </c>
      <c r="AZ58" s="940"/>
      <c r="BA58" s="925">
        <f t="shared" si="116"/>
        <v>0.26333333333333336</v>
      </c>
      <c r="BB58" s="1064">
        <f>(((BB56-BB54)/(BB52-BB50))*(BB49-BB50))+BB54</f>
        <v>0.26333333333333336</v>
      </c>
      <c r="BC58" s="929"/>
      <c r="BD58" s="939">
        <v>50</v>
      </c>
      <c r="BE58" s="940">
        <f t="shared" si="117"/>
        <v>1E-3</v>
      </c>
      <c r="BF58" s="940"/>
      <c r="BG58" s="925">
        <f t="shared" si="118"/>
        <v>3.3333333333333332E-4</v>
      </c>
      <c r="BH58" s="1064">
        <f>(((BH56-BH54)/(BH52-BH50))*(BH49-BH50))+BH54</f>
        <v>3.3333333333333332E-4</v>
      </c>
      <c r="BI58" s="929"/>
      <c r="BJ58" s="939">
        <v>50</v>
      </c>
      <c r="BK58" s="940">
        <f t="shared" si="119"/>
        <v>0.38</v>
      </c>
      <c r="BL58" s="940"/>
      <c r="BM58" s="925">
        <f t="shared" si="120"/>
        <v>0.26333333333333336</v>
      </c>
      <c r="BN58" s="1064">
        <f>(((BN56-BN54)/(BN52-BN50))*(BN49-BN50))+BN54</f>
        <v>0.26333333333333336</v>
      </c>
      <c r="BO58" s="929"/>
      <c r="BP58" s="939">
        <v>50</v>
      </c>
      <c r="BQ58" s="940">
        <f t="shared" si="121"/>
        <v>1E-3</v>
      </c>
      <c r="BR58" s="940"/>
      <c r="BS58" s="925">
        <f t="shared" si="122"/>
        <v>3.3333333333333332E-4</v>
      </c>
      <c r="BT58" s="1064">
        <f>(((BT56-BT54)/(BT52-BT50))*(BT49-BT50))+BT54</f>
        <v>3.3333333333333332E-4</v>
      </c>
      <c r="BU58" s="929"/>
      <c r="BV58" s="939">
        <v>50</v>
      </c>
      <c r="BW58" s="940">
        <f t="shared" si="123"/>
        <v>24</v>
      </c>
      <c r="BX58" s="940"/>
      <c r="BY58" s="925">
        <f t="shared" si="124"/>
        <v>9.3333333333333339</v>
      </c>
      <c r="BZ58" s="1064">
        <f>(((BZ56-BZ54)/(BZ52-BZ50))*(BZ49-BZ50))+BZ54</f>
        <v>9.3333333333333339</v>
      </c>
      <c r="CA58" s="929"/>
      <c r="CB58" s="939">
        <v>50</v>
      </c>
      <c r="CC58" s="940">
        <f t="shared" si="96"/>
        <v>-0.7</v>
      </c>
      <c r="CD58" s="940"/>
      <c r="CE58" s="925">
        <f t="shared" si="125"/>
        <v>0.13333333333333333</v>
      </c>
      <c r="CF58" s="1064">
        <f>(((CF56-CF54)/(CF52-CF50))*(CF49-CF50))+CF54</f>
        <v>0.13333333333333333</v>
      </c>
      <c r="CH58" s="939">
        <v>50</v>
      </c>
      <c r="CI58" s="940">
        <f t="shared" si="97"/>
        <v>0.27</v>
      </c>
      <c r="CJ58" s="940"/>
      <c r="CK58" s="925">
        <f t="shared" si="126"/>
        <v>7.3333333333333334E-2</v>
      </c>
      <c r="CL58" s="1064">
        <f>(((CL56-CL54)/(CL52-CL50))*(CL49-CL50))+CL54</f>
        <v>7.3333333333333334E-2</v>
      </c>
      <c r="CN58" s="939">
        <v>50</v>
      </c>
      <c r="CO58" s="940">
        <f t="shared" si="98"/>
        <v>0.67</v>
      </c>
      <c r="CP58" s="940"/>
      <c r="CQ58" s="925">
        <f t="shared" si="127"/>
        <v>0.25666666666666665</v>
      </c>
      <c r="CR58" s="1064">
        <f>(((CR56-CR54)/(CR52-CR50))*(CR49-CR50))+CR54</f>
        <v>0.25666666666666665</v>
      </c>
    </row>
    <row r="59" spans="2:96">
      <c r="B59" s="939">
        <v>100</v>
      </c>
      <c r="C59" s="940">
        <v>0.09</v>
      </c>
      <c r="D59" s="940">
        <f t="shared" si="99"/>
        <v>1.1999999999999999E-3</v>
      </c>
      <c r="E59" s="925">
        <f t="shared" si="100"/>
        <v>8.879999999999999E-2</v>
      </c>
      <c r="F59" s="941"/>
      <c r="G59" s="942"/>
      <c r="H59" s="939">
        <v>100</v>
      </c>
      <c r="I59" s="940">
        <v>1.4E-3</v>
      </c>
      <c r="J59" s="940">
        <f t="shared" si="101"/>
        <v>1.4E-3</v>
      </c>
      <c r="K59" s="925">
        <f t="shared" si="102"/>
        <v>0</v>
      </c>
      <c r="L59" s="941"/>
      <c r="M59" s="942"/>
      <c r="N59" s="939">
        <v>100</v>
      </c>
      <c r="O59" s="940"/>
      <c r="P59" s="940">
        <f t="shared" si="103"/>
        <v>1.1999999999999999E-3</v>
      </c>
      <c r="Q59" s="925">
        <f t="shared" si="104"/>
        <v>0.13</v>
      </c>
      <c r="R59" s="941"/>
      <c r="S59" s="929"/>
      <c r="T59" s="939">
        <v>100</v>
      </c>
      <c r="U59" s="940">
        <f t="shared" si="105"/>
        <v>1E-3</v>
      </c>
      <c r="V59" s="940"/>
      <c r="W59" s="925">
        <f t="shared" si="106"/>
        <v>3.3333333333333332E-4</v>
      </c>
      <c r="X59" s="941"/>
      <c r="Y59" s="929"/>
      <c r="Z59" s="939">
        <v>100</v>
      </c>
      <c r="AA59" s="940">
        <f t="shared" si="107"/>
        <v>1E-3</v>
      </c>
      <c r="AB59" s="940"/>
      <c r="AC59" s="925">
        <f t="shared" si="108"/>
        <v>3.3333333333333332E-4</v>
      </c>
      <c r="AD59" s="941"/>
      <c r="AE59" s="929"/>
      <c r="AF59" s="939">
        <v>100</v>
      </c>
      <c r="AG59" s="940">
        <f t="shared" si="109"/>
        <v>0.55000000000000004</v>
      </c>
      <c r="AH59" s="940"/>
      <c r="AI59" s="925">
        <f t="shared" si="110"/>
        <v>0.3066666666666667</v>
      </c>
      <c r="AJ59" s="941"/>
      <c r="AK59" s="929"/>
      <c r="AL59" s="939">
        <v>100</v>
      </c>
      <c r="AM59" s="940">
        <f t="shared" si="111"/>
        <v>1E-3</v>
      </c>
      <c r="AN59" s="940"/>
      <c r="AO59" s="925">
        <f t="shared" si="112"/>
        <v>3.3333333333333332E-4</v>
      </c>
      <c r="AP59" s="941"/>
      <c r="AQ59" s="929"/>
      <c r="AR59" s="939">
        <v>100</v>
      </c>
      <c r="AS59" s="940">
        <f t="shared" si="113"/>
        <v>1E-3</v>
      </c>
      <c r="AT59" s="940"/>
      <c r="AU59" s="925">
        <f t="shared" si="114"/>
        <v>3.3333333333333332E-4</v>
      </c>
      <c r="AV59" s="941"/>
      <c r="AW59" s="929"/>
      <c r="AX59" s="939">
        <v>100</v>
      </c>
      <c r="AY59" s="940">
        <f t="shared" si="115"/>
        <v>1.8E-3</v>
      </c>
      <c r="AZ59" s="940"/>
      <c r="BA59" s="925">
        <f t="shared" si="116"/>
        <v>0.26333333333333336</v>
      </c>
      <c r="BB59" s="941"/>
      <c r="BC59" s="929"/>
      <c r="BD59" s="939">
        <v>100</v>
      </c>
      <c r="BE59" s="940">
        <f t="shared" si="117"/>
        <v>1E-3</v>
      </c>
      <c r="BF59" s="940"/>
      <c r="BG59" s="925">
        <f t="shared" si="118"/>
        <v>3.3333333333333332E-4</v>
      </c>
      <c r="BH59" s="941"/>
      <c r="BI59" s="929"/>
      <c r="BJ59" s="939">
        <v>100</v>
      </c>
      <c r="BK59" s="940">
        <f t="shared" si="119"/>
        <v>1.8E-3</v>
      </c>
      <c r="BL59" s="940"/>
      <c r="BM59" s="925">
        <f t="shared" si="120"/>
        <v>0.26333333333333336</v>
      </c>
      <c r="BN59" s="941"/>
      <c r="BO59" s="929"/>
      <c r="BP59" s="939">
        <v>100</v>
      </c>
      <c r="BQ59" s="940">
        <f t="shared" si="121"/>
        <v>1E-3</v>
      </c>
      <c r="BR59" s="940"/>
      <c r="BS59" s="925">
        <f t="shared" si="122"/>
        <v>3.3333333333333332E-4</v>
      </c>
      <c r="BT59" s="941"/>
      <c r="BU59" s="929"/>
      <c r="BV59" s="939">
        <v>100</v>
      </c>
      <c r="BW59" s="940">
        <f t="shared" si="123"/>
        <v>25</v>
      </c>
      <c r="BX59" s="940"/>
      <c r="BY59" s="925">
        <f t="shared" si="124"/>
        <v>9.3333333333333339</v>
      </c>
      <c r="BZ59" s="941"/>
      <c r="CA59" s="929"/>
      <c r="CB59" s="939">
        <v>100</v>
      </c>
      <c r="CC59" s="940">
        <f t="shared" si="96"/>
        <v>-0.7</v>
      </c>
      <c r="CD59" s="940"/>
      <c r="CE59" s="925">
        <f t="shared" si="125"/>
        <v>0.13333333333333333</v>
      </c>
      <c r="CF59" s="941"/>
      <c r="CH59" s="939">
        <v>100</v>
      </c>
      <c r="CI59" s="940">
        <f t="shared" si="97"/>
        <v>0.31</v>
      </c>
      <c r="CJ59" s="940"/>
      <c r="CK59" s="925">
        <f t="shared" si="126"/>
        <v>7.3333333333333334E-2</v>
      </c>
      <c r="CL59" s="941"/>
      <c r="CN59" s="939">
        <v>100</v>
      </c>
      <c r="CO59" s="940">
        <f t="shared" si="98"/>
        <v>0.95</v>
      </c>
      <c r="CP59" s="940"/>
      <c r="CQ59" s="925">
        <f t="shared" si="127"/>
        <v>0.25666666666666665</v>
      </c>
      <c r="CR59" s="941"/>
    </row>
    <row r="60" spans="2:96">
      <c r="B60" s="939">
        <v>150</v>
      </c>
      <c r="C60" s="940">
        <v>0.04</v>
      </c>
      <c r="D60" s="940">
        <f t="shared" si="99"/>
        <v>1.4E-3</v>
      </c>
      <c r="E60" s="925">
        <f t="shared" si="100"/>
        <v>3.8600000000000002E-2</v>
      </c>
      <c r="F60" s="941"/>
      <c r="G60" s="942"/>
      <c r="H60" s="939">
        <v>150</v>
      </c>
      <c r="I60" s="940">
        <v>0.05</v>
      </c>
      <c r="J60" s="940">
        <f t="shared" si="101"/>
        <v>0.03</v>
      </c>
      <c r="K60" s="925">
        <f t="shared" si="102"/>
        <v>2.0000000000000004E-2</v>
      </c>
      <c r="L60" s="941"/>
      <c r="M60" s="942"/>
      <c r="N60" s="939">
        <v>150</v>
      </c>
      <c r="O60" s="940"/>
      <c r="P60" s="940">
        <f t="shared" si="103"/>
        <v>-0.06</v>
      </c>
      <c r="Q60" s="925">
        <f t="shared" si="104"/>
        <v>0.13</v>
      </c>
      <c r="R60" s="941"/>
      <c r="S60" s="929"/>
      <c r="T60" s="939">
        <v>150</v>
      </c>
      <c r="U60" s="940">
        <f t="shared" si="105"/>
        <v>1E-3</v>
      </c>
      <c r="V60" s="940"/>
      <c r="W60" s="925">
        <f t="shared" si="106"/>
        <v>3.3333333333333332E-4</v>
      </c>
      <c r="X60" s="941"/>
      <c r="Y60" s="929"/>
      <c r="Z60" s="939">
        <v>150</v>
      </c>
      <c r="AA60" s="940">
        <f t="shared" si="107"/>
        <v>1E-3</v>
      </c>
      <c r="AB60" s="940"/>
      <c r="AC60" s="925">
        <f t="shared" si="108"/>
        <v>3.3333333333333332E-4</v>
      </c>
      <c r="AD60" s="941"/>
      <c r="AE60" s="929"/>
      <c r="AF60" s="939">
        <v>150</v>
      </c>
      <c r="AG60" s="940">
        <f t="shared" si="109"/>
        <v>0.21</v>
      </c>
      <c r="AH60" s="940"/>
      <c r="AI60" s="925">
        <f t="shared" si="110"/>
        <v>0.3066666666666667</v>
      </c>
      <c r="AJ60" s="941"/>
      <c r="AK60" s="929"/>
      <c r="AL60" s="939">
        <v>150</v>
      </c>
      <c r="AM60" s="940">
        <f t="shared" si="111"/>
        <v>1E-3</v>
      </c>
      <c r="AN60" s="940"/>
      <c r="AO60" s="925">
        <f t="shared" si="112"/>
        <v>3.3333333333333332E-4</v>
      </c>
      <c r="AP60" s="941"/>
      <c r="AQ60" s="929"/>
      <c r="AR60" s="939">
        <v>150</v>
      </c>
      <c r="AS60" s="940">
        <f t="shared" si="113"/>
        <v>1E-3</v>
      </c>
      <c r="AT60" s="940"/>
      <c r="AU60" s="925">
        <f t="shared" si="114"/>
        <v>3.3333333333333332E-4</v>
      </c>
      <c r="AV60" s="941"/>
      <c r="AW60" s="929"/>
      <c r="AX60" s="939">
        <v>150</v>
      </c>
      <c r="AY60" s="940">
        <f t="shared" si="115"/>
        <v>-0.03</v>
      </c>
      <c r="AZ60" s="940"/>
      <c r="BA60" s="925">
        <f t="shared" si="116"/>
        <v>0.26333333333333336</v>
      </c>
      <c r="BB60" s="941"/>
      <c r="BC60" s="929"/>
      <c r="BD60" s="939">
        <v>150</v>
      </c>
      <c r="BE60" s="940">
        <f t="shared" si="117"/>
        <v>1E-3</v>
      </c>
      <c r="BF60" s="940"/>
      <c r="BG60" s="925">
        <f t="shared" si="118"/>
        <v>3.3333333333333332E-4</v>
      </c>
      <c r="BH60" s="941"/>
      <c r="BI60" s="929"/>
      <c r="BJ60" s="939">
        <v>150</v>
      </c>
      <c r="BK60" s="940">
        <f t="shared" si="119"/>
        <v>-0.03</v>
      </c>
      <c r="BL60" s="940"/>
      <c r="BM60" s="925">
        <f t="shared" si="120"/>
        <v>0.26333333333333336</v>
      </c>
      <c r="BN60" s="941"/>
      <c r="BO60" s="929"/>
      <c r="BP60" s="939">
        <v>150</v>
      </c>
      <c r="BQ60" s="940">
        <f t="shared" si="121"/>
        <v>1E-3</v>
      </c>
      <c r="BR60" s="940"/>
      <c r="BS60" s="925">
        <f t="shared" si="122"/>
        <v>3.3333333333333332E-4</v>
      </c>
      <c r="BT60" s="941"/>
      <c r="BU60" s="929"/>
      <c r="BV60" s="939">
        <v>150</v>
      </c>
      <c r="BW60" s="940">
        <f t="shared" si="123"/>
        <v>26</v>
      </c>
      <c r="BX60" s="940"/>
      <c r="BY60" s="925">
        <f t="shared" si="124"/>
        <v>9.3333333333333339</v>
      </c>
      <c r="BZ60" s="941"/>
      <c r="CA60" s="929"/>
      <c r="CB60" s="939">
        <v>150</v>
      </c>
      <c r="CC60" s="940">
        <f t="shared" si="96"/>
        <v>-0.7</v>
      </c>
      <c r="CD60" s="940"/>
      <c r="CE60" s="925">
        <f t="shared" si="125"/>
        <v>0.13333333333333333</v>
      </c>
      <c r="CF60" s="941"/>
      <c r="CH60" s="939">
        <v>150</v>
      </c>
      <c r="CI60" s="940">
        <f t="shared" si="97"/>
        <v>0.3</v>
      </c>
      <c r="CJ60" s="940"/>
      <c r="CK60" s="925">
        <f t="shared" si="126"/>
        <v>7.3333333333333334E-2</v>
      </c>
      <c r="CL60" s="941"/>
      <c r="CN60" s="939">
        <v>150</v>
      </c>
      <c r="CO60" s="940">
        <f t="shared" si="98"/>
        <v>0.49</v>
      </c>
      <c r="CP60" s="940"/>
      <c r="CQ60" s="925">
        <f t="shared" si="127"/>
        <v>0.25666666666666665</v>
      </c>
      <c r="CR60" s="941"/>
    </row>
    <row r="61" spans="2:96">
      <c r="B61" s="939">
        <v>200</v>
      </c>
      <c r="C61" s="940">
        <v>-1.1000000000000001E-3</v>
      </c>
      <c r="D61" s="940">
        <f t="shared" si="99"/>
        <v>0.38</v>
      </c>
      <c r="E61" s="925">
        <f t="shared" si="100"/>
        <v>0.38109999999999999</v>
      </c>
      <c r="F61" s="941"/>
      <c r="G61" s="942"/>
      <c r="H61" s="939">
        <v>200</v>
      </c>
      <c r="I61" s="940">
        <v>-1.5E-3</v>
      </c>
      <c r="J61" s="940">
        <f t="shared" si="101"/>
        <v>0.32</v>
      </c>
      <c r="K61" s="925">
        <f t="shared" si="102"/>
        <v>0.32150000000000001</v>
      </c>
      <c r="L61" s="941"/>
      <c r="M61" s="942"/>
      <c r="N61" s="939">
        <v>200</v>
      </c>
      <c r="O61" s="940"/>
      <c r="P61" s="940">
        <f t="shared" si="103"/>
        <v>0.36</v>
      </c>
      <c r="Q61" s="925">
        <f t="shared" si="104"/>
        <v>0.13</v>
      </c>
      <c r="R61" s="941"/>
      <c r="S61" s="929"/>
      <c r="T61" s="939">
        <v>200</v>
      </c>
      <c r="U61" s="940">
        <f t="shared" si="105"/>
        <v>1E-3</v>
      </c>
      <c r="V61" s="940"/>
      <c r="W61" s="925">
        <f t="shared" si="106"/>
        <v>3.3333333333333332E-4</v>
      </c>
      <c r="X61" s="941"/>
      <c r="Y61" s="929"/>
      <c r="Z61" s="939">
        <v>200</v>
      </c>
      <c r="AA61" s="940">
        <f t="shared" si="107"/>
        <v>1E-3</v>
      </c>
      <c r="AB61" s="940"/>
      <c r="AC61" s="925">
        <f t="shared" si="108"/>
        <v>3.3333333333333332E-4</v>
      </c>
      <c r="AD61" s="941"/>
      <c r="AE61" s="929"/>
      <c r="AF61" s="939">
        <v>200</v>
      </c>
      <c r="AG61" s="940">
        <f t="shared" si="109"/>
        <v>-0.08</v>
      </c>
      <c r="AH61" s="940"/>
      <c r="AI61" s="925">
        <f t="shared" si="110"/>
        <v>0.3066666666666667</v>
      </c>
      <c r="AJ61" s="941"/>
      <c r="AK61" s="929"/>
      <c r="AL61" s="939">
        <v>200</v>
      </c>
      <c r="AM61" s="940">
        <f t="shared" si="111"/>
        <v>1E-3</v>
      </c>
      <c r="AN61" s="940"/>
      <c r="AO61" s="925">
        <f t="shared" si="112"/>
        <v>3.3333333333333332E-4</v>
      </c>
      <c r="AP61" s="941"/>
      <c r="AQ61" s="929"/>
      <c r="AR61" s="939">
        <v>200</v>
      </c>
      <c r="AS61" s="940">
        <f t="shared" si="113"/>
        <v>1E-3</v>
      </c>
      <c r="AT61" s="940"/>
      <c r="AU61" s="925">
        <f t="shared" si="114"/>
        <v>3.3333333333333332E-4</v>
      </c>
      <c r="AV61" s="941"/>
      <c r="AW61" s="929"/>
      <c r="AX61" s="939">
        <v>200</v>
      </c>
      <c r="AY61" s="940">
        <f t="shared" si="115"/>
        <v>-0.26</v>
      </c>
      <c r="AZ61" s="940"/>
      <c r="BA61" s="925">
        <f t="shared" si="116"/>
        <v>0.26333333333333336</v>
      </c>
      <c r="BB61" s="941"/>
      <c r="BC61" s="929"/>
      <c r="BD61" s="939">
        <v>200</v>
      </c>
      <c r="BE61" s="940">
        <f t="shared" si="117"/>
        <v>1E-3</v>
      </c>
      <c r="BF61" s="940"/>
      <c r="BG61" s="925">
        <f t="shared" si="118"/>
        <v>3.3333333333333332E-4</v>
      </c>
      <c r="BH61" s="941"/>
      <c r="BI61" s="929"/>
      <c r="BJ61" s="939">
        <v>200</v>
      </c>
      <c r="BK61" s="940">
        <f t="shared" si="119"/>
        <v>-0.26</v>
      </c>
      <c r="BL61" s="940"/>
      <c r="BM61" s="925">
        <f t="shared" si="120"/>
        <v>0.26333333333333336</v>
      </c>
      <c r="BN61" s="941"/>
      <c r="BO61" s="929"/>
      <c r="BP61" s="939">
        <v>200</v>
      </c>
      <c r="BQ61" s="940">
        <f t="shared" si="121"/>
        <v>1E-3</v>
      </c>
      <c r="BR61" s="940"/>
      <c r="BS61" s="925">
        <f t="shared" si="122"/>
        <v>3.3333333333333332E-4</v>
      </c>
      <c r="BT61" s="941"/>
      <c r="BU61" s="929"/>
      <c r="BV61" s="939">
        <v>200</v>
      </c>
      <c r="BW61" s="940">
        <f t="shared" si="123"/>
        <v>27</v>
      </c>
      <c r="BX61" s="940"/>
      <c r="BY61" s="925">
        <f t="shared" si="124"/>
        <v>9.3333333333333339</v>
      </c>
      <c r="BZ61" s="941"/>
      <c r="CA61" s="929"/>
      <c r="CB61" s="939">
        <v>200</v>
      </c>
      <c r="CC61" s="940">
        <f t="shared" si="96"/>
        <v>-0.6</v>
      </c>
      <c r="CD61" s="940"/>
      <c r="CE61" s="925">
        <f t="shared" si="125"/>
        <v>0.13333333333333333</v>
      </c>
      <c r="CF61" s="941"/>
      <c r="CH61" s="939">
        <v>200</v>
      </c>
      <c r="CI61" s="940">
        <f t="shared" si="97"/>
        <v>0.34</v>
      </c>
      <c r="CJ61" s="940"/>
      <c r="CK61" s="925">
        <f t="shared" si="126"/>
        <v>7.3333333333333334E-2</v>
      </c>
      <c r="CL61" s="941"/>
      <c r="CN61" s="939">
        <v>200</v>
      </c>
      <c r="CO61" s="940">
        <f t="shared" si="98"/>
        <v>-0.26</v>
      </c>
      <c r="CP61" s="940"/>
      <c r="CQ61" s="925">
        <f t="shared" si="127"/>
        <v>0.25666666666666665</v>
      </c>
      <c r="CR61" s="941"/>
    </row>
    <row r="62" spans="2:96" s="929" customFormat="1">
      <c r="B62" s="947"/>
      <c r="C62" s="930"/>
      <c r="D62" s="930"/>
      <c r="E62" s="944"/>
      <c r="F62" s="942"/>
      <c r="G62" s="942"/>
      <c r="H62" s="947"/>
      <c r="I62" s="930"/>
      <c r="J62" s="930"/>
      <c r="K62" s="944"/>
      <c r="L62" s="931"/>
      <c r="M62" s="942"/>
      <c r="N62" s="947"/>
      <c r="O62" s="930"/>
      <c r="P62" s="930"/>
      <c r="Q62" s="944"/>
      <c r="R62" s="931"/>
      <c r="T62" s="947"/>
      <c r="U62" s="930"/>
      <c r="V62" s="930"/>
      <c r="W62" s="944"/>
      <c r="X62" s="931"/>
      <c r="Z62" s="947"/>
      <c r="AA62" s="930"/>
      <c r="AB62" s="930"/>
      <c r="AC62" s="944"/>
      <c r="AD62" s="931"/>
      <c r="AF62" s="947"/>
      <c r="AG62" s="930"/>
      <c r="AH62" s="930"/>
      <c r="AI62" s="944"/>
      <c r="AJ62" s="931"/>
      <c r="AL62" s="947"/>
      <c r="AM62" s="930"/>
      <c r="AN62" s="930"/>
      <c r="AO62" s="944"/>
      <c r="AP62" s="931"/>
      <c r="AR62" s="947"/>
      <c r="AS62" s="930"/>
      <c r="AT62" s="930"/>
      <c r="AU62" s="944"/>
      <c r="AV62" s="931"/>
      <c r="AX62" s="947"/>
      <c r="AY62" s="930"/>
      <c r="AZ62" s="930"/>
      <c r="BA62" s="944"/>
      <c r="BB62" s="931"/>
      <c r="BD62" s="947"/>
      <c r="BE62" s="930"/>
      <c r="BF62" s="930"/>
      <c r="BG62" s="944"/>
      <c r="BH62" s="931"/>
      <c r="BJ62" s="947"/>
      <c r="BK62" s="930"/>
      <c r="BL62" s="930"/>
      <c r="BM62" s="944"/>
      <c r="BN62" s="931"/>
      <c r="BP62" s="947"/>
      <c r="BQ62" s="930"/>
      <c r="BR62" s="930"/>
      <c r="BS62" s="944"/>
      <c r="BT62" s="931"/>
      <c r="BV62" s="947"/>
      <c r="BW62" s="930"/>
      <c r="BX62" s="930"/>
      <c r="BY62" s="944"/>
      <c r="BZ62" s="931"/>
      <c r="CB62" s="947"/>
      <c r="CC62" s="930"/>
      <c r="CD62" s="930"/>
      <c r="CE62" s="944"/>
      <c r="CF62" s="931"/>
      <c r="CH62" s="947"/>
      <c r="CI62" s="930"/>
      <c r="CJ62" s="930"/>
      <c r="CK62" s="944"/>
      <c r="CL62" s="931"/>
      <c r="CN62" s="947"/>
      <c r="CO62" s="930"/>
      <c r="CP62" s="930"/>
      <c r="CQ62" s="944"/>
      <c r="CR62" s="931"/>
    </row>
    <row r="63" spans="2:96" ht="21.75" customHeight="1">
      <c r="B63" s="1314" t="s">
        <v>219</v>
      </c>
      <c r="C63" s="1316" t="str">
        <f>C48</f>
        <v>Thermocouple Data Logger, Merek : MADGETECH, Model : OctTemp 2000, SN : P40270</v>
      </c>
      <c r="D63" s="1316"/>
      <c r="E63" s="1316"/>
      <c r="F63" s="932" t="str">
        <f>F48</f>
        <v>Interpolasi</v>
      </c>
      <c r="G63" s="933"/>
      <c r="H63" s="1314" t="s">
        <v>219</v>
      </c>
      <c r="I63" s="1316" t="str">
        <f>I48</f>
        <v>Thermocouple Data Logger, Merek : MADGETECH, Model : OctTemp 2000, SN : P41878</v>
      </c>
      <c r="J63" s="1316"/>
      <c r="K63" s="1316"/>
      <c r="L63" s="932" t="s">
        <v>572</v>
      </c>
      <c r="M63" s="933"/>
      <c r="N63" s="1314" t="s">
        <v>219</v>
      </c>
      <c r="O63" s="1316" t="str">
        <f>O48</f>
        <v>Mobile Corder, Merek : Yokogawa, Model : GP 10, SN : S5T810599</v>
      </c>
      <c r="P63" s="1317"/>
      <c r="Q63" s="1316"/>
      <c r="R63" s="932" t="s">
        <v>572</v>
      </c>
      <c r="S63" s="929"/>
      <c r="T63" s="1314" t="s">
        <v>219</v>
      </c>
      <c r="U63" s="1316" t="str">
        <f>U48</f>
        <v>Wireless Temperature Recorder : Merek : HIOKI, Model : LR 8510, SN : 200936000</v>
      </c>
      <c r="V63" s="1317"/>
      <c r="W63" s="1316"/>
      <c r="X63" s="932" t="s">
        <v>572</v>
      </c>
      <c r="Y63" s="929"/>
      <c r="Z63" s="1314" t="s">
        <v>219</v>
      </c>
      <c r="AA63" s="1316" t="str">
        <f>AA48</f>
        <v>Wireless Temperature Recorder : Merek : HIOKI, Model : LR 8510, SN : 200936001</v>
      </c>
      <c r="AB63" s="1317"/>
      <c r="AC63" s="1316"/>
      <c r="AD63" s="932" t="s">
        <v>572</v>
      </c>
      <c r="AE63" s="929"/>
      <c r="AF63" s="1314" t="s">
        <v>219</v>
      </c>
      <c r="AG63" s="1316" t="str">
        <f>AG48</f>
        <v>Wireless Temperature Recorder : Merek : HIOKI, Model : LR 8510, SN : 200821397</v>
      </c>
      <c r="AH63" s="1317"/>
      <c r="AI63" s="1316"/>
      <c r="AJ63" s="932" t="s">
        <v>572</v>
      </c>
      <c r="AK63" s="929"/>
      <c r="AL63" s="1314" t="s">
        <v>219</v>
      </c>
      <c r="AM63" s="1316" t="str">
        <f>AM48</f>
        <v>Wireless Temperature Recorder : Merek : HIOKI, Model : LR 8510, SN : 210411983</v>
      </c>
      <c r="AN63" s="1317"/>
      <c r="AO63" s="1316"/>
      <c r="AP63" s="932" t="s">
        <v>572</v>
      </c>
      <c r="AQ63" s="929"/>
      <c r="AR63" s="1314" t="s">
        <v>219</v>
      </c>
      <c r="AS63" s="1316" t="str">
        <f>AS48</f>
        <v>Wireless Temperature Recorder : Merek : HIOKI, Model : LR 8510, SN : 210411984</v>
      </c>
      <c r="AT63" s="1317"/>
      <c r="AU63" s="1316"/>
      <c r="AV63" s="932" t="s">
        <v>572</v>
      </c>
      <c r="AW63" s="929"/>
      <c r="AX63" s="1314" t="s">
        <v>219</v>
      </c>
      <c r="AY63" s="1316" t="str">
        <f>AY48</f>
        <v>Wireless Temperature Recorder : Merek : HIOKI, Model : LR 8510, SN : 210411985</v>
      </c>
      <c r="AZ63" s="1317"/>
      <c r="BA63" s="1316"/>
      <c r="BB63" s="932" t="s">
        <v>572</v>
      </c>
      <c r="BC63" s="929"/>
      <c r="BD63" s="1314" t="s">
        <v>219</v>
      </c>
      <c r="BE63" s="1316" t="str">
        <f>BE48</f>
        <v>Wireless Temperature Recorder : Merek : HIOKI, Model : LR 8510, SN : 210746054</v>
      </c>
      <c r="BF63" s="1317"/>
      <c r="BG63" s="1316"/>
      <c r="BH63" s="932" t="s">
        <v>572</v>
      </c>
      <c r="BI63" s="929"/>
      <c r="BJ63" s="1314" t="s">
        <v>219</v>
      </c>
      <c r="BK63" s="1316" t="str">
        <f>BK48</f>
        <v>Wireless Temperature Recorder : Merek : HIOKI, Model : LR 8510, SN : 210746055</v>
      </c>
      <c r="BL63" s="1317"/>
      <c r="BM63" s="1316"/>
      <c r="BN63" s="932" t="s">
        <v>572</v>
      </c>
      <c r="BO63" s="929"/>
      <c r="BP63" s="1314" t="s">
        <v>219</v>
      </c>
      <c r="BQ63" s="1316" t="str">
        <f>BQ48</f>
        <v>Wireless Temperature Recorder : Merek : HIOKI, Model : LR 8510, SN : 210746056</v>
      </c>
      <c r="BR63" s="1317"/>
      <c r="BS63" s="1316"/>
      <c r="BT63" s="932" t="s">
        <v>572</v>
      </c>
      <c r="BU63" s="929"/>
      <c r="BV63" s="1314" t="s">
        <v>219</v>
      </c>
      <c r="BW63" s="1316" t="str">
        <f>BW48</f>
        <v>Wireless Temperature Recorder : Merek : HIOKI, Model : LR 8510, SN : x x x</v>
      </c>
      <c r="BX63" s="1317"/>
      <c r="BY63" s="1316"/>
      <c r="BZ63" s="932" t="s">
        <v>572</v>
      </c>
      <c r="CA63" s="929"/>
      <c r="CB63" s="1314" t="s">
        <v>219</v>
      </c>
      <c r="CC63" s="1316" t="str">
        <f t="shared" ref="CC63:CC76" si="128">CC48</f>
        <v>Reference Thermometer, Merek : APPA, Model : APPA51, SN : 03002948</v>
      </c>
      <c r="CD63" s="1317"/>
      <c r="CE63" s="1316"/>
      <c r="CF63" s="932" t="s">
        <v>572</v>
      </c>
      <c r="CH63" s="1314" t="s">
        <v>219</v>
      </c>
      <c r="CI63" s="1316" t="str">
        <f t="shared" ref="CI63:CI76" si="129">CI48</f>
        <v>Reference Thermometer, Merek : FLUKE, Model : 1524, SN : 1803038</v>
      </c>
      <c r="CJ63" s="1317"/>
      <c r="CK63" s="1316"/>
      <c r="CL63" s="932" t="s">
        <v>572</v>
      </c>
      <c r="CN63" s="1314" t="s">
        <v>219</v>
      </c>
      <c r="CO63" s="1316" t="str">
        <f t="shared" ref="CO63:CO76" si="130">CO48</f>
        <v>Reference Thermometer, Merek : FLUKE, Model : 1524, SN : 1803037</v>
      </c>
      <c r="CP63" s="1317"/>
      <c r="CQ63" s="1316"/>
      <c r="CR63" s="932" t="s">
        <v>572</v>
      </c>
    </row>
    <row r="64" spans="2:96">
      <c r="B64" s="1315"/>
      <c r="C64" s="935">
        <f>C49</f>
        <v>2019</v>
      </c>
      <c r="D64" s="935">
        <f>D49</f>
        <v>2021</v>
      </c>
      <c r="E64" s="936" t="s">
        <v>215</v>
      </c>
      <c r="F64" s="1063">
        <f>F49</f>
        <v>6.4428226504297132</v>
      </c>
      <c r="G64" s="937"/>
      <c r="H64" s="1315"/>
      <c r="I64" s="938">
        <f>I49</f>
        <v>2020</v>
      </c>
      <c r="J64" s="935">
        <f>J49</f>
        <v>2021</v>
      </c>
      <c r="K64" s="936" t="s">
        <v>215</v>
      </c>
      <c r="L64" s="1063">
        <f>F64</f>
        <v>6.4428226504297132</v>
      </c>
      <c r="M64" s="937"/>
      <c r="N64" s="1315"/>
      <c r="O64" s="938">
        <f>O4</f>
        <v>2018</v>
      </c>
      <c r="P64" s="935">
        <f>P4</f>
        <v>2021</v>
      </c>
      <c r="Q64" s="936" t="s">
        <v>215</v>
      </c>
      <c r="R64" s="1063">
        <f>L64</f>
        <v>6.4428226504297132</v>
      </c>
      <c r="S64" s="929"/>
      <c r="T64" s="1315"/>
      <c r="U64" s="938">
        <f>U49</f>
        <v>2021</v>
      </c>
      <c r="V64" s="935"/>
      <c r="W64" s="936" t="s">
        <v>215</v>
      </c>
      <c r="X64" s="1063">
        <f>R64</f>
        <v>6.4428226504297132</v>
      </c>
      <c r="Y64" s="929"/>
      <c r="Z64" s="1315"/>
      <c r="AA64" s="938">
        <f>AA49</f>
        <v>2021</v>
      </c>
      <c r="AB64" s="935"/>
      <c r="AC64" s="936" t="s">
        <v>215</v>
      </c>
      <c r="AD64" s="1063">
        <f>X64</f>
        <v>6.4428226504297132</v>
      </c>
      <c r="AE64" s="929"/>
      <c r="AF64" s="1315"/>
      <c r="AG64" s="938">
        <f>AG49</f>
        <v>2021</v>
      </c>
      <c r="AH64" s="938">
        <f>AH49</f>
        <v>0</v>
      </c>
      <c r="AI64" s="936" t="s">
        <v>215</v>
      </c>
      <c r="AJ64" s="1063">
        <f>AD64</f>
        <v>6.4428226504297132</v>
      </c>
      <c r="AK64" s="929"/>
      <c r="AL64" s="1315"/>
      <c r="AM64" s="938">
        <f>AM49</f>
        <v>2021</v>
      </c>
      <c r="AN64" s="935"/>
      <c r="AO64" s="936" t="s">
        <v>215</v>
      </c>
      <c r="AP64" s="1063">
        <f>AJ64</f>
        <v>6.4428226504297132</v>
      </c>
      <c r="AQ64" s="929"/>
      <c r="AR64" s="1315"/>
      <c r="AS64" s="938">
        <f>AS49</f>
        <v>2021</v>
      </c>
      <c r="AT64" s="935"/>
      <c r="AU64" s="936" t="s">
        <v>215</v>
      </c>
      <c r="AV64" s="1063">
        <f>AP64</f>
        <v>6.4428226504297132</v>
      </c>
      <c r="AW64" s="929"/>
      <c r="AX64" s="1315"/>
      <c r="AY64" s="938">
        <f>AY49</f>
        <v>2021</v>
      </c>
      <c r="AZ64" s="935"/>
      <c r="BA64" s="936" t="s">
        <v>215</v>
      </c>
      <c r="BB64" s="1063">
        <f>AV64</f>
        <v>6.4428226504297132</v>
      </c>
      <c r="BC64" s="929"/>
      <c r="BD64" s="1315"/>
      <c r="BE64" s="938">
        <f>BE49</f>
        <v>2021</v>
      </c>
      <c r="BF64" s="935"/>
      <c r="BG64" s="936" t="s">
        <v>215</v>
      </c>
      <c r="BH64" s="1063">
        <f>BB64</f>
        <v>6.4428226504297132</v>
      </c>
      <c r="BI64" s="929"/>
      <c r="BJ64" s="1315"/>
      <c r="BK64" s="938">
        <f>BK49</f>
        <v>2021</v>
      </c>
      <c r="BL64" s="935"/>
      <c r="BM64" s="936" t="s">
        <v>215</v>
      </c>
      <c r="BN64" s="1063">
        <f>BH64</f>
        <v>6.4428226504297132</v>
      </c>
      <c r="BO64" s="929"/>
      <c r="BP64" s="1315"/>
      <c r="BQ64" s="938">
        <f>BQ49</f>
        <v>2021</v>
      </c>
      <c r="BR64" s="935"/>
      <c r="BS64" s="936" t="s">
        <v>215</v>
      </c>
      <c r="BT64" s="1063">
        <f>BN64</f>
        <v>6.4428226504297132</v>
      </c>
      <c r="BU64" s="929"/>
      <c r="BV64" s="1315"/>
      <c r="BW64" s="938">
        <f>BW49</f>
        <v>2021</v>
      </c>
      <c r="BX64" s="935"/>
      <c r="BY64" s="936" t="s">
        <v>215</v>
      </c>
      <c r="BZ64" s="1063">
        <f>BT64</f>
        <v>6.4428226504297132</v>
      </c>
      <c r="CA64" s="929"/>
      <c r="CB64" s="1315"/>
      <c r="CC64" s="938">
        <f t="shared" si="128"/>
        <v>2020</v>
      </c>
      <c r="CD64" s="935"/>
      <c r="CE64" s="936" t="s">
        <v>215</v>
      </c>
      <c r="CF64" s="1063">
        <f>BZ64</f>
        <v>6.4428226504297132</v>
      </c>
      <c r="CH64" s="1315"/>
      <c r="CI64" s="938">
        <f t="shared" si="129"/>
        <v>2021</v>
      </c>
      <c r="CJ64" s="935"/>
      <c r="CK64" s="936" t="s">
        <v>215</v>
      </c>
      <c r="CL64" s="1063">
        <f>CF64</f>
        <v>6.4428226504297132</v>
      </c>
      <c r="CN64" s="1315"/>
      <c r="CO64" s="938">
        <f t="shared" si="130"/>
        <v>2021</v>
      </c>
      <c r="CP64" s="935"/>
      <c r="CQ64" s="936" t="s">
        <v>215</v>
      </c>
      <c r="CR64" s="1063">
        <f>CL64</f>
        <v>6.4428226504297132</v>
      </c>
    </row>
    <row r="65" spans="2:96">
      <c r="B65" s="949">
        <f>B50</f>
        <v>-20</v>
      </c>
      <c r="C65" s="935">
        <f>C50</f>
        <v>-0.21</v>
      </c>
      <c r="D65" s="935">
        <f>D50</f>
        <v>-0.37</v>
      </c>
      <c r="E65" s="935">
        <f>E50</f>
        <v>0.16</v>
      </c>
      <c r="F65" s="1061">
        <f>IF(F64&lt;=B66,B65,IF(F64&lt;=B67,B66,IF(F64&lt;=B68,B67,IF(F64&lt;=B69,B68,IF(F64&lt;=B70,B69)))))</f>
        <v>2</v>
      </c>
      <c r="G65" s="937"/>
      <c r="H65" s="949">
        <f>H50</f>
        <v>-20</v>
      </c>
      <c r="I65" s="949">
        <f>I50</f>
        <v>-1.1999999999999999E-3</v>
      </c>
      <c r="J65" s="949">
        <f>J50</f>
        <v>-0.63</v>
      </c>
      <c r="K65" s="949">
        <f>K50</f>
        <v>0.62880000000000003</v>
      </c>
      <c r="L65" s="1061">
        <f>IF(L64&lt;=H66,H65,IF(L64&lt;=H67,H66,IF(L64&lt;=H68,H67,IF(L64&lt;=H69,H68,IF(L64&lt;=H70,H69)))))</f>
        <v>2</v>
      </c>
      <c r="M65" s="937"/>
      <c r="N65" s="949">
        <f>N50</f>
        <v>-20</v>
      </c>
      <c r="O65" s="949">
        <f>O50</f>
        <v>0</v>
      </c>
      <c r="P65" s="949">
        <f>P50</f>
        <v>1E-3</v>
      </c>
      <c r="Q65" s="949">
        <f>Q50</f>
        <v>0.13</v>
      </c>
      <c r="R65" s="1061">
        <f>IF(R64&lt;=N66,N65,IF(R64&lt;=N67,N66,IF(R64&lt;=N68,N67,IF(R64&lt;=N69,N68,IF(R64&lt;=N70,N69)))))</f>
        <v>2</v>
      </c>
      <c r="S65" s="929"/>
      <c r="T65" s="949">
        <f>T50</f>
        <v>-20</v>
      </c>
      <c r="U65" s="949">
        <f>U50</f>
        <v>1E-3</v>
      </c>
      <c r="V65" s="949">
        <f>V50</f>
        <v>0</v>
      </c>
      <c r="W65" s="949">
        <f>W50</f>
        <v>3.3333333333333332E-4</v>
      </c>
      <c r="X65" s="1061">
        <f>IF(X64&lt;=T66,T65,IF(X64&lt;=T67,T66,IF(X64&lt;=T68,T67,IF(X64&lt;=T69,T68,IF(X64&lt;=T70,T69)))))</f>
        <v>2</v>
      </c>
      <c r="Y65" s="929"/>
      <c r="Z65" s="949">
        <f>Z50</f>
        <v>-20</v>
      </c>
      <c r="AA65" s="949">
        <f>AA50</f>
        <v>1E-3</v>
      </c>
      <c r="AB65" s="949">
        <f>AB50</f>
        <v>0</v>
      </c>
      <c r="AC65" s="949">
        <f>AC50</f>
        <v>3.3333333333333332E-4</v>
      </c>
      <c r="AD65" s="1061">
        <f>IF(AD64&lt;=Z66,Z65,IF(AD64&lt;=Z67,Z66,IF(AD64&lt;=Z68,Z67,IF(AD64&lt;=Z69,Z68,IF(AD64&lt;=Z70,Z69)))))</f>
        <v>2</v>
      </c>
      <c r="AE65" s="929"/>
      <c r="AF65" s="949">
        <f>AF50</f>
        <v>-20</v>
      </c>
      <c r="AG65" s="949">
        <f>AG50</f>
        <v>0.04</v>
      </c>
      <c r="AH65" s="949">
        <f>AH50</f>
        <v>0</v>
      </c>
      <c r="AI65" s="949">
        <f>AI50</f>
        <v>0.3066666666666667</v>
      </c>
      <c r="AJ65" s="1061">
        <f>IF(AJ64&lt;=AF66,AF65,IF(AJ64&lt;=AF67,AF66,IF(AJ64&lt;=AF68,AF67,IF(AJ64&lt;=AF69,AF68,IF(AJ64&lt;=AF70,AF69)))))</f>
        <v>2</v>
      </c>
      <c r="AK65" s="929"/>
      <c r="AL65" s="949">
        <f>AL50</f>
        <v>-20</v>
      </c>
      <c r="AM65" s="949">
        <f>AM50</f>
        <v>1E-3</v>
      </c>
      <c r="AN65" s="949">
        <f>AN50</f>
        <v>0</v>
      </c>
      <c r="AO65" s="949">
        <f>AO50</f>
        <v>3.3333333333333332E-4</v>
      </c>
      <c r="AP65" s="1061">
        <f>IF(AP64&lt;=AL66,AL65,IF(AP64&lt;=AL67,AL66,IF(AP64&lt;=AL68,AL67,IF(AP64&lt;=AL69,AL68,IF(AP64&lt;=AL70,AL69)))))</f>
        <v>2</v>
      </c>
      <c r="AQ65" s="929"/>
      <c r="AR65" s="949">
        <f>AR50</f>
        <v>-20</v>
      </c>
      <c r="AS65" s="949">
        <f>AS50</f>
        <v>1E-3</v>
      </c>
      <c r="AT65" s="949">
        <f>AT50</f>
        <v>0</v>
      </c>
      <c r="AU65" s="949">
        <f>AU50</f>
        <v>3.3333333333333332E-4</v>
      </c>
      <c r="AV65" s="1061">
        <f>IF(AV64&lt;=AR66,AR65,IF(AV64&lt;=AR67,AR66,IF(AV64&lt;=AR68,AR67,IF(AV64&lt;=AR69,AR68,IF(AV64&lt;=AR70,AR69)))))</f>
        <v>2</v>
      </c>
      <c r="AW65" s="929"/>
      <c r="AX65" s="949">
        <f>AX50</f>
        <v>-20</v>
      </c>
      <c r="AY65" s="949">
        <f>AY50</f>
        <v>0.64</v>
      </c>
      <c r="AZ65" s="1053">
        <f>AZ50</f>
        <v>0</v>
      </c>
      <c r="BA65" s="949">
        <f>BA50</f>
        <v>0.26333333333333336</v>
      </c>
      <c r="BB65" s="1061">
        <f>IF(BB64&lt;=AX66,AX65,IF(BB64&lt;=AX67,AX66,IF(BB64&lt;=AX68,AX67,IF(BB64&lt;=AX69,AX68,IF(BB64&lt;=AX70,AX69)))))</f>
        <v>2</v>
      </c>
      <c r="BC65" s="929"/>
      <c r="BD65" s="949">
        <f>BD50</f>
        <v>-20</v>
      </c>
      <c r="BE65" s="949">
        <f>BE50</f>
        <v>1E-3</v>
      </c>
      <c r="BF65" s="949">
        <f>BF50</f>
        <v>0</v>
      </c>
      <c r="BG65" s="949">
        <f>BG50</f>
        <v>3.3333333333333332E-4</v>
      </c>
      <c r="BH65" s="1061">
        <f>IF(BH64&lt;=BD66,BD65,IF(BH64&lt;=BD67,BD66,IF(BH64&lt;=BD68,BD67,IF(BH64&lt;=BD69,BD68,IF(BH64&lt;=BD70,BD69)))))</f>
        <v>2</v>
      </c>
      <c r="BI65" s="929"/>
      <c r="BJ65" s="949">
        <f>BJ50</f>
        <v>-20</v>
      </c>
      <c r="BK65" s="949">
        <f>BK50</f>
        <v>0.64</v>
      </c>
      <c r="BL65" s="949">
        <f>BL50</f>
        <v>0</v>
      </c>
      <c r="BM65" s="949">
        <f>BM50</f>
        <v>0.26333333333333336</v>
      </c>
      <c r="BN65" s="1061">
        <f>IF(BN64&lt;=BJ66,BJ65,IF(BN64&lt;=BJ67,BJ66,IF(BN64&lt;=BJ68,BJ67,IF(BN64&lt;=BJ69,BJ68,IF(BN64&lt;=BJ70,BJ69)))))</f>
        <v>2</v>
      </c>
      <c r="BO65" s="929"/>
      <c r="BP65" s="949">
        <f>BP50</f>
        <v>-20</v>
      </c>
      <c r="BQ65" s="949">
        <f>BQ50</f>
        <v>1E-3</v>
      </c>
      <c r="BR65" s="949">
        <f>BR50</f>
        <v>0</v>
      </c>
      <c r="BS65" s="949">
        <f>BS50</f>
        <v>3.3333333333333332E-4</v>
      </c>
      <c r="BT65" s="1061">
        <f>IF(BT64&lt;=BP66,BP65,IF(BT64&lt;=BP67,BP66,IF(BT64&lt;=BP68,BP67,IF(BT64&lt;=BP69,BP68,IF(BT64&lt;=BP70,BP69)))))</f>
        <v>2</v>
      </c>
      <c r="BU65" s="929"/>
      <c r="BV65" s="949">
        <f>BV50</f>
        <v>-20</v>
      </c>
      <c r="BW65" s="949">
        <f>BW50</f>
        <v>16</v>
      </c>
      <c r="BX65" s="949">
        <f>BX50</f>
        <v>0</v>
      </c>
      <c r="BY65" s="949">
        <f>BY50</f>
        <v>9.3333333333333339</v>
      </c>
      <c r="BZ65" s="1061">
        <f>IF(BZ64&lt;=BV66,BV65,IF(BZ64&lt;=BV67,BV66,IF(BZ64&lt;=BV68,BV67,IF(BZ64&lt;=BV69,BV68,IF(BZ64&lt;=BV70,BV69)))))</f>
        <v>2</v>
      </c>
      <c r="CA65" s="929"/>
      <c r="CB65" s="949">
        <v>-20</v>
      </c>
      <c r="CC65" s="938">
        <f t="shared" si="128"/>
        <v>-0.7</v>
      </c>
      <c r="CD65" s="935"/>
      <c r="CE65" s="950">
        <f t="shared" ref="CE65:CE76" si="131">CE50</f>
        <v>0.13333333333333333</v>
      </c>
      <c r="CF65" s="1061">
        <f>IF(CF64&lt;=CB66,CB65,IF(CF64&lt;=CB67,CB66,IF(CF64&lt;=CB68,CB67,IF(CF64&lt;=CB69,CB68,IF(CF64&lt;=CB70,CB69)))))</f>
        <v>2</v>
      </c>
      <c r="CH65" s="949">
        <v>-20</v>
      </c>
      <c r="CI65" s="938">
        <f t="shared" si="129"/>
        <v>-1.5E-3</v>
      </c>
      <c r="CJ65" s="935"/>
      <c r="CK65" s="951">
        <f t="shared" ref="CK65:CK76" si="132">CK50</f>
        <v>7.3333333333333334E-2</v>
      </c>
      <c r="CL65" s="1061">
        <f>IF(CL64&lt;=CH66,CH65,IF(CL64&lt;=CH67,CH66,IF(CL64&lt;=CH68,CH67,IF(CL64&lt;=CH69,CH68,IF(CL64&lt;=CH70,CH69)))))</f>
        <v>2</v>
      </c>
      <c r="CN65" s="949">
        <v>-20</v>
      </c>
      <c r="CO65" s="938">
        <f t="shared" si="130"/>
        <v>-1.8</v>
      </c>
      <c r="CP65" s="935"/>
      <c r="CQ65" s="952">
        <f t="shared" ref="CQ65:CQ76" si="133">CQ50</f>
        <v>0.25666666666666665</v>
      </c>
      <c r="CR65" s="1061">
        <f>IF(CR64&lt;=CN66,CN65,IF(CR64&lt;=CN67,CN66,IF(CR64&lt;=CN68,CN67,IF(CR64&lt;=CN69,CN68,IF(CR64&lt;=CN70,CN69)))))</f>
        <v>2</v>
      </c>
    </row>
    <row r="66" spans="2:96">
      <c r="B66" s="939">
        <v>-15</v>
      </c>
      <c r="C66" s="953">
        <v>-0.22</v>
      </c>
      <c r="D66" s="953">
        <f t="shared" ref="D66:D76" si="134">C193</f>
        <v>-0.36</v>
      </c>
      <c r="E66" s="925">
        <f t="shared" ref="E66:E76" si="135">IF(OR(C66=0,D66=0),$C$204/3,((MAX(C66:D66)-(MIN(C66:D66)))))</f>
        <v>0.13999999999999999</v>
      </c>
      <c r="F66" s="1056"/>
      <c r="G66" s="942"/>
      <c r="H66" s="939">
        <v>-15</v>
      </c>
      <c r="I66" s="953">
        <v>-1.5E-3</v>
      </c>
      <c r="J66" s="940">
        <f t="shared" ref="J66:J76" si="136">D193</f>
        <v>-0.49</v>
      </c>
      <c r="K66" s="925">
        <f t="shared" ref="K66:K76" si="137">IF(OR(I66=0,J66=0),$D$204/3,((MAX(I66:J66)-(MIN(I66:J66)))))</f>
        <v>0.48849999999999999</v>
      </c>
      <c r="L66" s="1056"/>
      <c r="M66" s="942"/>
      <c r="N66" s="939">
        <v>-15</v>
      </c>
      <c r="O66" s="940"/>
      <c r="P66" s="940">
        <f t="shared" ref="P66:P76" si="138">E193</f>
        <v>-0.41</v>
      </c>
      <c r="Q66" s="925">
        <f t="shared" ref="Q66:Q76" si="139">IF(OR(O66=0,P66=0),$E$204/3,((MAX(O66:P66)-(MIN(O66:P66)))))</f>
        <v>0.13</v>
      </c>
      <c r="R66" s="1056"/>
      <c r="S66" s="929"/>
      <c r="T66" s="939">
        <v>-15</v>
      </c>
      <c r="U66" s="953">
        <f t="shared" ref="U66:U76" si="140">F193</f>
        <v>1E-3</v>
      </c>
      <c r="V66" s="940"/>
      <c r="W66" s="925">
        <f t="shared" ref="W66:W76" si="141">IF(OR(U66=0,V66=0),$F$204/3,((MAX(U66:V66)-(MIN(U66:V66)))))</f>
        <v>3.3333333333333332E-4</v>
      </c>
      <c r="X66" s="1056"/>
      <c r="Y66" s="929"/>
      <c r="Z66" s="939">
        <v>-15</v>
      </c>
      <c r="AA66" s="953">
        <f t="shared" ref="AA66:AA76" si="142">G193</f>
        <v>1E-3</v>
      </c>
      <c r="AB66" s="940"/>
      <c r="AC66" s="925">
        <f t="shared" ref="AC66:AC76" si="143">IF(OR(AA66=0,AB66=0),$G$204/3,((MAX(AA66:AB66)-(MIN(AA66:AB66)))))</f>
        <v>3.3333333333333332E-4</v>
      </c>
      <c r="AD66" s="1056"/>
      <c r="AE66" s="929"/>
      <c r="AF66" s="939">
        <v>-15</v>
      </c>
      <c r="AG66" s="953">
        <f t="shared" ref="AG66:AG76" si="144">H193</f>
        <v>1E-3</v>
      </c>
      <c r="AH66" s="940"/>
      <c r="AI66" s="925">
        <f t="shared" ref="AI66:AI76" si="145">IF(OR(AG66=0,AH66=0),$H$204/3,((MAX(AG66:AH66)-(MIN(AG66:AH66)))))</f>
        <v>0.3066666666666667</v>
      </c>
      <c r="AJ66" s="1056"/>
      <c r="AK66" s="929"/>
      <c r="AL66" s="939">
        <v>-15</v>
      </c>
      <c r="AM66" s="953">
        <f t="shared" ref="AM66:AM76" si="146">I193</f>
        <v>1E-3</v>
      </c>
      <c r="AN66" s="940"/>
      <c r="AO66" s="925">
        <f t="shared" ref="AO66:AO76" si="147">IF(OR(AM66=0,AN66=0),$I$204/3,((MAX(AM66:AN66)-(MIN(AM66:AN66)))))</f>
        <v>3.3333333333333332E-4</v>
      </c>
      <c r="AP66" s="1056"/>
      <c r="AQ66" s="929"/>
      <c r="AR66" s="939">
        <v>-15</v>
      </c>
      <c r="AS66" s="953">
        <f t="shared" ref="AS66:AS76" si="148">J193</f>
        <v>1E-3</v>
      </c>
      <c r="AT66" s="940"/>
      <c r="AU66" s="925">
        <f t="shared" ref="AU66:AU76" si="149">IF(OR(AS66=0,AT66=0),$J$204/3,((MAX(AS66:AT66)-(MIN(AS66:AT66)))))</f>
        <v>3.3333333333333332E-4</v>
      </c>
      <c r="AV66" s="1056"/>
      <c r="AW66" s="929"/>
      <c r="AX66" s="939">
        <v>-15</v>
      </c>
      <c r="AY66" s="953">
        <f t="shared" ref="AY66:AY76" si="150">K193</f>
        <v>1E-3</v>
      </c>
      <c r="AZ66" s="940"/>
      <c r="BA66" s="925">
        <f t="shared" ref="BA66:BA76" si="151">IF(OR(AY66=0,AZ66=0),$K$204/3,((MAX(AY66:AZ66)-(MIN(AY66:AZ66)))))</f>
        <v>0.26333333333333336</v>
      </c>
      <c r="BB66" s="1056"/>
      <c r="BC66" s="929"/>
      <c r="BD66" s="939">
        <v>-15</v>
      </c>
      <c r="BE66" s="953">
        <f t="shared" ref="BE66:BE76" si="152">L193</f>
        <v>1E-3</v>
      </c>
      <c r="BF66" s="940"/>
      <c r="BG66" s="925">
        <f t="shared" ref="BG66:BG76" si="153">IF(OR(BE66=0,BF66=0),$L$204/3,((MAX(BE66:BF66)-(MIN(BE66:BF66)))))</f>
        <v>3.3333333333333332E-4</v>
      </c>
      <c r="BH66" s="1056"/>
      <c r="BI66" s="929"/>
      <c r="BJ66" s="939">
        <v>-15</v>
      </c>
      <c r="BK66" s="953">
        <f t="shared" ref="BK66:BK76" si="154">M193</f>
        <v>1E-3</v>
      </c>
      <c r="BL66" s="940"/>
      <c r="BM66" s="925">
        <f t="shared" ref="BM66:BM76" si="155">IF(OR(BK66=0,BL66=0),$M$204/3,((MAX(BK66:BL66)-(MIN(BK66:BL66)))))</f>
        <v>0.26333333333333336</v>
      </c>
      <c r="BN66" s="1056"/>
      <c r="BO66" s="929"/>
      <c r="BP66" s="939">
        <v>-15</v>
      </c>
      <c r="BQ66" s="953">
        <f t="shared" ref="BQ66:BQ76" si="156">N193</f>
        <v>1E-3</v>
      </c>
      <c r="BR66" s="940"/>
      <c r="BS66" s="925">
        <f t="shared" ref="BS66:BS76" si="157">IF(OR(BQ66=0,BR66=0),$N$204/3,((MAX(BQ66:BR66)-(MIN(BQ66:BR66)))))</f>
        <v>3.3333333333333332E-4</v>
      </c>
      <c r="BT66" s="1056"/>
      <c r="BU66" s="929"/>
      <c r="BV66" s="939">
        <v>-15</v>
      </c>
      <c r="BW66" s="953">
        <f t="shared" ref="BW66:BW76" si="158">O193</f>
        <v>3</v>
      </c>
      <c r="BX66" s="940"/>
      <c r="BY66" s="925">
        <f t="shared" ref="BY66:BY76" si="159">IF(OR(BW66=0,BX66=0),$O$204/3,((MAX(BW66:BX66)-(MIN(BW66:BX66)))))</f>
        <v>4.666666666666667</v>
      </c>
      <c r="BZ66" s="1056"/>
      <c r="CA66" s="929"/>
      <c r="CB66" s="939">
        <v>-15</v>
      </c>
      <c r="CC66" s="953">
        <f t="shared" si="128"/>
        <v>-0.7</v>
      </c>
      <c r="CD66" s="940"/>
      <c r="CE66" s="925">
        <f t="shared" si="131"/>
        <v>0.13333333333333333</v>
      </c>
      <c r="CF66" s="1056"/>
      <c r="CH66" s="939">
        <v>-15</v>
      </c>
      <c r="CI66" s="953">
        <f t="shared" si="129"/>
        <v>1E-3</v>
      </c>
      <c r="CJ66" s="940"/>
      <c r="CK66" s="925">
        <f t="shared" si="132"/>
        <v>7.3333333333333334E-2</v>
      </c>
      <c r="CL66" s="1056"/>
      <c r="CN66" s="939">
        <v>-15</v>
      </c>
      <c r="CO66" s="953">
        <f t="shared" si="130"/>
        <v>-1.52</v>
      </c>
      <c r="CP66" s="940"/>
      <c r="CQ66" s="925">
        <f t="shared" si="133"/>
        <v>0.25666666666666665</v>
      </c>
      <c r="CR66" s="1056"/>
    </row>
    <row r="67" spans="2:96">
      <c r="B67" s="939">
        <v>-10</v>
      </c>
      <c r="C67" s="953">
        <v>-1.9E-3</v>
      </c>
      <c r="D67" s="953">
        <f t="shared" si="134"/>
        <v>-0.3</v>
      </c>
      <c r="E67" s="925">
        <f t="shared" si="135"/>
        <v>0.29809999999999998</v>
      </c>
      <c r="F67" s="1061">
        <f>IF(F64&lt;=B65,B65,IF(F64&lt;=B66,B66,IF(F64&lt;=B67,B67,IF(F64&lt;=B68,B68,IF(F64&lt;=B69,B69,IF(F64&lt;=B70,B70))))))</f>
        <v>8</v>
      </c>
      <c r="G67" s="942"/>
      <c r="H67" s="939">
        <v>-10</v>
      </c>
      <c r="I67" s="953">
        <v>-1.2999999999999999E-3</v>
      </c>
      <c r="J67" s="940">
        <f t="shared" si="136"/>
        <v>1E-3</v>
      </c>
      <c r="K67" s="925">
        <f t="shared" si="137"/>
        <v>2.3E-3</v>
      </c>
      <c r="L67" s="1061">
        <f>IF(L64&lt;=H65,H65,IF(L64&lt;=H66,H66,IF(L64&lt;=H67,H67,IF(L64&lt;=H68,H68,IF(L64&lt;=H69,H69,IF(L64&lt;=H70,H70))))))</f>
        <v>8</v>
      </c>
      <c r="M67" s="942"/>
      <c r="N67" s="939">
        <v>-10</v>
      </c>
      <c r="O67" s="940"/>
      <c r="P67" s="940">
        <f t="shared" si="138"/>
        <v>-0.32</v>
      </c>
      <c r="Q67" s="925">
        <f t="shared" si="139"/>
        <v>0.13</v>
      </c>
      <c r="R67" s="1061">
        <f>IF(R64&lt;=N65,N65,IF(R64&lt;=N66,N66,IF(R64&lt;=N67,N67,IF(R64&lt;=N68,N68,IF(R64&lt;=N69,N69,IF(R64&lt;=N70,N70))))))</f>
        <v>8</v>
      </c>
      <c r="S67" s="929"/>
      <c r="T67" s="939">
        <v>-10</v>
      </c>
      <c r="U67" s="953">
        <f t="shared" si="140"/>
        <v>1E-3</v>
      </c>
      <c r="V67" s="940"/>
      <c r="W67" s="925">
        <f t="shared" si="141"/>
        <v>3.3333333333333332E-4</v>
      </c>
      <c r="X67" s="1061">
        <f>IF(X64&lt;=T65,T65,IF(X64&lt;=T66,T66,IF(X64&lt;=T67,T67,IF(X64&lt;=T68,T68,IF(X64&lt;=T69,T69,IF(X64&lt;=T70,T70))))))</f>
        <v>8</v>
      </c>
      <c r="Y67" s="929"/>
      <c r="Z67" s="939">
        <v>-10</v>
      </c>
      <c r="AA67" s="953">
        <f t="shared" si="142"/>
        <v>1E-3</v>
      </c>
      <c r="AB67" s="940"/>
      <c r="AC67" s="925">
        <f t="shared" si="143"/>
        <v>3.3333333333333332E-4</v>
      </c>
      <c r="AD67" s="1061">
        <f>IF(AD64&lt;=Z65,Z65,IF(AD64&lt;=Z66,Z66,IF(AD64&lt;=Z67,Z67,IF(AD64&lt;=Z68,Z68,IF(AD64&lt;=Z69,Z69,IF(AD64&lt;=Z70,Z70))))))</f>
        <v>8</v>
      </c>
      <c r="AE67" s="929"/>
      <c r="AF67" s="939">
        <v>-10</v>
      </c>
      <c r="AG67" s="953">
        <f t="shared" si="144"/>
        <v>1.6999999999999999E-3</v>
      </c>
      <c r="AH67" s="940"/>
      <c r="AI67" s="925">
        <f t="shared" si="145"/>
        <v>0.3066666666666667</v>
      </c>
      <c r="AJ67" s="1061">
        <f>IF(AJ64&lt;=AF65,AF65,IF(AJ64&lt;=AF66,AF66,IF(AJ64&lt;=AF67,AF67,IF(AJ64&lt;=AF68,AF68,IF(AJ64&lt;=AF69,AF69,IF(AJ64&lt;=AF70,AF70))))))</f>
        <v>8</v>
      </c>
      <c r="AK67" s="929"/>
      <c r="AL67" s="939">
        <v>-10</v>
      </c>
      <c r="AM67" s="953">
        <f t="shared" si="146"/>
        <v>1E-3</v>
      </c>
      <c r="AN67" s="940"/>
      <c r="AO67" s="925">
        <f t="shared" si="147"/>
        <v>3.3333333333333332E-4</v>
      </c>
      <c r="AP67" s="1061">
        <f>IF(AP64&lt;=AL65,AL65,IF(AP64&lt;=AL66,AL66,IF(AP64&lt;=AL67,AL67,IF(AP64&lt;=AL68,AL68,IF(AP64&lt;=AL69,AL69,IF(AP64&lt;=AL70,AL70))))))</f>
        <v>8</v>
      </c>
      <c r="AQ67" s="929"/>
      <c r="AR67" s="939">
        <v>-10</v>
      </c>
      <c r="AS67" s="953">
        <f t="shared" si="148"/>
        <v>1E-3</v>
      </c>
      <c r="AT67" s="940"/>
      <c r="AU67" s="925">
        <f t="shared" si="149"/>
        <v>3.3333333333333332E-4</v>
      </c>
      <c r="AV67" s="1061">
        <f>IF(AV64&lt;=AR65,AR65,IF(AV64&lt;=AR66,AR66,IF(AV64&lt;=AR67,AR67,IF(AV64&lt;=AR68,AR68,IF(AV64&lt;=AR69,AR69,IF(AV64&lt;=AR70,AR70))))))</f>
        <v>8</v>
      </c>
      <c r="AW67" s="929"/>
      <c r="AX67" s="939">
        <v>-10</v>
      </c>
      <c r="AY67" s="953">
        <f t="shared" si="150"/>
        <v>0.53</v>
      </c>
      <c r="AZ67" s="940"/>
      <c r="BA67" s="925">
        <f t="shared" si="151"/>
        <v>0.26333333333333336</v>
      </c>
      <c r="BB67" s="1061">
        <f>IF(BB64&lt;=AX65,AX65,IF(BB64&lt;=AX66,AX66,IF(BB64&lt;=AX67,AX67,IF(BB64&lt;=AX68,AX68,IF(BB64&lt;=AX69,AX69,IF(BB64&lt;=AX70,AX70))))))</f>
        <v>8</v>
      </c>
      <c r="BC67" s="929"/>
      <c r="BD67" s="939">
        <v>-10</v>
      </c>
      <c r="BE67" s="953">
        <f t="shared" si="152"/>
        <v>1E-3</v>
      </c>
      <c r="BF67" s="940"/>
      <c r="BG67" s="925">
        <f t="shared" si="153"/>
        <v>3.3333333333333332E-4</v>
      </c>
      <c r="BH67" s="1061">
        <f>IF(BH64&lt;=BD65,BD65,IF(BH64&lt;=BD66,BD66,IF(BH64&lt;=BD67,BD67,IF(BH64&lt;=BD68,BD68,IF(BH64&lt;=BD69,BD69,IF(BH64&lt;=BD70,BD70))))))</f>
        <v>8</v>
      </c>
      <c r="BI67" s="929"/>
      <c r="BJ67" s="939">
        <v>-10</v>
      </c>
      <c r="BK67" s="953">
        <f t="shared" si="154"/>
        <v>0.53</v>
      </c>
      <c r="BL67" s="940"/>
      <c r="BM67" s="925">
        <f t="shared" si="155"/>
        <v>0.26333333333333336</v>
      </c>
      <c r="BN67" s="1061">
        <f>IF(BN64&lt;=BJ65,BJ65,IF(BN64&lt;=BJ66,BJ66,IF(BN64&lt;=BJ67,BJ67,IF(BN64&lt;=BJ68,BJ68,IF(BN64&lt;=BJ69,BJ69,IF(BN64&lt;=BJ70,BJ70))))))</f>
        <v>8</v>
      </c>
      <c r="BO67" s="929"/>
      <c r="BP67" s="939">
        <v>-10</v>
      </c>
      <c r="BQ67" s="953">
        <f t="shared" si="156"/>
        <v>1E-3</v>
      </c>
      <c r="BR67" s="940"/>
      <c r="BS67" s="925">
        <f t="shared" si="157"/>
        <v>3.3333333333333332E-4</v>
      </c>
      <c r="BT67" s="1061">
        <f>IF(BT64&lt;=BP65,BP65,IF(BT64&lt;=BP66,BP66,IF(BT64&lt;=BP67,BP67,IF(BT64&lt;=BP68,BP68,IF(BT64&lt;=BP69,BP69,IF(BT64&lt;=BP70,BP70))))))</f>
        <v>8</v>
      </c>
      <c r="BU67" s="929"/>
      <c r="BV67" s="939">
        <v>-10</v>
      </c>
      <c r="BW67" s="953">
        <f t="shared" si="158"/>
        <v>4</v>
      </c>
      <c r="BX67" s="940"/>
      <c r="BY67" s="925">
        <f t="shared" si="159"/>
        <v>4.666666666666667</v>
      </c>
      <c r="BZ67" s="1061">
        <f>IF(BZ64&lt;=BV65,BV65,IF(BZ64&lt;=BV66,BV66,IF(BZ64&lt;=BV67,BV67,IF(BZ64&lt;=BV68,BV68,IF(BZ64&lt;=BV69,BV69,IF(BZ64&lt;=BV70,BV70))))))</f>
        <v>8</v>
      </c>
      <c r="CA67" s="929"/>
      <c r="CB67" s="939">
        <v>-10</v>
      </c>
      <c r="CC67" s="953">
        <f t="shared" si="128"/>
        <v>-0.7</v>
      </c>
      <c r="CD67" s="940"/>
      <c r="CE67" s="925">
        <f t="shared" si="131"/>
        <v>0.13333333333333333</v>
      </c>
      <c r="CF67" s="1061">
        <f>IF(CF64&lt;=CB65,CB65,IF(CF64&lt;=CB66,CB66,IF(CF64&lt;=CB67,CB67,IF(CF64&lt;=CB68,CB68,IF(CF64&lt;=CB69,CB69,IF(CF64&lt;=CB70,CB70))))))</f>
        <v>8</v>
      </c>
      <c r="CH67" s="939">
        <v>-10</v>
      </c>
      <c r="CI67" s="953">
        <f t="shared" si="129"/>
        <v>-0.05</v>
      </c>
      <c r="CJ67" s="940"/>
      <c r="CK67" s="925">
        <f t="shared" si="132"/>
        <v>7.3333333333333334E-2</v>
      </c>
      <c r="CL67" s="1061">
        <f>IF(CL64&lt;=CH65,CH65,IF(CL64&lt;=CH66,CH66,IF(CL64&lt;=CH67,CH67,IF(CL64&lt;=CH68,CH68,IF(CL64&lt;=CH69,CH69,IF(CL64&lt;=CH70,CH70))))))</f>
        <v>8</v>
      </c>
      <c r="CN67" s="939">
        <v>-10</v>
      </c>
      <c r="CO67" s="953">
        <f t="shared" si="130"/>
        <v>-1.26</v>
      </c>
      <c r="CP67" s="940"/>
      <c r="CQ67" s="925">
        <f t="shared" si="133"/>
        <v>0.25666666666666665</v>
      </c>
      <c r="CR67" s="1061">
        <f>IF(CR64&lt;=CN65,CN65,IF(CR64&lt;=CN66,CN66,IF(CR64&lt;=CN67,CN67,IF(CR64&lt;=CN68,CN68,IF(CR64&lt;=CN69,CN69,IF(CR64&lt;=CN70,CN70))))))</f>
        <v>8</v>
      </c>
    </row>
    <row r="68" spans="2:96">
      <c r="B68" s="939">
        <v>1E-3</v>
      </c>
      <c r="C68" s="953">
        <v>-1.4E-3</v>
      </c>
      <c r="D68" s="953">
        <f t="shared" si="134"/>
        <v>-1.9E-3</v>
      </c>
      <c r="E68" s="925">
        <f t="shared" si="135"/>
        <v>5.0000000000000001E-4</v>
      </c>
      <c r="F68" s="1056"/>
      <c r="G68" s="942"/>
      <c r="H68" s="939">
        <v>1E-3</v>
      </c>
      <c r="I68" s="953">
        <v>-0.08</v>
      </c>
      <c r="J68" s="940">
        <f t="shared" si="136"/>
        <v>-0.2</v>
      </c>
      <c r="K68" s="925">
        <f t="shared" si="137"/>
        <v>0.12000000000000001</v>
      </c>
      <c r="L68" s="1056"/>
      <c r="M68" s="942"/>
      <c r="N68" s="939">
        <v>1E-3</v>
      </c>
      <c r="O68" s="940"/>
      <c r="P68" s="940">
        <f t="shared" si="138"/>
        <v>-0.28999999999999998</v>
      </c>
      <c r="Q68" s="925">
        <f t="shared" si="139"/>
        <v>0.13</v>
      </c>
      <c r="R68" s="1056"/>
      <c r="S68" s="929"/>
      <c r="T68" s="939">
        <v>1E-3</v>
      </c>
      <c r="U68" s="953">
        <f t="shared" si="140"/>
        <v>1E-3</v>
      </c>
      <c r="V68" s="940"/>
      <c r="W68" s="925">
        <f t="shared" si="141"/>
        <v>3.3333333333333332E-4</v>
      </c>
      <c r="X68" s="1056"/>
      <c r="Y68" s="929"/>
      <c r="Z68" s="939">
        <v>1E-3</v>
      </c>
      <c r="AA68" s="953">
        <f t="shared" si="142"/>
        <v>1E-3</v>
      </c>
      <c r="AB68" s="940"/>
      <c r="AC68" s="925">
        <f t="shared" si="143"/>
        <v>3.3333333333333332E-4</v>
      </c>
      <c r="AD68" s="1056"/>
      <c r="AE68" s="929"/>
      <c r="AF68" s="939">
        <v>1E-3</v>
      </c>
      <c r="AG68" s="953">
        <f t="shared" si="144"/>
        <v>0.34</v>
      </c>
      <c r="AH68" s="940"/>
      <c r="AI68" s="925">
        <f t="shared" si="145"/>
        <v>0.3066666666666667</v>
      </c>
      <c r="AJ68" s="1056"/>
      <c r="AK68" s="929"/>
      <c r="AL68" s="939">
        <v>1E-3</v>
      </c>
      <c r="AM68" s="953">
        <f t="shared" si="146"/>
        <v>1E-3</v>
      </c>
      <c r="AN68" s="940"/>
      <c r="AO68" s="925">
        <f t="shared" si="147"/>
        <v>3.3333333333333332E-4</v>
      </c>
      <c r="AP68" s="1056"/>
      <c r="AQ68" s="929"/>
      <c r="AR68" s="939">
        <v>1E-3</v>
      </c>
      <c r="AS68" s="953">
        <f t="shared" si="148"/>
        <v>1E-3</v>
      </c>
      <c r="AT68" s="940"/>
      <c r="AU68" s="925">
        <f t="shared" si="149"/>
        <v>3.3333333333333332E-4</v>
      </c>
      <c r="AV68" s="1056"/>
      <c r="AW68" s="929"/>
      <c r="AX68" s="939">
        <v>1E-3</v>
      </c>
      <c r="AY68" s="953">
        <f t="shared" si="150"/>
        <v>0.51</v>
      </c>
      <c r="AZ68" s="940"/>
      <c r="BA68" s="925">
        <f t="shared" si="151"/>
        <v>0.26333333333333336</v>
      </c>
      <c r="BB68" s="1056"/>
      <c r="BC68" s="929"/>
      <c r="BD68" s="939">
        <v>1E-3</v>
      </c>
      <c r="BE68" s="953">
        <f t="shared" si="152"/>
        <v>1E-3</v>
      </c>
      <c r="BF68" s="940"/>
      <c r="BG68" s="925">
        <f t="shared" si="153"/>
        <v>3.3333333333333332E-4</v>
      </c>
      <c r="BH68" s="1056"/>
      <c r="BI68" s="929"/>
      <c r="BJ68" s="939">
        <v>1E-3</v>
      </c>
      <c r="BK68" s="953">
        <f t="shared" si="154"/>
        <v>0.51</v>
      </c>
      <c r="BL68" s="940"/>
      <c r="BM68" s="925">
        <f t="shared" si="155"/>
        <v>0.26333333333333336</v>
      </c>
      <c r="BN68" s="1056"/>
      <c r="BO68" s="929"/>
      <c r="BP68" s="939">
        <v>1E-3</v>
      </c>
      <c r="BQ68" s="953">
        <f t="shared" si="156"/>
        <v>1E-3</v>
      </c>
      <c r="BR68" s="940"/>
      <c r="BS68" s="925">
        <f t="shared" si="157"/>
        <v>3.3333333333333332E-4</v>
      </c>
      <c r="BT68" s="1056"/>
      <c r="BU68" s="929"/>
      <c r="BV68" s="939">
        <v>1E-3</v>
      </c>
      <c r="BW68" s="953">
        <f t="shared" si="158"/>
        <v>5</v>
      </c>
      <c r="BX68" s="940"/>
      <c r="BY68" s="925">
        <f t="shared" si="159"/>
        <v>4.666666666666667</v>
      </c>
      <c r="BZ68" s="1056"/>
      <c r="CA68" s="929"/>
      <c r="CB68" s="939">
        <v>1E-3</v>
      </c>
      <c r="CC68" s="953">
        <f t="shared" si="128"/>
        <v>-0.7</v>
      </c>
      <c r="CD68" s="940"/>
      <c r="CE68" s="925">
        <f t="shared" si="131"/>
        <v>0.13333333333333333</v>
      </c>
      <c r="CF68" s="1056"/>
      <c r="CH68" s="939">
        <v>1E-3</v>
      </c>
      <c r="CI68" s="953">
        <f t="shared" si="129"/>
        <v>0.03</v>
      </c>
      <c r="CJ68" s="940"/>
      <c r="CK68" s="925">
        <f t="shared" si="132"/>
        <v>7.3333333333333334E-2</v>
      </c>
      <c r="CL68" s="1056"/>
      <c r="CN68" s="939">
        <v>1E-3</v>
      </c>
      <c r="CO68" s="953">
        <f t="shared" si="130"/>
        <v>-0.79</v>
      </c>
      <c r="CP68" s="940"/>
      <c r="CQ68" s="925">
        <f t="shared" si="133"/>
        <v>0.25666666666666665</v>
      </c>
      <c r="CR68" s="1056"/>
    </row>
    <row r="69" spans="2:96">
      <c r="B69" s="939">
        <v>2</v>
      </c>
      <c r="C69" s="953"/>
      <c r="D69" s="953">
        <f t="shared" si="134"/>
        <v>-1.6999999999999999E-3</v>
      </c>
      <c r="E69" s="925">
        <f t="shared" si="135"/>
        <v>0.11333333333333334</v>
      </c>
      <c r="F69" s="1062">
        <f>LOOKUP(F65,B65:E76)</f>
        <v>0.11333333333333334</v>
      </c>
      <c r="G69" s="942"/>
      <c r="H69" s="939">
        <v>2</v>
      </c>
      <c r="I69" s="953">
        <v>-7.0000000000000007E-2</v>
      </c>
      <c r="J69" s="940">
        <f t="shared" si="136"/>
        <v>-1.6999999999999999E-3</v>
      </c>
      <c r="K69" s="925">
        <f t="shared" si="137"/>
        <v>6.8300000000000013E-2</v>
      </c>
      <c r="L69" s="1062">
        <f>LOOKUP(L65,H65:K76)</f>
        <v>6.8300000000000013E-2</v>
      </c>
      <c r="M69" s="942"/>
      <c r="N69" s="939">
        <v>2</v>
      </c>
      <c r="O69" s="940"/>
      <c r="P69" s="940">
        <f t="shared" si="138"/>
        <v>-0.27</v>
      </c>
      <c r="Q69" s="925">
        <f t="shared" si="139"/>
        <v>0.13</v>
      </c>
      <c r="R69" s="1062">
        <f>LOOKUP(R65,N65:Q76)</f>
        <v>0.13</v>
      </c>
      <c r="S69" s="929"/>
      <c r="T69" s="939">
        <v>2</v>
      </c>
      <c r="U69" s="953">
        <f t="shared" si="140"/>
        <v>1E-3</v>
      </c>
      <c r="V69" s="940"/>
      <c r="W69" s="925">
        <f t="shared" si="141"/>
        <v>3.3333333333333332E-4</v>
      </c>
      <c r="X69" s="1062">
        <f>LOOKUP(X65,T65:W76)</f>
        <v>3.3333333333333332E-4</v>
      </c>
      <c r="Y69" s="929"/>
      <c r="Z69" s="939">
        <v>2</v>
      </c>
      <c r="AA69" s="953">
        <f t="shared" si="142"/>
        <v>1E-3</v>
      </c>
      <c r="AB69" s="940"/>
      <c r="AC69" s="925">
        <f t="shared" si="143"/>
        <v>3.3333333333333332E-4</v>
      </c>
      <c r="AD69" s="1062">
        <f>LOOKUP(AD65,Z65:AC76)</f>
        <v>3.3333333333333332E-4</v>
      </c>
      <c r="AE69" s="929"/>
      <c r="AF69" s="939">
        <v>2</v>
      </c>
      <c r="AG69" s="953">
        <f t="shared" si="144"/>
        <v>0.37</v>
      </c>
      <c r="AH69" s="940"/>
      <c r="AI69" s="925">
        <f t="shared" si="145"/>
        <v>0.3066666666666667</v>
      </c>
      <c r="AJ69" s="1062">
        <f>LOOKUP(AJ65,AF65:AI76)</f>
        <v>0.3066666666666667</v>
      </c>
      <c r="AK69" s="929"/>
      <c r="AL69" s="939">
        <v>2</v>
      </c>
      <c r="AM69" s="953">
        <f t="shared" si="146"/>
        <v>1E-3</v>
      </c>
      <c r="AN69" s="940"/>
      <c r="AO69" s="925">
        <f t="shared" si="147"/>
        <v>3.3333333333333332E-4</v>
      </c>
      <c r="AP69" s="1062">
        <f>LOOKUP(AP65,AL65:AO76)</f>
        <v>3.3333333333333332E-4</v>
      </c>
      <c r="AQ69" s="929"/>
      <c r="AR69" s="939">
        <v>2</v>
      </c>
      <c r="AS69" s="953">
        <f t="shared" si="148"/>
        <v>1E-3</v>
      </c>
      <c r="AT69" s="940"/>
      <c r="AU69" s="925">
        <f t="shared" si="149"/>
        <v>3.3333333333333332E-4</v>
      </c>
      <c r="AV69" s="1062">
        <f>LOOKUP(AV65,AR65:AU76)</f>
        <v>3.3333333333333332E-4</v>
      </c>
      <c r="AW69" s="929"/>
      <c r="AX69" s="939">
        <v>2</v>
      </c>
      <c r="AY69" s="953">
        <f t="shared" si="150"/>
        <v>0.5</v>
      </c>
      <c r="AZ69" s="940"/>
      <c r="BA69" s="925">
        <f t="shared" si="151"/>
        <v>0.26333333333333336</v>
      </c>
      <c r="BB69" s="1062">
        <f>LOOKUP(BB65,AX65:BA76)</f>
        <v>0.26333333333333336</v>
      </c>
      <c r="BC69" s="929"/>
      <c r="BD69" s="939">
        <v>2</v>
      </c>
      <c r="BE69" s="953">
        <f t="shared" si="152"/>
        <v>1E-3</v>
      </c>
      <c r="BF69" s="940"/>
      <c r="BG69" s="925">
        <f t="shared" si="153"/>
        <v>3.3333333333333332E-4</v>
      </c>
      <c r="BH69" s="1062">
        <f>LOOKUP(BH65,BD65:BG76)</f>
        <v>3.3333333333333332E-4</v>
      </c>
      <c r="BI69" s="929"/>
      <c r="BJ69" s="939">
        <v>2</v>
      </c>
      <c r="BK69" s="953">
        <f t="shared" si="154"/>
        <v>0.5</v>
      </c>
      <c r="BL69" s="940"/>
      <c r="BM69" s="925">
        <f t="shared" si="155"/>
        <v>0.26333333333333336</v>
      </c>
      <c r="BN69" s="1062">
        <f>LOOKUP(BN65,BJ65:BM76)</f>
        <v>0.26333333333333336</v>
      </c>
      <c r="BO69" s="929"/>
      <c r="BP69" s="939">
        <v>2</v>
      </c>
      <c r="BQ69" s="953">
        <f t="shared" si="156"/>
        <v>1E-3</v>
      </c>
      <c r="BR69" s="940"/>
      <c r="BS69" s="925">
        <f t="shared" si="157"/>
        <v>3.3333333333333332E-4</v>
      </c>
      <c r="BT69" s="1062">
        <f>LOOKUP(BT65,BP65:BS76)</f>
        <v>3.3333333333333332E-4</v>
      </c>
      <c r="BU69" s="929"/>
      <c r="BV69" s="939">
        <v>2</v>
      </c>
      <c r="BW69" s="953">
        <f t="shared" si="158"/>
        <v>6</v>
      </c>
      <c r="BX69" s="940"/>
      <c r="BY69" s="925">
        <f t="shared" si="159"/>
        <v>4.666666666666667</v>
      </c>
      <c r="BZ69" s="1062">
        <f>LOOKUP(BZ65,BV65:BY76)</f>
        <v>4.666666666666667</v>
      </c>
      <c r="CA69" s="929"/>
      <c r="CB69" s="939">
        <v>2</v>
      </c>
      <c r="CC69" s="953">
        <f t="shared" si="128"/>
        <v>-0.7</v>
      </c>
      <c r="CD69" s="940"/>
      <c r="CE69" s="925">
        <f t="shared" si="131"/>
        <v>0.13333333333333333</v>
      </c>
      <c r="CF69" s="1062">
        <f>LOOKUP(CF65,CB65:CE76)</f>
        <v>0.13333333333333333</v>
      </c>
      <c r="CH69" s="939">
        <v>2</v>
      </c>
      <c r="CI69" s="953">
        <f t="shared" si="129"/>
        <v>0.04</v>
      </c>
      <c r="CJ69" s="940"/>
      <c r="CK69" s="925">
        <f t="shared" si="132"/>
        <v>7.3333333333333334E-2</v>
      </c>
      <c r="CL69" s="1062">
        <f>LOOKUP(CL65,CH65:CK76)</f>
        <v>7.3333333333333334E-2</v>
      </c>
      <c r="CN69" s="939">
        <v>2</v>
      </c>
      <c r="CO69" s="953">
        <f t="shared" si="130"/>
        <v>-2.7</v>
      </c>
      <c r="CP69" s="940"/>
      <c r="CQ69" s="925">
        <f t="shared" si="133"/>
        <v>0.25666666666666665</v>
      </c>
      <c r="CR69" s="1062">
        <f>LOOKUP(CR65,CN65:CQ76)</f>
        <v>0.25666666666666665</v>
      </c>
    </row>
    <row r="70" spans="2:96">
      <c r="B70" s="939">
        <v>8</v>
      </c>
      <c r="C70" s="953"/>
      <c r="D70" s="953">
        <f t="shared" si="134"/>
        <v>-1.1000000000000001E-3</v>
      </c>
      <c r="E70" s="925">
        <f t="shared" si="135"/>
        <v>0.11333333333333334</v>
      </c>
      <c r="F70" s="1056"/>
      <c r="G70" s="942"/>
      <c r="H70" s="939">
        <v>8</v>
      </c>
      <c r="I70" s="953">
        <v>-0.04</v>
      </c>
      <c r="J70" s="940">
        <f t="shared" si="136"/>
        <v>-0.08</v>
      </c>
      <c r="K70" s="925">
        <f t="shared" si="137"/>
        <v>0.04</v>
      </c>
      <c r="L70" s="1056"/>
      <c r="M70" s="942"/>
      <c r="N70" s="939">
        <v>8</v>
      </c>
      <c r="O70" s="940"/>
      <c r="P70" s="940">
        <f t="shared" si="138"/>
        <v>-1.6000000000000001E-3</v>
      </c>
      <c r="Q70" s="925">
        <f t="shared" si="139"/>
        <v>0.13</v>
      </c>
      <c r="R70" s="1056"/>
      <c r="S70" s="929"/>
      <c r="T70" s="939">
        <v>8</v>
      </c>
      <c r="U70" s="953">
        <f t="shared" si="140"/>
        <v>1E-3</v>
      </c>
      <c r="V70" s="940"/>
      <c r="W70" s="925">
        <f t="shared" si="141"/>
        <v>3.3333333333333332E-4</v>
      </c>
      <c r="X70" s="1056"/>
      <c r="Y70" s="929"/>
      <c r="Z70" s="939">
        <v>8</v>
      </c>
      <c r="AA70" s="953">
        <f t="shared" si="142"/>
        <v>1E-3</v>
      </c>
      <c r="AB70" s="940"/>
      <c r="AC70" s="925">
        <f t="shared" si="143"/>
        <v>3.3333333333333332E-4</v>
      </c>
      <c r="AD70" s="1056"/>
      <c r="AE70" s="929"/>
      <c r="AF70" s="939">
        <v>8</v>
      </c>
      <c r="AG70" s="953">
        <f t="shared" si="144"/>
        <v>0.45</v>
      </c>
      <c r="AH70" s="940"/>
      <c r="AI70" s="925">
        <f t="shared" si="145"/>
        <v>0.3066666666666667</v>
      </c>
      <c r="AJ70" s="1056"/>
      <c r="AK70" s="929"/>
      <c r="AL70" s="939">
        <v>8</v>
      </c>
      <c r="AM70" s="953">
        <f t="shared" si="146"/>
        <v>1E-3</v>
      </c>
      <c r="AN70" s="940"/>
      <c r="AO70" s="925">
        <f t="shared" si="147"/>
        <v>3.3333333333333332E-4</v>
      </c>
      <c r="AP70" s="1056"/>
      <c r="AQ70" s="929"/>
      <c r="AR70" s="939">
        <v>8</v>
      </c>
      <c r="AS70" s="953">
        <f t="shared" si="148"/>
        <v>1E-3</v>
      </c>
      <c r="AT70" s="940"/>
      <c r="AU70" s="925">
        <f t="shared" si="149"/>
        <v>3.3333333333333332E-4</v>
      </c>
      <c r="AV70" s="1056"/>
      <c r="AW70" s="929"/>
      <c r="AX70" s="939">
        <v>8</v>
      </c>
      <c r="AY70" s="953">
        <f t="shared" si="150"/>
        <v>0.49</v>
      </c>
      <c r="AZ70" s="940"/>
      <c r="BA70" s="925">
        <f t="shared" si="151"/>
        <v>0.26333333333333336</v>
      </c>
      <c r="BB70" s="1056"/>
      <c r="BC70" s="929"/>
      <c r="BD70" s="939">
        <v>8</v>
      </c>
      <c r="BE70" s="953">
        <f t="shared" si="152"/>
        <v>1E-3</v>
      </c>
      <c r="BF70" s="940"/>
      <c r="BG70" s="925">
        <f t="shared" si="153"/>
        <v>3.3333333333333332E-4</v>
      </c>
      <c r="BH70" s="1056"/>
      <c r="BI70" s="929"/>
      <c r="BJ70" s="939">
        <v>8</v>
      </c>
      <c r="BK70" s="953">
        <f t="shared" si="154"/>
        <v>0.49</v>
      </c>
      <c r="BL70" s="940"/>
      <c r="BM70" s="925">
        <f t="shared" si="155"/>
        <v>0.26333333333333336</v>
      </c>
      <c r="BN70" s="1056"/>
      <c r="BO70" s="929"/>
      <c r="BP70" s="939">
        <v>8</v>
      </c>
      <c r="BQ70" s="953">
        <f t="shared" si="156"/>
        <v>1E-3</v>
      </c>
      <c r="BR70" s="940"/>
      <c r="BS70" s="925">
        <f t="shared" si="157"/>
        <v>3.3333333333333332E-4</v>
      </c>
      <c r="BT70" s="1056"/>
      <c r="BU70" s="929"/>
      <c r="BV70" s="939">
        <v>8</v>
      </c>
      <c r="BW70" s="953">
        <f t="shared" si="158"/>
        <v>7</v>
      </c>
      <c r="BX70" s="940"/>
      <c r="BY70" s="925">
        <f t="shared" si="159"/>
        <v>4.666666666666667</v>
      </c>
      <c r="BZ70" s="1056"/>
      <c r="CA70" s="929"/>
      <c r="CB70" s="939">
        <v>8</v>
      </c>
      <c r="CC70" s="953">
        <f t="shared" si="128"/>
        <v>-0.7</v>
      </c>
      <c r="CD70" s="940"/>
      <c r="CE70" s="925">
        <f t="shared" si="131"/>
        <v>0.13333333333333333</v>
      </c>
      <c r="CF70" s="1056"/>
      <c r="CH70" s="939">
        <v>8</v>
      </c>
      <c r="CI70" s="953">
        <f t="shared" si="129"/>
        <v>0.08</v>
      </c>
      <c r="CJ70" s="940"/>
      <c r="CK70" s="925">
        <f t="shared" si="132"/>
        <v>7.3333333333333334E-2</v>
      </c>
      <c r="CL70" s="1056"/>
      <c r="CN70" s="939">
        <v>8</v>
      </c>
      <c r="CO70" s="953">
        <f t="shared" si="130"/>
        <v>-0.46</v>
      </c>
      <c r="CP70" s="940"/>
      <c r="CQ70" s="925">
        <f t="shared" si="133"/>
        <v>0.25666666666666665</v>
      </c>
      <c r="CR70" s="1056"/>
    </row>
    <row r="71" spans="2:96">
      <c r="B71" s="939">
        <v>37</v>
      </c>
      <c r="C71" s="953">
        <v>-0.01</v>
      </c>
      <c r="D71" s="953">
        <f t="shared" si="134"/>
        <v>0.09</v>
      </c>
      <c r="E71" s="925">
        <f t="shared" si="135"/>
        <v>9.9999999999999992E-2</v>
      </c>
      <c r="F71" s="1062">
        <f>LOOKUP(F67,B65:E76)</f>
        <v>0.11333333333333334</v>
      </c>
      <c r="G71" s="942"/>
      <c r="H71" s="939">
        <v>37</v>
      </c>
      <c r="I71" s="953">
        <v>0.06</v>
      </c>
      <c r="J71" s="940">
        <f t="shared" si="136"/>
        <v>1.6999999999999999E-3</v>
      </c>
      <c r="K71" s="925">
        <f t="shared" si="137"/>
        <v>5.8299999999999998E-2</v>
      </c>
      <c r="L71" s="1062">
        <f>LOOKUP(L67,H65:K76)</f>
        <v>0.04</v>
      </c>
      <c r="M71" s="942"/>
      <c r="N71" s="939">
        <v>37</v>
      </c>
      <c r="O71" s="940"/>
      <c r="P71" s="940">
        <f t="shared" si="138"/>
        <v>-1.2999999999999999E-3</v>
      </c>
      <c r="Q71" s="925">
        <f t="shared" si="139"/>
        <v>0.13</v>
      </c>
      <c r="R71" s="1062">
        <f>LOOKUP(R67,N65:Q76)</f>
        <v>0.13</v>
      </c>
      <c r="S71" s="929"/>
      <c r="T71" s="939">
        <v>37</v>
      </c>
      <c r="U71" s="953">
        <f t="shared" si="140"/>
        <v>1E-3</v>
      </c>
      <c r="V71" s="940"/>
      <c r="W71" s="925">
        <f t="shared" si="141"/>
        <v>3.3333333333333332E-4</v>
      </c>
      <c r="X71" s="1062">
        <f>LOOKUP(X67,T65:W76)</f>
        <v>3.3333333333333332E-4</v>
      </c>
      <c r="Y71" s="929"/>
      <c r="Z71" s="939">
        <v>37</v>
      </c>
      <c r="AA71" s="953">
        <f t="shared" si="142"/>
        <v>1E-3</v>
      </c>
      <c r="AB71" s="940"/>
      <c r="AC71" s="925">
        <f t="shared" si="143"/>
        <v>3.3333333333333332E-4</v>
      </c>
      <c r="AD71" s="1062">
        <f>LOOKUP(AD67,Z65:AC76)</f>
        <v>3.3333333333333332E-4</v>
      </c>
      <c r="AE71" s="929"/>
      <c r="AF71" s="939">
        <v>37</v>
      </c>
      <c r="AG71" s="953">
        <f t="shared" si="144"/>
        <v>0.68</v>
      </c>
      <c r="AH71" s="940"/>
      <c r="AI71" s="925">
        <f t="shared" si="145"/>
        <v>0.3066666666666667</v>
      </c>
      <c r="AJ71" s="1062">
        <f>LOOKUP(AJ67,AF65:AI76)</f>
        <v>0.3066666666666667</v>
      </c>
      <c r="AK71" s="929"/>
      <c r="AL71" s="939">
        <v>37</v>
      </c>
      <c r="AM71" s="953">
        <f t="shared" si="146"/>
        <v>1E-3</v>
      </c>
      <c r="AN71" s="940"/>
      <c r="AO71" s="925">
        <f t="shared" si="147"/>
        <v>3.3333333333333332E-4</v>
      </c>
      <c r="AP71" s="1062">
        <f>LOOKUP(AP67,AL65:AO76)</f>
        <v>3.3333333333333332E-4</v>
      </c>
      <c r="AQ71" s="929"/>
      <c r="AR71" s="939">
        <v>37</v>
      </c>
      <c r="AS71" s="953">
        <f t="shared" si="148"/>
        <v>1E-3</v>
      </c>
      <c r="AT71" s="940"/>
      <c r="AU71" s="925">
        <f t="shared" si="149"/>
        <v>3.3333333333333332E-4</v>
      </c>
      <c r="AV71" s="1062">
        <f>LOOKUP(AV67,AR65:AU76)</f>
        <v>3.3333333333333332E-4</v>
      </c>
      <c r="AW71" s="929"/>
      <c r="AX71" s="939">
        <v>37</v>
      </c>
      <c r="AY71" s="953">
        <f t="shared" si="150"/>
        <v>0.42</v>
      </c>
      <c r="AZ71" s="940"/>
      <c r="BA71" s="925">
        <f t="shared" si="151"/>
        <v>0.26333333333333336</v>
      </c>
      <c r="BB71" s="1062">
        <f>LOOKUP(BB67,AX65:BA76)</f>
        <v>0.26333333333333336</v>
      </c>
      <c r="BC71" s="929"/>
      <c r="BD71" s="939">
        <v>37</v>
      </c>
      <c r="BE71" s="953">
        <f t="shared" si="152"/>
        <v>1E-3</v>
      </c>
      <c r="BF71" s="940"/>
      <c r="BG71" s="925">
        <f t="shared" si="153"/>
        <v>3.3333333333333332E-4</v>
      </c>
      <c r="BH71" s="1062">
        <f>LOOKUP(BH67,BD65:BG76)</f>
        <v>3.3333333333333332E-4</v>
      </c>
      <c r="BI71" s="929"/>
      <c r="BJ71" s="939">
        <v>37</v>
      </c>
      <c r="BK71" s="953">
        <f t="shared" si="154"/>
        <v>0.42</v>
      </c>
      <c r="BL71" s="940"/>
      <c r="BM71" s="925">
        <f t="shared" si="155"/>
        <v>0.26333333333333336</v>
      </c>
      <c r="BN71" s="1062">
        <f>LOOKUP(BN67,BJ65:BM76)</f>
        <v>0.26333333333333336</v>
      </c>
      <c r="BO71" s="929"/>
      <c r="BP71" s="939">
        <v>37</v>
      </c>
      <c r="BQ71" s="953">
        <f t="shared" si="156"/>
        <v>1E-3</v>
      </c>
      <c r="BR71" s="940"/>
      <c r="BS71" s="925">
        <f t="shared" si="157"/>
        <v>3.3333333333333332E-4</v>
      </c>
      <c r="BT71" s="1062">
        <f>LOOKUP(BT67,BP65:BS76)</f>
        <v>3.3333333333333332E-4</v>
      </c>
      <c r="BU71" s="929"/>
      <c r="BV71" s="939">
        <v>37</v>
      </c>
      <c r="BW71" s="953">
        <f t="shared" si="158"/>
        <v>8</v>
      </c>
      <c r="BX71" s="940"/>
      <c r="BY71" s="925">
        <f t="shared" si="159"/>
        <v>4.666666666666667</v>
      </c>
      <c r="BZ71" s="1062">
        <f>LOOKUP(BZ67,BV65:BY76)</f>
        <v>4.666666666666667</v>
      </c>
      <c r="CA71" s="929"/>
      <c r="CB71" s="939">
        <v>37</v>
      </c>
      <c r="CC71" s="953">
        <f t="shared" si="128"/>
        <v>-0.6</v>
      </c>
      <c r="CD71" s="940"/>
      <c r="CE71" s="925">
        <f t="shared" si="131"/>
        <v>0.13333333333333333</v>
      </c>
      <c r="CF71" s="1062">
        <f>LOOKUP(CF67,CB65:CE76)</f>
        <v>0.13333333333333333</v>
      </c>
      <c r="CH71" s="939">
        <v>37</v>
      </c>
      <c r="CI71" s="953">
        <f t="shared" si="129"/>
        <v>0.23</v>
      </c>
      <c r="CJ71" s="940"/>
      <c r="CK71" s="925">
        <f t="shared" si="132"/>
        <v>7.3333333333333334E-2</v>
      </c>
      <c r="CL71" s="1062">
        <f>LOOKUP(CL67,CH65:CK76)</f>
        <v>7.3333333333333334E-2</v>
      </c>
      <c r="CN71" s="939">
        <v>37</v>
      </c>
      <c r="CO71" s="953">
        <f t="shared" si="130"/>
        <v>0.42</v>
      </c>
      <c r="CP71" s="940"/>
      <c r="CQ71" s="925">
        <f t="shared" si="133"/>
        <v>0.25666666666666665</v>
      </c>
      <c r="CR71" s="1062">
        <f>LOOKUP(CR67,CN65:CQ76)</f>
        <v>0.25666666666666665</v>
      </c>
    </row>
    <row r="72" spans="2:96">
      <c r="B72" s="939">
        <v>44</v>
      </c>
      <c r="C72" s="953">
        <v>0.01</v>
      </c>
      <c r="D72" s="953">
        <f t="shared" si="134"/>
        <v>1.1999999999999999E-3</v>
      </c>
      <c r="E72" s="925">
        <f t="shared" si="135"/>
        <v>8.8000000000000005E-3</v>
      </c>
      <c r="F72" s="941"/>
      <c r="G72" s="942"/>
      <c r="H72" s="939">
        <v>44</v>
      </c>
      <c r="I72" s="953">
        <v>7.0000000000000007E-2</v>
      </c>
      <c r="J72" s="940">
        <f t="shared" si="136"/>
        <v>1.9E-3</v>
      </c>
      <c r="K72" s="925">
        <f t="shared" si="137"/>
        <v>6.8100000000000008E-2</v>
      </c>
      <c r="L72" s="941"/>
      <c r="M72" s="942"/>
      <c r="N72" s="939">
        <v>44</v>
      </c>
      <c r="O72" s="940"/>
      <c r="P72" s="940">
        <f t="shared" si="138"/>
        <v>-1.8E-3</v>
      </c>
      <c r="Q72" s="925">
        <f t="shared" si="139"/>
        <v>0.13</v>
      </c>
      <c r="R72" s="941"/>
      <c r="S72" s="929"/>
      <c r="T72" s="939">
        <v>44</v>
      </c>
      <c r="U72" s="953">
        <f t="shared" si="140"/>
        <v>1E-3</v>
      </c>
      <c r="V72" s="940"/>
      <c r="W72" s="925">
        <f t="shared" si="141"/>
        <v>3.3333333333333332E-4</v>
      </c>
      <c r="X72" s="941"/>
      <c r="Y72" s="929"/>
      <c r="Z72" s="939">
        <v>44</v>
      </c>
      <c r="AA72" s="953">
        <f t="shared" si="142"/>
        <v>1E-3</v>
      </c>
      <c r="AB72" s="940"/>
      <c r="AC72" s="925">
        <f t="shared" si="143"/>
        <v>3.3333333333333332E-4</v>
      </c>
      <c r="AD72" s="941"/>
      <c r="AE72" s="929"/>
      <c r="AF72" s="939">
        <v>44</v>
      </c>
      <c r="AG72" s="953">
        <f t="shared" si="144"/>
        <v>0.71</v>
      </c>
      <c r="AH72" s="940"/>
      <c r="AI72" s="925">
        <f t="shared" si="145"/>
        <v>0.3066666666666667</v>
      </c>
      <c r="AJ72" s="941"/>
      <c r="AK72" s="929"/>
      <c r="AL72" s="939">
        <v>44</v>
      </c>
      <c r="AM72" s="953">
        <f t="shared" si="146"/>
        <v>1E-3</v>
      </c>
      <c r="AN72" s="940"/>
      <c r="AO72" s="925">
        <f t="shared" si="147"/>
        <v>3.3333333333333332E-4</v>
      </c>
      <c r="AP72" s="941"/>
      <c r="AQ72" s="929"/>
      <c r="AR72" s="939">
        <v>44</v>
      </c>
      <c r="AS72" s="953">
        <f t="shared" si="148"/>
        <v>1E-3</v>
      </c>
      <c r="AT72" s="940"/>
      <c r="AU72" s="925">
        <f t="shared" si="149"/>
        <v>3.3333333333333332E-4</v>
      </c>
      <c r="AV72" s="941"/>
      <c r="AW72" s="929"/>
      <c r="AX72" s="939">
        <v>44</v>
      </c>
      <c r="AY72" s="953">
        <f t="shared" si="150"/>
        <v>0.4</v>
      </c>
      <c r="AZ72" s="940"/>
      <c r="BA72" s="925">
        <f t="shared" si="151"/>
        <v>0.26333333333333336</v>
      </c>
      <c r="BB72" s="941"/>
      <c r="BC72" s="929"/>
      <c r="BD72" s="939">
        <v>44</v>
      </c>
      <c r="BE72" s="953">
        <f t="shared" si="152"/>
        <v>1E-3</v>
      </c>
      <c r="BF72" s="940"/>
      <c r="BG72" s="925">
        <f t="shared" si="153"/>
        <v>3.3333333333333332E-4</v>
      </c>
      <c r="BH72" s="941"/>
      <c r="BI72" s="929"/>
      <c r="BJ72" s="939">
        <v>44</v>
      </c>
      <c r="BK72" s="953">
        <f t="shared" si="154"/>
        <v>0.4</v>
      </c>
      <c r="BL72" s="940"/>
      <c r="BM72" s="925">
        <f t="shared" si="155"/>
        <v>0.26333333333333336</v>
      </c>
      <c r="BN72" s="941"/>
      <c r="BO72" s="929"/>
      <c r="BP72" s="939">
        <v>44</v>
      </c>
      <c r="BQ72" s="953">
        <f t="shared" si="156"/>
        <v>1E-3</v>
      </c>
      <c r="BR72" s="940"/>
      <c r="BS72" s="925">
        <f t="shared" si="157"/>
        <v>3.3333333333333332E-4</v>
      </c>
      <c r="BT72" s="941"/>
      <c r="BU72" s="929"/>
      <c r="BV72" s="939">
        <v>44</v>
      </c>
      <c r="BW72" s="953">
        <f t="shared" si="158"/>
        <v>9</v>
      </c>
      <c r="BX72" s="940"/>
      <c r="BY72" s="925">
        <f t="shared" si="159"/>
        <v>4.666666666666667</v>
      </c>
      <c r="BZ72" s="941"/>
      <c r="CA72" s="929"/>
      <c r="CB72" s="939">
        <v>44</v>
      </c>
      <c r="CC72" s="953">
        <f t="shared" si="128"/>
        <v>-0.7</v>
      </c>
      <c r="CD72" s="940"/>
      <c r="CE72" s="925">
        <f t="shared" si="131"/>
        <v>0.13333333333333333</v>
      </c>
      <c r="CF72" s="941"/>
      <c r="CH72" s="939">
        <v>44</v>
      </c>
      <c r="CI72" s="953">
        <f t="shared" si="129"/>
        <v>0.25</v>
      </c>
      <c r="CJ72" s="940"/>
      <c r="CK72" s="925">
        <f t="shared" si="132"/>
        <v>7.3333333333333334E-2</v>
      </c>
      <c r="CL72" s="941"/>
      <c r="CN72" s="939">
        <v>44</v>
      </c>
      <c r="CO72" s="953">
        <f t="shared" si="130"/>
        <v>0.56999999999999995</v>
      </c>
      <c r="CP72" s="940"/>
      <c r="CQ72" s="925">
        <f t="shared" si="133"/>
        <v>0.25666666666666665</v>
      </c>
      <c r="CR72" s="941"/>
    </row>
    <row r="73" spans="2:96">
      <c r="B73" s="939">
        <v>50</v>
      </c>
      <c r="C73" s="953">
        <v>0.03</v>
      </c>
      <c r="D73" s="953">
        <f t="shared" si="134"/>
        <v>1.5E-3</v>
      </c>
      <c r="E73" s="925">
        <f t="shared" si="135"/>
        <v>2.8499999999999998E-2</v>
      </c>
      <c r="F73" s="1066">
        <f>(((F71-F69)/(F67-F65))*(F64-F65))+F69</f>
        <v>0.11333333333333334</v>
      </c>
      <c r="G73" s="942"/>
      <c r="H73" s="939">
        <v>50</v>
      </c>
      <c r="I73" s="953">
        <v>0.09</v>
      </c>
      <c r="J73" s="940">
        <f t="shared" si="136"/>
        <v>0.2</v>
      </c>
      <c r="K73" s="925">
        <f t="shared" si="137"/>
        <v>0.11000000000000001</v>
      </c>
      <c r="L73" s="1064">
        <f>(((L71-L69)/(L67-L65))*(L64-L65))+L69</f>
        <v>4.7344686498806521E-2</v>
      </c>
      <c r="M73" s="942"/>
      <c r="N73" s="939">
        <v>50</v>
      </c>
      <c r="O73" s="940"/>
      <c r="P73" s="940">
        <f t="shared" si="138"/>
        <v>1.5E-3</v>
      </c>
      <c r="Q73" s="925">
        <f t="shared" si="139"/>
        <v>0.13</v>
      </c>
      <c r="R73" s="1064">
        <f>(((R71-R69)/(R67-R65))*(R64-R65))+R69</f>
        <v>0.13</v>
      </c>
      <c r="S73" s="929"/>
      <c r="T73" s="939">
        <v>50</v>
      </c>
      <c r="U73" s="953">
        <f t="shared" si="140"/>
        <v>1E-3</v>
      </c>
      <c r="V73" s="940"/>
      <c r="W73" s="925">
        <f t="shared" si="141"/>
        <v>3.3333333333333332E-4</v>
      </c>
      <c r="X73" s="1064">
        <f>(((X71-X69)/(X67-X65))*(X64-X65))+X69</f>
        <v>3.3333333333333332E-4</v>
      </c>
      <c r="Y73" s="929"/>
      <c r="Z73" s="939">
        <v>50</v>
      </c>
      <c r="AA73" s="953">
        <f t="shared" si="142"/>
        <v>1E-3</v>
      </c>
      <c r="AB73" s="940"/>
      <c r="AC73" s="925">
        <f t="shared" si="143"/>
        <v>3.3333333333333332E-4</v>
      </c>
      <c r="AD73" s="1064">
        <f>(((AD71-AD69)/(AD67-AD65))*(AD64-AD65))+AD69</f>
        <v>3.3333333333333332E-4</v>
      </c>
      <c r="AE73" s="929"/>
      <c r="AF73" s="939">
        <v>50</v>
      </c>
      <c r="AG73" s="953">
        <f t="shared" si="144"/>
        <v>0.72</v>
      </c>
      <c r="AH73" s="940"/>
      <c r="AI73" s="925">
        <f t="shared" si="145"/>
        <v>0.3066666666666667</v>
      </c>
      <c r="AJ73" s="1064">
        <f>(((AJ71-AJ69)/(AJ67-AJ65))*(AJ64-AJ65))+AJ69</f>
        <v>0.3066666666666667</v>
      </c>
      <c r="AK73" s="929"/>
      <c r="AL73" s="939">
        <v>50</v>
      </c>
      <c r="AM73" s="953">
        <f t="shared" si="146"/>
        <v>1E-3</v>
      </c>
      <c r="AN73" s="940"/>
      <c r="AO73" s="925">
        <f t="shared" si="147"/>
        <v>3.3333333333333332E-4</v>
      </c>
      <c r="AP73" s="1064">
        <f>(((AP71-AP69)/(AP67-AP65))*(AP64-AP65))+AP69</f>
        <v>3.3333333333333332E-4</v>
      </c>
      <c r="AQ73" s="929"/>
      <c r="AR73" s="939">
        <v>50</v>
      </c>
      <c r="AS73" s="953">
        <f t="shared" si="148"/>
        <v>1E-3</v>
      </c>
      <c r="AT73" s="940"/>
      <c r="AU73" s="925">
        <f t="shared" si="149"/>
        <v>3.3333333333333332E-4</v>
      </c>
      <c r="AV73" s="1064">
        <f>(((AV71-AV69)/(AV67-AV65))*(AV64-AV65))+AV69</f>
        <v>3.3333333333333332E-4</v>
      </c>
      <c r="AW73" s="929"/>
      <c r="AX73" s="939">
        <v>50</v>
      </c>
      <c r="AY73" s="953">
        <f t="shared" si="150"/>
        <v>0.38</v>
      </c>
      <c r="AZ73" s="940"/>
      <c r="BA73" s="925">
        <f t="shared" si="151"/>
        <v>0.26333333333333336</v>
      </c>
      <c r="BB73" s="1064">
        <f>(((BB71-BB69)/(BB67-BB65))*(BB64-BB65))+BB69</f>
        <v>0.26333333333333336</v>
      </c>
      <c r="BC73" s="929"/>
      <c r="BD73" s="939">
        <v>50</v>
      </c>
      <c r="BE73" s="953">
        <f t="shared" si="152"/>
        <v>1E-3</v>
      </c>
      <c r="BF73" s="940"/>
      <c r="BG73" s="925">
        <f t="shared" si="153"/>
        <v>3.3333333333333332E-4</v>
      </c>
      <c r="BH73" s="1064">
        <f>(((BH71-BH69)/(BH67-BH65))*(BH64-BH65))+BH69</f>
        <v>3.3333333333333332E-4</v>
      </c>
      <c r="BI73" s="929"/>
      <c r="BJ73" s="939">
        <v>50</v>
      </c>
      <c r="BK73" s="953">
        <f t="shared" si="154"/>
        <v>0.38</v>
      </c>
      <c r="BL73" s="940"/>
      <c r="BM73" s="925">
        <f t="shared" si="155"/>
        <v>0.26333333333333336</v>
      </c>
      <c r="BN73" s="1064">
        <f>(((BN71-BN69)/(BN67-BN65))*(BN64-BN65))+BN69</f>
        <v>0.26333333333333336</v>
      </c>
      <c r="BO73" s="929"/>
      <c r="BP73" s="939">
        <v>50</v>
      </c>
      <c r="BQ73" s="953">
        <f t="shared" si="156"/>
        <v>1E-3</v>
      </c>
      <c r="BR73" s="940"/>
      <c r="BS73" s="925">
        <f t="shared" si="157"/>
        <v>3.3333333333333332E-4</v>
      </c>
      <c r="BT73" s="1064">
        <f>(((BT71-BT69)/(BT67-BT65))*(BT64-BT65))+BT69</f>
        <v>3.3333333333333332E-4</v>
      </c>
      <c r="BU73" s="929"/>
      <c r="BV73" s="939">
        <v>50</v>
      </c>
      <c r="BW73" s="953">
        <f t="shared" si="158"/>
        <v>10</v>
      </c>
      <c r="BX73" s="940"/>
      <c r="BY73" s="925">
        <f t="shared" si="159"/>
        <v>4.666666666666667</v>
      </c>
      <c r="BZ73" s="1064">
        <f>(((BZ71-BZ69)/(BZ67-BZ65))*(BZ64-BZ65))+BZ69</f>
        <v>4.666666666666667</v>
      </c>
      <c r="CA73" s="929"/>
      <c r="CB73" s="939">
        <v>50</v>
      </c>
      <c r="CC73" s="953">
        <f t="shared" si="128"/>
        <v>-0.7</v>
      </c>
      <c r="CD73" s="940"/>
      <c r="CE73" s="925">
        <f t="shared" si="131"/>
        <v>0.13333333333333333</v>
      </c>
      <c r="CF73" s="1064">
        <f>(((CF71-CF69)/(CF67-CF65))*(CF64-CF65))+CF69</f>
        <v>0.13333333333333333</v>
      </c>
      <c r="CH73" s="939">
        <v>50</v>
      </c>
      <c r="CI73" s="953">
        <f t="shared" si="129"/>
        <v>0.27</v>
      </c>
      <c r="CJ73" s="940"/>
      <c r="CK73" s="925">
        <f t="shared" si="132"/>
        <v>7.3333333333333334E-2</v>
      </c>
      <c r="CL73" s="1064">
        <f>(((CL71-CL69)/(CL67-CL65))*(CL64-CL65))+CL69</f>
        <v>7.3333333333333334E-2</v>
      </c>
      <c r="CN73" s="939">
        <v>50</v>
      </c>
      <c r="CO73" s="953">
        <f t="shared" si="130"/>
        <v>0.67</v>
      </c>
      <c r="CP73" s="940"/>
      <c r="CQ73" s="925">
        <f t="shared" si="133"/>
        <v>0.25666666666666665</v>
      </c>
      <c r="CR73" s="1064">
        <f>(((CR71-CR69)/(CR67-CR65))*(CR64-CR65))+CR69</f>
        <v>0.25666666666666665</v>
      </c>
    </row>
    <row r="74" spans="2:96">
      <c r="B74" s="939">
        <v>100</v>
      </c>
      <c r="C74" s="953">
        <v>0.09</v>
      </c>
      <c r="D74" s="953">
        <f t="shared" si="134"/>
        <v>0.25</v>
      </c>
      <c r="E74" s="925">
        <f t="shared" si="135"/>
        <v>0.16</v>
      </c>
      <c r="F74" s="941"/>
      <c r="G74" s="942"/>
      <c r="H74" s="939">
        <v>100</v>
      </c>
      <c r="I74" s="953">
        <v>1.2999999999999999E-3</v>
      </c>
      <c r="J74" s="940">
        <f t="shared" si="136"/>
        <v>1.2999999999999999E-3</v>
      </c>
      <c r="K74" s="925">
        <f t="shared" si="137"/>
        <v>0</v>
      </c>
      <c r="L74" s="941"/>
      <c r="M74" s="942"/>
      <c r="N74" s="939">
        <v>100</v>
      </c>
      <c r="O74" s="940"/>
      <c r="P74" s="940">
        <f t="shared" si="138"/>
        <v>-1.1999999999999999E-3</v>
      </c>
      <c r="Q74" s="925">
        <f t="shared" si="139"/>
        <v>0.13</v>
      </c>
      <c r="R74" s="941"/>
      <c r="S74" s="929"/>
      <c r="T74" s="939">
        <v>100</v>
      </c>
      <c r="U74" s="953">
        <f t="shared" si="140"/>
        <v>1E-3</v>
      </c>
      <c r="V74" s="940"/>
      <c r="W74" s="925">
        <f t="shared" si="141"/>
        <v>3.3333333333333332E-4</v>
      </c>
      <c r="X74" s="941"/>
      <c r="Y74" s="929"/>
      <c r="Z74" s="939">
        <v>100</v>
      </c>
      <c r="AA74" s="953">
        <f t="shared" si="142"/>
        <v>1E-3</v>
      </c>
      <c r="AB74" s="940"/>
      <c r="AC74" s="925">
        <f t="shared" si="143"/>
        <v>3.3333333333333332E-4</v>
      </c>
      <c r="AD74" s="941"/>
      <c r="AE74" s="929"/>
      <c r="AF74" s="939">
        <v>100</v>
      </c>
      <c r="AG74" s="953">
        <f t="shared" si="144"/>
        <v>0.54</v>
      </c>
      <c r="AH74" s="940"/>
      <c r="AI74" s="925">
        <f t="shared" si="145"/>
        <v>0.3066666666666667</v>
      </c>
      <c r="AJ74" s="941"/>
      <c r="AK74" s="929"/>
      <c r="AL74" s="939">
        <v>100</v>
      </c>
      <c r="AM74" s="953">
        <f t="shared" si="146"/>
        <v>1E-3</v>
      </c>
      <c r="AN74" s="940"/>
      <c r="AO74" s="925">
        <f t="shared" si="147"/>
        <v>3.3333333333333332E-4</v>
      </c>
      <c r="AP74" s="941"/>
      <c r="AQ74" s="929"/>
      <c r="AR74" s="939">
        <v>100</v>
      </c>
      <c r="AS74" s="953">
        <f t="shared" si="148"/>
        <v>1E-3</v>
      </c>
      <c r="AT74" s="940"/>
      <c r="AU74" s="925">
        <f t="shared" si="149"/>
        <v>3.3333333333333332E-4</v>
      </c>
      <c r="AV74" s="941"/>
      <c r="AW74" s="929"/>
      <c r="AX74" s="939">
        <v>100</v>
      </c>
      <c r="AY74" s="953">
        <f t="shared" si="150"/>
        <v>0.21</v>
      </c>
      <c r="AZ74" s="940"/>
      <c r="BA74" s="925">
        <f t="shared" si="151"/>
        <v>0.26333333333333336</v>
      </c>
      <c r="BB74" s="941"/>
      <c r="BC74" s="929"/>
      <c r="BD74" s="939">
        <v>100</v>
      </c>
      <c r="BE74" s="953">
        <f t="shared" si="152"/>
        <v>1E-3</v>
      </c>
      <c r="BF74" s="940"/>
      <c r="BG74" s="925">
        <f t="shared" si="153"/>
        <v>3.3333333333333332E-4</v>
      </c>
      <c r="BH74" s="941"/>
      <c r="BI74" s="929"/>
      <c r="BJ74" s="939">
        <v>100</v>
      </c>
      <c r="BK74" s="953">
        <f t="shared" si="154"/>
        <v>0.21</v>
      </c>
      <c r="BL74" s="940"/>
      <c r="BM74" s="925">
        <f t="shared" si="155"/>
        <v>0.26333333333333336</v>
      </c>
      <c r="BN74" s="941"/>
      <c r="BO74" s="929"/>
      <c r="BP74" s="939">
        <v>100</v>
      </c>
      <c r="BQ74" s="953">
        <f t="shared" si="156"/>
        <v>1E-3</v>
      </c>
      <c r="BR74" s="940"/>
      <c r="BS74" s="925">
        <f t="shared" si="157"/>
        <v>3.3333333333333332E-4</v>
      </c>
      <c r="BT74" s="941"/>
      <c r="BU74" s="929"/>
      <c r="BV74" s="939">
        <v>100</v>
      </c>
      <c r="BW74" s="953">
        <f t="shared" si="158"/>
        <v>11</v>
      </c>
      <c r="BX74" s="940"/>
      <c r="BY74" s="925">
        <f t="shared" si="159"/>
        <v>4.666666666666667</v>
      </c>
      <c r="BZ74" s="941"/>
      <c r="CA74" s="929"/>
      <c r="CB74" s="939">
        <v>100</v>
      </c>
      <c r="CC74" s="953">
        <f t="shared" si="128"/>
        <v>-0.7</v>
      </c>
      <c r="CD74" s="940"/>
      <c r="CE74" s="925">
        <f t="shared" si="131"/>
        <v>0.13333333333333333</v>
      </c>
      <c r="CF74" s="941"/>
      <c r="CH74" s="939">
        <v>100</v>
      </c>
      <c r="CI74" s="953">
        <f t="shared" si="129"/>
        <v>0.31</v>
      </c>
      <c r="CJ74" s="940"/>
      <c r="CK74" s="925">
        <f t="shared" si="132"/>
        <v>7.3333333333333334E-2</v>
      </c>
      <c r="CL74" s="941"/>
      <c r="CN74" s="939">
        <v>100</v>
      </c>
      <c r="CO74" s="953">
        <f t="shared" si="130"/>
        <v>0.95</v>
      </c>
      <c r="CP74" s="940"/>
      <c r="CQ74" s="925">
        <f t="shared" si="133"/>
        <v>0.25666666666666665</v>
      </c>
      <c r="CR74" s="941"/>
    </row>
    <row r="75" spans="2:96">
      <c r="B75" s="939">
        <v>150</v>
      </c>
      <c r="C75" s="953">
        <v>0.04</v>
      </c>
      <c r="D75" s="953">
        <f t="shared" si="134"/>
        <v>0.28000000000000003</v>
      </c>
      <c r="E75" s="925">
        <f t="shared" si="135"/>
        <v>0.24000000000000002</v>
      </c>
      <c r="F75" s="941"/>
      <c r="G75" s="942"/>
      <c r="H75" s="939">
        <v>150</v>
      </c>
      <c r="I75" s="953">
        <v>0.05</v>
      </c>
      <c r="J75" s="940">
        <f t="shared" si="136"/>
        <v>0.04</v>
      </c>
      <c r="K75" s="925">
        <f t="shared" si="137"/>
        <v>1.0000000000000002E-2</v>
      </c>
      <c r="L75" s="941"/>
      <c r="M75" s="942"/>
      <c r="N75" s="939">
        <v>150</v>
      </c>
      <c r="O75" s="940"/>
      <c r="P75" s="940">
        <f t="shared" si="138"/>
        <v>-0.42</v>
      </c>
      <c r="Q75" s="925">
        <f t="shared" si="139"/>
        <v>0.13</v>
      </c>
      <c r="R75" s="941"/>
      <c r="S75" s="929"/>
      <c r="T75" s="939">
        <v>150</v>
      </c>
      <c r="U75" s="953">
        <f t="shared" si="140"/>
        <v>1E-3</v>
      </c>
      <c r="V75" s="940"/>
      <c r="W75" s="925">
        <f t="shared" si="141"/>
        <v>3.3333333333333332E-4</v>
      </c>
      <c r="X75" s="941"/>
      <c r="Y75" s="929"/>
      <c r="Z75" s="939">
        <v>150</v>
      </c>
      <c r="AA75" s="953">
        <f t="shared" si="142"/>
        <v>1E-3</v>
      </c>
      <c r="AB75" s="940"/>
      <c r="AC75" s="925">
        <f t="shared" si="143"/>
        <v>3.3333333333333332E-4</v>
      </c>
      <c r="AD75" s="941"/>
      <c r="AE75" s="929"/>
      <c r="AF75" s="939">
        <v>150</v>
      </c>
      <c r="AG75" s="953">
        <f t="shared" si="144"/>
        <v>1E-3</v>
      </c>
      <c r="AH75" s="940"/>
      <c r="AI75" s="925">
        <f t="shared" si="145"/>
        <v>0.3066666666666667</v>
      </c>
      <c r="AJ75" s="941"/>
      <c r="AK75" s="929"/>
      <c r="AL75" s="939">
        <v>150</v>
      </c>
      <c r="AM75" s="953">
        <f t="shared" si="146"/>
        <v>1E-3</v>
      </c>
      <c r="AN75" s="940"/>
      <c r="AO75" s="925">
        <f t="shared" si="147"/>
        <v>3.3333333333333332E-4</v>
      </c>
      <c r="AP75" s="941"/>
      <c r="AQ75" s="929"/>
      <c r="AR75" s="939">
        <v>150</v>
      </c>
      <c r="AS75" s="953">
        <f t="shared" si="148"/>
        <v>1E-3</v>
      </c>
      <c r="AT75" s="940"/>
      <c r="AU75" s="925">
        <f t="shared" si="149"/>
        <v>3.3333333333333332E-4</v>
      </c>
      <c r="AV75" s="941"/>
      <c r="AW75" s="929"/>
      <c r="AX75" s="939">
        <v>150</v>
      </c>
      <c r="AY75" s="953">
        <f t="shared" si="150"/>
        <v>1E-3</v>
      </c>
      <c r="AZ75" s="940"/>
      <c r="BA75" s="925">
        <f t="shared" si="151"/>
        <v>0.26333333333333336</v>
      </c>
      <c r="BB75" s="941"/>
      <c r="BC75" s="929"/>
      <c r="BD75" s="939">
        <v>150</v>
      </c>
      <c r="BE75" s="953">
        <f t="shared" si="152"/>
        <v>1E-3</v>
      </c>
      <c r="BF75" s="940"/>
      <c r="BG75" s="925">
        <f t="shared" si="153"/>
        <v>3.3333333333333332E-4</v>
      </c>
      <c r="BH75" s="941"/>
      <c r="BI75" s="929"/>
      <c r="BJ75" s="939">
        <v>150</v>
      </c>
      <c r="BK75" s="953">
        <f t="shared" si="154"/>
        <v>1E-3</v>
      </c>
      <c r="BL75" s="940"/>
      <c r="BM75" s="925">
        <f t="shared" si="155"/>
        <v>0.26333333333333336</v>
      </c>
      <c r="BN75" s="941"/>
      <c r="BO75" s="929"/>
      <c r="BP75" s="939">
        <v>150</v>
      </c>
      <c r="BQ75" s="953">
        <f t="shared" si="156"/>
        <v>1E-3</v>
      </c>
      <c r="BR75" s="940"/>
      <c r="BS75" s="925">
        <f t="shared" si="157"/>
        <v>3.3333333333333332E-4</v>
      </c>
      <c r="BT75" s="941"/>
      <c r="BU75" s="929"/>
      <c r="BV75" s="939">
        <v>150</v>
      </c>
      <c r="BW75" s="953">
        <f t="shared" si="158"/>
        <v>12</v>
      </c>
      <c r="BX75" s="940"/>
      <c r="BY75" s="925">
        <f t="shared" si="159"/>
        <v>4.666666666666667</v>
      </c>
      <c r="BZ75" s="941"/>
      <c r="CA75" s="929"/>
      <c r="CB75" s="939">
        <v>150</v>
      </c>
      <c r="CC75" s="953">
        <f t="shared" si="128"/>
        <v>-0.7</v>
      </c>
      <c r="CD75" s="940"/>
      <c r="CE75" s="925">
        <f t="shared" si="131"/>
        <v>0.13333333333333333</v>
      </c>
      <c r="CF75" s="941"/>
      <c r="CH75" s="939">
        <v>150</v>
      </c>
      <c r="CI75" s="953">
        <f t="shared" si="129"/>
        <v>0.3</v>
      </c>
      <c r="CJ75" s="940"/>
      <c r="CK75" s="925">
        <f t="shared" si="132"/>
        <v>7.3333333333333334E-2</v>
      </c>
      <c r="CL75" s="941"/>
      <c r="CN75" s="939">
        <v>150</v>
      </c>
      <c r="CO75" s="953">
        <f t="shared" si="130"/>
        <v>0.49</v>
      </c>
      <c r="CP75" s="940"/>
      <c r="CQ75" s="925">
        <f t="shared" si="133"/>
        <v>0.25666666666666665</v>
      </c>
      <c r="CR75" s="941"/>
    </row>
    <row r="76" spans="2:96">
      <c r="B76" s="939">
        <v>200</v>
      </c>
      <c r="C76" s="953">
        <v>-1.1999999999999999E-3</v>
      </c>
      <c r="D76" s="953">
        <f t="shared" si="134"/>
        <v>0.42</v>
      </c>
      <c r="E76" s="925">
        <f t="shared" si="135"/>
        <v>0.42119999999999996</v>
      </c>
      <c r="F76" s="941"/>
      <c r="G76" s="942"/>
      <c r="H76" s="939">
        <v>200</v>
      </c>
      <c r="I76" s="953">
        <v>-1.5E-3</v>
      </c>
      <c r="J76" s="940">
        <f t="shared" si="136"/>
        <v>0.43</v>
      </c>
      <c r="K76" s="925">
        <f t="shared" si="137"/>
        <v>0.43149999999999999</v>
      </c>
      <c r="L76" s="941"/>
      <c r="M76" s="942"/>
      <c r="N76" s="939">
        <v>200</v>
      </c>
      <c r="O76" s="940"/>
      <c r="P76" s="940">
        <f t="shared" si="138"/>
        <v>-0.09</v>
      </c>
      <c r="Q76" s="925">
        <f t="shared" si="139"/>
        <v>0.13</v>
      </c>
      <c r="R76" s="941"/>
      <c r="S76" s="929"/>
      <c r="T76" s="939">
        <v>200</v>
      </c>
      <c r="U76" s="953">
        <f t="shared" si="140"/>
        <v>1E-3</v>
      </c>
      <c r="V76" s="940"/>
      <c r="W76" s="925">
        <f t="shared" si="141"/>
        <v>3.3333333333333332E-4</v>
      </c>
      <c r="X76" s="941"/>
      <c r="Y76" s="929"/>
      <c r="Z76" s="939">
        <v>200</v>
      </c>
      <c r="AA76" s="953">
        <f t="shared" si="142"/>
        <v>1E-3</v>
      </c>
      <c r="AB76" s="940"/>
      <c r="AC76" s="925">
        <f t="shared" si="143"/>
        <v>3.3333333333333332E-4</v>
      </c>
      <c r="AD76" s="941"/>
      <c r="AE76" s="929"/>
      <c r="AF76" s="939">
        <v>200</v>
      </c>
      <c r="AG76" s="953">
        <f t="shared" si="144"/>
        <v>-0.28999999999999998</v>
      </c>
      <c r="AH76" s="940"/>
      <c r="AI76" s="925">
        <f t="shared" si="145"/>
        <v>0.3066666666666667</v>
      </c>
      <c r="AJ76" s="941"/>
      <c r="AK76" s="929"/>
      <c r="AL76" s="939">
        <v>200</v>
      </c>
      <c r="AM76" s="953">
        <f t="shared" si="146"/>
        <v>1E-3</v>
      </c>
      <c r="AN76" s="940"/>
      <c r="AO76" s="925">
        <f t="shared" si="147"/>
        <v>3.3333333333333332E-4</v>
      </c>
      <c r="AP76" s="941"/>
      <c r="AQ76" s="929"/>
      <c r="AR76" s="939">
        <v>200</v>
      </c>
      <c r="AS76" s="953">
        <f t="shared" si="148"/>
        <v>1E-3</v>
      </c>
      <c r="AT76" s="940"/>
      <c r="AU76" s="925">
        <f t="shared" si="149"/>
        <v>3.3333333333333332E-4</v>
      </c>
      <c r="AV76" s="941"/>
      <c r="AW76" s="929"/>
      <c r="AX76" s="939">
        <v>200</v>
      </c>
      <c r="AY76" s="953">
        <f t="shared" si="150"/>
        <v>-0.26</v>
      </c>
      <c r="AZ76" s="940"/>
      <c r="BA76" s="925">
        <f t="shared" si="151"/>
        <v>0.26333333333333336</v>
      </c>
      <c r="BB76" s="941"/>
      <c r="BC76" s="929"/>
      <c r="BD76" s="939">
        <v>200</v>
      </c>
      <c r="BE76" s="953">
        <f t="shared" si="152"/>
        <v>1E-3</v>
      </c>
      <c r="BF76" s="940"/>
      <c r="BG76" s="925">
        <f t="shared" si="153"/>
        <v>3.3333333333333332E-4</v>
      </c>
      <c r="BH76" s="941"/>
      <c r="BI76" s="929"/>
      <c r="BJ76" s="939">
        <v>200</v>
      </c>
      <c r="BK76" s="953">
        <f t="shared" si="154"/>
        <v>-0.26</v>
      </c>
      <c r="BL76" s="940"/>
      <c r="BM76" s="925">
        <f t="shared" si="155"/>
        <v>0.26333333333333336</v>
      </c>
      <c r="BN76" s="941"/>
      <c r="BO76" s="929"/>
      <c r="BP76" s="939">
        <v>200</v>
      </c>
      <c r="BQ76" s="953">
        <f t="shared" si="156"/>
        <v>1E-3</v>
      </c>
      <c r="BR76" s="940"/>
      <c r="BS76" s="925">
        <f t="shared" si="157"/>
        <v>3.3333333333333332E-4</v>
      </c>
      <c r="BT76" s="941"/>
      <c r="BU76" s="929"/>
      <c r="BV76" s="939">
        <v>200</v>
      </c>
      <c r="BW76" s="953">
        <f t="shared" si="158"/>
        <v>13</v>
      </c>
      <c r="BX76" s="940"/>
      <c r="BY76" s="925">
        <f t="shared" si="159"/>
        <v>4.666666666666667</v>
      </c>
      <c r="BZ76" s="941"/>
      <c r="CA76" s="929"/>
      <c r="CB76" s="939">
        <v>200</v>
      </c>
      <c r="CC76" s="953">
        <f t="shared" si="128"/>
        <v>-0.6</v>
      </c>
      <c r="CD76" s="940"/>
      <c r="CE76" s="925">
        <f t="shared" si="131"/>
        <v>0.13333333333333333</v>
      </c>
      <c r="CF76" s="941"/>
      <c r="CH76" s="939">
        <v>200</v>
      </c>
      <c r="CI76" s="953">
        <f t="shared" si="129"/>
        <v>0.34</v>
      </c>
      <c r="CJ76" s="940"/>
      <c r="CK76" s="925">
        <f t="shared" si="132"/>
        <v>7.3333333333333334E-2</v>
      </c>
      <c r="CL76" s="941"/>
      <c r="CN76" s="939">
        <v>200</v>
      </c>
      <c r="CO76" s="953">
        <f t="shared" si="130"/>
        <v>-0.26</v>
      </c>
      <c r="CP76" s="940"/>
      <c r="CQ76" s="925">
        <f t="shared" si="133"/>
        <v>0.25666666666666665</v>
      </c>
      <c r="CR76" s="941"/>
    </row>
    <row r="77" spans="2:96" s="929" customFormat="1">
      <c r="B77" s="947"/>
      <c r="C77" s="930"/>
      <c r="D77" s="930"/>
      <c r="E77" s="944"/>
      <c r="F77" s="942"/>
      <c r="G77" s="942"/>
      <c r="H77" s="947"/>
      <c r="I77" s="930"/>
      <c r="J77" s="930"/>
      <c r="K77" s="944"/>
      <c r="L77" s="931"/>
      <c r="M77" s="942"/>
      <c r="N77" s="947"/>
      <c r="O77" s="930"/>
      <c r="P77" s="930"/>
      <c r="Q77" s="944"/>
      <c r="R77" s="931"/>
      <c r="T77" s="947"/>
      <c r="U77" s="930"/>
      <c r="V77" s="930"/>
      <c r="W77" s="944"/>
      <c r="X77" s="931"/>
      <c r="Z77" s="947"/>
      <c r="AA77" s="930"/>
      <c r="AB77" s="930"/>
      <c r="AC77" s="944"/>
      <c r="AD77" s="931"/>
      <c r="AF77" s="947"/>
      <c r="AG77" s="930"/>
      <c r="AH77" s="930"/>
      <c r="AI77" s="944"/>
      <c r="AJ77" s="931"/>
      <c r="AL77" s="947"/>
      <c r="AM77" s="930"/>
      <c r="AN77" s="930"/>
      <c r="AO77" s="944"/>
      <c r="AP77" s="931"/>
      <c r="AR77" s="947"/>
      <c r="AS77" s="930"/>
      <c r="AT77" s="930"/>
      <c r="AU77" s="944"/>
      <c r="AV77" s="931"/>
      <c r="AX77" s="947"/>
      <c r="AY77" s="930"/>
      <c r="AZ77" s="930"/>
      <c r="BA77" s="944"/>
      <c r="BB77" s="931"/>
      <c r="BD77" s="947"/>
      <c r="BE77" s="930"/>
      <c r="BF77" s="930"/>
      <c r="BG77" s="944"/>
      <c r="BH77" s="931"/>
      <c r="BJ77" s="947"/>
      <c r="BK77" s="930"/>
      <c r="BL77" s="930"/>
      <c r="BM77" s="944"/>
      <c r="BN77" s="931"/>
      <c r="BP77" s="947"/>
      <c r="BQ77" s="930"/>
      <c r="BR77" s="930"/>
      <c r="BS77" s="944"/>
      <c r="BT77" s="931"/>
      <c r="BV77" s="947"/>
      <c r="BW77" s="930"/>
      <c r="BX77" s="930"/>
      <c r="BY77" s="944"/>
      <c r="BZ77" s="931"/>
      <c r="CB77" s="947"/>
      <c r="CC77" s="930"/>
      <c r="CD77" s="930"/>
      <c r="CE77" s="944"/>
      <c r="CF77" s="931"/>
      <c r="CH77" s="947"/>
      <c r="CI77" s="930"/>
      <c r="CJ77" s="930"/>
      <c r="CK77" s="944"/>
      <c r="CL77" s="931"/>
      <c r="CN77" s="947"/>
      <c r="CO77" s="930"/>
      <c r="CP77" s="930"/>
      <c r="CQ77" s="944"/>
      <c r="CR77" s="931"/>
    </row>
    <row r="78" spans="2:96" ht="22.5" customHeight="1">
      <c r="B78" s="1314" t="s">
        <v>220</v>
      </c>
      <c r="C78" s="1316" t="str">
        <f>C63</f>
        <v>Thermocouple Data Logger, Merek : MADGETECH, Model : OctTemp 2000, SN : P40270</v>
      </c>
      <c r="D78" s="1316"/>
      <c r="E78" s="1316"/>
      <c r="F78" s="932" t="str">
        <f>F63</f>
        <v>Interpolasi</v>
      </c>
      <c r="G78" s="933"/>
      <c r="H78" s="1314" t="s">
        <v>220</v>
      </c>
      <c r="I78" s="1316" t="str">
        <f>I63</f>
        <v>Thermocouple Data Logger, Merek : MADGETECH, Model : OctTemp 2000, SN : P41878</v>
      </c>
      <c r="J78" s="1316"/>
      <c r="K78" s="1316"/>
      <c r="L78" s="932" t="s">
        <v>572</v>
      </c>
      <c r="M78" s="933"/>
      <c r="N78" s="1314" t="s">
        <v>220</v>
      </c>
      <c r="O78" s="1316" t="str">
        <f>O63</f>
        <v>Mobile Corder, Merek : Yokogawa, Model : GP 10, SN : S5T810599</v>
      </c>
      <c r="P78" s="1317"/>
      <c r="Q78" s="1316"/>
      <c r="R78" s="932" t="s">
        <v>572</v>
      </c>
      <c r="S78" s="929"/>
      <c r="T78" s="1314" t="s">
        <v>220</v>
      </c>
      <c r="U78" s="1316" t="str">
        <f>U63</f>
        <v>Wireless Temperature Recorder : Merek : HIOKI, Model : LR 8510, SN : 200936000</v>
      </c>
      <c r="V78" s="1317"/>
      <c r="W78" s="1316"/>
      <c r="X78" s="932" t="s">
        <v>572</v>
      </c>
      <c r="Y78" s="929"/>
      <c r="Z78" s="1314" t="s">
        <v>220</v>
      </c>
      <c r="AA78" s="1316" t="str">
        <f>AA63</f>
        <v>Wireless Temperature Recorder : Merek : HIOKI, Model : LR 8510, SN : 200936001</v>
      </c>
      <c r="AB78" s="1317"/>
      <c r="AC78" s="1316"/>
      <c r="AD78" s="932" t="s">
        <v>572</v>
      </c>
      <c r="AE78" s="929"/>
      <c r="AF78" s="1314" t="s">
        <v>220</v>
      </c>
      <c r="AG78" s="1316" t="str">
        <f>AG63</f>
        <v>Wireless Temperature Recorder : Merek : HIOKI, Model : LR 8510, SN : 200821397</v>
      </c>
      <c r="AH78" s="1317"/>
      <c r="AI78" s="1316"/>
      <c r="AJ78" s="932" t="s">
        <v>572</v>
      </c>
      <c r="AK78" s="929"/>
      <c r="AL78" s="1314" t="s">
        <v>220</v>
      </c>
      <c r="AM78" s="1316" t="str">
        <f>AM63</f>
        <v>Wireless Temperature Recorder : Merek : HIOKI, Model : LR 8510, SN : 210411983</v>
      </c>
      <c r="AN78" s="1317"/>
      <c r="AO78" s="1316"/>
      <c r="AP78" s="932" t="s">
        <v>572</v>
      </c>
      <c r="AQ78" s="929"/>
      <c r="AR78" s="1314" t="s">
        <v>220</v>
      </c>
      <c r="AS78" s="1316" t="str">
        <f>AS63</f>
        <v>Wireless Temperature Recorder : Merek : HIOKI, Model : LR 8510, SN : 210411984</v>
      </c>
      <c r="AT78" s="1317"/>
      <c r="AU78" s="1316"/>
      <c r="AV78" s="932" t="s">
        <v>572</v>
      </c>
      <c r="AW78" s="929"/>
      <c r="AX78" s="1314" t="s">
        <v>220</v>
      </c>
      <c r="AY78" s="1316" t="str">
        <f>AY63</f>
        <v>Wireless Temperature Recorder : Merek : HIOKI, Model : LR 8510, SN : 210411985</v>
      </c>
      <c r="AZ78" s="1317"/>
      <c r="BA78" s="1316"/>
      <c r="BB78" s="932" t="s">
        <v>572</v>
      </c>
      <c r="BC78" s="929"/>
      <c r="BD78" s="1314" t="s">
        <v>220</v>
      </c>
      <c r="BE78" s="1316" t="str">
        <f>BE63</f>
        <v>Wireless Temperature Recorder : Merek : HIOKI, Model : LR 8510, SN : 210746054</v>
      </c>
      <c r="BF78" s="1317"/>
      <c r="BG78" s="1316"/>
      <c r="BH78" s="932" t="s">
        <v>572</v>
      </c>
      <c r="BI78" s="929"/>
      <c r="BJ78" s="1314" t="s">
        <v>220</v>
      </c>
      <c r="BK78" s="1316" t="str">
        <f>BK63</f>
        <v>Wireless Temperature Recorder : Merek : HIOKI, Model : LR 8510, SN : 210746055</v>
      </c>
      <c r="BL78" s="1317"/>
      <c r="BM78" s="1316"/>
      <c r="BN78" s="932" t="s">
        <v>572</v>
      </c>
      <c r="BO78" s="929"/>
      <c r="BP78" s="1314" t="s">
        <v>220</v>
      </c>
      <c r="BQ78" s="1316" t="str">
        <f>BQ63</f>
        <v>Wireless Temperature Recorder : Merek : HIOKI, Model : LR 8510, SN : 210746056</v>
      </c>
      <c r="BR78" s="1317"/>
      <c r="BS78" s="1316"/>
      <c r="BT78" s="932" t="s">
        <v>572</v>
      </c>
      <c r="BU78" s="929"/>
      <c r="BV78" s="1314" t="s">
        <v>220</v>
      </c>
      <c r="BW78" s="1316" t="str">
        <f>BW63</f>
        <v>Wireless Temperature Recorder : Merek : HIOKI, Model : LR 8510, SN : x x x</v>
      </c>
      <c r="BX78" s="1317"/>
      <c r="BY78" s="1316"/>
      <c r="BZ78" s="932" t="s">
        <v>572</v>
      </c>
      <c r="CA78" s="929"/>
      <c r="CB78" s="1314" t="s">
        <v>220</v>
      </c>
      <c r="CC78" s="1316" t="str">
        <f t="shared" ref="CC78:CC91" si="160">CC63</f>
        <v>Reference Thermometer, Merek : APPA, Model : APPA51, SN : 03002948</v>
      </c>
      <c r="CD78" s="1317"/>
      <c r="CE78" s="1316"/>
      <c r="CF78" s="932" t="s">
        <v>572</v>
      </c>
      <c r="CH78" s="1314" t="s">
        <v>220</v>
      </c>
      <c r="CI78" s="1316" t="str">
        <f t="shared" ref="CI78:CI91" si="161">CI63</f>
        <v>Reference Thermometer, Merek : FLUKE, Model : 1524, SN : 1803038</v>
      </c>
      <c r="CJ78" s="1317"/>
      <c r="CK78" s="1316"/>
      <c r="CL78" s="932" t="s">
        <v>572</v>
      </c>
      <c r="CN78" s="1314" t="s">
        <v>220</v>
      </c>
      <c r="CO78" s="1316" t="str">
        <f t="shared" ref="CO78:CO91" si="162">CO63</f>
        <v>Reference Thermometer, Merek : FLUKE, Model : 1524, SN : 1803037</v>
      </c>
      <c r="CP78" s="1317"/>
      <c r="CQ78" s="1316"/>
      <c r="CR78" s="932" t="s">
        <v>572</v>
      </c>
    </row>
    <row r="79" spans="2:96">
      <c r="B79" s="1315"/>
      <c r="C79" s="935">
        <f>C64</f>
        <v>2019</v>
      </c>
      <c r="D79" s="935">
        <f>D64</f>
        <v>2021</v>
      </c>
      <c r="E79" s="936" t="s">
        <v>215</v>
      </c>
      <c r="F79" s="1063">
        <f>F64</f>
        <v>6.4428226504297132</v>
      </c>
      <c r="G79" s="937"/>
      <c r="H79" s="1315"/>
      <c r="I79" s="938">
        <f>I64</f>
        <v>2020</v>
      </c>
      <c r="J79" s="935">
        <f>J64</f>
        <v>2021</v>
      </c>
      <c r="K79" s="936" t="s">
        <v>215</v>
      </c>
      <c r="L79" s="1063">
        <f>F79</f>
        <v>6.4428226504297132</v>
      </c>
      <c r="M79" s="937"/>
      <c r="N79" s="1315"/>
      <c r="O79" s="938">
        <f>O4</f>
        <v>2018</v>
      </c>
      <c r="P79" s="935">
        <f>P4</f>
        <v>2021</v>
      </c>
      <c r="Q79" s="936" t="s">
        <v>215</v>
      </c>
      <c r="R79" s="1063">
        <f>L79</f>
        <v>6.4428226504297132</v>
      </c>
      <c r="S79" s="929"/>
      <c r="T79" s="1315"/>
      <c r="U79" s="938">
        <f>U64</f>
        <v>2021</v>
      </c>
      <c r="V79" s="935"/>
      <c r="W79" s="936" t="s">
        <v>215</v>
      </c>
      <c r="X79" s="1063">
        <f>R79</f>
        <v>6.4428226504297132</v>
      </c>
      <c r="Y79" s="929"/>
      <c r="Z79" s="1315"/>
      <c r="AA79" s="938">
        <f>AA64</f>
        <v>2021</v>
      </c>
      <c r="AB79" s="935"/>
      <c r="AC79" s="936" t="s">
        <v>215</v>
      </c>
      <c r="AD79" s="1063">
        <f>X79</f>
        <v>6.4428226504297132</v>
      </c>
      <c r="AE79" s="929"/>
      <c r="AF79" s="1315"/>
      <c r="AG79" s="938">
        <f>AG64</f>
        <v>2021</v>
      </c>
      <c r="AH79" s="938">
        <f>AH64</f>
        <v>0</v>
      </c>
      <c r="AI79" s="936" t="s">
        <v>215</v>
      </c>
      <c r="AJ79" s="1063">
        <f>AD79</f>
        <v>6.4428226504297132</v>
      </c>
      <c r="AK79" s="929"/>
      <c r="AL79" s="1315"/>
      <c r="AM79" s="938">
        <f>AM64</f>
        <v>2021</v>
      </c>
      <c r="AN79" s="935"/>
      <c r="AO79" s="936" t="s">
        <v>215</v>
      </c>
      <c r="AP79" s="1063">
        <f>AJ79</f>
        <v>6.4428226504297132</v>
      </c>
      <c r="AQ79" s="929"/>
      <c r="AR79" s="1315"/>
      <c r="AS79" s="938">
        <f>AS64</f>
        <v>2021</v>
      </c>
      <c r="AT79" s="935"/>
      <c r="AU79" s="936" t="s">
        <v>215</v>
      </c>
      <c r="AV79" s="1063">
        <f>AP79</f>
        <v>6.4428226504297132</v>
      </c>
      <c r="AW79" s="929"/>
      <c r="AX79" s="1315"/>
      <c r="AY79" s="938">
        <f>AY64</f>
        <v>2021</v>
      </c>
      <c r="AZ79" s="935"/>
      <c r="BA79" s="936" t="s">
        <v>215</v>
      </c>
      <c r="BB79" s="1063">
        <f>AV79</f>
        <v>6.4428226504297132</v>
      </c>
      <c r="BC79" s="929"/>
      <c r="BD79" s="1315"/>
      <c r="BE79" s="938">
        <f>BE64</f>
        <v>2021</v>
      </c>
      <c r="BF79" s="935"/>
      <c r="BG79" s="936" t="s">
        <v>215</v>
      </c>
      <c r="BH79" s="1063">
        <f>BB79</f>
        <v>6.4428226504297132</v>
      </c>
      <c r="BI79" s="929"/>
      <c r="BJ79" s="1315"/>
      <c r="BK79" s="938">
        <f>BK64</f>
        <v>2021</v>
      </c>
      <c r="BL79" s="935"/>
      <c r="BM79" s="936" t="s">
        <v>215</v>
      </c>
      <c r="BN79" s="1063">
        <f>BH79</f>
        <v>6.4428226504297132</v>
      </c>
      <c r="BO79" s="929"/>
      <c r="BP79" s="1315"/>
      <c r="BQ79" s="938">
        <f>BQ64</f>
        <v>2021</v>
      </c>
      <c r="BR79" s="935"/>
      <c r="BS79" s="936" t="s">
        <v>215</v>
      </c>
      <c r="BT79" s="1063">
        <f>BN79</f>
        <v>6.4428226504297132</v>
      </c>
      <c r="BU79" s="929"/>
      <c r="BV79" s="1315"/>
      <c r="BW79" s="938">
        <f>BW64</f>
        <v>2021</v>
      </c>
      <c r="BX79" s="935"/>
      <c r="BY79" s="936" t="s">
        <v>215</v>
      </c>
      <c r="BZ79" s="1063">
        <f>BT79</f>
        <v>6.4428226504297132</v>
      </c>
      <c r="CA79" s="929"/>
      <c r="CB79" s="1315"/>
      <c r="CC79" s="938">
        <f t="shared" si="160"/>
        <v>2020</v>
      </c>
      <c r="CD79" s="935"/>
      <c r="CE79" s="936" t="s">
        <v>215</v>
      </c>
      <c r="CF79" s="1063">
        <f>BZ79</f>
        <v>6.4428226504297132</v>
      </c>
      <c r="CH79" s="1315"/>
      <c r="CI79" s="938">
        <f t="shared" si="161"/>
        <v>2021</v>
      </c>
      <c r="CJ79" s="935"/>
      <c r="CK79" s="936" t="s">
        <v>215</v>
      </c>
      <c r="CL79" s="1063">
        <f>CF79</f>
        <v>6.4428226504297132</v>
      </c>
      <c r="CN79" s="1315"/>
      <c r="CO79" s="938">
        <f t="shared" si="162"/>
        <v>2021</v>
      </c>
      <c r="CP79" s="935"/>
      <c r="CQ79" s="936" t="s">
        <v>215</v>
      </c>
      <c r="CR79" s="1063">
        <f>CL79</f>
        <v>6.4428226504297132</v>
      </c>
    </row>
    <row r="80" spans="2:96">
      <c r="B80" s="939">
        <v>-20</v>
      </c>
      <c r="C80" s="940">
        <v>-0.22</v>
      </c>
      <c r="D80" s="940">
        <f t="shared" ref="D80:D91" si="163">U192</f>
        <v>-0.32</v>
      </c>
      <c r="E80" s="925">
        <f t="shared" ref="E80:E91" si="164">IF(OR(C80=0,D80=0),$U$204/3,((MAX(C80:D80)-(MIN(C80:D80)))))</f>
        <v>0.1</v>
      </c>
      <c r="F80" s="1061">
        <f>IF(F79&lt;=B81,B80,IF(F79&lt;=B82,B81,IF(F79&lt;=B83,B82,IF(F79&lt;=B84,B83,IF(F79&lt;=B85,B84)))))</f>
        <v>2</v>
      </c>
      <c r="G80" s="942"/>
      <c r="H80" s="939">
        <v>-20</v>
      </c>
      <c r="I80" s="940">
        <v>-1.6999999999999999E-3</v>
      </c>
      <c r="J80" s="940">
        <f t="shared" ref="J80:J91" si="165">V192</f>
        <v>-0.77</v>
      </c>
      <c r="K80" s="925">
        <f t="shared" ref="K80:K91" si="166">IF(OR(I80=0,J80=0),$V$204/3,((MAX(I80:J80)-(MIN(I80:J80)))))</f>
        <v>0.76829999999999998</v>
      </c>
      <c r="L80" s="1061">
        <f>IF(L79&lt;=H81,H80,IF(L79&lt;=H82,H81,IF(L79&lt;=H83,H82,IF(L79&lt;=H84,H83,IF(L79&lt;=H85,H84)))))</f>
        <v>2</v>
      </c>
      <c r="M80" s="942"/>
      <c r="N80" s="939">
        <v>-20</v>
      </c>
      <c r="O80" s="940"/>
      <c r="P80" s="940">
        <f t="shared" ref="P80:P91" si="167">W192</f>
        <v>1E-3</v>
      </c>
      <c r="Q80" s="925">
        <f t="shared" ref="Q80:Q91" si="168">IF(OR(O80=0,P80=0),$W$204/3,((MAX(O80:P80)-(MIN(O80:P80)))))</f>
        <v>0.13</v>
      </c>
      <c r="R80" s="1061">
        <f>IF(R79&lt;=N81,N80,IF(R79&lt;=N82,N81,IF(R79&lt;=N83,N82,IF(R79&lt;=N84,N83,IF(R79&lt;=N85,N84)))))</f>
        <v>2</v>
      </c>
      <c r="S80" s="929"/>
      <c r="T80" s="939">
        <v>-20</v>
      </c>
      <c r="U80" s="940">
        <f t="shared" ref="U80:U91" si="169">X192</f>
        <v>1E-3</v>
      </c>
      <c r="V80" s="940"/>
      <c r="W80" s="925">
        <f t="shared" ref="W80:W91" si="170">IF(OR(U80=0,V80=0),$X$204/3,((MAX(U80:V80)-(MIN(U80:V80)))))</f>
        <v>3.3333333333333332E-4</v>
      </c>
      <c r="X80" s="1061">
        <f>IF(X79&lt;=T81,T80,IF(X79&lt;=T82,T81,IF(X79&lt;=T83,T82,IF(X79&lt;=T84,T83,IF(X79&lt;=T85,T84)))))</f>
        <v>2</v>
      </c>
      <c r="Y80" s="929"/>
      <c r="Z80" s="939">
        <v>-20</v>
      </c>
      <c r="AA80" s="940">
        <f t="shared" ref="AA80:AA91" si="171">Y192</f>
        <v>1E-3</v>
      </c>
      <c r="AB80" s="940"/>
      <c r="AC80" s="925">
        <f t="shared" ref="AC80:AC91" si="172">IF(OR(AA80=0,AB80=0),$Y$204/3,((MAX(AA80:AB80)-(MIN(AA80:AB80)))))</f>
        <v>3.3333333333333332E-4</v>
      </c>
      <c r="AD80" s="1061">
        <f>IF(AD79&lt;=Z81,Z80,IF(AD79&lt;=Z82,Z81,IF(AD79&lt;=Z83,Z82,IF(AD79&lt;=Z84,Z83,IF(AD79&lt;=Z85,Z84)))))</f>
        <v>2</v>
      </c>
      <c r="AE80" s="929"/>
      <c r="AF80" s="939">
        <v>-20</v>
      </c>
      <c r="AG80" s="940">
        <f t="shared" ref="AG80:AG91" si="173">Z192</f>
        <v>-7.0000000000000007E-2</v>
      </c>
      <c r="AH80" s="940"/>
      <c r="AI80" s="925">
        <f t="shared" ref="AI80:AI91" si="174">IF(OR(AG80=0,AH80=0),$Z$204/3,((MAX(AG80:AH80)-(MIN(AG80:AH80)))))</f>
        <v>0.3066666666666667</v>
      </c>
      <c r="AJ80" s="1061">
        <f>IF(AJ79&lt;=AF81,AF80,IF(AJ79&lt;=AF82,AF81,IF(AJ79&lt;=AF83,AF82,IF(AJ79&lt;=AF84,AF83,IF(AJ79&lt;=AF85,AF84)))))</f>
        <v>2</v>
      </c>
      <c r="AK80" s="929"/>
      <c r="AL80" s="939">
        <v>-20</v>
      </c>
      <c r="AM80" s="940">
        <f t="shared" ref="AM80:AM91" si="175">AA192</f>
        <v>1E-3</v>
      </c>
      <c r="AN80" s="940"/>
      <c r="AO80" s="925">
        <f t="shared" ref="AO80:AO91" si="176">IF(OR(AM80=0,AN80=0),$AA$204/3,((MAX(AM80:AN80)-(MIN(AM80:AN80)))))</f>
        <v>3.3333333333333332E-4</v>
      </c>
      <c r="AP80" s="1061">
        <f>IF(AP79&lt;=AL81,AL80,IF(AP79&lt;=AL82,AL81,IF(AP79&lt;=AL83,AL82,IF(AP79&lt;=AL84,AL83,IF(AP79&lt;=AL85,AL84)))))</f>
        <v>2</v>
      </c>
      <c r="AQ80" s="929"/>
      <c r="AR80" s="939">
        <v>-20</v>
      </c>
      <c r="AS80" s="940">
        <f t="shared" ref="AS80:AS91" si="177">AB192</f>
        <v>1E-3</v>
      </c>
      <c r="AT80" s="940"/>
      <c r="AU80" s="925">
        <f t="shared" ref="AU80:AU91" si="178">IF(OR(AS80=0,AT80=0),$AB$204/3,((MAX(AS80:AT80)-(MIN(AS80:AT80)))))</f>
        <v>3.3333333333333332E-4</v>
      </c>
      <c r="AV80" s="1061">
        <f>IF(AV79&lt;=AR81,AR80,IF(AV79&lt;=AR82,AR81,IF(AV79&lt;=AR83,AR82,IF(AV79&lt;=AR84,AR83,IF(AV79&lt;=AR85,AR84)))))</f>
        <v>2</v>
      </c>
      <c r="AW80" s="929"/>
      <c r="AX80" s="939">
        <v>-20</v>
      </c>
      <c r="AY80" s="940">
        <f t="shared" ref="AY80:AY91" si="179">AC192</f>
        <v>0.57999999999999996</v>
      </c>
      <c r="AZ80" s="940"/>
      <c r="BA80" s="925">
        <f t="shared" ref="BA80:BA91" si="180">IF(OR(AY80=0,AZ80=0),$AC$204/3,((MAX(AY80:AZ80)-(MIN(AY80:AZ80)))))</f>
        <v>0.26333333333333336</v>
      </c>
      <c r="BB80" s="1061">
        <f>IF(BB79&lt;=AX81,AX80,IF(BB79&lt;=AX82,AX81,IF(BB79&lt;=AX83,AX82,IF(BB79&lt;=AX84,AX83,IF(BB79&lt;=AX85,AX84)))))</f>
        <v>2</v>
      </c>
      <c r="BC80" s="929"/>
      <c r="BD80" s="939">
        <v>-20</v>
      </c>
      <c r="BE80" s="940">
        <f t="shared" ref="BE80:BE91" si="181">AD192</f>
        <v>1E-3</v>
      </c>
      <c r="BF80" s="940"/>
      <c r="BG80" s="925">
        <f t="shared" ref="BG80:BG91" si="182">IF(OR(BE80=0,BF80=0),$AD$204/3,((MAX(BE80:BF80)-(MIN(BE80:BF80)))))</f>
        <v>3.3333333333333332E-4</v>
      </c>
      <c r="BH80" s="1061">
        <f>IF(BH79&lt;=BD81,BD80,IF(BH79&lt;=BD82,BD81,IF(BH79&lt;=BD83,BD82,IF(BH79&lt;=BD84,BD83,IF(BH79&lt;=BD85,BD84)))))</f>
        <v>2</v>
      </c>
      <c r="BI80" s="929"/>
      <c r="BJ80" s="939">
        <v>-20</v>
      </c>
      <c r="BK80" s="940">
        <f t="shared" ref="BK80:BK91" si="183">AE192</f>
        <v>0.57999999999999996</v>
      </c>
      <c r="BL80" s="940"/>
      <c r="BM80" s="925">
        <f t="shared" ref="BM80:BM91" si="184">IF(OR(BK80=0,BL80=0),$AE$204/3,((MAX(BK80:BL80)-(MIN(BK80:BL80)))))</f>
        <v>0.26333333333333336</v>
      </c>
      <c r="BN80" s="1061">
        <f>IF(BN79&lt;=BJ81,BJ80,IF(BN79&lt;=BJ82,BJ81,IF(BN79&lt;=BJ83,BJ82,IF(BN79&lt;=BJ84,BJ83,IF(BN79&lt;=BJ85,BJ84)))))</f>
        <v>2</v>
      </c>
      <c r="BO80" s="929"/>
      <c r="BP80" s="939">
        <v>-20</v>
      </c>
      <c r="BQ80" s="940">
        <f t="shared" ref="BQ80:BQ91" si="185">AF192</f>
        <v>1E-3</v>
      </c>
      <c r="BR80" s="940"/>
      <c r="BS80" s="925">
        <f t="shared" ref="BS80:BS91" si="186">IF(OR(BQ80=0,BR80=0),$AF$204/3,((MAX(BQ80:BR80)-(MIN(BQ80:BR80)))))</f>
        <v>3.3333333333333332E-4</v>
      </c>
      <c r="BT80" s="1061">
        <f>IF(BT79&lt;=BP81,BP80,IF(BT79&lt;=BP82,BP81,IF(BT79&lt;=BP83,BP82,IF(BT79&lt;=BP84,BP83,IF(BT79&lt;=BP85,BP84)))))</f>
        <v>2</v>
      </c>
      <c r="BU80" s="929"/>
      <c r="BV80" s="939">
        <v>-20</v>
      </c>
      <c r="BW80" s="940">
        <f t="shared" ref="BW80:BW91" si="187">AG192</f>
        <v>16</v>
      </c>
      <c r="BX80" s="940"/>
      <c r="BY80" s="925">
        <f t="shared" ref="BY80:BY91" si="188">IF(OR(BW80=0,BX80=0),$AG$204/3,((MAX(BW80:BX80)-(MIN(BW80:BX80)))))</f>
        <v>9.3333333333333339</v>
      </c>
      <c r="BZ80" s="1061">
        <f>IF(BZ79&lt;=BV81,BV80,IF(BZ79&lt;=BV82,BV81,IF(BZ79&lt;=BV83,BV82,IF(BZ79&lt;=BV84,BV83,IF(BZ79&lt;=BV85,BV84)))))</f>
        <v>2</v>
      </c>
      <c r="CA80" s="929"/>
      <c r="CB80" s="939">
        <v>-20</v>
      </c>
      <c r="CC80" s="940">
        <f t="shared" si="160"/>
        <v>-0.7</v>
      </c>
      <c r="CD80" s="940"/>
      <c r="CE80" s="925">
        <f>CE66</f>
        <v>0.13333333333333333</v>
      </c>
      <c r="CF80" s="1061">
        <f>IF(CF79&lt;=CB81,CB80,IF(CF79&lt;=CB82,CB81,IF(CF79&lt;=CB83,CB82,IF(CF79&lt;=CB84,CB83,IF(CF79&lt;=CB85,CB84)))))</f>
        <v>2</v>
      </c>
      <c r="CH80" s="939">
        <v>-20</v>
      </c>
      <c r="CI80" s="940">
        <f t="shared" si="161"/>
        <v>-1.5E-3</v>
      </c>
      <c r="CJ80" s="940"/>
      <c r="CK80" s="925">
        <f t="shared" ref="CK80:CK91" si="189">CK65</f>
        <v>7.3333333333333334E-2</v>
      </c>
      <c r="CL80" s="1061">
        <f>IF(CL79&lt;=CH81,CH80,IF(CL79&lt;=CH82,CH81,IF(CL79&lt;=CH83,CH82,IF(CL79&lt;=CH84,CH83,IF(CL79&lt;=CH85,CH84)))))</f>
        <v>2</v>
      </c>
      <c r="CN80" s="939">
        <v>-20</v>
      </c>
      <c r="CO80" s="940">
        <f t="shared" si="162"/>
        <v>-1.8</v>
      </c>
      <c r="CP80" s="940"/>
      <c r="CQ80" s="925">
        <f t="shared" ref="CQ80:CQ91" si="190">CQ65</f>
        <v>0.25666666666666665</v>
      </c>
      <c r="CR80" s="1061">
        <f>IF(CR79&lt;=CN81,CN80,IF(CR79&lt;=CN82,CN81,IF(CR79&lt;=CN83,CN82,IF(CR79&lt;=CN84,CN83,IF(CR79&lt;=CN85,CN84)))))</f>
        <v>2</v>
      </c>
    </row>
    <row r="81" spans="2:96">
      <c r="B81" s="939">
        <v>-15</v>
      </c>
      <c r="C81" s="940">
        <v>-1.9E-3</v>
      </c>
      <c r="D81" s="940">
        <f t="shared" si="163"/>
        <v>-0.24</v>
      </c>
      <c r="E81" s="925">
        <f t="shared" si="164"/>
        <v>0.23809999999999998</v>
      </c>
      <c r="F81" s="1056"/>
      <c r="G81" s="942"/>
      <c r="H81" s="939">
        <v>-15</v>
      </c>
      <c r="I81" s="940">
        <v>-1.4E-3</v>
      </c>
      <c r="J81" s="940">
        <f t="shared" si="165"/>
        <v>-0.63</v>
      </c>
      <c r="K81" s="925">
        <f t="shared" si="166"/>
        <v>0.62860000000000005</v>
      </c>
      <c r="L81" s="1056"/>
      <c r="M81" s="942"/>
      <c r="N81" s="939">
        <v>-15</v>
      </c>
      <c r="O81" s="940"/>
      <c r="P81" s="940">
        <f t="shared" si="167"/>
        <v>-0.5</v>
      </c>
      <c r="Q81" s="925">
        <f t="shared" si="168"/>
        <v>0.13</v>
      </c>
      <c r="R81" s="1056"/>
      <c r="S81" s="929"/>
      <c r="T81" s="939">
        <v>-15</v>
      </c>
      <c r="U81" s="940">
        <f t="shared" si="169"/>
        <v>1E-3</v>
      </c>
      <c r="V81" s="940"/>
      <c r="W81" s="925">
        <f t="shared" si="170"/>
        <v>3.3333333333333332E-4</v>
      </c>
      <c r="X81" s="1056"/>
      <c r="Y81" s="929"/>
      <c r="Z81" s="939">
        <v>-15</v>
      </c>
      <c r="AA81" s="940">
        <f t="shared" si="171"/>
        <v>1E-3</v>
      </c>
      <c r="AB81" s="940"/>
      <c r="AC81" s="925">
        <f t="shared" si="172"/>
        <v>3.3333333333333332E-4</v>
      </c>
      <c r="AD81" s="1056"/>
      <c r="AE81" s="929"/>
      <c r="AF81" s="939">
        <v>-15</v>
      </c>
      <c r="AG81" s="940">
        <f t="shared" si="173"/>
        <v>1E-3</v>
      </c>
      <c r="AH81" s="940"/>
      <c r="AI81" s="925">
        <f t="shared" si="174"/>
        <v>0.3066666666666667</v>
      </c>
      <c r="AJ81" s="1056"/>
      <c r="AK81" s="929"/>
      <c r="AL81" s="939">
        <v>-15</v>
      </c>
      <c r="AM81" s="940">
        <f t="shared" si="175"/>
        <v>1E-3</v>
      </c>
      <c r="AN81" s="940"/>
      <c r="AO81" s="925">
        <f t="shared" si="176"/>
        <v>3.3333333333333332E-4</v>
      </c>
      <c r="AP81" s="1056"/>
      <c r="AQ81" s="929"/>
      <c r="AR81" s="939">
        <v>-15</v>
      </c>
      <c r="AS81" s="940">
        <f t="shared" si="177"/>
        <v>1E-3</v>
      </c>
      <c r="AT81" s="940"/>
      <c r="AU81" s="925">
        <f t="shared" si="178"/>
        <v>3.3333333333333332E-4</v>
      </c>
      <c r="AV81" s="1056"/>
      <c r="AW81" s="929"/>
      <c r="AX81" s="939">
        <v>-15</v>
      </c>
      <c r="AY81" s="940">
        <f t="shared" si="179"/>
        <v>1E-3</v>
      </c>
      <c r="AZ81" s="940"/>
      <c r="BA81" s="925">
        <f t="shared" si="180"/>
        <v>0.26333333333333336</v>
      </c>
      <c r="BB81" s="1056"/>
      <c r="BC81" s="929"/>
      <c r="BD81" s="939">
        <v>-15</v>
      </c>
      <c r="BE81" s="940">
        <f t="shared" si="181"/>
        <v>1E-3</v>
      </c>
      <c r="BF81" s="940"/>
      <c r="BG81" s="925">
        <f t="shared" si="182"/>
        <v>3.3333333333333332E-4</v>
      </c>
      <c r="BH81" s="1056"/>
      <c r="BI81" s="929"/>
      <c r="BJ81" s="939">
        <v>-15</v>
      </c>
      <c r="BK81" s="940">
        <f t="shared" si="183"/>
        <v>1E-3</v>
      </c>
      <c r="BL81" s="940"/>
      <c r="BM81" s="925">
        <f t="shared" si="184"/>
        <v>0.26333333333333336</v>
      </c>
      <c r="BN81" s="1056"/>
      <c r="BO81" s="929"/>
      <c r="BP81" s="939">
        <v>-15</v>
      </c>
      <c r="BQ81" s="940">
        <f t="shared" si="185"/>
        <v>1E-3</v>
      </c>
      <c r="BR81" s="940"/>
      <c r="BS81" s="925">
        <f t="shared" si="186"/>
        <v>3.3333333333333332E-4</v>
      </c>
      <c r="BT81" s="1056"/>
      <c r="BU81" s="929"/>
      <c r="BV81" s="939">
        <v>-15</v>
      </c>
      <c r="BW81" s="940">
        <f t="shared" si="187"/>
        <v>17</v>
      </c>
      <c r="BX81" s="940"/>
      <c r="BY81" s="925">
        <f t="shared" si="188"/>
        <v>9.3333333333333339</v>
      </c>
      <c r="BZ81" s="1056"/>
      <c r="CA81" s="929"/>
      <c r="CB81" s="939">
        <v>-15</v>
      </c>
      <c r="CC81" s="940">
        <f t="shared" si="160"/>
        <v>-0.7</v>
      </c>
      <c r="CD81" s="940"/>
      <c r="CE81" s="925">
        <f t="shared" ref="CE81:CE91" si="191">CE66</f>
        <v>0.13333333333333333</v>
      </c>
      <c r="CF81" s="1056"/>
      <c r="CH81" s="939">
        <v>-15</v>
      </c>
      <c r="CI81" s="940">
        <f t="shared" si="161"/>
        <v>1E-3</v>
      </c>
      <c r="CJ81" s="940"/>
      <c r="CK81" s="925">
        <f t="shared" si="189"/>
        <v>7.3333333333333334E-2</v>
      </c>
      <c r="CL81" s="1056"/>
      <c r="CN81" s="939">
        <v>-15</v>
      </c>
      <c r="CO81" s="940">
        <f t="shared" si="162"/>
        <v>-1.52</v>
      </c>
      <c r="CP81" s="940"/>
      <c r="CQ81" s="925">
        <f t="shared" si="190"/>
        <v>0.25666666666666665</v>
      </c>
      <c r="CR81" s="1056"/>
    </row>
    <row r="82" spans="2:96">
      <c r="B82" s="939">
        <v>-10</v>
      </c>
      <c r="C82" s="940">
        <v>-1.6000000000000001E-3</v>
      </c>
      <c r="D82" s="940">
        <f t="shared" si="163"/>
        <v>-1.8E-3</v>
      </c>
      <c r="E82" s="925">
        <f t="shared" si="164"/>
        <v>1.9999999999999987E-4</v>
      </c>
      <c r="F82" s="1061">
        <f>IF(F79&lt;=B80,B80,IF(F79&lt;=B81,B81,IF(F79&lt;=B82,B82,IF(F79&lt;=B83,B83,IF(F79&lt;=B84,B84,IF(F79&lt;=B85,B85))))))</f>
        <v>8</v>
      </c>
      <c r="G82" s="942"/>
      <c r="H82" s="939">
        <v>-10</v>
      </c>
      <c r="I82" s="940">
        <v>-1.1999999999999999E-3</v>
      </c>
      <c r="J82" s="940">
        <f t="shared" si="165"/>
        <v>1E-3</v>
      </c>
      <c r="K82" s="925">
        <f t="shared" si="166"/>
        <v>2.1999999999999997E-3</v>
      </c>
      <c r="L82" s="1061">
        <f>IF(L79&lt;=H80,H80,IF(L79&lt;=H81,H81,IF(L79&lt;=H82,H82,IF(L79&lt;=H83,H83,IF(L79&lt;=H84,H84,IF(L79&lt;=H85,H85))))))</f>
        <v>8</v>
      </c>
      <c r="M82" s="942"/>
      <c r="N82" s="939">
        <v>-10</v>
      </c>
      <c r="O82" s="940"/>
      <c r="P82" s="940">
        <f t="shared" si="167"/>
        <v>-0.41</v>
      </c>
      <c r="Q82" s="925">
        <f t="shared" si="168"/>
        <v>0.13</v>
      </c>
      <c r="R82" s="1061">
        <f>IF(R79&lt;=N80,N80,IF(R79&lt;=N81,N81,IF(R79&lt;=N82,N82,IF(R79&lt;=N83,N83,IF(R79&lt;=N84,N84,IF(R79&lt;=N85,N85))))))</f>
        <v>8</v>
      </c>
      <c r="S82" s="929"/>
      <c r="T82" s="939">
        <v>-10</v>
      </c>
      <c r="U82" s="940">
        <f t="shared" si="169"/>
        <v>1E-3</v>
      </c>
      <c r="V82" s="940"/>
      <c r="W82" s="925">
        <f t="shared" si="170"/>
        <v>3.3333333333333332E-4</v>
      </c>
      <c r="X82" s="1061">
        <f>IF(X79&lt;=T80,T80,IF(X79&lt;=T81,T81,IF(X79&lt;=T82,T82,IF(X79&lt;=T83,T83,IF(X79&lt;=T84,T84,IF(X79&lt;=T85,T85))))))</f>
        <v>8</v>
      </c>
      <c r="Y82" s="929"/>
      <c r="Z82" s="939">
        <v>-10</v>
      </c>
      <c r="AA82" s="940">
        <f t="shared" si="171"/>
        <v>1E-3</v>
      </c>
      <c r="AB82" s="940"/>
      <c r="AC82" s="925">
        <f t="shared" si="172"/>
        <v>3.3333333333333332E-4</v>
      </c>
      <c r="AD82" s="1061">
        <f>IF(AD79&lt;=Z80,Z80,IF(AD79&lt;=Z81,Z81,IF(AD79&lt;=Z82,Z82,IF(AD79&lt;=Z83,Z83,IF(AD79&lt;=Z84,Z84,IF(AD79&lt;=Z85,Z85))))))</f>
        <v>8</v>
      </c>
      <c r="AE82" s="929"/>
      <c r="AF82" s="939">
        <v>-10</v>
      </c>
      <c r="AG82" s="940">
        <f t="shared" si="173"/>
        <v>1.6000000000000001E-3</v>
      </c>
      <c r="AH82" s="940"/>
      <c r="AI82" s="925">
        <f t="shared" si="174"/>
        <v>0.3066666666666667</v>
      </c>
      <c r="AJ82" s="1061">
        <f>IF(AJ79&lt;=AF80,AF80,IF(AJ79&lt;=AF81,AF81,IF(AJ79&lt;=AF82,AF82,IF(AJ79&lt;=AF83,AF83,IF(AJ79&lt;=AF84,AF84,IF(AJ79&lt;=AF85,AF85))))))</f>
        <v>8</v>
      </c>
      <c r="AK82" s="929"/>
      <c r="AL82" s="939">
        <v>-10</v>
      </c>
      <c r="AM82" s="940">
        <f t="shared" si="175"/>
        <v>1E-3</v>
      </c>
      <c r="AN82" s="940"/>
      <c r="AO82" s="925">
        <f t="shared" si="176"/>
        <v>3.3333333333333332E-4</v>
      </c>
      <c r="AP82" s="1061">
        <f>IF(AP79&lt;=AL80,AL80,IF(AP79&lt;=AL81,AL81,IF(AP79&lt;=AL82,AL82,IF(AP79&lt;=AL83,AL83,IF(AP79&lt;=AL84,AL84,IF(AP79&lt;=AL85,AL85))))))</f>
        <v>8</v>
      </c>
      <c r="AQ82" s="929"/>
      <c r="AR82" s="939">
        <v>-10</v>
      </c>
      <c r="AS82" s="940">
        <f t="shared" si="177"/>
        <v>1E-3</v>
      </c>
      <c r="AT82" s="940"/>
      <c r="AU82" s="925">
        <f t="shared" si="178"/>
        <v>3.3333333333333332E-4</v>
      </c>
      <c r="AV82" s="1061">
        <f>IF(AV79&lt;=AR80,AR80,IF(AV79&lt;=AR81,AR81,IF(AV79&lt;=AR82,AR82,IF(AV79&lt;=AR83,AR83,IF(AV79&lt;=AR84,AR84,IF(AV79&lt;=AR85,AR85))))))</f>
        <v>8</v>
      </c>
      <c r="AW82" s="929"/>
      <c r="AX82" s="939">
        <v>-10</v>
      </c>
      <c r="AY82" s="940">
        <f t="shared" si="179"/>
        <v>0.55000000000000004</v>
      </c>
      <c r="AZ82" s="940"/>
      <c r="BA82" s="925">
        <f t="shared" si="180"/>
        <v>0.26333333333333336</v>
      </c>
      <c r="BB82" s="1061">
        <f>IF(BB79&lt;=AX80,AX80,IF(BB79&lt;=AX81,AX81,IF(BB79&lt;=AX82,AX82,IF(BB79&lt;=AX83,AX83,IF(BB79&lt;=AX84,AX84,IF(BB79&lt;=AX85,AX85))))))</f>
        <v>8</v>
      </c>
      <c r="BC82" s="929"/>
      <c r="BD82" s="939">
        <v>-10</v>
      </c>
      <c r="BE82" s="940">
        <f t="shared" si="181"/>
        <v>1E-3</v>
      </c>
      <c r="BF82" s="940"/>
      <c r="BG82" s="925">
        <f t="shared" si="182"/>
        <v>3.3333333333333332E-4</v>
      </c>
      <c r="BH82" s="1061">
        <f>IF(BH79&lt;=BD80,BD80,IF(BH79&lt;=BD81,BD81,IF(BH79&lt;=BD82,BD82,IF(BH79&lt;=BD83,BD83,IF(BH79&lt;=BD84,BD84,IF(BH79&lt;=BD85,BD85))))))</f>
        <v>8</v>
      </c>
      <c r="BI82" s="929"/>
      <c r="BJ82" s="939">
        <v>-10</v>
      </c>
      <c r="BK82" s="940">
        <f t="shared" si="183"/>
        <v>0.55000000000000004</v>
      </c>
      <c r="BL82" s="940"/>
      <c r="BM82" s="925">
        <f t="shared" si="184"/>
        <v>0.26333333333333336</v>
      </c>
      <c r="BN82" s="1061">
        <f>IF(BN79&lt;=BJ80,BJ80,IF(BN79&lt;=BJ81,BJ81,IF(BN79&lt;=BJ82,BJ82,IF(BN79&lt;=BJ83,BJ83,IF(BN79&lt;=BJ84,BJ84,IF(BN79&lt;=BJ85,BJ85))))))</f>
        <v>8</v>
      </c>
      <c r="BO82" s="929"/>
      <c r="BP82" s="939">
        <v>-10</v>
      </c>
      <c r="BQ82" s="940">
        <f t="shared" si="185"/>
        <v>1E-3</v>
      </c>
      <c r="BR82" s="940"/>
      <c r="BS82" s="925">
        <f t="shared" si="186"/>
        <v>3.3333333333333332E-4</v>
      </c>
      <c r="BT82" s="1061">
        <f>IF(BT79&lt;=BP80,BP80,IF(BT79&lt;=BP81,BP81,IF(BT79&lt;=BP82,BP82,IF(BT79&lt;=BP83,BP83,IF(BT79&lt;=BP84,BP84,IF(BT79&lt;=BP85,BP85))))))</f>
        <v>8</v>
      </c>
      <c r="BU82" s="929"/>
      <c r="BV82" s="939">
        <v>-10</v>
      </c>
      <c r="BW82" s="940">
        <f t="shared" si="187"/>
        <v>18</v>
      </c>
      <c r="BX82" s="940"/>
      <c r="BY82" s="925">
        <f t="shared" si="188"/>
        <v>9.3333333333333339</v>
      </c>
      <c r="BZ82" s="1061">
        <f>IF(BZ79&lt;=BV80,BV80,IF(BZ79&lt;=BV81,BV81,IF(BZ79&lt;=BV82,BV82,IF(BZ79&lt;=BV83,BV83,IF(BZ79&lt;=BV84,BV84,IF(BZ79&lt;=BV85,BV85))))))</f>
        <v>8</v>
      </c>
      <c r="CA82" s="929"/>
      <c r="CB82" s="939">
        <v>-10</v>
      </c>
      <c r="CC82" s="940">
        <f t="shared" si="160"/>
        <v>-0.7</v>
      </c>
      <c r="CD82" s="940"/>
      <c r="CE82" s="925">
        <f t="shared" si="191"/>
        <v>0.13333333333333333</v>
      </c>
      <c r="CF82" s="1061">
        <f>IF(CF79&lt;=CB80,CB80,IF(CF79&lt;=CB81,CB81,IF(CF79&lt;=CB82,CB82,IF(CF79&lt;=CB83,CB83,IF(CF79&lt;=CB84,CB84,IF(CF79&lt;=CB85,CB85))))))</f>
        <v>8</v>
      </c>
      <c r="CH82" s="939">
        <v>-10</v>
      </c>
      <c r="CI82" s="940">
        <f t="shared" si="161"/>
        <v>-0.05</v>
      </c>
      <c r="CJ82" s="940"/>
      <c r="CK82" s="925">
        <f t="shared" si="189"/>
        <v>7.3333333333333334E-2</v>
      </c>
      <c r="CL82" s="1061">
        <f>IF(CL79&lt;=CH80,CH80,IF(CL79&lt;=CH81,CH81,IF(CL79&lt;=CH82,CH82,IF(CL79&lt;=CH83,CH83,IF(CL79&lt;=CH84,CH84,IF(CL79&lt;=CH85,CH85))))))</f>
        <v>8</v>
      </c>
      <c r="CN82" s="939">
        <v>-10</v>
      </c>
      <c r="CO82" s="940">
        <f t="shared" si="162"/>
        <v>-1.26</v>
      </c>
      <c r="CP82" s="940"/>
      <c r="CQ82" s="925">
        <f t="shared" si="190"/>
        <v>0.25666666666666665</v>
      </c>
      <c r="CR82" s="1061">
        <f>IF(CR79&lt;=CN80,CN80,IF(CR79&lt;=CN81,CN81,IF(CR79&lt;=CN82,CN82,IF(CR79&lt;=CN83,CN83,IF(CR79&lt;=CN84,CN84,IF(CR79&lt;=CN85,CN85))))))</f>
        <v>8</v>
      </c>
    </row>
    <row r="83" spans="2:96">
      <c r="B83" s="939">
        <v>1E-3</v>
      </c>
      <c r="C83" s="940">
        <v>-1.1999999999999999E-3</v>
      </c>
      <c r="D83" s="940">
        <f t="shared" si="163"/>
        <v>-0.06</v>
      </c>
      <c r="E83" s="925">
        <f t="shared" si="164"/>
        <v>5.8799999999999998E-2</v>
      </c>
      <c r="F83" s="1056"/>
      <c r="G83" s="942"/>
      <c r="H83" s="939">
        <v>1E-3</v>
      </c>
      <c r="I83" s="940">
        <v>-7.0000000000000007E-2</v>
      </c>
      <c r="J83" s="940">
        <f t="shared" si="165"/>
        <v>-0.28000000000000003</v>
      </c>
      <c r="K83" s="925">
        <f t="shared" si="166"/>
        <v>0.21000000000000002</v>
      </c>
      <c r="L83" s="1056"/>
      <c r="M83" s="942"/>
      <c r="N83" s="939">
        <v>1E-3</v>
      </c>
      <c r="O83" s="940"/>
      <c r="P83" s="940">
        <f t="shared" si="167"/>
        <v>-0.34</v>
      </c>
      <c r="Q83" s="925">
        <f t="shared" si="168"/>
        <v>0.13</v>
      </c>
      <c r="R83" s="1056"/>
      <c r="S83" s="929"/>
      <c r="T83" s="939">
        <v>1E-3</v>
      </c>
      <c r="U83" s="940">
        <f t="shared" si="169"/>
        <v>1E-3</v>
      </c>
      <c r="V83" s="940"/>
      <c r="W83" s="925">
        <f t="shared" si="170"/>
        <v>3.3333333333333332E-4</v>
      </c>
      <c r="X83" s="1056"/>
      <c r="Y83" s="929"/>
      <c r="Z83" s="939">
        <v>1E-3</v>
      </c>
      <c r="AA83" s="940">
        <f t="shared" si="171"/>
        <v>1E-3</v>
      </c>
      <c r="AB83" s="940"/>
      <c r="AC83" s="925">
        <f t="shared" si="172"/>
        <v>3.3333333333333332E-4</v>
      </c>
      <c r="AD83" s="1056"/>
      <c r="AE83" s="929"/>
      <c r="AF83" s="939">
        <v>1E-3</v>
      </c>
      <c r="AG83" s="940">
        <f t="shared" si="173"/>
        <v>0.34</v>
      </c>
      <c r="AH83" s="940"/>
      <c r="AI83" s="925">
        <f t="shared" si="174"/>
        <v>0.3066666666666667</v>
      </c>
      <c r="AJ83" s="1056"/>
      <c r="AK83" s="929"/>
      <c r="AL83" s="939">
        <v>1E-3</v>
      </c>
      <c r="AM83" s="940">
        <f t="shared" si="175"/>
        <v>1E-3</v>
      </c>
      <c r="AN83" s="940"/>
      <c r="AO83" s="925">
        <f t="shared" si="176"/>
        <v>3.3333333333333332E-4</v>
      </c>
      <c r="AP83" s="1056"/>
      <c r="AQ83" s="929"/>
      <c r="AR83" s="939">
        <v>1E-3</v>
      </c>
      <c r="AS83" s="940">
        <f t="shared" si="177"/>
        <v>1E-3</v>
      </c>
      <c r="AT83" s="940"/>
      <c r="AU83" s="925">
        <f t="shared" si="178"/>
        <v>3.3333333333333332E-4</v>
      </c>
      <c r="AV83" s="1056"/>
      <c r="AW83" s="929"/>
      <c r="AX83" s="939">
        <v>1E-3</v>
      </c>
      <c r="AY83" s="940">
        <f t="shared" si="179"/>
        <v>0.52</v>
      </c>
      <c r="AZ83" s="940"/>
      <c r="BA83" s="925">
        <f t="shared" si="180"/>
        <v>0.26333333333333336</v>
      </c>
      <c r="BB83" s="1056"/>
      <c r="BC83" s="929"/>
      <c r="BD83" s="939">
        <v>1E-3</v>
      </c>
      <c r="BE83" s="940">
        <f t="shared" si="181"/>
        <v>1E-3</v>
      </c>
      <c r="BF83" s="940"/>
      <c r="BG83" s="925">
        <f t="shared" si="182"/>
        <v>3.3333333333333332E-4</v>
      </c>
      <c r="BH83" s="1056"/>
      <c r="BI83" s="929"/>
      <c r="BJ83" s="939">
        <v>1E-3</v>
      </c>
      <c r="BK83" s="940">
        <f t="shared" si="183"/>
        <v>0.52</v>
      </c>
      <c r="BL83" s="940"/>
      <c r="BM83" s="925">
        <f t="shared" si="184"/>
        <v>0.26333333333333336</v>
      </c>
      <c r="BN83" s="1056"/>
      <c r="BO83" s="929"/>
      <c r="BP83" s="939">
        <v>1E-3</v>
      </c>
      <c r="BQ83" s="940">
        <f t="shared" si="185"/>
        <v>1E-3</v>
      </c>
      <c r="BR83" s="940"/>
      <c r="BS83" s="925">
        <f t="shared" si="186"/>
        <v>3.3333333333333332E-4</v>
      </c>
      <c r="BT83" s="1056"/>
      <c r="BU83" s="929"/>
      <c r="BV83" s="939">
        <v>1E-3</v>
      </c>
      <c r="BW83" s="940">
        <f t="shared" si="187"/>
        <v>19</v>
      </c>
      <c r="BX83" s="940"/>
      <c r="BY83" s="925">
        <f t="shared" si="188"/>
        <v>9.3333333333333339</v>
      </c>
      <c r="BZ83" s="1056"/>
      <c r="CA83" s="929"/>
      <c r="CB83" s="939">
        <v>1E-3</v>
      </c>
      <c r="CC83" s="940">
        <f t="shared" si="160"/>
        <v>-0.7</v>
      </c>
      <c r="CD83" s="940"/>
      <c r="CE83" s="925">
        <f t="shared" si="191"/>
        <v>0.13333333333333333</v>
      </c>
      <c r="CF83" s="1056"/>
      <c r="CH83" s="939">
        <v>1E-3</v>
      </c>
      <c r="CI83" s="940">
        <f t="shared" si="161"/>
        <v>0.03</v>
      </c>
      <c r="CJ83" s="940"/>
      <c r="CK83" s="925">
        <f t="shared" si="189"/>
        <v>7.3333333333333334E-2</v>
      </c>
      <c r="CL83" s="1056"/>
      <c r="CN83" s="939">
        <v>1E-3</v>
      </c>
      <c r="CO83" s="940">
        <f t="shared" si="162"/>
        <v>-0.79</v>
      </c>
      <c r="CP83" s="940"/>
      <c r="CQ83" s="925">
        <f t="shared" si="190"/>
        <v>0.25666666666666665</v>
      </c>
      <c r="CR83" s="1056"/>
    </row>
    <row r="84" spans="2:96">
      <c r="B84" s="939">
        <v>2</v>
      </c>
      <c r="C84" s="940">
        <v>-1.1000000000000001E-3</v>
      </c>
      <c r="D84" s="940">
        <f t="shared" si="163"/>
        <v>-0.04</v>
      </c>
      <c r="E84" s="925">
        <f t="shared" si="164"/>
        <v>3.8900000000000004E-2</v>
      </c>
      <c r="F84" s="1062">
        <f>LOOKUP(F80,B80:E91)</f>
        <v>3.8900000000000004E-2</v>
      </c>
      <c r="G84" s="942"/>
      <c r="H84" s="939">
        <v>2</v>
      </c>
      <c r="I84" s="940">
        <v>-0.06</v>
      </c>
      <c r="J84" s="940">
        <f t="shared" si="165"/>
        <v>-0.25</v>
      </c>
      <c r="K84" s="925">
        <f t="shared" si="166"/>
        <v>0.19</v>
      </c>
      <c r="L84" s="1062">
        <f>LOOKUP(L80,H80:K91)</f>
        <v>0.19</v>
      </c>
      <c r="M84" s="942"/>
      <c r="N84" s="939">
        <v>2</v>
      </c>
      <c r="O84" s="940"/>
      <c r="P84" s="940">
        <f t="shared" si="167"/>
        <v>-0.33</v>
      </c>
      <c r="Q84" s="925">
        <f t="shared" si="168"/>
        <v>0.13</v>
      </c>
      <c r="R84" s="1062">
        <f>LOOKUP(R80,N80:Q91)</f>
        <v>0.13</v>
      </c>
      <c r="S84" s="929"/>
      <c r="T84" s="939">
        <v>2</v>
      </c>
      <c r="U84" s="940">
        <f t="shared" si="169"/>
        <v>1E-3</v>
      </c>
      <c r="V84" s="940"/>
      <c r="W84" s="925">
        <f t="shared" si="170"/>
        <v>3.3333333333333332E-4</v>
      </c>
      <c r="X84" s="1062">
        <f>LOOKUP(X80,T80:W91)</f>
        <v>3.3333333333333332E-4</v>
      </c>
      <c r="Y84" s="929"/>
      <c r="Z84" s="939">
        <v>2</v>
      </c>
      <c r="AA84" s="940">
        <f t="shared" si="171"/>
        <v>1E-3</v>
      </c>
      <c r="AB84" s="940"/>
      <c r="AC84" s="925">
        <f t="shared" si="172"/>
        <v>3.3333333333333332E-4</v>
      </c>
      <c r="AD84" s="1062">
        <f>LOOKUP(AD80,Z80:AC91)</f>
        <v>3.3333333333333332E-4</v>
      </c>
      <c r="AE84" s="929"/>
      <c r="AF84" s="939">
        <v>2</v>
      </c>
      <c r="AG84" s="940">
        <f t="shared" si="173"/>
        <v>0.38</v>
      </c>
      <c r="AH84" s="940"/>
      <c r="AI84" s="925">
        <f t="shared" si="174"/>
        <v>0.3066666666666667</v>
      </c>
      <c r="AJ84" s="1062">
        <f>LOOKUP(AJ80,AF80:AI91)</f>
        <v>0.3066666666666667</v>
      </c>
      <c r="AK84" s="929"/>
      <c r="AL84" s="939">
        <v>2</v>
      </c>
      <c r="AM84" s="940">
        <f t="shared" si="175"/>
        <v>1E-3</v>
      </c>
      <c r="AN84" s="940"/>
      <c r="AO84" s="925">
        <f t="shared" si="176"/>
        <v>3.3333333333333332E-4</v>
      </c>
      <c r="AP84" s="1062">
        <f>LOOKUP(AP80,AL80:AO91)</f>
        <v>3.3333333333333332E-4</v>
      </c>
      <c r="AQ84" s="929"/>
      <c r="AR84" s="939">
        <v>2</v>
      </c>
      <c r="AS84" s="940">
        <f t="shared" si="177"/>
        <v>1E-3</v>
      </c>
      <c r="AT84" s="940"/>
      <c r="AU84" s="925">
        <f t="shared" si="178"/>
        <v>3.3333333333333332E-4</v>
      </c>
      <c r="AV84" s="1062">
        <f>LOOKUP(AV80,AR80:AU91)</f>
        <v>3.3333333333333332E-4</v>
      </c>
      <c r="AW84" s="929"/>
      <c r="AX84" s="939">
        <v>2</v>
      </c>
      <c r="AY84" s="940">
        <f t="shared" si="179"/>
        <v>0.51</v>
      </c>
      <c r="AZ84" s="940"/>
      <c r="BA84" s="925">
        <f t="shared" si="180"/>
        <v>0.26333333333333336</v>
      </c>
      <c r="BB84" s="1062">
        <f>LOOKUP(BB80,AX80:BA91)</f>
        <v>0.26333333333333336</v>
      </c>
      <c r="BC84" s="929"/>
      <c r="BD84" s="939">
        <v>2</v>
      </c>
      <c r="BE84" s="940">
        <f t="shared" si="181"/>
        <v>1E-3</v>
      </c>
      <c r="BF84" s="940"/>
      <c r="BG84" s="925">
        <f t="shared" si="182"/>
        <v>3.3333333333333332E-4</v>
      </c>
      <c r="BH84" s="1062">
        <f>LOOKUP(BH80,BD80:BG91)</f>
        <v>3.3333333333333332E-4</v>
      </c>
      <c r="BI84" s="929"/>
      <c r="BJ84" s="939">
        <v>2</v>
      </c>
      <c r="BK84" s="940">
        <f t="shared" si="183"/>
        <v>0.51</v>
      </c>
      <c r="BL84" s="940"/>
      <c r="BM84" s="925">
        <f t="shared" si="184"/>
        <v>0.26333333333333336</v>
      </c>
      <c r="BN84" s="1062">
        <f>LOOKUP(BN80,BJ80:BM91)</f>
        <v>0.26333333333333336</v>
      </c>
      <c r="BO84" s="929"/>
      <c r="BP84" s="939">
        <v>2</v>
      </c>
      <c r="BQ84" s="940">
        <f t="shared" si="185"/>
        <v>1E-3</v>
      </c>
      <c r="BR84" s="940"/>
      <c r="BS84" s="925">
        <f t="shared" si="186"/>
        <v>3.3333333333333332E-4</v>
      </c>
      <c r="BT84" s="1062">
        <f>LOOKUP(BT80,BP80:BS91)</f>
        <v>3.3333333333333332E-4</v>
      </c>
      <c r="BU84" s="929"/>
      <c r="BV84" s="939">
        <v>2</v>
      </c>
      <c r="BW84" s="940">
        <f t="shared" si="187"/>
        <v>20</v>
      </c>
      <c r="BX84" s="940"/>
      <c r="BY84" s="925">
        <f t="shared" si="188"/>
        <v>9.3333333333333339</v>
      </c>
      <c r="BZ84" s="1062">
        <f>LOOKUP(BZ80,BV80:BY91)</f>
        <v>9.3333333333333339</v>
      </c>
      <c r="CA84" s="929"/>
      <c r="CB84" s="939">
        <v>2</v>
      </c>
      <c r="CC84" s="940">
        <f t="shared" si="160"/>
        <v>-0.7</v>
      </c>
      <c r="CD84" s="940"/>
      <c r="CE84" s="925">
        <f t="shared" si="191"/>
        <v>0.13333333333333333</v>
      </c>
      <c r="CF84" s="1062">
        <f>LOOKUP(CF80,CB80:CE91)</f>
        <v>0.13333333333333333</v>
      </c>
      <c r="CH84" s="939">
        <v>2</v>
      </c>
      <c r="CI84" s="940">
        <f t="shared" si="161"/>
        <v>0.04</v>
      </c>
      <c r="CJ84" s="940"/>
      <c r="CK84" s="925">
        <f t="shared" si="189"/>
        <v>7.3333333333333334E-2</v>
      </c>
      <c r="CL84" s="1062">
        <f>LOOKUP(CL80,CH80:CK91)</f>
        <v>7.3333333333333334E-2</v>
      </c>
      <c r="CN84" s="939">
        <v>2</v>
      </c>
      <c r="CO84" s="940">
        <f t="shared" si="162"/>
        <v>-2.7</v>
      </c>
      <c r="CP84" s="940"/>
      <c r="CQ84" s="925">
        <f t="shared" si="190"/>
        <v>0.25666666666666665</v>
      </c>
      <c r="CR84" s="1062">
        <f>LOOKUP(CR80,CN80:CQ91)</f>
        <v>0.25666666666666665</v>
      </c>
    </row>
    <row r="85" spans="2:96">
      <c r="B85" s="939">
        <v>8</v>
      </c>
      <c r="C85" s="940">
        <v>-0.08</v>
      </c>
      <c r="D85" s="940">
        <f t="shared" si="163"/>
        <v>0.01</v>
      </c>
      <c r="E85" s="925">
        <f t="shared" si="164"/>
        <v>0.09</v>
      </c>
      <c r="F85" s="1056"/>
      <c r="G85" s="942"/>
      <c r="H85" s="939">
        <v>8</v>
      </c>
      <c r="I85" s="940">
        <v>-0.03</v>
      </c>
      <c r="J85" s="940">
        <f t="shared" si="165"/>
        <v>-1.4E-3</v>
      </c>
      <c r="K85" s="925">
        <f t="shared" si="166"/>
        <v>2.86E-2</v>
      </c>
      <c r="L85" s="1056"/>
      <c r="M85" s="942"/>
      <c r="N85" s="939">
        <v>8</v>
      </c>
      <c r="O85" s="940"/>
      <c r="P85" s="940">
        <f t="shared" si="167"/>
        <v>-0.21</v>
      </c>
      <c r="Q85" s="925">
        <f t="shared" si="168"/>
        <v>0.13</v>
      </c>
      <c r="R85" s="1056"/>
      <c r="S85" s="929"/>
      <c r="T85" s="939">
        <v>8</v>
      </c>
      <c r="U85" s="940">
        <f t="shared" si="169"/>
        <v>1E-3</v>
      </c>
      <c r="V85" s="940"/>
      <c r="W85" s="925">
        <f t="shared" si="170"/>
        <v>3.3333333333333332E-4</v>
      </c>
      <c r="X85" s="1056"/>
      <c r="Y85" s="929"/>
      <c r="Z85" s="939">
        <v>8</v>
      </c>
      <c r="AA85" s="940">
        <f t="shared" si="171"/>
        <v>1E-3</v>
      </c>
      <c r="AB85" s="940"/>
      <c r="AC85" s="925">
        <f t="shared" si="172"/>
        <v>3.3333333333333332E-4</v>
      </c>
      <c r="AD85" s="1056"/>
      <c r="AE85" s="929"/>
      <c r="AF85" s="939">
        <v>8</v>
      </c>
      <c r="AG85" s="940">
        <f t="shared" si="173"/>
        <v>0.47</v>
      </c>
      <c r="AH85" s="940"/>
      <c r="AI85" s="925">
        <f t="shared" si="174"/>
        <v>0.3066666666666667</v>
      </c>
      <c r="AJ85" s="1056"/>
      <c r="AK85" s="929"/>
      <c r="AL85" s="939">
        <v>8</v>
      </c>
      <c r="AM85" s="940">
        <f t="shared" si="175"/>
        <v>1E-3</v>
      </c>
      <c r="AN85" s="940"/>
      <c r="AO85" s="925">
        <f t="shared" si="176"/>
        <v>3.3333333333333332E-4</v>
      </c>
      <c r="AP85" s="1056"/>
      <c r="AQ85" s="929"/>
      <c r="AR85" s="939">
        <v>8</v>
      </c>
      <c r="AS85" s="940">
        <f t="shared" si="177"/>
        <v>1E-3</v>
      </c>
      <c r="AT85" s="940"/>
      <c r="AU85" s="925">
        <f t="shared" si="178"/>
        <v>3.3333333333333332E-4</v>
      </c>
      <c r="AV85" s="1056"/>
      <c r="AW85" s="929"/>
      <c r="AX85" s="939">
        <v>8</v>
      </c>
      <c r="AY85" s="940">
        <f t="shared" si="179"/>
        <v>0.5</v>
      </c>
      <c r="AZ85" s="940"/>
      <c r="BA85" s="925">
        <f t="shared" si="180"/>
        <v>0.26333333333333336</v>
      </c>
      <c r="BB85" s="1056"/>
      <c r="BC85" s="929"/>
      <c r="BD85" s="939">
        <v>8</v>
      </c>
      <c r="BE85" s="940">
        <f t="shared" si="181"/>
        <v>1E-3</v>
      </c>
      <c r="BF85" s="940"/>
      <c r="BG85" s="925">
        <f t="shared" si="182"/>
        <v>3.3333333333333332E-4</v>
      </c>
      <c r="BH85" s="1056"/>
      <c r="BI85" s="929"/>
      <c r="BJ85" s="939">
        <v>8</v>
      </c>
      <c r="BK85" s="940">
        <f t="shared" si="183"/>
        <v>0.5</v>
      </c>
      <c r="BL85" s="940"/>
      <c r="BM85" s="925">
        <f t="shared" si="184"/>
        <v>0.26333333333333336</v>
      </c>
      <c r="BN85" s="1056"/>
      <c r="BO85" s="929"/>
      <c r="BP85" s="939">
        <v>8</v>
      </c>
      <c r="BQ85" s="940">
        <f t="shared" si="185"/>
        <v>1E-3</v>
      </c>
      <c r="BR85" s="940"/>
      <c r="BS85" s="925">
        <f t="shared" si="186"/>
        <v>3.3333333333333332E-4</v>
      </c>
      <c r="BT85" s="1056"/>
      <c r="BU85" s="929"/>
      <c r="BV85" s="939">
        <v>8</v>
      </c>
      <c r="BW85" s="940">
        <f t="shared" si="187"/>
        <v>21</v>
      </c>
      <c r="BX85" s="940"/>
      <c r="BY85" s="925">
        <f t="shared" si="188"/>
        <v>9.3333333333333339</v>
      </c>
      <c r="BZ85" s="1056"/>
      <c r="CA85" s="929"/>
      <c r="CB85" s="939">
        <v>8</v>
      </c>
      <c r="CC85" s="940">
        <f t="shared" si="160"/>
        <v>-0.7</v>
      </c>
      <c r="CD85" s="940"/>
      <c r="CE85" s="925">
        <f t="shared" si="191"/>
        <v>0.13333333333333333</v>
      </c>
      <c r="CF85" s="1056"/>
      <c r="CH85" s="939">
        <v>8</v>
      </c>
      <c r="CI85" s="940">
        <f t="shared" si="161"/>
        <v>0.08</v>
      </c>
      <c r="CJ85" s="940"/>
      <c r="CK85" s="925">
        <f t="shared" si="189"/>
        <v>7.3333333333333334E-2</v>
      </c>
      <c r="CL85" s="1056"/>
      <c r="CN85" s="939">
        <v>8</v>
      </c>
      <c r="CO85" s="940">
        <f t="shared" si="162"/>
        <v>-0.46</v>
      </c>
      <c r="CP85" s="940"/>
      <c r="CQ85" s="925">
        <f t="shared" si="190"/>
        <v>0.25666666666666665</v>
      </c>
      <c r="CR85" s="1056"/>
    </row>
    <row r="86" spans="2:96">
      <c r="B86" s="939">
        <v>37</v>
      </c>
      <c r="C86" s="940">
        <v>0.02</v>
      </c>
      <c r="D86" s="940">
        <f t="shared" si="163"/>
        <v>1.9E-3</v>
      </c>
      <c r="E86" s="925">
        <f t="shared" si="164"/>
        <v>1.8100000000000002E-2</v>
      </c>
      <c r="F86" s="1062">
        <f>LOOKUP(F82,B80:E91)</f>
        <v>0.09</v>
      </c>
      <c r="G86" s="942"/>
      <c r="H86" s="939">
        <v>37</v>
      </c>
      <c r="I86" s="940">
        <v>7.0000000000000007E-2</v>
      </c>
      <c r="J86" s="940">
        <f t="shared" si="165"/>
        <v>1.8E-3</v>
      </c>
      <c r="K86" s="925">
        <f t="shared" si="166"/>
        <v>6.8200000000000011E-2</v>
      </c>
      <c r="L86" s="1062">
        <f>LOOKUP(L82,H80:K91)</f>
        <v>2.86E-2</v>
      </c>
      <c r="M86" s="942"/>
      <c r="N86" s="939">
        <v>37</v>
      </c>
      <c r="O86" s="940"/>
      <c r="P86" s="940">
        <f t="shared" si="167"/>
        <v>-0.31</v>
      </c>
      <c r="Q86" s="925">
        <f t="shared" si="168"/>
        <v>0.13</v>
      </c>
      <c r="R86" s="1062">
        <f>LOOKUP(R82,N80:Q91)</f>
        <v>0.13</v>
      </c>
      <c r="S86" s="929"/>
      <c r="T86" s="939">
        <v>37</v>
      </c>
      <c r="U86" s="940">
        <f t="shared" si="169"/>
        <v>1E-3</v>
      </c>
      <c r="V86" s="940"/>
      <c r="W86" s="925">
        <f t="shared" si="170"/>
        <v>3.3333333333333332E-4</v>
      </c>
      <c r="X86" s="1062">
        <f>LOOKUP(X82,T80:W91)</f>
        <v>3.3333333333333332E-4</v>
      </c>
      <c r="Y86" s="929"/>
      <c r="Z86" s="939">
        <v>37</v>
      </c>
      <c r="AA86" s="940">
        <f t="shared" si="171"/>
        <v>1E-3</v>
      </c>
      <c r="AB86" s="940"/>
      <c r="AC86" s="925">
        <f t="shared" si="172"/>
        <v>3.3333333333333332E-4</v>
      </c>
      <c r="AD86" s="1062">
        <f>LOOKUP(AD82,Z80:AC91)</f>
        <v>3.3333333333333332E-4</v>
      </c>
      <c r="AE86" s="929"/>
      <c r="AF86" s="939">
        <v>37</v>
      </c>
      <c r="AG86" s="940">
        <f t="shared" si="173"/>
        <v>0.74</v>
      </c>
      <c r="AH86" s="940"/>
      <c r="AI86" s="925">
        <f t="shared" si="174"/>
        <v>0.3066666666666667</v>
      </c>
      <c r="AJ86" s="1062">
        <f>LOOKUP(AJ82,AF80:AI91)</f>
        <v>0.3066666666666667</v>
      </c>
      <c r="AK86" s="929"/>
      <c r="AL86" s="939">
        <v>37</v>
      </c>
      <c r="AM86" s="940">
        <f t="shared" si="175"/>
        <v>1E-3</v>
      </c>
      <c r="AN86" s="940"/>
      <c r="AO86" s="925">
        <f t="shared" si="176"/>
        <v>3.3333333333333332E-4</v>
      </c>
      <c r="AP86" s="1062">
        <f>LOOKUP(AP82,AL80:AO91)</f>
        <v>3.3333333333333332E-4</v>
      </c>
      <c r="AQ86" s="929"/>
      <c r="AR86" s="939">
        <v>37</v>
      </c>
      <c r="AS86" s="940">
        <f t="shared" si="177"/>
        <v>1E-3</v>
      </c>
      <c r="AT86" s="940"/>
      <c r="AU86" s="925">
        <f t="shared" si="178"/>
        <v>3.3333333333333332E-4</v>
      </c>
      <c r="AV86" s="1062">
        <f>LOOKUP(AV82,AR80:AU91)</f>
        <v>3.3333333333333332E-4</v>
      </c>
      <c r="AW86" s="929"/>
      <c r="AX86" s="939">
        <v>37</v>
      </c>
      <c r="AY86" s="940">
        <f t="shared" si="179"/>
        <v>0.4</v>
      </c>
      <c r="AZ86" s="940"/>
      <c r="BA86" s="925">
        <f t="shared" si="180"/>
        <v>0.26333333333333336</v>
      </c>
      <c r="BB86" s="1062">
        <f>LOOKUP(BB82,AX80:BA91)</f>
        <v>0.26333333333333336</v>
      </c>
      <c r="BC86" s="929"/>
      <c r="BD86" s="939">
        <v>37</v>
      </c>
      <c r="BE86" s="940">
        <f t="shared" si="181"/>
        <v>1E-3</v>
      </c>
      <c r="BF86" s="940"/>
      <c r="BG86" s="925">
        <f t="shared" si="182"/>
        <v>3.3333333333333332E-4</v>
      </c>
      <c r="BH86" s="1062">
        <f>LOOKUP(BH82,BD80:BG91)</f>
        <v>3.3333333333333332E-4</v>
      </c>
      <c r="BI86" s="929"/>
      <c r="BJ86" s="939">
        <v>37</v>
      </c>
      <c r="BK86" s="940">
        <f t="shared" si="183"/>
        <v>0.4</v>
      </c>
      <c r="BL86" s="940"/>
      <c r="BM86" s="925">
        <f t="shared" si="184"/>
        <v>0.26333333333333336</v>
      </c>
      <c r="BN86" s="1062">
        <f>LOOKUP(BN82,BJ80:BM91)</f>
        <v>0.26333333333333336</v>
      </c>
      <c r="BO86" s="929"/>
      <c r="BP86" s="939">
        <v>37</v>
      </c>
      <c r="BQ86" s="940">
        <f t="shared" si="185"/>
        <v>1E-3</v>
      </c>
      <c r="BR86" s="940"/>
      <c r="BS86" s="925">
        <f t="shared" si="186"/>
        <v>3.3333333333333332E-4</v>
      </c>
      <c r="BT86" s="1062">
        <f>LOOKUP(BT82,BP80:BS91)</f>
        <v>3.3333333333333332E-4</v>
      </c>
      <c r="BU86" s="929"/>
      <c r="BV86" s="939">
        <v>37</v>
      </c>
      <c r="BW86" s="940">
        <f t="shared" si="187"/>
        <v>22</v>
      </c>
      <c r="BX86" s="940"/>
      <c r="BY86" s="925">
        <f t="shared" si="188"/>
        <v>9.3333333333333339</v>
      </c>
      <c r="BZ86" s="1062">
        <f>LOOKUP(BZ82,BV80:BY91)</f>
        <v>9.3333333333333339</v>
      </c>
      <c r="CA86" s="929"/>
      <c r="CB86" s="939">
        <v>37</v>
      </c>
      <c r="CC86" s="940">
        <f t="shared" si="160"/>
        <v>-0.6</v>
      </c>
      <c r="CD86" s="940"/>
      <c r="CE86" s="925">
        <f t="shared" si="191"/>
        <v>0.13333333333333333</v>
      </c>
      <c r="CF86" s="1062">
        <f>LOOKUP(CF82,CB80:CE91)</f>
        <v>0.13333333333333333</v>
      </c>
      <c r="CH86" s="939">
        <v>37</v>
      </c>
      <c r="CI86" s="940">
        <f t="shared" si="161"/>
        <v>0.23</v>
      </c>
      <c r="CJ86" s="940"/>
      <c r="CK86" s="925">
        <f t="shared" si="189"/>
        <v>7.3333333333333334E-2</v>
      </c>
      <c r="CL86" s="1062">
        <f>LOOKUP(CL82,CH80:CK91)</f>
        <v>7.3333333333333334E-2</v>
      </c>
      <c r="CN86" s="939">
        <v>37</v>
      </c>
      <c r="CO86" s="940">
        <f t="shared" si="162"/>
        <v>0.42</v>
      </c>
      <c r="CP86" s="940"/>
      <c r="CQ86" s="925">
        <f t="shared" si="190"/>
        <v>0.25666666666666665</v>
      </c>
      <c r="CR86" s="1062">
        <f>LOOKUP(CR82,CN80:CQ91)</f>
        <v>0.25666666666666665</v>
      </c>
    </row>
    <row r="87" spans="2:96">
      <c r="B87" s="939">
        <v>44</v>
      </c>
      <c r="C87" s="940">
        <v>0.04</v>
      </c>
      <c r="D87" s="940">
        <f t="shared" si="163"/>
        <v>0.21</v>
      </c>
      <c r="E87" s="925">
        <f t="shared" si="164"/>
        <v>0.16999999999999998</v>
      </c>
      <c r="F87" s="941"/>
      <c r="G87" s="942"/>
      <c r="H87" s="939">
        <v>44</v>
      </c>
      <c r="I87" s="940">
        <v>0.08</v>
      </c>
      <c r="J87" s="940">
        <f t="shared" si="165"/>
        <v>0.21</v>
      </c>
      <c r="K87" s="925">
        <f t="shared" si="166"/>
        <v>0.13</v>
      </c>
      <c r="L87" s="941"/>
      <c r="M87" s="942"/>
      <c r="N87" s="939">
        <v>44</v>
      </c>
      <c r="O87" s="940"/>
      <c r="P87" s="940">
        <f t="shared" si="167"/>
        <v>-1.5E-3</v>
      </c>
      <c r="Q87" s="925">
        <f t="shared" si="168"/>
        <v>0.13</v>
      </c>
      <c r="R87" s="941"/>
      <c r="S87" s="929"/>
      <c r="T87" s="939">
        <v>44</v>
      </c>
      <c r="U87" s="940">
        <f t="shared" si="169"/>
        <v>1E-3</v>
      </c>
      <c r="V87" s="940"/>
      <c r="W87" s="925">
        <f t="shared" si="170"/>
        <v>3.3333333333333332E-4</v>
      </c>
      <c r="X87" s="941"/>
      <c r="Y87" s="929"/>
      <c r="Z87" s="939">
        <v>44</v>
      </c>
      <c r="AA87" s="940">
        <f t="shared" si="171"/>
        <v>1E-3</v>
      </c>
      <c r="AB87" s="940"/>
      <c r="AC87" s="925">
        <f t="shared" si="172"/>
        <v>3.3333333333333332E-4</v>
      </c>
      <c r="AD87" s="941"/>
      <c r="AE87" s="929"/>
      <c r="AF87" s="939">
        <v>44</v>
      </c>
      <c r="AG87" s="940">
        <f t="shared" si="173"/>
        <v>0.77</v>
      </c>
      <c r="AH87" s="940"/>
      <c r="AI87" s="925">
        <f t="shared" si="174"/>
        <v>0.3066666666666667</v>
      </c>
      <c r="AJ87" s="941"/>
      <c r="AK87" s="929"/>
      <c r="AL87" s="939">
        <v>44</v>
      </c>
      <c r="AM87" s="940">
        <f t="shared" si="175"/>
        <v>1E-3</v>
      </c>
      <c r="AN87" s="940"/>
      <c r="AO87" s="925">
        <f t="shared" si="176"/>
        <v>3.3333333333333332E-4</v>
      </c>
      <c r="AP87" s="941"/>
      <c r="AQ87" s="929"/>
      <c r="AR87" s="939">
        <v>44</v>
      </c>
      <c r="AS87" s="940">
        <f t="shared" si="177"/>
        <v>1E-3</v>
      </c>
      <c r="AT87" s="940"/>
      <c r="AU87" s="925">
        <f t="shared" si="178"/>
        <v>3.3333333333333332E-4</v>
      </c>
      <c r="AV87" s="941"/>
      <c r="AW87" s="929"/>
      <c r="AX87" s="939">
        <v>44</v>
      </c>
      <c r="AY87" s="940">
        <f t="shared" si="179"/>
        <v>0.38</v>
      </c>
      <c r="AZ87" s="940"/>
      <c r="BA87" s="925">
        <f t="shared" si="180"/>
        <v>0.26333333333333336</v>
      </c>
      <c r="BB87" s="941"/>
      <c r="BC87" s="929"/>
      <c r="BD87" s="939">
        <v>44</v>
      </c>
      <c r="BE87" s="940">
        <f t="shared" si="181"/>
        <v>1E-3</v>
      </c>
      <c r="BF87" s="940"/>
      <c r="BG87" s="925">
        <f t="shared" si="182"/>
        <v>3.3333333333333332E-4</v>
      </c>
      <c r="BH87" s="941"/>
      <c r="BI87" s="929"/>
      <c r="BJ87" s="939">
        <v>44</v>
      </c>
      <c r="BK87" s="940">
        <f t="shared" si="183"/>
        <v>0.38</v>
      </c>
      <c r="BL87" s="940"/>
      <c r="BM87" s="925">
        <f t="shared" si="184"/>
        <v>0.26333333333333336</v>
      </c>
      <c r="BN87" s="941"/>
      <c r="BO87" s="929"/>
      <c r="BP87" s="939">
        <v>44</v>
      </c>
      <c r="BQ87" s="940">
        <f t="shared" si="185"/>
        <v>1E-3</v>
      </c>
      <c r="BR87" s="940"/>
      <c r="BS87" s="925">
        <f t="shared" si="186"/>
        <v>3.3333333333333332E-4</v>
      </c>
      <c r="BT87" s="941"/>
      <c r="BU87" s="929"/>
      <c r="BV87" s="939">
        <v>44</v>
      </c>
      <c r="BW87" s="940">
        <f t="shared" si="187"/>
        <v>23</v>
      </c>
      <c r="BX87" s="940"/>
      <c r="BY87" s="925">
        <f t="shared" si="188"/>
        <v>9.3333333333333339</v>
      </c>
      <c r="BZ87" s="941"/>
      <c r="CA87" s="929"/>
      <c r="CB87" s="939">
        <v>44</v>
      </c>
      <c r="CC87" s="940">
        <f t="shared" si="160"/>
        <v>-0.7</v>
      </c>
      <c r="CD87" s="940"/>
      <c r="CE87" s="925">
        <f t="shared" si="191"/>
        <v>0.13333333333333333</v>
      </c>
      <c r="CF87" s="941"/>
      <c r="CH87" s="939">
        <v>44</v>
      </c>
      <c r="CI87" s="940">
        <f t="shared" si="161"/>
        <v>0.25</v>
      </c>
      <c r="CJ87" s="940"/>
      <c r="CK87" s="925">
        <f t="shared" si="189"/>
        <v>7.3333333333333334E-2</v>
      </c>
      <c r="CL87" s="941"/>
      <c r="CN87" s="939">
        <v>44</v>
      </c>
      <c r="CO87" s="940">
        <f t="shared" si="162"/>
        <v>0.56999999999999995</v>
      </c>
      <c r="CP87" s="940"/>
      <c r="CQ87" s="925">
        <f t="shared" si="190"/>
        <v>0.25666666666666665</v>
      </c>
      <c r="CR87" s="941"/>
    </row>
    <row r="88" spans="2:96">
      <c r="B88" s="939">
        <v>50</v>
      </c>
      <c r="C88" s="940">
        <v>0.06</v>
      </c>
      <c r="D88" s="940">
        <f t="shared" si="163"/>
        <v>0.22</v>
      </c>
      <c r="E88" s="925">
        <f t="shared" si="164"/>
        <v>0.16</v>
      </c>
      <c r="F88" s="1066">
        <f>(((F86-F84)/(F82-F80))*(F79-F80))+F84</f>
        <v>7.6738039572826391E-2</v>
      </c>
      <c r="G88" s="942"/>
      <c r="H88" s="939">
        <v>50</v>
      </c>
      <c r="I88" s="940">
        <v>1E-3</v>
      </c>
      <c r="J88" s="940">
        <f t="shared" si="165"/>
        <v>0.24</v>
      </c>
      <c r="K88" s="925">
        <f t="shared" si="166"/>
        <v>0.23899999999999999</v>
      </c>
      <c r="L88" s="1064">
        <f>(((L86-L84)/(L82-L80))*(L79-L80))+L84</f>
        <v>7.0488070703440736E-2</v>
      </c>
      <c r="M88" s="942"/>
      <c r="N88" s="939">
        <v>50</v>
      </c>
      <c r="O88" s="940"/>
      <c r="P88" s="940">
        <f t="shared" si="167"/>
        <v>0.2</v>
      </c>
      <c r="Q88" s="925">
        <f t="shared" si="168"/>
        <v>0.13</v>
      </c>
      <c r="R88" s="1064">
        <f>(((R86-R84)/(R82-R80))*(R79-R80))+R84</f>
        <v>0.13</v>
      </c>
      <c r="S88" s="929"/>
      <c r="T88" s="939">
        <v>50</v>
      </c>
      <c r="U88" s="940">
        <f t="shared" si="169"/>
        <v>1E-3</v>
      </c>
      <c r="V88" s="940"/>
      <c r="W88" s="925">
        <f t="shared" si="170"/>
        <v>3.3333333333333332E-4</v>
      </c>
      <c r="X88" s="1064">
        <f>(((X86-X84)/(X82-X80))*(X79-X80))+X84</f>
        <v>3.3333333333333332E-4</v>
      </c>
      <c r="Y88" s="929"/>
      <c r="Z88" s="939">
        <v>50</v>
      </c>
      <c r="AA88" s="940">
        <f t="shared" si="171"/>
        <v>1E-3</v>
      </c>
      <c r="AB88" s="940"/>
      <c r="AC88" s="925">
        <f t="shared" si="172"/>
        <v>3.3333333333333332E-4</v>
      </c>
      <c r="AD88" s="1064">
        <f>(((AD86-AD84)/(AD82-AD80))*(AD79-AD80))+AD84</f>
        <v>3.3333333333333332E-4</v>
      </c>
      <c r="AE88" s="929"/>
      <c r="AF88" s="939">
        <v>50</v>
      </c>
      <c r="AG88" s="940">
        <f t="shared" si="173"/>
        <v>0.78</v>
      </c>
      <c r="AH88" s="940"/>
      <c r="AI88" s="925">
        <f t="shared" si="174"/>
        <v>0.3066666666666667</v>
      </c>
      <c r="AJ88" s="1064">
        <f>(((AJ86-AJ84)/(AJ82-AJ80))*(AJ79-AJ80))+AJ84</f>
        <v>0.3066666666666667</v>
      </c>
      <c r="AK88" s="929"/>
      <c r="AL88" s="939">
        <v>50</v>
      </c>
      <c r="AM88" s="940">
        <f t="shared" si="175"/>
        <v>1E-3</v>
      </c>
      <c r="AN88" s="940"/>
      <c r="AO88" s="925">
        <f t="shared" si="176"/>
        <v>3.3333333333333332E-4</v>
      </c>
      <c r="AP88" s="1064">
        <f>(((AP86-AP84)/(AP82-AP80))*(AP79-AP80))+AP84</f>
        <v>3.3333333333333332E-4</v>
      </c>
      <c r="AQ88" s="929"/>
      <c r="AR88" s="939">
        <v>50</v>
      </c>
      <c r="AS88" s="940">
        <f t="shared" si="177"/>
        <v>1E-3</v>
      </c>
      <c r="AT88" s="940"/>
      <c r="AU88" s="925">
        <f t="shared" si="178"/>
        <v>3.3333333333333332E-4</v>
      </c>
      <c r="AV88" s="1064">
        <f>(((AV86-AV84)/(AV82-AV80))*(AV79-AV80))+AV84</f>
        <v>3.3333333333333332E-4</v>
      </c>
      <c r="AW88" s="929"/>
      <c r="AX88" s="939">
        <v>50</v>
      </c>
      <c r="AY88" s="940">
        <f t="shared" si="179"/>
        <v>0.36</v>
      </c>
      <c r="AZ88" s="940"/>
      <c r="BA88" s="925">
        <f t="shared" si="180"/>
        <v>0.26333333333333336</v>
      </c>
      <c r="BB88" s="1064">
        <f>(((BB86-BB84)/(BB82-BB80))*(BB79-BB80))+BB84</f>
        <v>0.26333333333333336</v>
      </c>
      <c r="BC88" s="929"/>
      <c r="BD88" s="939">
        <v>50</v>
      </c>
      <c r="BE88" s="940">
        <f t="shared" si="181"/>
        <v>1E-3</v>
      </c>
      <c r="BF88" s="940"/>
      <c r="BG88" s="925">
        <f t="shared" si="182"/>
        <v>3.3333333333333332E-4</v>
      </c>
      <c r="BH88" s="1064">
        <f>(((BH86-BH84)/(BH82-BH80))*(BH79-BH80))+BH84</f>
        <v>3.3333333333333332E-4</v>
      </c>
      <c r="BI88" s="929"/>
      <c r="BJ88" s="939">
        <v>50</v>
      </c>
      <c r="BK88" s="940">
        <f t="shared" si="183"/>
        <v>0.36</v>
      </c>
      <c r="BL88" s="940"/>
      <c r="BM88" s="925">
        <f t="shared" si="184"/>
        <v>0.26333333333333336</v>
      </c>
      <c r="BN88" s="1064">
        <f>(((BN86-BN84)/(BN82-BN80))*(BN79-BN80))+BN84</f>
        <v>0.26333333333333336</v>
      </c>
      <c r="BO88" s="929"/>
      <c r="BP88" s="939">
        <v>50</v>
      </c>
      <c r="BQ88" s="940">
        <f t="shared" si="185"/>
        <v>1E-3</v>
      </c>
      <c r="BR88" s="940"/>
      <c r="BS88" s="925">
        <f t="shared" si="186"/>
        <v>3.3333333333333332E-4</v>
      </c>
      <c r="BT88" s="1064">
        <f>(((BT86-BT84)/(BT82-BT80))*(BT79-BT80))+BT84</f>
        <v>3.3333333333333332E-4</v>
      </c>
      <c r="BU88" s="929"/>
      <c r="BV88" s="939">
        <v>50</v>
      </c>
      <c r="BW88" s="940">
        <f t="shared" si="187"/>
        <v>24</v>
      </c>
      <c r="BX88" s="940"/>
      <c r="BY88" s="925">
        <f t="shared" si="188"/>
        <v>9.3333333333333339</v>
      </c>
      <c r="BZ88" s="1064">
        <f>(((BZ86-BZ84)/(BZ82-BZ80))*(BZ79-BZ80))+BZ84</f>
        <v>9.3333333333333339</v>
      </c>
      <c r="CA88" s="929"/>
      <c r="CB88" s="939">
        <v>50</v>
      </c>
      <c r="CC88" s="940">
        <f t="shared" si="160"/>
        <v>-0.7</v>
      </c>
      <c r="CD88" s="940"/>
      <c r="CE88" s="925">
        <f t="shared" si="191"/>
        <v>0.13333333333333333</v>
      </c>
      <c r="CF88" s="1064">
        <f>(((CF86-CF84)/(CF82-CF80))*(CF79-CF80))+CF84</f>
        <v>0.13333333333333333</v>
      </c>
      <c r="CH88" s="939">
        <v>50</v>
      </c>
      <c r="CI88" s="940">
        <f t="shared" si="161"/>
        <v>0.27</v>
      </c>
      <c r="CJ88" s="940"/>
      <c r="CK88" s="925">
        <f t="shared" si="189"/>
        <v>7.3333333333333334E-2</v>
      </c>
      <c r="CL88" s="1064">
        <f>(((CL86-CL84)/(CL82-CL80))*(CL79-CL80))+CL84</f>
        <v>7.3333333333333334E-2</v>
      </c>
      <c r="CN88" s="939">
        <v>50</v>
      </c>
      <c r="CO88" s="940">
        <f t="shared" si="162"/>
        <v>0.67</v>
      </c>
      <c r="CP88" s="940"/>
      <c r="CQ88" s="925">
        <f t="shared" si="190"/>
        <v>0.25666666666666665</v>
      </c>
      <c r="CR88" s="1064">
        <f>(((CR86-CR84)/(CR82-CR80))*(CR79-CR80))+CR84</f>
        <v>0.25666666666666665</v>
      </c>
    </row>
    <row r="89" spans="2:96">
      <c r="B89" s="939">
        <v>100</v>
      </c>
      <c r="C89" s="940">
        <v>1.1000000000000001E-3</v>
      </c>
      <c r="D89" s="940">
        <f t="shared" si="163"/>
        <v>0.23</v>
      </c>
      <c r="E89" s="925">
        <f t="shared" si="164"/>
        <v>0.22890000000000002</v>
      </c>
      <c r="F89" s="941"/>
      <c r="G89" s="942"/>
      <c r="H89" s="939">
        <v>100</v>
      </c>
      <c r="I89" s="940">
        <v>1.4E-3</v>
      </c>
      <c r="J89" s="940">
        <f t="shared" si="165"/>
        <v>1.6999999999999999E-3</v>
      </c>
      <c r="K89" s="925">
        <f t="shared" si="166"/>
        <v>2.9999999999999992E-4</v>
      </c>
      <c r="L89" s="941"/>
      <c r="M89" s="942"/>
      <c r="N89" s="939">
        <v>100</v>
      </c>
      <c r="O89" s="940"/>
      <c r="P89" s="940">
        <f t="shared" si="167"/>
        <v>0.05</v>
      </c>
      <c r="Q89" s="925">
        <f t="shared" si="168"/>
        <v>0.13</v>
      </c>
      <c r="R89" s="941"/>
      <c r="S89" s="929"/>
      <c r="T89" s="939">
        <v>100</v>
      </c>
      <c r="U89" s="940">
        <f t="shared" si="169"/>
        <v>1E-3</v>
      </c>
      <c r="V89" s="940"/>
      <c r="W89" s="925">
        <f t="shared" si="170"/>
        <v>3.3333333333333332E-4</v>
      </c>
      <c r="X89" s="941"/>
      <c r="Y89" s="929"/>
      <c r="Z89" s="939">
        <v>100</v>
      </c>
      <c r="AA89" s="940">
        <f t="shared" si="171"/>
        <v>1E-3</v>
      </c>
      <c r="AB89" s="940"/>
      <c r="AC89" s="925">
        <f t="shared" si="172"/>
        <v>3.3333333333333332E-4</v>
      </c>
      <c r="AD89" s="941"/>
      <c r="AE89" s="929"/>
      <c r="AF89" s="939">
        <v>100</v>
      </c>
      <c r="AG89" s="940">
        <f t="shared" si="173"/>
        <v>0.62</v>
      </c>
      <c r="AH89" s="940"/>
      <c r="AI89" s="925">
        <f t="shared" si="174"/>
        <v>0.3066666666666667</v>
      </c>
      <c r="AJ89" s="941"/>
      <c r="AK89" s="929"/>
      <c r="AL89" s="939">
        <v>100</v>
      </c>
      <c r="AM89" s="940">
        <f t="shared" si="175"/>
        <v>1E-3</v>
      </c>
      <c r="AN89" s="940"/>
      <c r="AO89" s="925">
        <f t="shared" si="176"/>
        <v>3.3333333333333332E-4</v>
      </c>
      <c r="AP89" s="941"/>
      <c r="AQ89" s="929"/>
      <c r="AR89" s="939">
        <v>100</v>
      </c>
      <c r="AS89" s="940">
        <f t="shared" si="177"/>
        <v>1E-3</v>
      </c>
      <c r="AT89" s="940"/>
      <c r="AU89" s="925">
        <f t="shared" si="178"/>
        <v>3.3333333333333332E-4</v>
      </c>
      <c r="AV89" s="941"/>
      <c r="AW89" s="929"/>
      <c r="AX89" s="939">
        <v>100</v>
      </c>
      <c r="AY89" s="940">
        <f t="shared" si="179"/>
        <v>1.6999999999999999E-3</v>
      </c>
      <c r="AZ89" s="940"/>
      <c r="BA89" s="925">
        <f t="shared" si="180"/>
        <v>0.26333333333333336</v>
      </c>
      <c r="BB89" s="941"/>
      <c r="BC89" s="929"/>
      <c r="BD89" s="939">
        <v>100</v>
      </c>
      <c r="BE89" s="940">
        <f t="shared" si="181"/>
        <v>1E-3</v>
      </c>
      <c r="BF89" s="940"/>
      <c r="BG89" s="925">
        <f t="shared" si="182"/>
        <v>3.3333333333333332E-4</v>
      </c>
      <c r="BH89" s="941"/>
      <c r="BI89" s="929"/>
      <c r="BJ89" s="939">
        <v>100</v>
      </c>
      <c r="BK89" s="940">
        <f t="shared" si="183"/>
        <v>1.6999999999999999E-3</v>
      </c>
      <c r="BL89" s="940"/>
      <c r="BM89" s="925">
        <f t="shared" si="184"/>
        <v>0.26333333333333336</v>
      </c>
      <c r="BN89" s="941"/>
      <c r="BO89" s="929"/>
      <c r="BP89" s="939">
        <v>100</v>
      </c>
      <c r="BQ89" s="940">
        <f t="shared" si="185"/>
        <v>1E-3</v>
      </c>
      <c r="BR89" s="940"/>
      <c r="BS89" s="925">
        <f t="shared" si="186"/>
        <v>3.3333333333333332E-4</v>
      </c>
      <c r="BT89" s="941"/>
      <c r="BU89" s="929"/>
      <c r="BV89" s="939">
        <v>100</v>
      </c>
      <c r="BW89" s="940">
        <f t="shared" si="187"/>
        <v>25</v>
      </c>
      <c r="BX89" s="940"/>
      <c r="BY89" s="925">
        <f t="shared" si="188"/>
        <v>9.3333333333333339</v>
      </c>
      <c r="BZ89" s="941"/>
      <c r="CA89" s="929"/>
      <c r="CB89" s="939">
        <v>100</v>
      </c>
      <c r="CC89" s="940">
        <f t="shared" si="160"/>
        <v>-0.7</v>
      </c>
      <c r="CD89" s="940"/>
      <c r="CE89" s="925">
        <f t="shared" si="191"/>
        <v>0.13333333333333333</v>
      </c>
      <c r="CF89" s="941"/>
      <c r="CH89" s="939">
        <v>100</v>
      </c>
      <c r="CI89" s="940">
        <f t="shared" si="161"/>
        <v>0.31</v>
      </c>
      <c r="CJ89" s="940"/>
      <c r="CK89" s="925">
        <f t="shared" si="189"/>
        <v>7.3333333333333334E-2</v>
      </c>
      <c r="CL89" s="941"/>
      <c r="CN89" s="939">
        <v>100</v>
      </c>
      <c r="CO89" s="940">
        <f t="shared" si="162"/>
        <v>0.95</v>
      </c>
      <c r="CP89" s="940"/>
      <c r="CQ89" s="925">
        <f t="shared" si="190"/>
        <v>0.25666666666666665</v>
      </c>
      <c r="CR89" s="941"/>
    </row>
    <row r="90" spans="2:96">
      <c r="B90" s="939">
        <v>150</v>
      </c>
      <c r="C90" s="940">
        <v>0.05</v>
      </c>
      <c r="D90" s="940">
        <f t="shared" si="163"/>
        <v>0.22</v>
      </c>
      <c r="E90" s="925">
        <f t="shared" si="164"/>
        <v>0.16999999999999998</v>
      </c>
      <c r="F90" s="941"/>
      <c r="G90" s="942"/>
      <c r="H90" s="939">
        <v>150</v>
      </c>
      <c r="I90" s="940">
        <v>0.06</v>
      </c>
      <c r="J90" s="940">
        <f t="shared" si="165"/>
        <v>0.02</v>
      </c>
      <c r="K90" s="925">
        <f t="shared" si="166"/>
        <v>3.9999999999999994E-2</v>
      </c>
      <c r="L90" s="941"/>
      <c r="M90" s="942"/>
      <c r="N90" s="939">
        <v>150</v>
      </c>
      <c r="O90" s="940"/>
      <c r="P90" s="940">
        <f t="shared" si="167"/>
        <v>-1.6999999999999999E-3</v>
      </c>
      <c r="Q90" s="925">
        <f t="shared" si="168"/>
        <v>0.13</v>
      </c>
      <c r="R90" s="941"/>
      <c r="S90" s="929"/>
      <c r="T90" s="939">
        <v>150</v>
      </c>
      <c r="U90" s="940">
        <f t="shared" si="169"/>
        <v>1E-3</v>
      </c>
      <c r="V90" s="940"/>
      <c r="W90" s="925">
        <f t="shared" si="170"/>
        <v>3.3333333333333332E-4</v>
      </c>
      <c r="X90" s="941"/>
      <c r="Y90" s="929"/>
      <c r="Z90" s="939">
        <v>150</v>
      </c>
      <c r="AA90" s="940">
        <f t="shared" si="171"/>
        <v>1E-3</v>
      </c>
      <c r="AB90" s="940"/>
      <c r="AC90" s="925">
        <f t="shared" si="172"/>
        <v>3.3333333333333332E-4</v>
      </c>
      <c r="AD90" s="941"/>
      <c r="AE90" s="929"/>
      <c r="AF90" s="939">
        <v>150</v>
      </c>
      <c r="AG90" s="940">
        <f t="shared" si="173"/>
        <v>1.6999999999999999E-3</v>
      </c>
      <c r="AH90" s="940"/>
      <c r="AI90" s="925">
        <f t="shared" si="174"/>
        <v>0.3066666666666667</v>
      </c>
      <c r="AJ90" s="941"/>
      <c r="AK90" s="929"/>
      <c r="AL90" s="939">
        <v>150</v>
      </c>
      <c r="AM90" s="940">
        <f t="shared" si="175"/>
        <v>1E-3</v>
      </c>
      <c r="AN90" s="940"/>
      <c r="AO90" s="925">
        <f t="shared" si="176"/>
        <v>3.3333333333333332E-4</v>
      </c>
      <c r="AP90" s="941"/>
      <c r="AQ90" s="929"/>
      <c r="AR90" s="939">
        <v>150</v>
      </c>
      <c r="AS90" s="940">
        <f t="shared" si="177"/>
        <v>1E-3</v>
      </c>
      <c r="AT90" s="940"/>
      <c r="AU90" s="925">
        <f t="shared" si="178"/>
        <v>3.3333333333333332E-4</v>
      </c>
      <c r="AV90" s="941"/>
      <c r="AW90" s="929"/>
      <c r="AX90" s="939">
        <v>150</v>
      </c>
      <c r="AY90" s="940">
        <f t="shared" si="179"/>
        <v>-0.05</v>
      </c>
      <c r="AZ90" s="940"/>
      <c r="BA90" s="925">
        <f t="shared" si="180"/>
        <v>0.26333333333333336</v>
      </c>
      <c r="BB90" s="941"/>
      <c r="BC90" s="929"/>
      <c r="BD90" s="939">
        <v>150</v>
      </c>
      <c r="BE90" s="940">
        <f t="shared" si="181"/>
        <v>1E-3</v>
      </c>
      <c r="BF90" s="940"/>
      <c r="BG90" s="925">
        <f t="shared" si="182"/>
        <v>3.3333333333333332E-4</v>
      </c>
      <c r="BH90" s="941"/>
      <c r="BI90" s="929"/>
      <c r="BJ90" s="939">
        <v>150</v>
      </c>
      <c r="BK90" s="940">
        <f t="shared" si="183"/>
        <v>-0.05</v>
      </c>
      <c r="BL90" s="940"/>
      <c r="BM90" s="925">
        <f t="shared" si="184"/>
        <v>0.26333333333333336</v>
      </c>
      <c r="BN90" s="941"/>
      <c r="BO90" s="929"/>
      <c r="BP90" s="939">
        <v>150</v>
      </c>
      <c r="BQ90" s="940">
        <f t="shared" si="185"/>
        <v>1E-3</v>
      </c>
      <c r="BR90" s="940"/>
      <c r="BS90" s="925">
        <f t="shared" si="186"/>
        <v>3.3333333333333332E-4</v>
      </c>
      <c r="BT90" s="941"/>
      <c r="BU90" s="929"/>
      <c r="BV90" s="939">
        <v>150</v>
      </c>
      <c r="BW90" s="940">
        <f t="shared" si="187"/>
        <v>26</v>
      </c>
      <c r="BX90" s="940"/>
      <c r="BY90" s="925">
        <f t="shared" si="188"/>
        <v>9.3333333333333339</v>
      </c>
      <c r="BZ90" s="941"/>
      <c r="CA90" s="929"/>
      <c r="CB90" s="939">
        <v>150</v>
      </c>
      <c r="CC90" s="940">
        <f t="shared" si="160"/>
        <v>-0.7</v>
      </c>
      <c r="CD90" s="940"/>
      <c r="CE90" s="925">
        <f t="shared" si="191"/>
        <v>0.13333333333333333</v>
      </c>
      <c r="CF90" s="941"/>
      <c r="CH90" s="939">
        <v>150</v>
      </c>
      <c r="CI90" s="940">
        <f t="shared" si="161"/>
        <v>0.3</v>
      </c>
      <c r="CJ90" s="940"/>
      <c r="CK90" s="925">
        <f t="shared" si="189"/>
        <v>7.3333333333333334E-2</v>
      </c>
      <c r="CL90" s="941"/>
      <c r="CN90" s="939">
        <v>150</v>
      </c>
      <c r="CO90" s="940">
        <f t="shared" si="162"/>
        <v>0.49</v>
      </c>
      <c r="CP90" s="940"/>
      <c r="CQ90" s="925">
        <f t="shared" si="190"/>
        <v>0.25666666666666665</v>
      </c>
      <c r="CR90" s="941"/>
    </row>
    <row r="91" spans="2:96">
      <c r="B91" s="939">
        <v>200</v>
      </c>
      <c r="C91" s="940">
        <v>-1.2999999999999999E-3</v>
      </c>
      <c r="D91" s="940">
        <f t="shared" si="163"/>
        <v>0.47</v>
      </c>
      <c r="E91" s="925">
        <f t="shared" si="164"/>
        <v>0.4713</v>
      </c>
      <c r="F91" s="941"/>
      <c r="G91" s="942"/>
      <c r="H91" s="939">
        <v>200</v>
      </c>
      <c r="I91" s="940">
        <v>-1.5E-3</v>
      </c>
      <c r="J91" s="940">
        <f t="shared" si="165"/>
        <v>0.3</v>
      </c>
      <c r="K91" s="925">
        <f t="shared" si="166"/>
        <v>0.30149999999999999</v>
      </c>
      <c r="L91" s="941"/>
      <c r="M91" s="942"/>
      <c r="N91" s="939">
        <v>200</v>
      </c>
      <c r="O91" s="940"/>
      <c r="P91" s="940">
        <f t="shared" si="167"/>
        <v>0.21</v>
      </c>
      <c r="Q91" s="925">
        <f t="shared" si="168"/>
        <v>0.13</v>
      </c>
      <c r="R91" s="941"/>
      <c r="S91" s="929"/>
      <c r="T91" s="939">
        <v>200</v>
      </c>
      <c r="U91" s="940">
        <f t="shared" si="169"/>
        <v>1E-3</v>
      </c>
      <c r="V91" s="940"/>
      <c r="W91" s="925">
        <f t="shared" si="170"/>
        <v>3.3333333333333332E-4</v>
      </c>
      <c r="X91" s="941"/>
      <c r="Y91" s="929"/>
      <c r="Z91" s="939">
        <v>200</v>
      </c>
      <c r="AA91" s="940">
        <f t="shared" si="171"/>
        <v>1E-3</v>
      </c>
      <c r="AB91" s="940"/>
      <c r="AC91" s="925">
        <f t="shared" si="172"/>
        <v>3.3333333333333332E-4</v>
      </c>
      <c r="AD91" s="941"/>
      <c r="AE91" s="929"/>
      <c r="AF91" s="939">
        <v>200</v>
      </c>
      <c r="AG91" s="940">
        <f t="shared" si="173"/>
        <v>-0.24</v>
      </c>
      <c r="AH91" s="940"/>
      <c r="AI91" s="925">
        <f t="shared" si="174"/>
        <v>0.3066666666666667</v>
      </c>
      <c r="AJ91" s="941"/>
      <c r="AK91" s="929"/>
      <c r="AL91" s="939">
        <v>200</v>
      </c>
      <c r="AM91" s="940">
        <f t="shared" si="175"/>
        <v>1E-3</v>
      </c>
      <c r="AN91" s="940"/>
      <c r="AO91" s="925">
        <f t="shared" si="176"/>
        <v>3.3333333333333332E-4</v>
      </c>
      <c r="AP91" s="941"/>
      <c r="AQ91" s="929"/>
      <c r="AR91" s="939">
        <v>200</v>
      </c>
      <c r="AS91" s="940">
        <f t="shared" si="177"/>
        <v>1E-3</v>
      </c>
      <c r="AT91" s="940"/>
      <c r="AU91" s="925">
        <f t="shared" si="178"/>
        <v>3.3333333333333332E-4</v>
      </c>
      <c r="AV91" s="941"/>
      <c r="AW91" s="929"/>
      <c r="AX91" s="939">
        <v>200</v>
      </c>
      <c r="AY91" s="940">
        <f t="shared" si="179"/>
        <v>-0.28999999999999998</v>
      </c>
      <c r="AZ91" s="940"/>
      <c r="BA91" s="925">
        <f t="shared" si="180"/>
        <v>0.26333333333333336</v>
      </c>
      <c r="BB91" s="941"/>
      <c r="BC91" s="929"/>
      <c r="BD91" s="939">
        <v>200</v>
      </c>
      <c r="BE91" s="940">
        <f t="shared" si="181"/>
        <v>1E-3</v>
      </c>
      <c r="BF91" s="940"/>
      <c r="BG91" s="925">
        <f t="shared" si="182"/>
        <v>3.3333333333333332E-4</v>
      </c>
      <c r="BH91" s="941"/>
      <c r="BI91" s="929"/>
      <c r="BJ91" s="939">
        <v>200</v>
      </c>
      <c r="BK91" s="940">
        <f t="shared" si="183"/>
        <v>-0.28999999999999998</v>
      </c>
      <c r="BL91" s="940"/>
      <c r="BM91" s="925">
        <f t="shared" si="184"/>
        <v>0.26333333333333336</v>
      </c>
      <c r="BN91" s="941"/>
      <c r="BO91" s="929"/>
      <c r="BP91" s="939">
        <v>200</v>
      </c>
      <c r="BQ91" s="940">
        <f t="shared" si="185"/>
        <v>1E-3</v>
      </c>
      <c r="BR91" s="940"/>
      <c r="BS91" s="925">
        <f t="shared" si="186"/>
        <v>3.3333333333333332E-4</v>
      </c>
      <c r="BT91" s="941"/>
      <c r="BU91" s="929"/>
      <c r="BV91" s="939">
        <v>200</v>
      </c>
      <c r="BW91" s="940">
        <f t="shared" si="187"/>
        <v>27</v>
      </c>
      <c r="BX91" s="940"/>
      <c r="BY91" s="925">
        <f t="shared" si="188"/>
        <v>9.3333333333333339</v>
      </c>
      <c r="BZ91" s="941"/>
      <c r="CA91" s="929"/>
      <c r="CB91" s="939">
        <v>200</v>
      </c>
      <c r="CC91" s="940">
        <f t="shared" si="160"/>
        <v>-0.6</v>
      </c>
      <c r="CD91" s="940"/>
      <c r="CE91" s="925">
        <f t="shared" si="191"/>
        <v>0.13333333333333333</v>
      </c>
      <c r="CF91" s="941"/>
      <c r="CH91" s="939">
        <v>200</v>
      </c>
      <c r="CI91" s="940">
        <f t="shared" si="161"/>
        <v>0.34</v>
      </c>
      <c r="CJ91" s="940"/>
      <c r="CK91" s="925">
        <f t="shared" si="189"/>
        <v>7.3333333333333334E-2</v>
      </c>
      <c r="CL91" s="941"/>
      <c r="CN91" s="939">
        <v>200</v>
      </c>
      <c r="CO91" s="940">
        <f t="shared" si="162"/>
        <v>-0.26</v>
      </c>
      <c r="CP91" s="940"/>
      <c r="CQ91" s="925">
        <f t="shared" si="190"/>
        <v>0.25666666666666665</v>
      </c>
      <c r="CR91" s="941"/>
    </row>
    <row r="92" spans="2:96" s="929" customFormat="1">
      <c r="B92" s="947"/>
      <c r="C92" s="930"/>
      <c r="D92" s="930"/>
      <c r="E92" s="944"/>
      <c r="F92" s="942"/>
      <c r="G92" s="942"/>
      <c r="H92" s="947"/>
      <c r="I92" s="930"/>
      <c r="J92" s="930"/>
      <c r="K92" s="944"/>
      <c r="L92" s="931"/>
      <c r="M92" s="942"/>
      <c r="N92" s="947"/>
      <c r="O92" s="930"/>
      <c r="P92" s="930"/>
      <c r="Q92" s="944"/>
      <c r="R92" s="931"/>
      <c r="T92" s="947"/>
      <c r="U92" s="930"/>
      <c r="V92" s="930"/>
      <c r="W92" s="944"/>
      <c r="X92" s="931"/>
      <c r="Z92" s="947"/>
      <c r="AA92" s="930"/>
      <c r="AB92" s="930"/>
      <c r="AC92" s="944"/>
      <c r="AD92" s="931"/>
      <c r="AF92" s="947"/>
      <c r="AG92" s="930"/>
      <c r="AH92" s="930"/>
      <c r="AI92" s="944"/>
      <c r="AJ92" s="931"/>
      <c r="AL92" s="947"/>
      <c r="AM92" s="930"/>
      <c r="AN92" s="930"/>
      <c r="AO92" s="944"/>
      <c r="AP92" s="931"/>
      <c r="AR92" s="947"/>
      <c r="AS92" s="930"/>
      <c r="AT92" s="930"/>
      <c r="AU92" s="944"/>
      <c r="AV92" s="931"/>
      <c r="AX92" s="947"/>
      <c r="AY92" s="930"/>
      <c r="AZ92" s="930"/>
      <c r="BA92" s="944"/>
      <c r="BB92" s="931"/>
      <c r="BD92" s="947"/>
      <c r="BE92" s="930"/>
      <c r="BF92" s="930"/>
      <c r="BG92" s="944"/>
      <c r="BH92" s="931"/>
      <c r="BJ92" s="947"/>
      <c r="BK92" s="930"/>
      <c r="BL92" s="930"/>
      <c r="BM92" s="944"/>
      <c r="BN92" s="931"/>
      <c r="BP92" s="947"/>
      <c r="BQ92" s="930"/>
      <c r="BR92" s="930"/>
      <c r="BS92" s="944"/>
      <c r="BT92" s="931"/>
      <c r="BV92" s="947"/>
      <c r="BW92" s="930"/>
      <c r="BX92" s="930"/>
      <c r="BY92" s="944"/>
      <c r="BZ92" s="931"/>
      <c r="CB92" s="947"/>
      <c r="CC92" s="930"/>
      <c r="CD92" s="930"/>
      <c r="CE92" s="944"/>
      <c r="CF92" s="931"/>
      <c r="CH92" s="947"/>
      <c r="CI92" s="930"/>
      <c r="CJ92" s="930"/>
      <c r="CK92" s="944"/>
      <c r="CL92" s="931"/>
      <c r="CN92" s="947"/>
      <c r="CO92" s="930"/>
      <c r="CP92" s="930"/>
      <c r="CQ92" s="944"/>
      <c r="CR92" s="931"/>
    </row>
    <row r="93" spans="2:96" ht="21.75" customHeight="1">
      <c r="B93" s="1314" t="s">
        <v>221</v>
      </c>
      <c r="C93" s="1316" t="str">
        <f>C78</f>
        <v>Thermocouple Data Logger, Merek : MADGETECH, Model : OctTemp 2000, SN : P40270</v>
      </c>
      <c r="D93" s="1316"/>
      <c r="E93" s="1316"/>
      <c r="F93" s="932" t="str">
        <f>F78</f>
        <v>Interpolasi</v>
      </c>
      <c r="G93" s="933"/>
      <c r="H93" s="1314" t="s">
        <v>221</v>
      </c>
      <c r="I93" s="1316" t="str">
        <f>I78</f>
        <v>Thermocouple Data Logger, Merek : MADGETECH, Model : OctTemp 2000, SN : P41878</v>
      </c>
      <c r="J93" s="1316"/>
      <c r="K93" s="1316"/>
      <c r="L93" s="932" t="s">
        <v>572</v>
      </c>
      <c r="M93" s="933"/>
      <c r="N93" s="1314" t="s">
        <v>221</v>
      </c>
      <c r="O93" s="1316" t="str">
        <f>O78</f>
        <v>Mobile Corder, Merek : Yokogawa, Model : GP 10, SN : S5T810599</v>
      </c>
      <c r="P93" s="1317"/>
      <c r="Q93" s="1316"/>
      <c r="R93" s="932" t="s">
        <v>572</v>
      </c>
      <c r="S93" s="929"/>
      <c r="T93" s="1314" t="s">
        <v>221</v>
      </c>
      <c r="U93" s="1316" t="str">
        <f>U78</f>
        <v>Wireless Temperature Recorder : Merek : HIOKI, Model : LR 8510, SN : 200936000</v>
      </c>
      <c r="V93" s="1317"/>
      <c r="W93" s="1316"/>
      <c r="X93" s="932" t="s">
        <v>572</v>
      </c>
      <c r="Y93" s="929"/>
      <c r="Z93" s="1314" t="s">
        <v>221</v>
      </c>
      <c r="AA93" s="1316" t="str">
        <f>AA78</f>
        <v>Wireless Temperature Recorder : Merek : HIOKI, Model : LR 8510, SN : 200936001</v>
      </c>
      <c r="AB93" s="1317"/>
      <c r="AC93" s="1316"/>
      <c r="AD93" s="932" t="s">
        <v>572</v>
      </c>
      <c r="AE93" s="929"/>
      <c r="AF93" s="1314" t="s">
        <v>221</v>
      </c>
      <c r="AG93" s="1316" t="str">
        <f>AG78</f>
        <v>Wireless Temperature Recorder : Merek : HIOKI, Model : LR 8510, SN : 200821397</v>
      </c>
      <c r="AH93" s="1317"/>
      <c r="AI93" s="1316"/>
      <c r="AJ93" s="932" t="s">
        <v>572</v>
      </c>
      <c r="AK93" s="929"/>
      <c r="AL93" s="1314" t="s">
        <v>221</v>
      </c>
      <c r="AM93" s="1316" t="str">
        <f>AM78</f>
        <v>Wireless Temperature Recorder : Merek : HIOKI, Model : LR 8510, SN : 210411983</v>
      </c>
      <c r="AN93" s="1317"/>
      <c r="AO93" s="1316"/>
      <c r="AP93" s="932" t="s">
        <v>572</v>
      </c>
      <c r="AQ93" s="929"/>
      <c r="AR93" s="1314" t="s">
        <v>221</v>
      </c>
      <c r="AS93" s="1316" t="str">
        <f>AS78</f>
        <v>Wireless Temperature Recorder : Merek : HIOKI, Model : LR 8510, SN : 210411984</v>
      </c>
      <c r="AT93" s="1317"/>
      <c r="AU93" s="1316"/>
      <c r="AV93" s="932" t="s">
        <v>572</v>
      </c>
      <c r="AW93" s="929"/>
      <c r="AX93" s="1314" t="s">
        <v>221</v>
      </c>
      <c r="AY93" s="1316" t="str">
        <f>AY78</f>
        <v>Wireless Temperature Recorder : Merek : HIOKI, Model : LR 8510, SN : 210411985</v>
      </c>
      <c r="AZ93" s="1317"/>
      <c r="BA93" s="1316"/>
      <c r="BB93" s="932" t="s">
        <v>572</v>
      </c>
      <c r="BC93" s="929"/>
      <c r="BD93" s="1314" t="s">
        <v>221</v>
      </c>
      <c r="BE93" s="1316" t="str">
        <f>BE78</f>
        <v>Wireless Temperature Recorder : Merek : HIOKI, Model : LR 8510, SN : 210746054</v>
      </c>
      <c r="BF93" s="1317"/>
      <c r="BG93" s="1316"/>
      <c r="BH93" s="932" t="s">
        <v>572</v>
      </c>
      <c r="BI93" s="929"/>
      <c r="BJ93" s="1314" t="s">
        <v>221</v>
      </c>
      <c r="BK93" s="1316" t="str">
        <f>BK78</f>
        <v>Wireless Temperature Recorder : Merek : HIOKI, Model : LR 8510, SN : 210746055</v>
      </c>
      <c r="BL93" s="1317"/>
      <c r="BM93" s="1316"/>
      <c r="BN93" s="932" t="s">
        <v>572</v>
      </c>
      <c r="BO93" s="929"/>
      <c r="BP93" s="1314" t="s">
        <v>221</v>
      </c>
      <c r="BQ93" s="1316" t="str">
        <f>BQ78</f>
        <v>Wireless Temperature Recorder : Merek : HIOKI, Model : LR 8510, SN : 210746056</v>
      </c>
      <c r="BR93" s="1317"/>
      <c r="BS93" s="1316"/>
      <c r="BT93" s="932" t="s">
        <v>572</v>
      </c>
      <c r="BU93" s="929"/>
      <c r="BV93" s="1314" t="s">
        <v>221</v>
      </c>
      <c r="BW93" s="1316" t="str">
        <f>BW78</f>
        <v>Wireless Temperature Recorder : Merek : HIOKI, Model : LR 8510, SN : x x x</v>
      </c>
      <c r="BX93" s="1317"/>
      <c r="BY93" s="1316"/>
      <c r="BZ93" s="932" t="s">
        <v>572</v>
      </c>
      <c r="CA93" s="929"/>
      <c r="CB93" s="1314" t="s">
        <v>221</v>
      </c>
      <c r="CC93" s="1316" t="str">
        <f t="shared" ref="CC93:CC106" si="192">CC78</f>
        <v>Reference Thermometer, Merek : APPA, Model : APPA51, SN : 03002948</v>
      </c>
      <c r="CD93" s="1317"/>
      <c r="CE93" s="1316"/>
      <c r="CF93" s="932" t="s">
        <v>572</v>
      </c>
      <c r="CH93" s="1314" t="s">
        <v>221</v>
      </c>
      <c r="CI93" s="1316" t="str">
        <f t="shared" ref="CI93:CI106" si="193">CI78</f>
        <v>Reference Thermometer, Merek : FLUKE, Model : 1524, SN : 1803038</v>
      </c>
      <c r="CJ93" s="1317"/>
      <c r="CK93" s="1316"/>
      <c r="CL93" s="932" t="s">
        <v>572</v>
      </c>
      <c r="CN93" s="1314" t="s">
        <v>221</v>
      </c>
      <c r="CO93" s="1316" t="str">
        <f t="shared" ref="CO93:CO106" si="194">CO78</f>
        <v>Reference Thermometer, Merek : FLUKE, Model : 1524, SN : 1803037</v>
      </c>
      <c r="CP93" s="1317"/>
      <c r="CQ93" s="1316"/>
      <c r="CR93" s="932" t="s">
        <v>572</v>
      </c>
    </row>
    <row r="94" spans="2:96">
      <c r="B94" s="1315"/>
      <c r="C94" s="935">
        <f>C79</f>
        <v>2019</v>
      </c>
      <c r="D94" s="935">
        <f>D79</f>
        <v>2021</v>
      </c>
      <c r="E94" s="936" t="s">
        <v>215</v>
      </c>
      <c r="F94" s="1063">
        <f>F79</f>
        <v>6.4428226504297132</v>
      </c>
      <c r="G94" s="937"/>
      <c r="H94" s="1315"/>
      <c r="I94" s="938">
        <f>I79</f>
        <v>2020</v>
      </c>
      <c r="J94" s="935">
        <f>J79</f>
        <v>2021</v>
      </c>
      <c r="K94" s="936" t="s">
        <v>215</v>
      </c>
      <c r="L94" s="1063">
        <f>F94</f>
        <v>6.4428226504297132</v>
      </c>
      <c r="M94" s="937"/>
      <c r="N94" s="1315"/>
      <c r="O94" s="938">
        <f>O4</f>
        <v>2018</v>
      </c>
      <c r="P94" s="935">
        <f>P4</f>
        <v>2021</v>
      </c>
      <c r="Q94" s="936" t="s">
        <v>215</v>
      </c>
      <c r="R94" s="1063">
        <f>L94</f>
        <v>6.4428226504297132</v>
      </c>
      <c r="S94" s="929"/>
      <c r="T94" s="1315"/>
      <c r="U94" s="938">
        <f>U79</f>
        <v>2021</v>
      </c>
      <c r="V94" s="935"/>
      <c r="W94" s="936" t="s">
        <v>215</v>
      </c>
      <c r="X94" s="1063">
        <f>R94</f>
        <v>6.4428226504297132</v>
      </c>
      <c r="Y94" s="929"/>
      <c r="Z94" s="1315"/>
      <c r="AA94" s="938">
        <f>AA79</f>
        <v>2021</v>
      </c>
      <c r="AB94" s="935"/>
      <c r="AC94" s="936" t="s">
        <v>215</v>
      </c>
      <c r="AD94" s="1063">
        <f>X94</f>
        <v>6.4428226504297132</v>
      </c>
      <c r="AE94" s="929"/>
      <c r="AF94" s="1315"/>
      <c r="AG94" s="938">
        <f>AG79</f>
        <v>2021</v>
      </c>
      <c r="AH94" s="938">
        <f>AH79</f>
        <v>0</v>
      </c>
      <c r="AI94" s="936" t="s">
        <v>215</v>
      </c>
      <c r="AJ94" s="1063">
        <f>AD94</f>
        <v>6.4428226504297132</v>
      </c>
      <c r="AK94" s="929"/>
      <c r="AL94" s="1315"/>
      <c r="AM94" s="938">
        <f>AM79</f>
        <v>2021</v>
      </c>
      <c r="AN94" s="935"/>
      <c r="AO94" s="936" t="s">
        <v>215</v>
      </c>
      <c r="AP94" s="1063">
        <f>AJ94</f>
        <v>6.4428226504297132</v>
      </c>
      <c r="AQ94" s="929"/>
      <c r="AR94" s="1315"/>
      <c r="AS94" s="938">
        <f>AS79</f>
        <v>2021</v>
      </c>
      <c r="AT94" s="935"/>
      <c r="AU94" s="936" t="s">
        <v>215</v>
      </c>
      <c r="AV94" s="1063">
        <f>AP94</f>
        <v>6.4428226504297132</v>
      </c>
      <c r="AW94" s="929"/>
      <c r="AX94" s="1315"/>
      <c r="AY94" s="938">
        <f>AY79</f>
        <v>2021</v>
      </c>
      <c r="AZ94" s="935"/>
      <c r="BA94" s="936" t="s">
        <v>215</v>
      </c>
      <c r="BB94" s="1063">
        <f>AV94</f>
        <v>6.4428226504297132</v>
      </c>
      <c r="BC94" s="929"/>
      <c r="BD94" s="1315"/>
      <c r="BE94" s="938">
        <f>BE79</f>
        <v>2021</v>
      </c>
      <c r="BF94" s="935"/>
      <c r="BG94" s="936" t="s">
        <v>215</v>
      </c>
      <c r="BH94" s="1063">
        <f>BB94</f>
        <v>6.4428226504297132</v>
      </c>
      <c r="BI94" s="929"/>
      <c r="BJ94" s="1315"/>
      <c r="BK94" s="938">
        <f>BK79</f>
        <v>2021</v>
      </c>
      <c r="BL94" s="935"/>
      <c r="BM94" s="936" t="s">
        <v>215</v>
      </c>
      <c r="BN94" s="1063">
        <f>BH94</f>
        <v>6.4428226504297132</v>
      </c>
      <c r="BO94" s="929"/>
      <c r="BP94" s="1315"/>
      <c r="BQ94" s="938">
        <f>BQ79</f>
        <v>2021</v>
      </c>
      <c r="BR94" s="935"/>
      <c r="BS94" s="936" t="s">
        <v>215</v>
      </c>
      <c r="BT94" s="1063">
        <f>BN94</f>
        <v>6.4428226504297132</v>
      </c>
      <c r="BU94" s="929"/>
      <c r="BV94" s="1315"/>
      <c r="BW94" s="938">
        <f>BW79</f>
        <v>2021</v>
      </c>
      <c r="BX94" s="935"/>
      <c r="BY94" s="936" t="s">
        <v>215</v>
      </c>
      <c r="BZ94" s="1063">
        <f>BT94</f>
        <v>6.4428226504297132</v>
      </c>
      <c r="CA94" s="929"/>
      <c r="CB94" s="1315"/>
      <c r="CC94" s="938">
        <f t="shared" si="192"/>
        <v>2020</v>
      </c>
      <c r="CD94" s="935"/>
      <c r="CE94" s="936" t="s">
        <v>215</v>
      </c>
      <c r="CF94" s="1063">
        <f>BZ94</f>
        <v>6.4428226504297132</v>
      </c>
      <c r="CH94" s="1315"/>
      <c r="CI94" s="938">
        <f t="shared" si="193"/>
        <v>2021</v>
      </c>
      <c r="CJ94" s="935"/>
      <c r="CK94" s="936" t="s">
        <v>215</v>
      </c>
      <c r="CL94" s="1063">
        <f>CF94</f>
        <v>6.4428226504297132</v>
      </c>
      <c r="CN94" s="1315"/>
      <c r="CO94" s="938">
        <f t="shared" si="194"/>
        <v>2021</v>
      </c>
      <c r="CP94" s="935"/>
      <c r="CQ94" s="936" t="s">
        <v>215</v>
      </c>
      <c r="CR94" s="1063">
        <f>CL94</f>
        <v>6.4428226504297132</v>
      </c>
    </row>
    <row r="95" spans="2:96">
      <c r="B95" s="939">
        <v>-20</v>
      </c>
      <c r="C95" s="940">
        <v>-1.9E-3</v>
      </c>
      <c r="D95" s="940">
        <f t="shared" ref="D95:D106" si="195">C209</f>
        <v>-0.41</v>
      </c>
      <c r="E95" s="925">
        <f t="shared" ref="E95:E106" si="196">IF(OR(C95=0,D95=0),$C$221/3,((MAX(C95:D95)-(MIN(C95:D95)))))</f>
        <v>0.40809999999999996</v>
      </c>
      <c r="F95" s="1061">
        <f>IF(F94&lt;=B96,B95,IF(F94&lt;=B97,B96,IF(F94&lt;=B98,B97,IF(F94&lt;=B99,B98,IF(F94&lt;=B100,B99)))))</f>
        <v>2</v>
      </c>
      <c r="G95" s="942"/>
      <c r="H95" s="939">
        <v>-20</v>
      </c>
      <c r="I95" s="940">
        <v>-1.8E-3</v>
      </c>
      <c r="J95" s="940">
        <f t="shared" ref="J95:J106" si="197">D209</f>
        <v>-0.75</v>
      </c>
      <c r="K95" s="925">
        <f t="shared" ref="K95:K106" si="198">IF(OR(I95=0,J95=0),$D$221/3,((MAX(I95:J95)-(MIN(I95:J95)))))</f>
        <v>0.74819999999999998</v>
      </c>
      <c r="L95" s="1061">
        <f>IF(L94&lt;=H96,H95,IF(L94&lt;=H97,H96,IF(L94&lt;=H98,H97,IF(L94&lt;=H99,H98,IF(L94&lt;=H100,H99)))))</f>
        <v>2</v>
      </c>
      <c r="M95" s="942"/>
      <c r="N95" s="939">
        <v>-20</v>
      </c>
      <c r="O95" s="940"/>
      <c r="P95" s="940">
        <f t="shared" ref="P95:P106" si="199">E209</f>
        <v>1E-3</v>
      </c>
      <c r="Q95" s="925">
        <f t="shared" ref="Q95:Q106" si="200">IF(OR(O95=0,P95=0),$E$221/3,((MAX(O95:P95)-(MIN(O95:P95)))))</f>
        <v>0.13</v>
      </c>
      <c r="R95" s="1061">
        <f>IF(R94&lt;=N96,N95,IF(R94&lt;=N97,N96,IF(R94&lt;=N98,N97,IF(R94&lt;=N99,N98,IF(R94&lt;=N100,N99)))))</f>
        <v>2</v>
      </c>
      <c r="S95" s="929"/>
      <c r="T95" s="939">
        <v>-20</v>
      </c>
      <c r="U95" s="940">
        <f t="shared" ref="U95:U106" si="201">F209</f>
        <v>1E-3</v>
      </c>
      <c r="V95" s="940"/>
      <c r="W95" s="925">
        <f t="shared" ref="W95:W106" si="202">IF(OR(U95=0,V95=0),$F$221/3,((MAX(U95:V95)-(MIN(U95:V95)))))</f>
        <v>3.3333333333333332E-4</v>
      </c>
      <c r="X95" s="1061">
        <f>IF(X94&lt;=T96,T95,IF(X94&lt;=T97,T96,IF(X94&lt;=T98,T97,IF(X94&lt;=T99,T98,IF(X94&lt;=T100,T99)))))</f>
        <v>2</v>
      </c>
      <c r="Y95" s="929"/>
      <c r="Z95" s="939">
        <v>-20</v>
      </c>
      <c r="AA95" s="940">
        <f t="shared" ref="AA95:AA106" si="203">G209</f>
        <v>1E-3</v>
      </c>
      <c r="AB95" s="940"/>
      <c r="AC95" s="925">
        <f t="shared" ref="AC95:AC106" si="204">IF(OR(AA95=0,AB95=0),$G$221/3,((MAX(AA95:AB95)-(MIN(AA95:AB95)))))</f>
        <v>3.3333333333333332E-4</v>
      </c>
      <c r="AD95" s="1061">
        <f>IF(AD94&lt;=Z96,Z95,IF(AD94&lt;=Z97,Z96,IF(AD94&lt;=Z98,Z97,IF(AD94&lt;=Z99,Z98,IF(AD94&lt;=Z100,Z99)))))</f>
        <v>2</v>
      </c>
      <c r="AE95" s="929"/>
      <c r="AF95" s="939">
        <v>-20</v>
      </c>
      <c r="AG95" s="940">
        <f t="shared" ref="AG95:AG106" si="205">H209</f>
        <v>-0.09</v>
      </c>
      <c r="AH95" s="940"/>
      <c r="AI95" s="925">
        <f t="shared" ref="AI95:AI106" si="206">IF(OR(AG95=0,AH95=0),$H$221/3,((MAX(AG95:AH95)-(MIN(AG95:AH95)))))</f>
        <v>0.3066666666666667</v>
      </c>
      <c r="AJ95" s="1061">
        <f>IF(AJ94&lt;=AF96,AF95,IF(AJ94&lt;=AF97,AF96,IF(AJ94&lt;=AF98,AF97,IF(AJ94&lt;=AF99,AF98,IF(AJ94&lt;=AF100,AF99)))))</f>
        <v>2</v>
      </c>
      <c r="AK95" s="929"/>
      <c r="AL95" s="939">
        <v>-20</v>
      </c>
      <c r="AM95" s="940">
        <f t="shared" ref="AM95:AM106" si="207">I209</f>
        <v>1E-3</v>
      </c>
      <c r="AN95" s="940"/>
      <c r="AO95" s="925">
        <f t="shared" ref="AO95:AO106" si="208">IF(OR(AM95=0,AN95=0),$I$221/3,((MAX(AM95:AN95)-(MIN(AM95:AN95)))))</f>
        <v>3.3333333333333332E-4</v>
      </c>
      <c r="AP95" s="1061">
        <f>IF(AP94&lt;=AL96,AL95,IF(AP94&lt;=AL97,AL96,IF(AP94&lt;=AL98,AL97,IF(AP94&lt;=AL99,AL98,IF(AP94&lt;=AL100,AL99)))))</f>
        <v>2</v>
      </c>
      <c r="AQ95" s="929"/>
      <c r="AR95" s="939">
        <v>-20</v>
      </c>
      <c r="AS95" s="940">
        <f t="shared" ref="AS95:AS106" si="209">J209</f>
        <v>1E-3</v>
      </c>
      <c r="AT95" s="940"/>
      <c r="AU95" s="925">
        <f t="shared" ref="AU95:AU106" si="210">IF(OR(AS95=0,AT95=0),$J$221/3,((MAX(AS95:AT95)-(MIN(AS95:AT95)))))</f>
        <v>3.3333333333333332E-4</v>
      </c>
      <c r="AV95" s="1061">
        <f>IF(AV94&lt;=AR96,AR95,IF(AV94&lt;=AR97,AR96,IF(AV94&lt;=AR98,AR97,IF(AV94&lt;=AR99,AR98,IF(AV94&lt;=AR100,AR99)))))</f>
        <v>2</v>
      </c>
      <c r="AW95" s="929"/>
      <c r="AX95" s="939">
        <v>-20</v>
      </c>
      <c r="AY95" s="940">
        <f t="shared" ref="AY95:AY106" si="211">K209</f>
        <v>0.54</v>
      </c>
      <c r="AZ95" s="940"/>
      <c r="BA95" s="925">
        <f t="shared" ref="BA95:BA106" si="212">IF(OR(AY95=0,AZ95=0),$K$221/3,((MAX(AY95:AZ95)-(MIN(AY95:AZ95)))))</f>
        <v>0.26333333333333336</v>
      </c>
      <c r="BB95" s="1061">
        <f>IF(BB94&lt;=AX96,AX95,IF(BB94&lt;=AX97,AX96,IF(BB94&lt;=AX98,AX97,IF(BB94&lt;=AX99,AX98,IF(BB94&lt;=AX100,AX99)))))</f>
        <v>2</v>
      </c>
      <c r="BC95" s="929"/>
      <c r="BD95" s="939">
        <v>-20</v>
      </c>
      <c r="BE95" s="940">
        <f t="shared" ref="BE95:BE106" si="213">L209</f>
        <v>1E-3</v>
      </c>
      <c r="BF95" s="940"/>
      <c r="BG95" s="925">
        <f t="shared" ref="BG95:BG106" si="214">IF(OR(BE95=0,BF95=0),$L$221/3,((MAX(BE95:BF95)-(MIN(BE95:BF95)))))</f>
        <v>3.3333333333333332E-4</v>
      </c>
      <c r="BH95" s="1061">
        <f>IF(BH94&lt;=BD96,BD95,IF(BH94&lt;=BD97,BD96,IF(BH94&lt;=BD98,BD97,IF(BH94&lt;=BD99,BD98,IF(BH94&lt;=BD100,BD99)))))</f>
        <v>2</v>
      </c>
      <c r="BI95" s="929"/>
      <c r="BJ95" s="939">
        <v>-20</v>
      </c>
      <c r="BK95" s="940">
        <f t="shared" ref="BK95:BK106" si="215">M209</f>
        <v>0.54</v>
      </c>
      <c r="BL95" s="940"/>
      <c r="BM95" s="925">
        <f t="shared" ref="BM95:BM106" si="216">IF(OR(BK95=0,BL95=0),$M$221/3,((MAX(BK95:BL95)-(MIN(BK95:BL95)))))</f>
        <v>0.26333333333333336</v>
      </c>
      <c r="BN95" s="1061">
        <f>IF(BN94&lt;=BJ96,BJ95,IF(BN94&lt;=BJ97,BJ96,IF(BN94&lt;=BJ98,BJ97,IF(BN94&lt;=BJ99,BJ98,IF(BN94&lt;=BJ100,BJ99)))))</f>
        <v>2</v>
      </c>
      <c r="BO95" s="929"/>
      <c r="BP95" s="939">
        <v>-20</v>
      </c>
      <c r="BQ95" s="940">
        <f t="shared" ref="BQ95:BQ106" si="217">N209</f>
        <v>1E-3</v>
      </c>
      <c r="BR95" s="940"/>
      <c r="BS95" s="925">
        <f t="shared" ref="BS95:BS106" si="218">IF(OR(BQ95=0,BR95=0),$N$221/3,((MAX(BQ95:BR95)-(MIN(BQ95:BR95)))))</f>
        <v>3.3333333333333332E-4</v>
      </c>
      <c r="BT95" s="1061">
        <f>IF(BT94&lt;=BP96,BP95,IF(BT94&lt;=BP97,BP96,IF(BT94&lt;=BP98,BP97,IF(BT94&lt;=BP99,BP98,IF(BT94&lt;=BP100,BP99)))))</f>
        <v>2</v>
      </c>
      <c r="BU95" s="929"/>
      <c r="BV95" s="939">
        <v>-20</v>
      </c>
      <c r="BW95" s="940">
        <f t="shared" ref="BW95:BW106" si="219">O209</f>
        <v>2</v>
      </c>
      <c r="BX95" s="940"/>
      <c r="BY95" s="925">
        <f t="shared" ref="BY95:BY106" si="220">IF(OR(BW95=0,BX95=0),$O$221/3,((MAX(BW95:BX95)-(MIN(BW95:BX95)))))</f>
        <v>4.666666666666667</v>
      </c>
      <c r="BZ95" s="1061">
        <f>IF(BZ94&lt;=BV96,BV95,IF(BZ94&lt;=BV97,BV96,IF(BZ94&lt;=BV98,BV97,IF(BZ94&lt;=BV99,BV98,IF(BZ94&lt;=BV100,BV99)))))</f>
        <v>2</v>
      </c>
      <c r="CA95" s="929"/>
      <c r="CB95" s="939">
        <v>-20</v>
      </c>
      <c r="CC95" s="940">
        <f t="shared" si="192"/>
        <v>-0.7</v>
      </c>
      <c r="CD95" s="940"/>
      <c r="CE95" s="925">
        <f t="shared" ref="CE95:CE106" si="221">CE80</f>
        <v>0.13333333333333333</v>
      </c>
      <c r="CF95" s="1061">
        <f>IF(CF94&lt;=CB96,CB95,IF(CF94&lt;=CB97,CB96,IF(CF94&lt;=CB98,CB97,IF(CF94&lt;=CB99,CB98,IF(CF94&lt;=CB100,CB99)))))</f>
        <v>2</v>
      </c>
      <c r="CH95" s="939">
        <v>-20</v>
      </c>
      <c r="CI95" s="940">
        <f t="shared" si="193"/>
        <v>-1.5E-3</v>
      </c>
      <c r="CJ95" s="940"/>
      <c r="CK95" s="925">
        <f t="shared" ref="CK95:CK106" si="222">CK80</f>
        <v>7.3333333333333334E-2</v>
      </c>
      <c r="CL95" s="1061">
        <f>IF(CL94&lt;=CH96,CH95,IF(CL94&lt;=CH97,CH96,IF(CL94&lt;=CH98,CH97,IF(CL94&lt;=CH99,CH98,IF(CL94&lt;=CH100,CH99)))))</f>
        <v>2</v>
      </c>
      <c r="CN95" s="939">
        <v>-20</v>
      </c>
      <c r="CO95" s="940">
        <f t="shared" si="194"/>
        <v>-1.8</v>
      </c>
      <c r="CP95" s="940"/>
      <c r="CQ95" s="925">
        <f t="shared" ref="CQ95:CQ106" si="223">CQ80</f>
        <v>0.25666666666666665</v>
      </c>
      <c r="CR95" s="1061">
        <f>IF(CR94&lt;=CN96,CN95,IF(CR94&lt;=CN97,CN96,IF(CR94&lt;=CN98,CN97,IF(CR94&lt;=CN99,CN98,IF(CR94&lt;=CN100,CN99)))))</f>
        <v>2</v>
      </c>
    </row>
    <row r="96" spans="2:96">
      <c r="B96" s="939">
        <v>-15</v>
      </c>
      <c r="C96" s="940">
        <v>-1.6999999999999999E-3</v>
      </c>
      <c r="D96" s="940">
        <f t="shared" si="195"/>
        <v>-0.36</v>
      </c>
      <c r="E96" s="925">
        <f t="shared" si="196"/>
        <v>0.35830000000000001</v>
      </c>
      <c r="F96" s="1056"/>
      <c r="G96" s="942"/>
      <c r="H96" s="939">
        <v>-15</v>
      </c>
      <c r="I96" s="940">
        <v>-1.6000000000000001E-3</v>
      </c>
      <c r="J96" s="940">
        <f t="shared" si="197"/>
        <v>-0.62</v>
      </c>
      <c r="K96" s="925">
        <f t="shared" si="198"/>
        <v>0.61839999999999995</v>
      </c>
      <c r="L96" s="1056"/>
      <c r="M96" s="942"/>
      <c r="N96" s="939">
        <v>-15</v>
      </c>
      <c r="O96" s="940"/>
      <c r="P96" s="940">
        <f t="shared" si="199"/>
        <v>-0.53</v>
      </c>
      <c r="Q96" s="925">
        <f t="shared" si="200"/>
        <v>0.13</v>
      </c>
      <c r="R96" s="1056"/>
      <c r="S96" s="929"/>
      <c r="T96" s="939">
        <v>-15</v>
      </c>
      <c r="U96" s="940">
        <f t="shared" si="201"/>
        <v>1E-3</v>
      </c>
      <c r="V96" s="940"/>
      <c r="W96" s="925">
        <f t="shared" si="202"/>
        <v>3.3333333333333332E-4</v>
      </c>
      <c r="X96" s="1056"/>
      <c r="Y96" s="929"/>
      <c r="Z96" s="939">
        <v>-15</v>
      </c>
      <c r="AA96" s="940">
        <f t="shared" si="203"/>
        <v>1E-3</v>
      </c>
      <c r="AB96" s="940"/>
      <c r="AC96" s="925">
        <f t="shared" si="204"/>
        <v>3.3333333333333332E-4</v>
      </c>
      <c r="AD96" s="1056"/>
      <c r="AE96" s="929"/>
      <c r="AF96" s="939">
        <v>-15</v>
      </c>
      <c r="AG96" s="940">
        <f t="shared" si="205"/>
        <v>1E-3</v>
      </c>
      <c r="AH96" s="940"/>
      <c r="AI96" s="925">
        <f t="shared" si="206"/>
        <v>0.3066666666666667</v>
      </c>
      <c r="AJ96" s="1056"/>
      <c r="AK96" s="929"/>
      <c r="AL96" s="939">
        <v>-15</v>
      </c>
      <c r="AM96" s="940">
        <f t="shared" si="207"/>
        <v>1E-3</v>
      </c>
      <c r="AN96" s="940"/>
      <c r="AO96" s="925">
        <f t="shared" si="208"/>
        <v>3.3333333333333332E-4</v>
      </c>
      <c r="AP96" s="1056"/>
      <c r="AQ96" s="929"/>
      <c r="AR96" s="939">
        <v>-15</v>
      </c>
      <c r="AS96" s="940">
        <f t="shared" si="209"/>
        <v>1E-3</v>
      </c>
      <c r="AT96" s="940"/>
      <c r="AU96" s="925">
        <f t="shared" si="210"/>
        <v>3.3333333333333332E-4</v>
      </c>
      <c r="AV96" s="1056"/>
      <c r="AW96" s="929"/>
      <c r="AX96" s="939">
        <v>-15</v>
      </c>
      <c r="AY96" s="940">
        <f t="shared" si="211"/>
        <v>1E-3</v>
      </c>
      <c r="AZ96" s="940"/>
      <c r="BA96" s="925">
        <f t="shared" si="212"/>
        <v>0.26333333333333336</v>
      </c>
      <c r="BB96" s="1056"/>
      <c r="BC96" s="929"/>
      <c r="BD96" s="939">
        <v>-15</v>
      </c>
      <c r="BE96" s="940">
        <f t="shared" si="213"/>
        <v>1E-3</v>
      </c>
      <c r="BF96" s="940"/>
      <c r="BG96" s="925">
        <f t="shared" si="214"/>
        <v>3.3333333333333332E-4</v>
      </c>
      <c r="BH96" s="1056"/>
      <c r="BI96" s="929"/>
      <c r="BJ96" s="939">
        <v>-15</v>
      </c>
      <c r="BK96" s="940">
        <f t="shared" si="215"/>
        <v>1E-3</v>
      </c>
      <c r="BL96" s="940"/>
      <c r="BM96" s="925">
        <f t="shared" si="216"/>
        <v>0.26333333333333336</v>
      </c>
      <c r="BN96" s="1056"/>
      <c r="BO96" s="929"/>
      <c r="BP96" s="939">
        <v>-15</v>
      </c>
      <c r="BQ96" s="940">
        <f t="shared" si="217"/>
        <v>1E-3</v>
      </c>
      <c r="BR96" s="940"/>
      <c r="BS96" s="925">
        <f t="shared" si="218"/>
        <v>3.3333333333333332E-4</v>
      </c>
      <c r="BT96" s="1056"/>
      <c r="BU96" s="929"/>
      <c r="BV96" s="939">
        <v>-15</v>
      </c>
      <c r="BW96" s="940">
        <f t="shared" si="219"/>
        <v>3</v>
      </c>
      <c r="BX96" s="940"/>
      <c r="BY96" s="925">
        <f t="shared" si="220"/>
        <v>4.666666666666667</v>
      </c>
      <c r="BZ96" s="1056"/>
      <c r="CA96" s="929"/>
      <c r="CB96" s="939">
        <v>-15</v>
      </c>
      <c r="CC96" s="940">
        <f t="shared" si="192"/>
        <v>-0.7</v>
      </c>
      <c r="CD96" s="940"/>
      <c r="CE96" s="925">
        <f t="shared" si="221"/>
        <v>0.13333333333333333</v>
      </c>
      <c r="CF96" s="1056"/>
      <c r="CH96" s="939">
        <v>-15</v>
      </c>
      <c r="CI96" s="940">
        <f t="shared" si="193"/>
        <v>1E-3</v>
      </c>
      <c r="CJ96" s="940"/>
      <c r="CK96" s="925">
        <f t="shared" si="222"/>
        <v>7.3333333333333334E-2</v>
      </c>
      <c r="CL96" s="1056"/>
      <c r="CN96" s="939">
        <v>-15</v>
      </c>
      <c r="CO96" s="940">
        <f t="shared" si="194"/>
        <v>-1.52</v>
      </c>
      <c r="CP96" s="940"/>
      <c r="CQ96" s="925">
        <f t="shared" si="223"/>
        <v>0.25666666666666665</v>
      </c>
      <c r="CR96" s="1056"/>
    </row>
    <row r="97" spans="2:96">
      <c r="B97" s="939">
        <v>-10</v>
      </c>
      <c r="C97" s="940">
        <v>-1.4E-3</v>
      </c>
      <c r="D97" s="940">
        <f t="shared" si="195"/>
        <v>-0.31</v>
      </c>
      <c r="E97" s="925">
        <f t="shared" si="196"/>
        <v>0.30859999999999999</v>
      </c>
      <c r="F97" s="1061">
        <f>IF(F94&lt;=B95,B95,IF(F94&lt;=B96,B96,IF(F94&lt;=B97,B97,IF(F94&lt;=B98,B98,IF(F94&lt;=B99,B99,IF(F94&lt;=B100,B100))))))</f>
        <v>8</v>
      </c>
      <c r="G97" s="942"/>
      <c r="H97" s="939">
        <v>-10</v>
      </c>
      <c r="I97" s="940">
        <v>-1.4E-3</v>
      </c>
      <c r="J97" s="940">
        <f t="shared" si="197"/>
        <v>1E-3</v>
      </c>
      <c r="K97" s="925">
        <f t="shared" si="198"/>
        <v>2.4000000000000002E-3</v>
      </c>
      <c r="L97" s="1061">
        <f>IF(L94&lt;=H95,H95,IF(L94&lt;=H96,H96,IF(L94&lt;=H97,H97,IF(L94&lt;=H98,H98,IF(L94&lt;=H99,H99,IF(L94&lt;=H100,H100))))))</f>
        <v>8</v>
      </c>
      <c r="M97" s="942"/>
      <c r="N97" s="939">
        <v>-10</v>
      </c>
      <c r="O97" s="940"/>
      <c r="P97" s="940">
        <f t="shared" si="199"/>
        <v>-0.44</v>
      </c>
      <c r="Q97" s="925">
        <f t="shared" si="200"/>
        <v>0.13</v>
      </c>
      <c r="R97" s="1061">
        <f>IF(R94&lt;=N95,N95,IF(R94&lt;=N96,N96,IF(R94&lt;=N97,N97,IF(R94&lt;=N98,N98,IF(R94&lt;=N99,N99,IF(R94&lt;=N100,N100))))))</f>
        <v>8</v>
      </c>
      <c r="S97" s="929"/>
      <c r="T97" s="939">
        <v>-10</v>
      </c>
      <c r="U97" s="940">
        <f t="shared" si="201"/>
        <v>1E-3</v>
      </c>
      <c r="V97" s="940"/>
      <c r="W97" s="925">
        <f t="shared" si="202"/>
        <v>3.3333333333333332E-4</v>
      </c>
      <c r="X97" s="1061">
        <f>IF(X94&lt;=T95,T95,IF(X94&lt;=T96,T96,IF(X94&lt;=T97,T97,IF(X94&lt;=T98,T98,IF(X94&lt;=T99,T99,IF(X94&lt;=T100,T100))))))</f>
        <v>8</v>
      </c>
      <c r="Y97" s="929"/>
      <c r="Z97" s="939">
        <v>-10</v>
      </c>
      <c r="AA97" s="940">
        <f t="shared" si="203"/>
        <v>1E-3</v>
      </c>
      <c r="AB97" s="940"/>
      <c r="AC97" s="925">
        <f t="shared" si="204"/>
        <v>3.3333333333333332E-4</v>
      </c>
      <c r="AD97" s="1061">
        <f>IF(AD94&lt;=Z95,Z95,IF(AD94&lt;=Z96,Z96,IF(AD94&lt;=Z97,Z97,IF(AD94&lt;=Z98,Z98,IF(AD94&lt;=Z99,Z99,IF(AD94&lt;=Z100,Z100))))))</f>
        <v>8</v>
      </c>
      <c r="AE97" s="929"/>
      <c r="AF97" s="939">
        <v>-10</v>
      </c>
      <c r="AG97" s="940">
        <f t="shared" si="205"/>
        <v>1.1999999999999999E-3</v>
      </c>
      <c r="AH97" s="940"/>
      <c r="AI97" s="925">
        <f t="shared" si="206"/>
        <v>0.3066666666666667</v>
      </c>
      <c r="AJ97" s="1061">
        <f>IF(AJ94&lt;=AF95,AF95,IF(AJ94&lt;=AF96,AF96,IF(AJ94&lt;=AF97,AF97,IF(AJ94&lt;=AF98,AF98,IF(AJ94&lt;=AF99,AF99,IF(AJ94&lt;=AF100,AF100))))))</f>
        <v>8</v>
      </c>
      <c r="AK97" s="929"/>
      <c r="AL97" s="939">
        <v>-10</v>
      </c>
      <c r="AM97" s="940">
        <f t="shared" si="207"/>
        <v>1E-3</v>
      </c>
      <c r="AN97" s="940"/>
      <c r="AO97" s="925">
        <f t="shared" si="208"/>
        <v>3.3333333333333332E-4</v>
      </c>
      <c r="AP97" s="1061">
        <f>IF(AP94&lt;=AL95,AL95,IF(AP94&lt;=AL96,AL96,IF(AP94&lt;=AL97,AL97,IF(AP94&lt;=AL98,AL98,IF(AP94&lt;=AL99,AL99,IF(AP94&lt;=AL100,AL100))))))</f>
        <v>8</v>
      </c>
      <c r="AQ97" s="929"/>
      <c r="AR97" s="939">
        <v>-10</v>
      </c>
      <c r="AS97" s="940">
        <f t="shared" si="209"/>
        <v>1E-3</v>
      </c>
      <c r="AT97" s="940"/>
      <c r="AU97" s="925">
        <f t="shared" si="210"/>
        <v>3.3333333333333332E-4</v>
      </c>
      <c r="AV97" s="1061">
        <f>IF(AV94&lt;=AR95,AR95,IF(AV94&lt;=AR96,AR96,IF(AV94&lt;=AR97,AR97,IF(AV94&lt;=AR98,AR98,IF(AV94&lt;=AR99,AR99,IF(AV94&lt;=AR100,AR100))))))</f>
        <v>8</v>
      </c>
      <c r="AW97" s="929"/>
      <c r="AX97" s="939">
        <v>-10</v>
      </c>
      <c r="AY97" s="940">
        <f t="shared" si="211"/>
        <v>0.52</v>
      </c>
      <c r="AZ97" s="940"/>
      <c r="BA97" s="925">
        <f t="shared" si="212"/>
        <v>0.26333333333333336</v>
      </c>
      <c r="BB97" s="1061">
        <f>IF(BB94&lt;=AX95,AX95,IF(BB94&lt;=AX96,AX96,IF(BB94&lt;=AX97,AX97,IF(BB94&lt;=AX98,AX98,IF(BB94&lt;=AX99,AX99,IF(BB94&lt;=AX100,AX100))))))</f>
        <v>8</v>
      </c>
      <c r="BC97" s="929"/>
      <c r="BD97" s="939">
        <v>-10</v>
      </c>
      <c r="BE97" s="940">
        <f t="shared" si="213"/>
        <v>1E-3</v>
      </c>
      <c r="BF97" s="940"/>
      <c r="BG97" s="925">
        <f t="shared" si="214"/>
        <v>3.3333333333333332E-4</v>
      </c>
      <c r="BH97" s="1061">
        <f>IF(BH94&lt;=BD95,BD95,IF(BH94&lt;=BD96,BD96,IF(BH94&lt;=BD97,BD97,IF(BH94&lt;=BD98,BD98,IF(BH94&lt;=BD99,BD99,IF(BH94&lt;=BD100,BD100))))))</f>
        <v>8</v>
      </c>
      <c r="BI97" s="929"/>
      <c r="BJ97" s="939">
        <v>-10</v>
      </c>
      <c r="BK97" s="940">
        <f t="shared" si="215"/>
        <v>0.52</v>
      </c>
      <c r="BL97" s="940"/>
      <c r="BM97" s="925">
        <f t="shared" si="216"/>
        <v>0.26333333333333336</v>
      </c>
      <c r="BN97" s="1061">
        <f>IF(BN94&lt;=BJ95,BJ95,IF(BN94&lt;=BJ96,BJ96,IF(BN94&lt;=BJ97,BJ97,IF(BN94&lt;=BJ98,BJ98,IF(BN94&lt;=BJ99,BJ99,IF(BN94&lt;=BJ100,BJ100))))))</f>
        <v>8</v>
      </c>
      <c r="BO97" s="929"/>
      <c r="BP97" s="939">
        <v>-10</v>
      </c>
      <c r="BQ97" s="940">
        <f t="shared" si="217"/>
        <v>1E-3</v>
      </c>
      <c r="BR97" s="940"/>
      <c r="BS97" s="925">
        <f t="shared" si="218"/>
        <v>3.3333333333333332E-4</v>
      </c>
      <c r="BT97" s="1061">
        <f>IF(BT94&lt;=BP95,BP95,IF(BT94&lt;=BP96,BP96,IF(BT94&lt;=BP97,BP97,IF(BT94&lt;=BP98,BP98,IF(BT94&lt;=BP99,BP99,IF(BT94&lt;=BP100,BP100))))))</f>
        <v>8</v>
      </c>
      <c r="BU97" s="929"/>
      <c r="BV97" s="939">
        <v>-10</v>
      </c>
      <c r="BW97" s="940">
        <f t="shared" si="219"/>
        <v>4</v>
      </c>
      <c r="BX97" s="940"/>
      <c r="BY97" s="925">
        <f t="shared" si="220"/>
        <v>4.666666666666667</v>
      </c>
      <c r="BZ97" s="1061">
        <f>IF(BZ94&lt;=BV95,BV95,IF(BZ94&lt;=BV96,BV96,IF(BZ94&lt;=BV97,BV97,IF(BZ94&lt;=BV98,BV98,IF(BZ94&lt;=BV99,BV99,IF(BZ94&lt;=BV100,BV100))))))</f>
        <v>8</v>
      </c>
      <c r="CA97" s="929"/>
      <c r="CB97" s="939">
        <v>-10</v>
      </c>
      <c r="CC97" s="940">
        <f t="shared" si="192"/>
        <v>-0.7</v>
      </c>
      <c r="CD97" s="940"/>
      <c r="CE97" s="925">
        <f t="shared" si="221"/>
        <v>0.13333333333333333</v>
      </c>
      <c r="CF97" s="1061">
        <f>IF(CF94&lt;=CB95,CB95,IF(CF94&lt;=CB96,CB96,IF(CF94&lt;=CB97,CB97,IF(CF94&lt;=CB98,CB98,IF(CF94&lt;=CB99,CB99,IF(CF94&lt;=CB100,CB100))))))</f>
        <v>8</v>
      </c>
      <c r="CH97" s="939">
        <v>-10</v>
      </c>
      <c r="CI97" s="940">
        <f t="shared" si="193"/>
        <v>-0.05</v>
      </c>
      <c r="CJ97" s="940"/>
      <c r="CK97" s="925">
        <f t="shared" si="222"/>
        <v>7.3333333333333334E-2</v>
      </c>
      <c r="CL97" s="1061">
        <f>IF(CL94&lt;=CH95,CH95,IF(CL94&lt;=CH96,CH96,IF(CL94&lt;=CH97,CH97,IF(CL94&lt;=CH98,CH98,IF(CL94&lt;=CH99,CH99,IF(CL94&lt;=CH100,CH100))))))</f>
        <v>8</v>
      </c>
      <c r="CN97" s="939">
        <v>-10</v>
      </c>
      <c r="CO97" s="940">
        <f t="shared" si="194"/>
        <v>-1.26</v>
      </c>
      <c r="CP97" s="940"/>
      <c r="CQ97" s="925">
        <f t="shared" si="223"/>
        <v>0.25666666666666665</v>
      </c>
      <c r="CR97" s="1061">
        <f>IF(CR94&lt;=CN95,CN95,IF(CR94&lt;=CN96,CN96,IF(CR94&lt;=CN97,CN97,IF(CR94&lt;=CN98,CN98,IF(CR94&lt;=CN99,CN99,IF(CR94&lt;=CN100,CN100))))))</f>
        <v>8</v>
      </c>
    </row>
    <row r="98" spans="2:96">
      <c r="B98" s="939">
        <v>1E-3</v>
      </c>
      <c r="C98" s="940">
        <v>-1E-3</v>
      </c>
      <c r="D98" s="940">
        <f t="shared" si="195"/>
        <v>-0.22</v>
      </c>
      <c r="E98" s="925">
        <f t="shared" si="196"/>
        <v>0.219</v>
      </c>
      <c r="F98" s="1056"/>
      <c r="G98" s="942"/>
      <c r="H98" s="939">
        <v>1E-3</v>
      </c>
      <c r="I98" s="940">
        <v>-0.09</v>
      </c>
      <c r="J98" s="940">
        <f t="shared" si="197"/>
        <v>-0.28000000000000003</v>
      </c>
      <c r="K98" s="925">
        <f t="shared" si="198"/>
        <v>0.19000000000000003</v>
      </c>
      <c r="L98" s="1056"/>
      <c r="M98" s="942"/>
      <c r="N98" s="939">
        <v>1E-3</v>
      </c>
      <c r="O98" s="940"/>
      <c r="P98" s="940">
        <f t="shared" si="199"/>
        <v>-0.36</v>
      </c>
      <c r="Q98" s="925">
        <f t="shared" si="200"/>
        <v>0.13</v>
      </c>
      <c r="R98" s="1056"/>
      <c r="S98" s="929"/>
      <c r="T98" s="939">
        <v>1E-3</v>
      </c>
      <c r="U98" s="940">
        <f t="shared" si="201"/>
        <v>1E-3</v>
      </c>
      <c r="V98" s="940"/>
      <c r="W98" s="925">
        <f t="shared" si="202"/>
        <v>3.3333333333333332E-4</v>
      </c>
      <c r="X98" s="1056"/>
      <c r="Y98" s="929"/>
      <c r="Z98" s="939">
        <v>1E-3</v>
      </c>
      <c r="AA98" s="940">
        <f t="shared" si="203"/>
        <v>1E-3</v>
      </c>
      <c r="AB98" s="940"/>
      <c r="AC98" s="925">
        <f t="shared" si="204"/>
        <v>3.3333333333333332E-4</v>
      </c>
      <c r="AD98" s="1056"/>
      <c r="AE98" s="929"/>
      <c r="AF98" s="939">
        <v>1E-3</v>
      </c>
      <c r="AG98" s="940">
        <f t="shared" si="205"/>
        <v>0.28999999999999998</v>
      </c>
      <c r="AH98" s="940"/>
      <c r="AI98" s="925">
        <f t="shared" si="206"/>
        <v>0.3066666666666667</v>
      </c>
      <c r="AJ98" s="1056"/>
      <c r="AK98" s="929"/>
      <c r="AL98" s="939">
        <v>1E-3</v>
      </c>
      <c r="AM98" s="940">
        <f t="shared" si="207"/>
        <v>1E-3</v>
      </c>
      <c r="AN98" s="940"/>
      <c r="AO98" s="925">
        <f t="shared" si="208"/>
        <v>3.3333333333333332E-4</v>
      </c>
      <c r="AP98" s="1056"/>
      <c r="AQ98" s="929"/>
      <c r="AR98" s="939">
        <v>1E-3</v>
      </c>
      <c r="AS98" s="940">
        <f t="shared" si="209"/>
        <v>1E-3</v>
      </c>
      <c r="AT98" s="940"/>
      <c r="AU98" s="925">
        <f t="shared" si="210"/>
        <v>3.3333333333333332E-4</v>
      </c>
      <c r="AV98" s="1056"/>
      <c r="AW98" s="929"/>
      <c r="AX98" s="939">
        <v>1E-3</v>
      </c>
      <c r="AY98" s="940">
        <f t="shared" si="211"/>
        <v>0.5</v>
      </c>
      <c r="AZ98" s="940"/>
      <c r="BA98" s="925">
        <f t="shared" si="212"/>
        <v>0.26333333333333336</v>
      </c>
      <c r="BB98" s="1056"/>
      <c r="BC98" s="929"/>
      <c r="BD98" s="939">
        <v>1E-3</v>
      </c>
      <c r="BE98" s="940">
        <f t="shared" si="213"/>
        <v>1E-3</v>
      </c>
      <c r="BF98" s="940"/>
      <c r="BG98" s="925">
        <f t="shared" si="214"/>
        <v>3.3333333333333332E-4</v>
      </c>
      <c r="BH98" s="1056"/>
      <c r="BI98" s="929"/>
      <c r="BJ98" s="939">
        <v>1E-3</v>
      </c>
      <c r="BK98" s="940">
        <f t="shared" si="215"/>
        <v>0.5</v>
      </c>
      <c r="BL98" s="940"/>
      <c r="BM98" s="925">
        <f t="shared" si="216"/>
        <v>0.26333333333333336</v>
      </c>
      <c r="BN98" s="1056"/>
      <c r="BO98" s="929"/>
      <c r="BP98" s="939">
        <v>1E-3</v>
      </c>
      <c r="BQ98" s="940">
        <f t="shared" si="217"/>
        <v>1E-3</v>
      </c>
      <c r="BR98" s="940"/>
      <c r="BS98" s="925">
        <f t="shared" si="218"/>
        <v>3.3333333333333332E-4</v>
      </c>
      <c r="BT98" s="1056"/>
      <c r="BU98" s="929"/>
      <c r="BV98" s="939">
        <v>1E-3</v>
      </c>
      <c r="BW98" s="940">
        <f t="shared" si="219"/>
        <v>5</v>
      </c>
      <c r="BX98" s="940"/>
      <c r="BY98" s="925">
        <f t="shared" si="220"/>
        <v>4.666666666666667</v>
      </c>
      <c r="BZ98" s="1056"/>
      <c r="CA98" s="929"/>
      <c r="CB98" s="939">
        <v>1E-3</v>
      </c>
      <c r="CC98" s="940">
        <f t="shared" si="192"/>
        <v>-0.7</v>
      </c>
      <c r="CD98" s="940"/>
      <c r="CE98" s="925">
        <f t="shared" si="221"/>
        <v>0.13333333333333333</v>
      </c>
      <c r="CF98" s="1056"/>
      <c r="CH98" s="939">
        <v>1E-3</v>
      </c>
      <c r="CI98" s="940">
        <f t="shared" si="193"/>
        <v>0.03</v>
      </c>
      <c r="CJ98" s="940"/>
      <c r="CK98" s="925">
        <f t="shared" si="222"/>
        <v>7.3333333333333334E-2</v>
      </c>
      <c r="CL98" s="1056"/>
      <c r="CN98" s="939">
        <v>1E-3</v>
      </c>
      <c r="CO98" s="940">
        <f t="shared" si="194"/>
        <v>-0.79</v>
      </c>
      <c r="CP98" s="940"/>
      <c r="CQ98" s="925">
        <f t="shared" si="223"/>
        <v>0.25666666666666665</v>
      </c>
      <c r="CR98" s="1056"/>
    </row>
    <row r="99" spans="2:96">
      <c r="B99" s="939">
        <v>2</v>
      </c>
      <c r="C99" s="940">
        <v>-0.09</v>
      </c>
      <c r="D99" s="940">
        <f t="shared" si="195"/>
        <v>-0.21</v>
      </c>
      <c r="E99" s="925">
        <f t="shared" si="196"/>
        <v>0.12</v>
      </c>
      <c r="F99" s="1062">
        <f>LOOKUP(F95,B95:E106)</f>
        <v>0.12</v>
      </c>
      <c r="G99" s="942"/>
      <c r="H99" s="939">
        <v>2</v>
      </c>
      <c r="I99" s="940">
        <v>-0.08</v>
      </c>
      <c r="J99" s="940">
        <f t="shared" si="197"/>
        <v>-0.24</v>
      </c>
      <c r="K99" s="925">
        <f t="shared" si="198"/>
        <v>0.15999999999999998</v>
      </c>
      <c r="L99" s="1062">
        <f>LOOKUP(L95,H95:K106)</f>
        <v>0.15999999999999998</v>
      </c>
      <c r="M99" s="942"/>
      <c r="N99" s="939">
        <v>2</v>
      </c>
      <c r="O99" s="940"/>
      <c r="P99" s="940">
        <f t="shared" si="199"/>
        <v>-0.33</v>
      </c>
      <c r="Q99" s="925">
        <f t="shared" si="200"/>
        <v>0.13</v>
      </c>
      <c r="R99" s="1062">
        <f>LOOKUP(R95,N95:Q106)</f>
        <v>0.13</v>
      </c>
      <c r="S99" s="929"/>
      <c r="T99" s="939">
        <v>2</v>
      </c>
      <c r="U99" s="940">
        <f t="shared" si="201"/>
        <v>1E-3</v>
      </c>
      <c r="V99" s="940"/>
      <c r="W99" s="925">
        <f t="shared" si="202"/>
        <v>3.3333333333333332E-4</v>
      </c>
      <c r="X99" s="1062">
        <f>LOOKUP(X95,T95:W106)</f>
        <v>3.3333333333333332E-4</v>
      </c>
      <c r="Y99" s="929"/>
      <c r="Z99" s="939">
        <v>2</v>
      </c>
      <c r="AA99" s="940">
        <f t="shared" si="203"/>
        <v>1E-3</v>
      </c>
      <c r="AB99" s="940"/>
      <c r="AC99" s="925">
        <f t="shared" si="204"/>
        <v>3.3333333333333332E-4</v>
      </c>
      <c r="AD99" s="1062">
        <f>LOOKUP(AD95,Z95:AC106)</f>
        <v>3.3333333333333332E-4</v>
      </c>
      <c r="AE99" s="929"/>
      <c r="AF99" s="939">
        <v>2</v>
      </c>
      <c r="AG99" s="940">
        <f t="shared" si="205"/>
        <v>0.33</v>
      </c>
      <c r="AH99" s="940"/>
      <c r="AI99" s="925">
        <f t="shared" si="206"/>
        <v>0.3066666666666667</v>
      </c>
      <c r="AJ99" s="1062">
        <f>LOOKUP(AJ95,AF95:AI106)</f>
        <v>0.3066666666666667</v>
      </c>
      <c r="AK99" s="929"/>
      <c r="AL99" s="939">
        <v>2</v>
      </c>
      <c r="AM99" s="940">
        <f t="shared" si="207"/>
        <v>1E-3</v>
      </c>
      <c r="AN99" s="940"/>
      <c r="AO99" s="925">
        <f t="shared" si="208"/>
        <v>3.3333333333333332E-4</v>
      </c>
      <c r="AP99" s="1062">
        <f>LOOKUP(AP95,AL95:AO106)</f>
        <v>3.3333333333333332E-4</v>
      </c>
      <c r="AQ99" s="929"/>
      <c r="AR99" s="939">
        <v>2</v>
      </c>
      <c r="AS99" s="940">
        <f t="shared" si="209"/>
        <v>1E-3</v>
      </c>
      <c r="AT99" s="940"/>
      <c r="AU99" s="925">
        <f t="shared" si="210"/>
        <v>3.3333333333333332E-4</v>
      </c>
      <c r="AV99" s="1062">
        <f>LOOKUP(AV95,AR95:AU106)</f>
        <v>3.3333333333333332E-4</v>
      </c>
      <c r="AW99" s="929"/>
      <c r="AX99" s="939">
        <v>2</v>
      </c>
      <c r="AY99" s="940">
        <f t="shared" si="211"/>
        <v>0.5</v>
      </c>
      <c r="AZ99" s="940"/>
      <c r="BA99" s="925">
        <f t="shared" si="212"/>
        <v>0.26333333333333336</v>
      </c>
      <c r="BB99" s="1062">
        <f>LOOKUP(BB95,AX95:BA106)</f>
        <v>0.26333333333333336</v>
      </c>
      <c r="BC99" s="929"/>
      <c r="BD99" s="939">
        <v>2</v>
      </c>
      <c r="BE99" s="940">
        <f t="shared" si="213"/>
        <v>1E-3</v>
      </c>
      <c r="BF99" s="940"/>
      <c r="BG99" s="925">
        <f t="shared" si="214"/>
        <v>3.3333333333333332E-4</v>
      </c>
      <c r="BH99" s="1062">
        <f>LOOKUP(BH95,BD95:BG106)</f>
        <v>3.3333333333333332E-4</v>
      </c>
      <c r="BI99" s="929"/>
      <c r="BJ99" s="939">
        <v>2</v>
      </c>
      <c r="BK99" s="940">
        <f t="shared" si="215"/>
        <v>0.5</v>
      </c>
      <c r="BL99" s="940"/>
      <c r="BM99" s="925">
        <f t="shared" si="216"/>
        <v>0.26333333333333336</v>
      </c>
      <c r="BN99" s="1062">
        <f>LOOKUP(BN95,BJ95:BM106)</f>
        <v>0.26333333333333336</v>
      </c>
      <c r="BO99" s="929"/>
      <c r="BP99" s="939">
        <v>2</v>
      </c>
      <c r="BQ99" s="940">
        <f t="shared" si="217"/>
        <v>1E-3</v>
      </c>
      <c r="BR99" s="940"/>
      <c r="BS99" s="925">
        <f t="shared" si="218"/>
        <v>3.3333333333333332E-4</v>
      </c>
      <c r="BT99" s="1062">
        <f>LOOKUP(BT95,BP95:BS106)</f>
        <v>3.3333333333333332E-4</v>
      </c>
      <c r="BU99" s="929"/>
      <c r="BV99" s="939">
        <v>2</v>
      </c>
      <c r="BW99" s="940">
        <f t="shared" si="219"/>
        <v>6</v>
      </c>
      <c r="BX99" s="940"/>
      <c r="BY99" s="925">
        <f t="shared" si="220"/>
        <v>4.666666666666667</v>
      </c>
      <c r="BZ99" s="1062">
        <f>LOOKUP(BZ95,BV95:BY106)</f>
        <v>4.666666666666667</v>
      </c>
      <c r="CA99" s="929"/>
      <c r="CB99" s="939">
        <v>2</v>
      </c>
      <c r="CC99" s="940">
        <f t="shared" si="192"/>
        <v>-0.7</v>
      </c>
      <c r="CD99" s="940"/>
      <c r="CE99" s="925">
        <f t="shared" si="221"/>
        <v>0.13333333333333333</v>
      </c>
      <c r="CF99" s="1062">
        <f>LOOKUP(CF95,CB95:CE106)</f>
        <v>0.13333333333333333</v>
      </c>
      <c r="CH99" s="939">
        <v>2</v>
      </c>
      <c r="CI99" s="940">
        <f t="shared" si="193"/>
        <v>0.04</v>
      </c>
      <c r="CJ99" s="940"/>
      <c r="CK99" s="925">
        <f t="shared" si="222"/>
        <v>7.3333333333333334E-2</v>
      </c>
      <c r="CL99" s="1062">
        <f>LOOKUP(CL95,CH95:CK106)</f>
        <v>7.3333333333333334E-2</v>
      </c>
      <c r="CN99" s="939">
        <v>2</v>
      </c>
      <c r="CO99" s="940">
        <f t="shared" si="194"/>
        <v>-2.7</v>
      </c>
      <c r="CP99" s="940"/>
      <c r="CQ99" s="925">
        <f t="shared" si="223"/>
        <v>0.25666666666666665</v>
      </c>
      <c r="CR99" s="1062">
        <f>LOOKUP(CR95,CN95:CQ106)</f>
        <v>0.25666666666666665</v>
      </c>
    </row>
    <row r="100" spans="2:96">
      <c r="B100" s="939">
        <v>8</v>
      </c>
      <c r="C100" s="940">
        <v>-7.0000000000000007E-2</v>
      </c>
      <c r="D100" s="940">
        <f t="shared" si="195"/>
        <v>-1.6000000000000001E-3</v>
      </c>
      <c r="E100" s="925">
        <f t="shared" si="196"/>
        <v>6.8400000000000002E-2</v>
      </c>
      <c r="F100" s="1056"/>
      <c r="G100" s="942"/>
      <c r="H100" s="939">
        <v>8</v>
      </c>
      <c r="I100" s="940">
        <v>-0.06</v>
      </c>
      <c r="J100" s="940">
        <f t="shared" si="197"/>
        <v>-1.4E-3</v>
      </c>
      <c r="K100" s="925">
        <f t="shared" si="198"/>
        <v>5.8599999999999999E-2</v>
      </c>
      <c r="L100" s="1056"/>
      <c r="M100" s="942"/>
      <c r="N100" s="939">
        <v>8</v>
      </c>
      <c r="O100" s="940"/>
      <c r="P100" s="940">
        <f t="shared" si="199"/>
        <v>-0.21</v>
      </c>
      <c r="Q100" s="925">
        <f t="shared" si="200"/>
        <v>0.13</v>
      </c>
      <c r="R100" s="1056"/>
      <c r="S100" s="929"/>
      <c r="T100" s="939">
        <v>8</v>
      </c>
      <c r="U100" s="940">
        <f t="shared" si="201"/>
        <v>1E-3</v>
      </c>
      <c r="V100" s="940"/>
      <c r="W100" s="925">
        <f t="shared" si="202"/>
        <v>3.3333333333333332E-4</v>
      </c>
      <c r="X100" s="1056"/>
      <c r="Y100" s="929"/>
      <c r="Z100" s="939">
        <v>8</v>
      </c>
      <c r="AA100" s="940">
        <f t="shared" si="203"/>
        <v>1E-3</v>
      </c>
      <c r="AB100" s="940"/>
      <c r="AC100" s="925">
        <f t="shared" si="204"/>
        <v>3.3333333333333332E-4</v>
      </c>
      <c r="AD100" s="1056"/>
      <c r="AE100" s="929"/>
      <c r="AF100" s="939">
        <v>8</v>
      </c>
      <c r="AG100" s="940">
        <f t="shared" si="205"/>
        <v>0.41</v>
      </c>
      <c r="AH100" s="940"/>
      <c r="AI100" s="925">
        <f t="shared" si="206"/>
        <v>0.3066666666666667</v>
      </c>
      <c r="AJ100" s="1056"/>
      <c r="AK100" s="929"/>
      <c r="AL100" s="939">
        <v>8</v>
      </c>
      <c r="AM100" s="940">
        <f t="shared" si="207"/>
        <v>1E-3</v>
      </c>
      <c r="AN100" s="940"/>
      <c r="AO100" s="925">
        <f t="shared" si="208"/>
        <v>3.3333333333333332E-4</v>
      </c>
      <c r="AP100" s="1056"/>
      <c r="AQ100" s="929"/>
      <c r="AR100" s="939">
        <v>8</v>
      </c>
      <c r="AS100" s="940">
        <f t="shared" si="209"/>
        <v>1E-3</v>
      </c>
      <c r="AT100" s="940"/>
      <c r="AU100" s="925">
        <f t="shared" si="210"/>
        <v>3.3333333333333332E-4</v>
      </c>
      <c r="AV100" s="1056"/>
      <c r="AW100" s="929"/>
      <c r="AX100" s="939">
        <v>8</v>
      </c>
      <c r="AY100" s="940">
        <f t="shared" si="211"/>
        <v>0.48</v>
      </c>
      <c r="AZ100" s="940"/>
      <c r="BA100" s="925">
        <f t="shared" si="212"/>
        <v>0.26333333333333336</v>
      </c>
      <c r="BB100" s="1056"/>
      <c r="BC100" s="929"/>
      <c r="BD100" s="939">
        <v>8</v>
      </c>
      <c r="BE100" s="940">
        <f t="shared" si="213"/>
        <v>1E-3</v>
      </c>
      <c r="BF100" s="940"/>
      <c r="BG100" s="925">
        <f t="shared" si="214"/>
        <v>3.3333333333333332E-4</v>
      </c>
      <c r="BH100" s="1056"/>
      <c r="BI100" s="929"/>
      <c r="BJ100" s="939">
        <v>8</v>
      </c>
      <c r="BK100" s="940">
        <f t="shared" si="215"/>
        <v>0.48</v>
      </c>
      <c r="BL100" s="940"/>
      <c r="BM100" s="925">
        <f t="shared" si="216"/>
        <v>0.26333333333333336</v>
      </c>
      <c r="BN100" s="1056"/>
      <c r="BO100" s="929"/>
      <c r="BP100" s="939">
        <v>8</v>
      </c>
      <c r="BQ100" s="940">
        <f t="shared" si="217"/>
        <v>1E-3</v>
      </c>
      <c r="BR100" s="940"/>
      <c r="BS100" s="925">
        <f t="shared" si="218"/>
        <v>3.3333333333333332E-4</v>
      </c>
      <c r="BT100" s="1056"/>
      <c r="BU100" s="929"/>
      <c r="BV100" s="939">
        <v>8</v>
      </c>
      <c r="BW100" s="940">
        <f t="shared" si="219"/>
        <v>7</v>
      </c>
      <c r="BX100" s="940"/>
      <c r="BY100" s="925">
        <f t="shared" si="220"/>
        <v>4.666666666666667</v>
      </c>
      <c r="BZ100" s="1056"/>
      <c r="CA100" s="929"/>
      <c r="CB100" s="939">
        <v>8</v>
      </c>
      <c r="CC100" s="940">
        <f t="shared" si="192"/>
        <v>-0.7</v>
      </c>
      <c r="CD100" s="940"/>
      <c r="CE100" s="925">
        <f t="shared" si="221"/>
        <v>0.13333333333333333</v>
      </c>
      <c r="CF100" s="1056"/>
      <c r="CH100" s="939">
        <v>8</v>
      </c>
      <c r="CI100" s="940">
        <f t="shared" si="193"/>
        <v>0.08</v>
      </c>
      <c r="CJ100" s="940"/>
      <c r="CK100" s="925">
        <f t="shared" si="222"/>
        <v>7.3333333333333334E-2</v>
      </c>
      <c r="CL100" s="1056"/>
      <c r="CN100" s="939">
        <v>8</v>
      </c>
      <c r="CO100" s="940">
        <f t="shared" si="194"/>
        <v>-0.46</v>
      </c>
      <c r="CP100" s="940"/>
      <c r="CQ100" s="925">
        <f t="shared" si="223"/>
        <v>0.25666666666666665</v>
      </c>
      <c r="CR100" s="1056"/>
    </row>
    <row r="101" spans="2:96">
      <c r="B101" s="939">
        <v>37</v>
      </c>
      <c r="C101" s="940">
        <v>0.03</v>
      </c>
      <c r="D101" s="940">
        <f t="shared" si="195"/>
        <v>0.01</v>
      </c>
      <c r="E101" s="925">
        <f t="shared" si="196"/>
        <v>1.9999999999999997E-2</v>
      </c>
      <c r="F101" s="1062">
        <f>LOOKUP(F97,B95:E106)</f>
        <v>6.8400000000000002E-2</v>
      </c>
      <c r="G101" s="942"/>
      <c r="H101" s="939">
        <v>37</v>
      </c>
      <c r="I101" s="940">
        <v>0.04</v>
      </c>
      <c r="J101" s="940">
        <f t="shared" si="197"/>
        <v>1.6000000000000001E-3</v>
      </c>
      <c r="K101" s="925">
        <f t="shared" si="198"/>
        <v>3.8400000000000004E-2</v>
      </c>
      <c r="L101" s="1062">
        <f>LOOKUP(L97,H95:K106)</f>
        <v>5.8599999999999999E-2</v>
      </c>
      <c r="M101" s="942"/>
      <c r="N101" s="939">
        <v>37</v>
      </c>
      <c r="O101" s="940"/>
      <c r="P101" s="940">
        <f t="shared" si="199"/>
        <v>-0.09</v>
      </c>
      <c r="Q101" s="925">
        <f t="shared" si="200"/>
        <v>0.13</v>
      </c>
      <c r="R101" s="1062">
        <f>LOOKUP(R97,N95:Q106)</f>
        <v>0.13</v>
      </c>
      <c r="S101" s="929"/>
      <c r="T101" s="939">
        <v>37</v>
      </c>
      <c r="U101" s="940">
        <f t="shared" si="201"/>
        <v>1E-3</v>
      </c>
      <c r="V101" s="940"/>
      <c r="W101" s="925">
        <f t="shared" si="202"/>
        <v>3.3333333333333332E-4</v>
      </c>
      <c r="X101" s="1062">
        <f>LOOKUP(X97,T95:W106)</f>
        <v>3.3333333333333332E-4</v>
      </c>
      <c r="Y101" s="929"/>
      <c r="Z101" s="939">
        <v>37</v>
      </c>
      <c r="AA101" s="940">
        <f t="shared" si="203"/>
        <v>1E-3</v>
      </c>
      <c r="AB101" s="940"/>
      <c r="AC101" s="925">
        <f t="shared" si="204"/>
        <v>3.3333333333333332E-4</v>
      </c>
      <c r="AD101" s="1062">
        <f>LOOKUP(AD97,Z95:AC106)</f>
        <v>3.3333333333333332E-4</v>
      </c>
      <c r="AE101" s="929"/>
      <c r="AF101" s="939">
        <v>37</v>
      </c>
      <c r="AG101" s="940">
        <f t="shared" si="205"/>
        <v>0.67</v>
      </c>
      <c r="AH101" s="940"/>
      <c r="AI101" s="925">
        <f t="shared" si="206"/>
        <v>0.3066666666666667</v>
      </c>
      <c r="AJ101" s="1062">
        <f>LOOKUP(AJ97,AF95:AI106)</f>
        <v>0.3066666666666667</v>
      </c>
      <c r="AK101" s="929"/>
      <c r="AL101" s="939">
        <v>37</v>
      </c>
      <c r="AM101" s="940">
        <f t="shared" si="207"/>
        <v>1E-3</v>
      </c>
      <c r="AN101" s="940"/>
      <c r="AO101" s="925">
        <f t="shared" si="208"/>
        <v>3.3333333333333332E-4</v>
      </c>
      <c r="AP101" s="1062">
        <f>LOOKUP(AP97,AL95:AO106)</f>
        <v>3.3333333333333332E-4</v>
      </c>
      <c r="AQ101" s="929"/>
      <c r="AR101" s="939">
        <v>37</v>
      </c>
      <c r="AS101" s="940">
        <f t="shared" si="209"/>
        <v>1E-3</v>
      </c>
      <c r="AT101" s="940"/>
      <c r="AU101" s="925">
        <f t="shared" si="210"/>
        <v>3.3333333333333332E-4</v>
      </c>
      <c r="AV101" s="1062">
        <f>LOOKUP(AV97,AR95:AU106)</f>
        <v>3.3333333333333332E-4</v>
      </c>
      <c r="AW101" s="929"/>
      <c r="AX101" s="939">
        <v>37</v>
      </c>
      <c r="AY101" s="940">
        <f t="shared" si="211"/>
        <v>0.41</v>
      </c>
      <c r="AZ101" s="940"/>
      <c r="BA101" s="925">
        <f t="shared" si="212"/>
        <v>0.26333333333333336</v>
      </c>
      <c r="BB101" s="1062">
        <f>LOOKUP(BB97,AX95:BA106)</f>
        <v>0.26333333333333336</v>
      </c>
      <c r="BC101" s="929"/>
      <c r="BD101" s="939">
        <v>37</v>
      </c>
      <c r="BE101" s="940">
        <f t="shared" si="213"/>
        <v>1E-3</v>
      </c>
      <c r="BF101" s="940"/>
      <c r="BG101" s="925">
        <f t="shared" si="214"/>
        <v>3.3333333333333332E-4</v>
      </c>
      <c r="BH101" s="1062">
        <f>LOOKUP(BH97,BD95:BG106)</f>
        <v>3.3333333333333332E-4</v>
      </c>
      <c r="BI101" s="929"/>
      <c r="BJ101" s="939">
        <v>37</v>
      </c>
      <c r="BK101" s="940">
        <f t="shared" si="215"/>
        <v>0.41</v>
      </c>
      <c r="BL101" s="940"/>
      <c r="BM101" s="925">
        <f t="shared" si="216"/>
        <v>0.26333333333333336</v>
      </c>
      <c r="BN101" s="1062">
        <f>LOOKUP(BN97,BJ95:BM106)</f>
        <v>0.26333333333333336</v>
      </c>
      <c r="BO101" s="929"/>
      <c r="BP101" s="939">
        <v>37</v>
      </c>
      <c r="BQ101" s="940">
        <f t="shared" si="217"/>
        <v>1E-3</v>
      </c>
      <c r="BR101" s="940"/>
      <c r="BS101" s="925">
        <f t="shared" si="218"/>
        <v>3.3333333333333332E-4</v>
      </c>
      <c r="BT101" s="1062">
        <f>LOOKUP(BT97,BP95:BS106)</f>
        <v>3.3333333333333332E-4</v>
      </c>
      <c r="BU101" s="929"/>
      <c r="BV101" s="939">
        <v>37</v>
      </c>
      <c r="BW101" s="940">
        <f t="shared" si="219"/>
        <v>8</v>
      </c>
      <c r="BX101" s="940"/>
      <c r="BY101" s="925">
        <f t="shared" si="220"/>
        <v>4.666666666666667</v>
      </c>
      <c r="BZ101" s="1062">
        <f>LOOKUP(BZ97,BV95:BY106)</f>
        <v>4.666666666666667</v>
      </c>
      <c r="CA101" s="929"/>
      <c r="CB101" s="939">
        <v>37</v>
      </c>
      <c r="CC101" s="940">
        <f t="shared" si="192"/>
        <v>-0.6</v>
      </c>
      <c r="CD101" s="940"/>
      <c r="CE101" s="925">
        <f t="shared" si="221"/>
        <v>0.13333333333333333</v>
      </c>
      <c r="CF101" s="1062">
        <f>LOOKUP(CF97,CB95:CE106)</f>
        <v>0.13333333333333333</v>
      </c>
      <c r="CH101" s="939">
        <v>37</v>
      </c>
      <c r="CI101" s="940">
        <f t="shared" si="193"/>
        <v>0.23</v>
      </c>
      <c r="CJ101" s="940"/>
      <c r="CK101" s="925">
        <f t="shared" si="222"/>
        <v>7.3333333333333334E-2</v>
      </c>
      <c r="CL101" s="1062">
        <f>LOOKUP(CL97,CH95:CK106)</f>
        <v>7.3333333333333334E-2</v>
      </c>
      <c r="CN101" s="939">
        <v>37</v>
      </c>
      <c r="CO101" s="940">
        <f t="shared" si="194"/>
        <v>0.42</v>
      </c>
      <c r="CP101" s="940"/>
      <c r="CQ101" s="925">
        <f t="shared" si="223"/>
        <v>0.25666666666666665</v>
      </c>
      <c r="CR101" s="1062">
        <f>LOOKUP(CR97,CN95:CQ106)</f>
        <v>0.25666666666666665</v>
      </c>
    </row>
    <row r="102" spans="2:96">
      <c r="B102" s="939">
        <v>44</v>
      </c>
      <c r="C102" s="940">
        <v>0.05</v>
      </c>
      <c r="D102" s="940">
        <f t="shared" si="195"/>
        <v>0.04</v>
      </c>
      <c r="E102" s="925">
        <f t="shared" si="196"/>
        <v>1.0000000000000002E-2</v>
      </c>
      <c r="F102" s="941"/>
      <c r="G102" s="942"/>
      <c r="H102" s="939">
        <v>44</v>
      </c>
      <c r="I102" s="940">
        <v>0.05</v>
      </c>
      <c r="J102" s="940">
        <f t="shared" si="197"/>
        <v>1.9E-3</v>
      </c>
      <c r="K102" s="925">
        <f t="shared" si="198"/>
        <v>4.8100000000000004E-2</v>
      </c>
      <c r="L102" s="941"/>
      <c r="M102" s="942"/>
      <c r="N102" s="939">
        <v>44</v>
      </c>
      <c r="O102" s="940"/>
      <c r="P102" s="940">
        <f t="shared" si="199"/>
        <v>-1.1000000000000001E-3</v>
      </c>
      <c r="Q102" s="925">
        <f t="shared" si="200"/>
        <v>0.13</v>
      </c>
      <c r="R102" s="941"/>
      <c r="S102" s="929"/>
      <c r="T102" s="939">
        <v>44</v>
      </c>
      <c r="U102" s="940">
        <f t="shared" si="201"/>
        <v>1E-3</v>
      </c>
      <c r="V102" s="940"/>
      <c r="W102" s="925">
        <f t="shared" si="202"/>
        <v>3.3333333333333332E-4</v>
      </c>
      <c r="X102" s="941"/>
      <c r="Y102" s="929"/>
      <c r="Z102" s="939">
        <v>44</v>
      </c>
      <c r="AA102" s="940">
        <f t="shared" si="203"/>
        <v>1E-3</v>
      </c>
      <c r="AB102" s="940"/>
      <c r="AC102" s="925">
        <f t="shared" si="204"/>
        <v>3.3333333333333332E-4</v>
      </c>
      <c r="AD102" s="941"/>
      <c r="AE102" s="929"/>
      <c r="AF102" s="939">
        <v>44</v>
      </c>
      <c r="AG102" s="940">
        <f t="shared" si="205"/>
        <v>0.7</v>
      </c>
      <c r="AH102" s="940"/>
      <c r="AI102" s="925">
        <f t="shared" si="206"/>
        <v>0.3066666666666667</v>
      </c>
      <c r="AJ102" s="941"/>
      <c r="AK102" s="929"/>
      <c r="AL102" s="939">
        <v>44</v>
      </c>
      <c r="AM102" s="940">
        <f t="shared" si="207"/>
        <v>1E-3</v>
      </c>
      <c r="AN102" s="940"/>
      <c r="AO102" s="925">
        <f t="shared" si="208"/>
        <v>3.3333333333333332E-4</v>
      </c>
      <c r="AP102" s="941"/>
      <c r="AQ102" s="929"/>
      <c r="AR102" s="939">
        <v>44</v>
      </c>
      <c r="AS102" s="940">
        <f t="shared" si="209"/>
        <v>1E-3</v>
      </c>
      <c r="AT102" s="940"/>
      <c r="AU102" s="925">
        <f t="shared" si="210"/>
        <v>3.3333333333333332E-4</v>
      </c>
      <c r="AV102" s="941"/>
      <c r="AW102" s="929"/>
      <c r="AX102" s="939">
        <v>44</v>
      </c>
      <c r="AY102" s="940">
        <f t="shared" si="211"/>
        <v>0.39</v>
      </c>
      <c r="AZ102" s="940"/>
      <c r="BA102" s="925">
        <f t="shared" si="212"/>
        <v>0.26333333333333336</v>
      </c>
      <c r="BB102" s="941"/>
      <c r="BC102" s="929"/>
      <c r="BD102" s="939">
        <v>44</v>
      </c>
      <c r="BE102" s="940">
        <f t="shared" si="213"/>
        <v>1E-3</v>
      </c>
      <c r="BF102" s="940"/>
      <c r="BG102" s="925">
        <f t="shared" si="214"/>
        <v>3.3333333333333332E-4</v>
      </c>
      <c r="BH102" s="941"/>
      <c r="BI102" s="929"/>
      <c r="BJ102" s="939">
        <v>44</v>
      </c>
      <c r="BK102" s="940">
        <f t="shared" si="215"/>
        <v>0.39</v>
      </c>
      <c r="BL102" s="940"/>
      <c r="BM102" s="925">
        <f t="shared" si="216"/>
        <v>0.26333333333333336</v>
      </c>
      <c r="BN102" s="941"/>
      <c r="BO102" s="929"/>
      <c r="BP102" s="939">
        <v>44</v>
      </c>
      <c r="BQ102" s="940">
        <f t="shared" si="217"/>
        <v>1E-3</v>
      </c>
      <c r="BR102" s="940"/>
      <c r="BS102" s="925">
        <f t="shared" si="218"/>
        <v>3.3333333333333332E-4</v>
      </c>
      <c r="BT102" s="941"/>
      <c r="BU102" s="929"/>
      <c r="BV102" s="939">
        <v>44</v>
      </c>
      <c r="BW102" s="940">
        <f t="shared" si="219"/>
        <v>9</v>
      </c>
      <c r="BX102" s="940"/>
      <c r="BY102" s="925">
        <f t="shared" si="220"/>
        <v>4.666666666666667</v>
      </c>
      <c r="BZ102" s="941"/>
      <c r="CA102" s="929"/>
      <c r="CB102" s="939">
        <v>44</v>
      </c>
      <c r="CC102" s="940">
        <f t="shared" si="192"/>
        <v>-0.7</v>
      </c>
      <c r="CD102" s="940"/>
      <c r="CE102" s="925">
        <f t="shared" si="221"/>
        <v>0.13333333333333333</v>
      </c>
      <c r="CF102" s="941"/>
      <c r="CH102" s="939">
        <v>44</v>
      </c>
      <c r="CI102" s="940">
        <f t="shared" si="193"/>
        <v>0.25</v>
      </c>
      <c r="CJ102" s="940"/>
      <c r="CK102" s="925">
        <f t="shared" si="222"/>
        <v>7.3333333333333334E-2</v>
      </c>
      <c r="CL102" s="941"/>
      <c r="CN102" s="939">
        <v>44</v>
      </c>
      <c r="CO102" s="940">
        <f t="shared" si="194"/>
        <v>0.56999999999999995</v>
      </c>
      <c r="CP102" s="940"/>
      <c r="CQ102" s="925">
        <f t="shared" si="223"/>
        <v>0.25666666666666665</v>
      </c>
      <c r="CR102" s="941"/>
    </row>
    <row r="103" spans="2:96">
      <c r="B103" s="939">
        <v>50</v>
      </c>
      <c r="C103" s="940">
        <v>0.06</v>
      </c>
      <c r="D103" s="940">
        <f t="shared" si="195"/>
        <v>7.0000000000000007E-2</v>
      </c>
      <c r="E103" s="925">
        <f t="shared" si="196"/>
        <v>1.0000000000000009E-2</v>
      </c>
      <c r="F103" s="1066">
        <f>(((F101-F99)/(F97-F95))*(F94-F95))+F99</f>
        <v>8.1791725206304469E-2</v>
      </c>
      <c r="G103" s="942"/>
      <c r="H103" s="939">
        <v>50</v>
      </c>
      <c r="I103" s="940">
        <v>7.0000000000000007E-2</v>
      </c>
      <c r="J103" s="940">
        <f t="shared" si="197"/>
        <v>0.21</v>
      </c>
      <c r="K103" s="925">
        <f t="shared" si="198"/>
        <v>0.13999999999999999</v>
      </c>
      <c r="L103" s="1064">
        <f>(((L101-L99)/(L97-L95))*(L94-L95))+L99</f>
        <v>8.4916297207737843E-2</v>
      </c>
      <c r="M103" s="942"/>
      <c r="N103" s="939">
        <v>50</v>
      </c>
      <c r="O103" s="940"/>
      <c r="P103" s="940">
        <f t="shared" si="199"/>
        <v>0.25</v>
      </c>
      <c r="Q103" s="925">
        <f t="shared" si="200"/>
        <v>0.13</v>
      </c>
      <c r="R103" s="1064">
        <f>(((R101-R99)/(R97-R95))*(R94-R95))+R99</f>
        <v>0.13</v>
      </c>
      <c r="S103" s="929"/>
      <c r="T103" s="939">
        <v>50</v>
      </c>
      <c r="U103" s="940">
        <f t="shared" si="201"/>
        <v>1E-3</v>
      </c>
      <c r="V103" s="940"/>
      <c r="W103" s="925">
        <f t="shared" si="202"/>
        <v>3.3333333333333332E-4</v>
      </c>
      <c r="X103" s="1064">
        <f>(((X101-X99)/(X97-X95))*(X94-X95))+X99</f>
        <v>3.3333333333333332E-4</v>
      </c>
      <c r="Y103" s="929"/>
      <c r="Z103" s="939">
        <v>50</v>
      </c>
      <c r="AA103" s="940">
        <f t="shared" si="203"/>
        <v>1E-3</v>
      </c>
      <c r="AB103" s="940"/>
      <c r="AC103" s="925">
        <f t="shared" si="204"/>
        <v>3.3333333333333332E-4</v>
      </c>
      <c r="AD103" s="1064">
        <f>(((AD101-AD99)/(AD97-AD95))*(AD94-AD95))+AD99</f>
        <v>3.3333333333333332E-4</v>
      </c>
      <c r="AE103" s="929"/>
      <c r="AF103" s="939">
        <v>50</v>
      </c>
      <c r="AG103" s="940">
        <f t="shared" si="205"/>
        <v>0.71</v>
      </c>
      <c r="AH103" s="940"/>
      <c r="AI103" s="925">
        <f t="shared" si="206"/>
        <v>0.3066666666666667</v>
      </c>
      <c r="AJ103" s="1064">
        <f>(((AJ101-AJ99)/(AJ97-AJ95))*(AJ94-AJ95))+AJ99</f>
        <v>0.3066666666666667</v>
      </c>
      <c r="AK103" s="929"/>
      <c r="AL103" s="939">
        <v>50</v>
      </c>
      <c r="AM103" s="940">
        <f t="shared" si="207"/>
        <v>1E-3</v>
      </c>
      <c r="AN103" s="940"/>
      <c r="AO103" s="925">
        <f t="shared" si="208"/>
        <v>3.3333333333333332E-4</v>
      </c>
      <c r="AP103" s="1064">
        <f>(((AP101-AP99)/(AP97-AP95))*(AP94-AP95))+AP99</f>
        <v>3.3333333333333332E-4</v>
      </c>
      <c r="AQ103" s="929"/>
      <c r="AR103" s="939">
        <v>50</v>
      </c>
      <c r="AS103" s="940">
        <f t="shared" si="209"/>
        <v>1E-3</v>
      </c>
      <c r="AT103" s="940"/>
      <c r="AU103" s="925">
        <f t="shared" si="210"/>
        <v>3.3333333333333332E-4</v>
      </c>
      <c r="AV103" s="1064">
        <f>(((AV101-AV99)/(AV97-AV95))*(AV94-AV95))+AV99</f>
        <v>3.3333333333333332E-4</v>
      </c>
      <c r="AW103" s="929"/>
      <c r="AX103" s="939">
        <v>50</v>
      </c>
      <c r="AY103" s="940">
        <f t="shared" si="211"/>
        <v>0.37</v>
      </c>
      <c r="AZ103" s="940"/>
      <c r="BA103" s="925">
        <f t="shared" si="212"/>
        <v>0.26333333333333336</v>
      </c>
      <c r="BB103" s="1064">
        <f>(((BB101-BB99)/(BB97-BB95))*(BB94-BB95))+BB99</f>
        <v>0.26333333333333336</v>
      </c>
      <c r="BC103" s="929"/>
      <c r="BD103" s="939">
        <v>50</v>
      </c>
      <c r="BE103" s="940">
        <f t="shared" si="213"/>
        <v>1E-3</v>
      </c>
      <c r="BF103" s="940"/>
      <c r="BG103" s="925">
        <f t="shared" si="214"/>
        <v>3.3333333333333332E-4</v>
      </c>
      <c r="BH103" s="1064">
        <f>(((BH101-BH99)/(BH97-BH95))*(BH94-BH95))+BH99</f>
        <v>3.3333333333333332E-4</v>
      </c>
      <c r="BI103" s="929"/>
      <c r="BJ103" s="939">
        <v>50</v>
      </c>
      <c r="BK103" s="940">
        <f t="shared" si="215"/>
        <v>0.37</v>
      </c>
      <c r="BL103" s="940"/>
      <c r="BM103" s="925">
        <f t="shared" si="216"/>
        <v>0.26333333333333336</v>
      </c>
      <c r="BN103" s="1064">
        <f>(((BN101-BN99)/(BN97-BN95))*(BN94-BN95))+BN99</f>
        <v>0.26333333333333336</v>
      </c>
      <c r="BO103" s="929"/>
      <c r="BP103" s="939">
        <v>50</v>
      </c>
      <c r="BQ103" s="940">
        <f t="shared" si="217"/>
        <v>1E-3</v>
      </c>
      <c r="BR103" s="940"/>
      <c r="BS103" s="925">
        <f t="shared" si="218"/>
        <v>3.3333333333333332E-4</v>
      </c>
      <c r="BT103" s="1064">
        <f>(((BT101-BT99)/(BT97-BT95))*(BT94-BT95))+BT99</f>
        <v>3.3333333333333332E-4</v>
      </c>
      <c r="BU103" s="929"/>
      <c r="BV103" s="939">
        <v>50</v>
      </c>
      <c r="BW103" s="940">
        <f t="shared" si="219"/>
        <v>10</v>
      </c>
      <c r="BX103" s="940"/>
      <c r="BY103" s="925">
        <f t="shared" si="220"/>
        <v>4.666666666666667</v>
      </c>
      <c r="BZ103" s="1064">
        <f>(((BZ101-BZ99)/(BZ97-BZ95))*(BZ94-BZ95))+BZ99</f>
        <v>4.666666666666667</v>
      </c>
      <c r="CA103" s="929"/>
      <c r="CB103" s="939">
        <v>50</v>
      </c>
      <c r="CC103" s="940">
        <f t="shared" si="192"/>
        <v>-0.7</v>
      </c>
      <c r="CD103" s="940"/>
      <c r="CE103" s="925">
        <f t="shared" si="221"/>
        <v>0.13333333333333333</v>
      </c>
      <c r="CF103" s="1064">
        <f>(((CF101-CF99)/(CF97-CF95))*(CF94-CF95))+CF99</f>
        <v>0.13333333333333333</v>
      </c>
      <c r="CH103" s="939">
        <v>50</v>
      </c>
      <c r="CI103" s="940">
        <f t="shared" si="193"/>
        <v>0.27</v>
      </c>
      <c r="CJ103" s="940"/>
      <c r="CK103" s="925">
        <f t="shared" si="222"/>
        <v>7.3333333333333334E-2</v>
      </c>
      <c r="CL103" s="1064">
        <f>(((CL101-CL99)/(CL97-CL95))*(CL94-CL95))+CL99</f>
        <v>7.3333333333333334E-2</v>
      </c>
      <c r="CN103" s="939">
        <v>50</v>
      </c>
      <c r="CO103" s="940">
        <f t="shared" si="194"/>
        <v>0.67</v>
      </c>
      <c r="CP103" s="940"/>
      <c r="CQ103" s="925">
        <f t="shared" si="223"/>
        <v>0.25666666666666665</v>
      </c>
      <c r="CR103" s="1064">
        <f>(((CR101-CR99)/(CR97-CR95))*(CR94-CR95))+CR99</f>
        <v>0.25666666666666665</v>
      </c>
    </row>
    <row r="104" spans="2:96">
      <c r="B104" s="939">
        <v>100</v>
      </c>
      <c r="C104" s="940">
        <v>1.1000000000000001E-3</v>
      </c>
      <c r="D104" s="940">
        <f t="shared" si="195"/>
        <v>0.2</v>
      </c>
      <c r="E104" s="925">
        <f t="shared" si="196"/>
        <v>0.19890000000000002</v>
      </c>
      <c r="F104" s="941"/>
      <c r="G104" s="942"/>
      <c r="H104" s="939">
        <v>100</v>
      </c>
      <c r="I104" s="940">
        <v>1.1000000000000001E-3</v>
      </c>
      <c r="J104" s="940">
        <f t="shared" si="197"/>
        <v>1.4E-3</v>
      </c>
      <c r="K104" s="925">
        <f t="shared" si="198"/>
        <v>2.9999999999999992E-4</v>
      </c>
      <c r="L104" s="941"/>
      <c r="M104" s="942"/>
      <c r="N104" s="939">
        <v>100</v>
      </c>
      <c r="O104" s="940"/>
      <c r="P104" s="940">
        <f t="shared" si="199"/>
        <v>1.8E-3</v>
      </c>
      <c r="Q104" s="925">
        <f t="shared" si="200"/>
        <v>0.13</v>
      </c>
      <c r="R104" s="941"/>
      <c r="S104" s="929"/>
      <c r="T104" s="939">
        <v>100</v>
      </c>
      <c r="U104" s="940">
        <f t="shared" si="201"/>
        <v>1E-3</v>
      </c>
      <c r="V104" s="940"/>
      <c r="W104" s="925">
        <f t="shared" si="202"/>
        <v>3.3333333333333332E-4</v>
      </c>
      <c r="X104" s="941"/>
      <c r="Y104" s="929"/>
      <c r="Z104" s="939">
        <v>100</v>
      </c>
      <c r="AA104" s="940">
        <f t="shared" si="203"/>
        <v>1E-3</v>
      </c>
      <c r="AB104" s="940"/>
      <c r="AC104" s="925">
        <f t="shared" si="204"/>
        <v>3.3333333333333332E-4</v>
      </c>
      <c r="AD104" s="941"/>
      <c r="AE104" s="929"/>
      <c r="AF104" s="939">
        <v>100</v>
      </c>
      <c r="AG104" s="940">
        <f t="shared" si="205"/>
        <v>0.57999999999999996</v>
      </c>
      <c r="AH104" s="940"/>
      <c r="AI104" s="925">
        <f t="shared" si="206"/>
        <v>0.3066666666666667</v>
      </c>
      <c r="AJ104" s="941"/>
      <c r="AK104" s="929"/>
      <c r="AL104" s="939">
        <v>100</v>
      </c>
      <c r="AM104" s="940">
        <f t="shared" si="207"/>
        <v>1E-3</v>
      </c>
      <c r="AN104" s="940"/>
      <c r="AO104" s="925">
        <f t="shared" si="208"/>
        <v>3.3333333333333332E-4</v>
      </c>
      <c r="AP104" s="941"/>
      <c r="AQ104" s="929"/>
      <c r="AR104" s="939">
        <v>100</v>
      </c>
      <c r="AS104" s="940">
        <f t="shared" si="209"/>
        <v>1E-3</v>
      </c>
      <c r="AT104" s="940"/>
      <c r="AU104" s="925">
        <f t="shared" si="210"/>
        <v>3.3333333333333332E-4</v>
      </c>
      <c r="AV104" s="941"/>
      <c r="AW104" s="929"/>
      <c r="AX104" s="939">
        <v>100</v>
      </c>
      <c r="AY104" s="940">
        <f t="shared" si="211"/>
        <v>0.2</v>
      </c>
      <c r="AZ104" s="940"/>
      <c r="BA104" s="925">
        <f t="shared" si="212"/>
        <v>0.26333333333333336</v>
      </c>
      <c r="BB104" s="941"/>
      <c r="BC104" s="929"/>
      <c r="BD104" s="939">
        <v>100</v>
      </c>
      <c r="BE104" s="940">
        <f t="shared" si="213"/>
        <v>1E-3</v>
      </c>
      <c r="BF104" s="940"/>
      <c r="BG104" s="925">
        <f t="shared" si="214"/>
        <v>3.3333333333333332E-4</v>
      </c>
      <c r="BH104" s="941"/>
      <c r="BI104" s="929"/>
      <c r="BJ104" s="939">
        <v>100</v>
      </c>
      <c r="BK104" s="940">
        <f t="shared" si="215"/>
        <v>0.2</v>
      </c>
      <c r="BL104" s="940"/>
      <c r="BM104" s="925">
        <f t="shared" si="216"/>
        <v>0.26333333333333336</v>
      </c>
      <c r="BN104" s="941"/>
      <c r="BO104" s="929"/>
      <c r="BP104" s="939">
        <v>100</v>
      </c>
      <c r="BQ104" s="940">
        <f t="shared" si="217"/>
        <v>1E-3</v>
      </c>
      <c r="BR104" s="940"/>
      <c r="BS104" s="925">
        <f t="shared" si="218"/>
        <v>3.3333333333333332E-4</v>
      </c>
      <c r="BT104" s="941"/>
      <c r="BU104" s="929"/>
      <c r="BV104" s="939">
        <v>100</v>
      </c>
      <c r="BW104" s="940">
        <f t="shared" si="219"/>
        <v>11</v>
      </c>
      <c r="BX104" s="940"/>
      <c r="BY104" s="925">
        <f t="shared" si="220"/>
        <v>4.666666666666667</v>
      </c>
      <c r="BZ104" s="941"/>
      <c r="CA104" s="929"/>
      <c r="CB104" s="939">
        <v>100</v>
      </c>
      <c r="CC104" s="940">
        <f t="shared" si="192"/>
        <v>-0.7</v>
      </c>
      <c r="CD104" s="940"/>
      <c r="CE104" s="925">
        <f t="shared" si="221"/>
        <v>0.13333333333333333</v>
      </c>
      <c r="CF104" s="941"/>
      <c r="CH104" s="939">
        <v>100</v>
      </c>
      <c r="CI104" s="940">
        <f t="shared" si="193"/>
        <v>0.31</v>
      </c>
      <c r="CJ104" s="940"/>
      <c r="CK104" s="925">
        <f t="shared" si="222"/>
        <v>7.3333333333333334E-2</v>
      </c>
      <c r="CL104" s="941"/>
      <c r="CN104" s="939">
        <v>100</v>
      </c>
      <c r="CO104" s="940">
        <f t="shared" si="194"/>
        <v>0.95</v>
      </c>
      <c r="CP104" s="940"/>
      <c r="CQ104" s="925">
        <f t="shared" si="223"/>
        <v>0.25666666666666665</v>
      </c>
      <c r="CR104" s="941"/>
    </row>
    <row r="105" spans="2:96">
      <c r="B105" s="939">
        <v>150</v>
      </c>
      <c r="C105" s="940">
        <v>0.04</v>
      </c>
      <c r="D105" s="940">
        <f t="shared" si="195"/>
        <v>0.28000000000000003</v>
      </c>
      <c r="E105" s="925">
        <f t="shared" si="196"/>
        <v>0.24000000000000002</v>
      </c>
      <c r="F105" s="941"/>
      <c r="G105" s="942"/>
      <c r="H105" s="939">
        <v>150</v>
      </c>
      <c r="I105" s="940">
        <v>0.05</v>
      </c>
      <c r="J105" s="940">
        <f t="shared" si="197"/>
        <v>0.02</v>
      </c>
      <c r="K105" s="925">
        <f t="shared" si="198"/>
        <v>3.0000000000000002E-2</v>
      </c>
      <c r="L105" s="941"/>
      <c r="M105" s="942"/>
      <c r="N105" s="939">
        <v>150</v>
      </c>
      <c r="O105" s="940"/>
      <c r="P105" s="940">
        <f t="shared" si="199"/>
        <v>0.05</v>
      </c>
      <c r="Q105" s="925">
        <f t="shared" si="200"/>
        <v>0.13</v>
      </c>
      <c r="R105" s="941"/>
      <c r="S105" s="929"/>
      <c r="T105" s="939">
        <v>150</v>
      </c>
      <c r="U105" s="940">
        <f t="shared" si="201"/>
        <v>1E-3</v>
      </c>
      <c r="V105" s="940"/>
      <c r="W105" s="925">
        <f t="shared" si="202"/>
        <v>3.3333333333333332E-4</v>
      </c>
      <c r="X105" s="941"/>
      <c r="Y105" s="929"/>
      <c r="Z105" s="939">
        <v>150</v>
      </c>
      <c r="AA105" s="940">
        <f t="shared" si="203"/>
        <v>1E-3</v>
      </c>
      <c r="AB105" s="940"/>
      <c r="AC105" s="925">
        <f t="shared" si="204"/>
        <v>3.3333333333333332E-4</v>
      </c>
      <c r="AD105" s="941"/>
      <c r="AE105" s="929"/>
      <c r="AF105" s="939">
        <v>150</v>
      </c>
      <c r="AG105" s="940">
        <f t="shared" si="205"/>
        <v>1.9E-3</v>
      </c>
      <c r="AH105" s="940"/>
      <c r="AI105" s="925">
        <f t="shared" si="206"/>
        <v>0.3066666666666667</v>
      </c>
      <c r="AJ105" s="941"/>
      <c r="AK105" s="929"/>
      <c r="AL105" s="939">
        <v>150</v>
      </c>
      <c r="AM105" s="940">
        <f t="shared" si="207"/>
        <v>1E-3</v>
      </c>
      <c r="AN105" s="940"/>
      <c r="AO105" s="925">
        <f t="shared" si="208"/>
        <v>3.3333333333333332E-4</v>
      </c>
      <c r="AP105" s="941"/>
      <c r="AQ105" s="929"/>
      <c r="AR105" s="939">
        <v>150</v>
      </c>
      <c r="AS105" s="940">
        <f t="shared" si="209"/>
        <v>1E-3</v>
      </c>
      <c r="AT105" s="940"/>
      <c r="AU105" s="925">
        <f t="shared" si="210"/>
        <v>3.3333333333333332E-4</v>
      </c>
      <c r="AV105" s="941"/>
      <c r="AW105" s="929"/>
      <c r="AX105" s="939">
        <v>150</v>
      </c>
      <c r="AY105" s="940">
        <f t="shared" si="211"/>
        <v>-0.02</v>
      </c>
      <c r="AZ105" s="940"/>
      <c r="BA105" s="925">
        <f t="shared" si="212"/>
        <v>0.26333333333333336</v>
      </c>
      <c r="BB105" s="941"/>
      <c r="BC105" s="929"/>
      <c r="BD105" s="939">
        <v>150</v>
      </c>
      <c r="BE105" s="940">
        <f t="shared" si="213"/>
        <v>1E-3</v>
      </c>
      <c r="BF105" s="940"/>
      <c r="BG105" s="925">
        <f t="shared" si="214"/>
        <v>3.3333333333333332E-4</v>
      </c>
      <c r="BH105" s="941"/>
      <c r="BI105" s="929"/>
      <c r="BJ105" s="939">
        <v>150</v>
      </c>
      <c r="BK105" s="940">
        <f t="shared" si="215"/>
        <v>-0.02</v>
      </c>
      <c r="BL105" s="940"/>
      <c r="BM105" s="925">
        <f t="shared" si="216"/>
        <v>0.26333333333333336</v>
      </c>
      <c r="BN105" s="941"/>
      <c r="BO105" s="929"/>
      <c r="BP105" s="939">
        <v>150</v>
      </c>
      <c r="BQ105" s="940">
        <f t="shared" si="217"/>
        <v>1E-3</v>
      </c>
      <c r="BR105" s="940"/>
      <c r="BS105" s="925">
        <f t="shared" si="218"/>
        <v>3.3333333333333332E-4</v>
      </c>
      <c r="BT105" s="941"/>
      <c r="BU105" s="929"/>
      <c r="BV105" s="939">
        <v>150</v>
      </c>
      <c r="BW105" s="940">
        <f t="shared" si="219"/>
        <v>12</v>
      </c>
      <c r="BX105" s="940"/>
      <c r="BY105" s="925">
        <f t="shared" si="220"/>
        <v>4.666666666666667</v>
      </c>
      <c r="BZ105" s="941"/>
      <c r="CA105" s="929"/>
      <c r="CB105" s="939">
        <v>150</v>
      </c>
      <c r="CC105" s="940">
        <f t="shared" si="192"/>
        <v>-0.7</v>
      </c>
      <c r="CD105" s="940"/>
      <c r="CE105" s="925">
        <f t="shared" si="221"/>
        <v>0.13333333333333333</v>
      </c>
      <c r="CF105" s="941"/>
      <c r="CH105" s="939">
        <v>150</v>
      </c>
      <c r="CI105" s="940">
        <f t="shared" si="193"/>
        <v>0.3</v>
      </c>
      <c r="CJ105" s="940"/>
      <c r="CK105" s="925">
        <f t="shared" si="222"/>
        <v>7.3333333333333334E-2</v>
      </c>
      <c r="CL105" s="941"/>
      <c r="CN105" s="939">
        <v>150</v>
      </c>
      <c r="CO105" s="940">
        <f t="shared" si="194"/>
        <v>0.49</v>
      </c>
      <c r="CP105" s="940"/>
      <c r="CQ105" s="925">
        <f t="shared" si="223"/>
        <v>0.25666666666666665</v>
      </c>
      <c r="CR105" s="941"/>
    </row>
    <row r="106" spans="2:96">
      <c r="B106" s="939">
        <v>200</v>
      </c>
      <c r="C106" s="940">
        <v>-1.2999999999999999E-3</v>
      </c>
      <c r="D106" s="940">
        <f t="shared" si="195"/>
        <v>0.44</v>
      </c>
      <c r="E106" s="925">
        <f t="shared" si="196"/>
        <v>0.44130000000000003</v>
      </c>
      <c r="F106" s="941"/>
      <c r="G106" s="942"/>
      <c r="H106" s="939">
        <v>200</v>
      </c>
      <c r="I106" s="940">
        <v>-1.2999999999999999E-3</v>
      </c>
      <c r="J106" s="940">
        <f t="shared" si="197"/>
        <v>0.38</v>
      </c>
      <c r="K106" s="925">
        <f t="shared" si="198"/>
        <v>0.38130000000000003</v>
      </c>
      <c r="L106" s="941"/>
      <c r="M106" s="942"/>
      <c r="N106" s="939">
        <v>200</v>
      </c>
      <c r="O106" s="940"/>
      <c r="P106" s="940">
        <f t="shared" si="199"/>
        <v>0.51</v>
      </c>
      <c r="Q106" s="925">
        <f t="shared" si="200"/>
        <v>0.13</v>
      </c>
      <c r="R106" s="941"/>
      <c r="S106" s="929"/>
      <c r="T106" s="939">
        <v>200</v>
      </c>
      <c r="U106" s="940">
        <f t="shared" si="201"/>
        <v>1E-3</v>
      </c>
      <c r="V106" s="940"/>
      <c r="W106" s="925">
        <f t="shared" si="202"/>
        <v>3.3333333333333332E-4</v>
      </c>
      <c r="X106" s="941"/>
      <c r="Y106" s="929"/>
      <c r="Z106" s="939">
        <v>200</v>
      </c>
      <c r="AA106" s="940">
        <f t="shared" si="203"/>
        <v>1E-3</v>
      </c>
      <c r="AB106" s="940"/>
      <c r="AC106" s="925">
        <f t="shared" si="204"/>
        <v>3.3333333333333332E-4</v>
      </c>
      <c r="AD106" s="941"/>
      <c r="AE106" s="929"/>
      <c r="AF106" s="939">
        <v>200</v>
      </c>
      <c r="AG106" s="940">
        <f t="shared" si="205"/>
        <v>-1.6000000000000001E-3</v>
      </c>
      <c r="AH106" s="940"/>
      <c r="AI106" s="925">
        <f t="shared" si="206"/>
        <v>0.3066666666666667</v>
      </c>
      <c r="AJ106" s="941"/>
      <c r="AK106" s="929"/>
      <c r="AL106" s="939">
        <v>200</v>
      </c>
      <c r="AM106" s="940">
        <f t="shared" si="207"/>
        <v>1E-3</v>
      </c>
      <c r="AN106" s="940"/>
      <c r="AO106" s="925">
        <f t="shared" si="208"/>
        <v>3.3333333333333332E-4</v>
      </c>
      <c r="AP106" s="941"/>
      <c r="AQ106" s="929"/>
      <c r="AR106" s="939">
        <v>200</v>
      </c>
      <c r="AS106" s="940">
        <f t="shared" si="209"/>
        <v>1E-3</v>
      </c>
      <c r="AT106" s="940"/>
      <c r="AU106" s="925">
        <f t="shared" si="210"/>
        <v>3.3333333333333332E-4</v>
      </c>
      <c r="AV106" s="941"/>
      <c r="AW106" s="929"/>
      <c r="AX106" s="939">
        <v>200</v>
      </c>
      <c r="AY106" s="940">
        <f t="shared" si="211"/>
        <v>-0.28000000000000003</v>
      </c>
      <c r="AZ106" s="940"/>
      <c r="BA106" s="925">
        <f t="shared" si="212"/>
        <v>0.26333333333333336</v>
      </c>
      <c r="BB106" s="941"/>
      <c r="BC106" s="929"/>
      <c r="BD106" s="939">
        <v>200</v>
      </c>
      <c r="BE106" s="940">
        <f t="shared" si="213"/>
        <v>1E-3</v>
      </c>
      <c r="BF106" s="940"/>
      <c r="BG106" s="925">
        <f t="shared" si="214"/>
        <v>3.3333333333333332E-4</v>
      </c>
      <c r="BH106" s="941"/>
      <c r="BI106" s="929"/>
      <c r="BJ106" s="939">
        <v>200</v>
      </c>
      <c r="BK106" s="940">
        <f t="shared" si="215"/>
        <v>-0.28000000000000003</v>
      </c>
      <c r="BL106" s="940"/>
      <c r="BM106" s="925">
        <f t="shared" si="216"/>
        <v>0.26333333333333336</v>
      </c>
      <c r="BN106" s="941"/>
      <c r="BO106" s="929"/>
      <c r="BP106" s="939">
        <v>200</v>
      </c>
      <c r="BQ106" s="940">
        <f t="shared" si="217"/>
        <v>1E-3</v>
      </c>
      <c r="BR106" s="940"/>
      <c r="BS106" s="925">
        <f t="shared" si="218"/>
        <v>3.3333333333333332E-4</v>
      </c>
      <c r="BT106" s="941"/>
      <c r="BU106" s="929"/>
      <c r="BV106" s="939">
        <v>200</v>
      </c>
      <c r="BW106" s="940">
        <f t="shared" si="219"/>
        <v>13</v>
      </c>
      <c r="BX106" s="940"/>
      <c r="BY106" s="925">
        <f t="shared" si="220"/>
        <v>4.666666666666667</v>
      </c>
      <c r="BZ106" s="941"/>
      <c r="CA106" s="929"/>
      <c r="CB106" s="939">
        <v>200</v>
      </c>
      <c r="CC106" s="940">
        <f t="shared" si="192"/>
        <v>-0.6</v>
      </c>
      <c r="CD106" s="940"/>
      <c r="CE106" s="925">
        <f t="shared" si="221"/>
        <v>0.13333333333333333</v>
      </c>
      <c r="CF106" s="941"/>
      <c r="CH106" s="939">
        <v>200</v>
      </c>
      <c r="CI106" s="940">
        <f t="shared" si="193"/>
        <v>0.34</v>
      </c>
      <c r="CJ106" s="940"/>
      <c r="CK106" s="925">
        <f t="shared" si="222"/>
        <v>7.3333333333333334E-2</v>
      </c>
      <c r="CL106" s="941"/>
      <c r="CN106" s="939">
        <v>200</v>
      </c>
      <c r="CO106" s="940">
        <f t="shared" si="194"/>
        <v>-0.26</v>
      </c>
      <c r="CP106" s="940"/>
      <c r="CQ106" s="925">
        <f t="shared" si="223"/>
        <v>0.25666666666666665</v>
      </c>
      <c r="CR106" s="941"/>
    </row>
    <row r="107" spans="2:96" s="929" customFormat="1">
      <c r="B107" s="947"/>
      <c r="C107" s="930"/>
      <c r="D107" s="930"/>
      <c r="E107" s="944"/>
      <c r="F107" s="942"/>
      <c r="G107" s="942"/>
      <c r="H107" s="947"/>
      <c r="I107" s="930"/>
      <c r="J107" s="930"/>
      <c r="K107" s="944"/>
      <c r="L107" s="931"/>
      <c r="M107" s="942"/>
      <c r="N107" s="947"/>
      <c r="O107" s="930"/>
      <c r="P107" s="930"/>
      <c r="Q107" s="944"/>
      <c r="R107" s="931"/>
      <c r="T107" s="947"/>
      <c r="U107" s="930"/>
      <c r="V107" s="930"/>
      <c r="W107" s="944"/>
      <c r="X107" s="931"/>
      <c r="Z107" s="947"/>
      <c r="AA107" s="930"/>
      <c r="AB107" s="930"/>
      <c r="AC107" s="944"/>
      <c r="AD107" s="931"/>
      <c r="AF107" s="947"/>
      <c r="AG107" s="930"/>
      <c r="AH107" s="930"/>
      <c r="AI107" s="944"/>
      <c r="AJ107" s="931"/>
      <c r="AL107" s="947"/>
      <c r="AM107" s="930"/>
      <c r="AN107" s="930"/>
      <c r="AO107" s="944"/>
      <c r="AP107" s="931"/>
      <c r="AR107" s="947"/>
      <c r="AS107" s="930"/>
      <c r="AT107" s="930"/>
      <c r="AU107" s="944"/>
      <c r="AV107" s="931"/>
      <c r="AX107" s="947"/>
      <c r="AY107" s="930"/>
      <c r="AZ107" s="930"/>
      <c r="BA107" s="944"/>
      <c r="BB107" s="931"/>
      <c r="BD107" s="947"/>
      <c r="BE107" s="930"/>
      <c r="BF107" s="930"/>
      <c r="BG107" s="944"/>
      <c r="BH107" s="931"/>
      <c r="BJ107" s="947"/>
      <c r="BK107" s="930"/>
      <c r="BL107" s="930"/>
      <c r="BM107" s="944"/>
      <c r="BN107" s="931"/>
      <c r="BP107" s="947"/>
      <c r="BQ107" s="930"/>
      <c r="BR107" s="930"/>
      <c r="BS107" s="944"/>
      <c r="BT107" s="931"/>
      <c r="BV107" s="947"/>
      <c r="BW107" s="930"/>
      <c r="BX107" s="930"/>
      <c r="BY107" s="944"/>
      <c r="BZ107" s="931"/>
      <c r="CB107" s="947"/>
      <c r="CC107" s="930"/>
      <c r="CD107" s="930"/>
      <c r="CE107" s="944"/>
      <c r="CF107" s="931"/>
      <c r="CH107" s="947"/>
      <c r="CI107" s="930"/>
      <c r="CJ107" s="930"/>
      <c r="CK107" s="944"/>
      <c r="CL107" s="931"/>
      <c r="CN107" s="947"/>
      <c r="CO107" s="930"/>
      <c r="CP107" s="930"/>
      <c r="CQ107" s="944"/>
      <c r="CR107" s="931"/>
    </row>
    <row r="108" spans="2:96" ht="24.75" customHeight="1">
      <c r="B108" s="1314" t="s">
        <v>230</v>
      </c>
      <c r="C108" s="1316" t="str">
        <f>C93</f>
        <v>Thermocouple Data Logger, Merek : MADGETECH, Model : OctTemp 2000, SN : P40270</v>
      </c>
      <c r="D108" s="1316"/>
      <c r="E108" s="1316"/>
      <c r="F108" s="932" t="str">
        <f>F93</f>
        <v>Interpolasi</v>
      </c>
      <c r="G108" s="933"/>
      <c r="H108" s="1314" t="s">
        <v>230</v>
      </c>
      <c r="I108" s="1316" t="str">
        <f>I93</f>
        <v>Thermocouple Data Logger, Merek : MADGETECH, Model : OctTemp 2000, SN : P41878</v>
      </c>
      <c r="J108" s="1316"/>
      <c r="K108" s="1316"/>
      <c r="L108" s="932" t="s">
        <v>572</v>
      </c>
      <c r="M108" s="933"/>
      <c r="N108" s="1314" t="s">
        <v>230</v>
      </c>
      <c r="O108" s="1316" t="str">
        <f>O93</f>
        <v>Mobile Corder, Merek : Yokogawa, Model : GP 10, SN : S5T810599</v>
      </c>
      <c r="P108" s="1317"/>
      <c r="Q108" s="1316"/>
      <c r="R108" s="932" t="s">
        <v>572</v>
      </c>
      <c r="S108" s="929"/>
      <c r="T108" s="1314" t="s">
        <v>230</v>
      </c>
      <c r="U108" s="1316" t="str">
        <f>U93</f>
        <v>Wireless Temperature Recorder : Merek : HIOKI, Model : LR 8510, SN : 200936000</v>
      </c>
      <c r="V108" s="1317"/>
      <c r="W108" s="1316"/>
      <c r="X108" s="932" t="s">
        <v>572</v>
      </c>
      <c r="Y108" s="929"/>
      <c r="Z108" s="1314" t="s">
        <v>230</v>
      </c>
      <c r="AA108" s="1316" t="str">
        <f>AA93</f>
        <v>Wireless Temperature Recorder : Merek : HIOKI, Model : LR 8510, SN : 200936001</v>
      </c>
      <c r="AB108" s="1317"/>
      <c r="AC108" s="1316"/>
      <c r="AD108" s="932" t="s">
        <v>572</v>
      </c>
      <c r="AE108" s="929"/>
      <c r="AF108" s="1314" t="s">
        <v>230</v>
      </c>
      <c r="AG108" s="1316" t="str">
        <f>AG93</f>
        <v>Wireless Temperature Recorder : Merek : HIOKI, Model : LR 8510, SN : 200821397</v>
      </c>
      <c r="AH108" s="1317"/>
      <c r="AI108" s="1316"/>
      <c r="AJ108" s="932" t="s">
        <v>572</v>
      </c>
      <c r="AK108" s="929"/>
      <c r="AL108" s="1314" t="s">
        <v>230</v>
      </c>
      <c r="AM108" s="1316" t="str">
        <f>AM93</f>
        <v>Wireless Temperature Recorder : Merek : HIOKI, Model : LR 8510, SN : 210411983</v>
      </c>
      <c r="AN108" s="1317"/>
      <c r="AO108" s="1316"/>
      <c r="AP108" s="932" t="s">
        <v>572</v>
      </c>
      <c r="AQ108" s="929"/>
      <c r="AR108" s="1314" t="s">
        <v>230</v>
      </c>
      <c r="AS108" s="1316" t="str">
        <f>AS93</f>
        <v>Wireless Temperature Recorder : Merek : HIOKI, Model : LR 8510, SN : 210411984</v>
      </c>
      <c r="AT108" s="1317"/>
      <c r="AU108" s="1316"/>
      <c r="AV108" s="932" t="s">
        <v>572</v>
      </c>
      <c r="AW108" s="929"/>
      <c r="AX108" s="1314" t="s">
        <v>230</v>
      </c>
      <c r="AY108" s="1316" t="str">
        <f>AY93</f>
        <v>Wireless Temperature Recorder : Merek : HIOKI, Model : LR 8510, SN : 210411985</v>
      </c>
      <c r="AZ108" s="1317"/>
      <c r="BA108" s="1316"/>
      <c r="BB108" s="932" t="s">
        <v>572</v>
      </c>
      <c r="BC108" s="929"/>
      <c r="BD108" s="1314" t="s">
        <v>230</v>
      </c>
      <c r="BE108" s="1316" t="str">
        <f>BE93</f>
        <v>Wireless Temperature Recorder : Merek : HIOKI, Model : LR 8510, SN : 210746054</v>
      </c>
      <c r="BF108" s="1317"/>
      <c r="BG108" s="1316"/>
      <c r="BH108" s="932" t="s">
        <v>572</v>
      </c>
      <c r="BI108" s="929"/>
      <c r="BJ108" s="1314" t="s">
        <v>230</v>
      </c>
      <c r="BK108" s="1316" t="str">
        <f>BK93</f>
        <v>Wireless Temperature Recorder : Merek : HIOKI, Model : LR 8510, SN : 210746055</v>
      </c>
      <c r="BL108" s="1317"/>
      <c r="BM108" s="1316"/>
      <c r="BN108" s="932" t="s">
        <v>572</v>
      </c>
      <c r="BO108" s="929"/>
      <c r="BP108" s="1314" t="s">
        <v>230</v>
      </c>
      <c r="BQ108" s="1316" t="str">
        <f>BQ93</f>
        <v>Wireless Temperature Recorder : Merek : HIOKI, Model : LR 8510, SN : 210746056</v>
      </c>
      <c r="BR108" s="1317"/>
      <c r="BS108" s="1316"/>
      <c r="BT108" s="932" t="s">
        <v>572</v>
      </c>
      <c r="BU108" s="929"/>
      <c r="BV108" s="1314" t="s">
        <v>230</v>
      </c>
      <c r="BW108" s="1316" t="str">
        <f>BW93</f>
        <v>Wireless Temperature Recorder : Merek : HIOKI, Model : LR 8510, SN : x x x</v>
      </c>
      <c r="BX108" s="1317"/>
      <c r="BY108" s="1316"/>
      <c r="BZ108" s="932" t="s">
        <v>572</v>
      </c>
      <c r="CA108" s="929"/>
      <c r="CB108" s="1314" t="s">
        <v>230</v>
      </c>
      <c r="CC108" s="1316" t="str">
        <f t="shared" ref="CC108:CC121" si="224">CC93</f>
        <v>Reference Thermometer, Merek : APPA, Model : APPA51, SN : 03002948</v>
      </c>
      <c r="CD108" s="1317"/>
      <c r="CE108" s="1316"/>
      <c r="CF108" s="932" t="s">
        <v>572</v>
      </c>
      <c r="CH108" s="1314" t="s">
        <v>230</v>
      </c>
      <c r="CI108" s="1316" t="str">
        <f t="shared" ref="CI108:CI121" si="225">CI93</f>
        <v>Reference Thermometer, Merek : FLUKE, Model : 1524, SN : 1803038</v>
      </c>
      <c r="CJ108" s="1317"/>
      <c r="CK108" s="1316"/>
      <c r="CL108" s="932" t="s">
        <v>572</v>
      </c>
      <c r="CN108" s="1314" t="s">
        <v>230</v>
      </c>
      <c r="CO108" s="1316" t="str">
        <f t="shared" ref="CO108:CO121" si="226">CO93</f>
        <v>Reference Thermometer, Merek : FLUKE, Model : 1524, SN : 1803037</v>
      </c>
      <c r="CP108" s="1317"/>
      <c r="CQ108" s="1316"/>
      <c r="CR108" s="932" t="s">
        <v>572</v>
      </c>
    </row>
    <row r="109" spans="2:96">
      <c r="B109" s="1315"/>
      <c r="C109" s="935">
        <f>C94</f>
        <v>2019</v>
      </c>
      <c r="D109" s="935">
        <f>D94</f>
        <v>2021</v>
      </c>
      <c r="E109" s="936" t="s">
        <v>215</v>
      </c>
      <c r="F109" s="1063">
        <f>F94</f>
        <v>6.4428226504297132</v>
      </c>
      <c r="G109" s="937"/>
      <c r="H109" s="1315"/>
      <c r="I109" s="938">
        <f>I94</f>
        <v>2020</v>
      </c>
      <c r="J109" s="935">
        <f>J94</f>
        <v>2021</v>
      </c>
      <c r="K109" s="936" t="s">
        <v>215</v>
      </c>
      <c r="L109" s="1063">
        <f>F109</f>
        <v>6.4428226504297132</v>
      </c>
      <c r="M109" s="937"/>
      <c r="N109" s="1315"/>
      <c r="O109" s="938">
        <f>O4</f>
        <v>2018</v>
      </c>
      <c r="P109" s="935">
        <f>P4</f>
        <v>2021</v>
      </c>
      <c r="Q109" s="936" t="s">
        <v>215</v>
      </c>
      <c r="R109" s="1063">
        <f>L109</f>
        <v>6.4428226504297132</v>
      </c>
      <c r="S109" s="929"/>
      <c r="T109" s="1315"/>
      <c r="U109" s="938">
        <f>U94</f>
        <v>2021</v>
      </c>
      <c r="V109" s="935"/>
      <c r="W109" s="936" t="s">
        <v>215</v>
      </c>
      <c r="X109" s="1063">
        <f>R109</f>
        <v>6.4428226504297132</v>
      </c>
      <c r="Y109" s="929"/>
      <c r="Z109" s="1315"/>
      <c r="AA109" s="938">
        <f>AA94</f>
        <v>2021</v>
      </c>
      <c r="AB109" s="935"/>
      <c r="AC109" s="936" t="s">
        <v>215</v>
      </c>
      <c r="AD109" s="1063">
        <f>X109</f>
        <v>6.4428226504297132</v>
      </c>
      <c r="AE109" s="929"/>
      <c r="AF109" s="1315"/>
      <c r="AG109" s="938">
        <f>AG94</f>
        <v>2021</v>
      </c>
      <c r="AH109" s="938">
        <f>AH94</f>
        <v>0</v>
      </c>
      <c r="AI109" s="936" t="s">
        <v>215</v>
      </c>
      <c r="AJ109" s="1063">
        <f>AD109</f>
        <v>6.4428226504297132</v>
      </c>
      <c r="AK109" s="929"/>
      <c r="AL109" s="1315"/>
      <c r="AM109" s="938">
        <f>AM94</f>
        <v>2021</v>
      </c>
      <c r="AN109" s="935"/>
      <c r="AO109" s="936" t="s">
        <v>215</v>
      </c>
      <c r="AP109" s="1063">
        <f>AJ109</f>
        <v>6.4428226504297132</v>
      </c>
      <c r="AQ109" s="929"/>
      <c r="AR109" s="1315"/>
      <c r="AS109" s="938">
        <f>AS94</f>
        <v>2021</v>
      </c>
      <c r="AT109" s="935"/>
      <c r="AU109" s="936" t="s">
        <v>215</v>
      </c>
      <c r="AV109" s="1063">
        <f>AP109</f>
        <v>6.4428226504297132</v>
      </c>
      <c r="AW109" s="929"/>
      <c r="AX109" s="1315"/>
      <c r="AY109" s="938">
        <f>AY94</f>
        <v>2021</v>
      </c>
      <c r="AZ109" s="935"/>
      <c r="BA109" s="936" t="s">
        <v>215</v>
      </c>
      <c r="BB109" s="1063">
        <f>AV109</f>
        <v>6.4428226504297132</v>
      </c>
      <c r="BC109" s="929"/>
      <c r="BD109" s="1315"/>
      <c r="BE109" s="938">
        <f>BE94</f>
        <v>2021</v>
      </c>
      <c r="BF109" s="935"/>
      <c r="BG109" s="936" t="s">
        <v>215</v>
      </c>
      <c r="BH109" s="1063">
        <f>BB109</f>
        <v>6.4428226504297132</v>
      </c>
      <c r="BI109" s="929"/>
      <c r="BJ109" s="1315"/>
      <c r="BK109" s="938">
        <f>BK94</f>
        <v>2021</v>
      </c>
      <c r="BL109" s="935"/>
      <c r="BM109" s="936" t="s">
        <v>215</v>
      </c>
      <c r="BN109" s="1063">
        <f>BH109</f>
        <v>6.4428226504297132</v>
      </c>
      <c r="BO109" s="929"/>
      <c r="BP109" s="1315"/>
      <c r="BQ109" s="938">
        <f>BQ94</f>
        <v>2021</v>
      </c>
      <c r="BR109" s="935"/>
      <c r="BS109" s="936" t="s">
        <v>215</v>
      </c>
      <c r="BT109" s="1063">
        <f>BN109</f>
        <v>6.4428226504297132</v>
      </c>
      <c r="BU109" s="929"/>
      <c r="BV109" s="1315"/>
      <c r="BW109" s="938">
        <f>BW94</f>
        <v>2021</v>
      </c>
      <c r="BX109" s="935"/>
      <c r="BY109" s="936" t="s">
        <v>215</v>
      </c>
      <c r="BZ109" s="1063">
        <f>BT109</f>
        <v>6.4428226504297132</v>
      </c>
      <c r="CA109" s="929"/>
      <c r="CB109" s="1315"/>
      <c r="CC109" s="938">
        <f t="shared" si="224"/>
        <v>2020</v>
      </c>
      <c r="CD109" s="935"/>
      <c r="CE109" s="936" t="s">
        <v>215</v>
      </c>
      <c r="CF109" s="1063">
        <f>BZ109</f>
        <v>6.4428226504297132</v>
      </c>
      <c r="CG109" s="954"/>
      <c r="CH109" s="1315"/>
      <c r="CI109" s="938">
        <f t="shared" si="225"/>
        <v>2021</v>
      </c>
      <c r="CJ109" s="935"/>
      <c r="CK109" s="936" t="s">
        <v>215</v>
      </c>
      <c r="CL109" s="1063">
        <f>CF109</f>
        <v>6.4428226504297132</v>
      </c>
      <c r="CN109" s="1315"/>
      <c r="CO109" s="938">
        <f t="shared" si="226"/>
        <v>2021</v>
      </c>
      <c r="CP109" s="935"/>
      <c r="CQ109" s="936" t="s">
        <v>215</v>
      </c>
      <c r="CR109" s="1063">
        <f>CL109</f>
        <v>6.4428226504297132</v>
      </c>
    </row>
    <row r="110" spans="2:96">
      <c r="B110" s="939">
        <v>-20</v>
      </c>
      <c r="C110" s="891">
        <v>-1.5E-3</v>
      </c>
      <c r="D110" s="891">
        <f t="shared" ref="D110:D121" si="227">U209</f>
        <v>-0.48</v>
      </c>
      <c r="E110" s="925">
        <f t="shared" ref="E110:E121" si="228">IF(OR(C110=0,D110=0),$U$221/3,((MAX(C110:D110)-(MIN(C110:D110)))))</f>
        <v>0.47849999999999998</v>
      </c>
      <c r="F110" s="1061">
        <f>IF(F109&lt;=B111,B110,IF(F109&lt;=B112,B111,IF(F109&lt;=B113,B112,IF(F109&lt;=B114,B113,IF(F109&lt;=B115,B114)))))</f>
        <v>2</v>
      </c>
      <c r="G110" s="942"/>
      <c r="H110" s="939">
        <v>-20</v>
      </c>
      <c r="I110" s="891">
        <v>-0.2</v>
      </c>
      <c r="J110" s="940">
        <f t="shared" ref="J110:J121" si="229">V209</f>
        <v>-0.74</v>
      </c>
      <c r="K110" s="925">
        <f t="shared" ref="K110:K121" si="230">IF(OR(I110=0,J110=0),$V$221/3,((MAX(I110:J110)-(MIN(I110:J110)))))</f>
        <v>0.54</v>
      </c>
      <c r="L110" s="1061">
        <f>IF(L109&lt;=H111,H110,IF(L109&lt;=H112,H111,IF(L109&lt;=H113,H112,IF(L109&lt;=H114,H113,IF(L109&lt;=H115,H114)))))</f>
        <v>2</v>
      </c>
      <c r="M110" s="942"/>
      <c r="N110" s="939">
        <v>-20</v>
      </c>
      <c r="O110" s="940"/>
      <c r="P110" s="940">
        <f t="shared" ref="P110:P121" si="231">W209</f>
        <v>1E-3</v>
      </c>
      <c r="Q110" s="925">
        <f t="shared" ref="Q110:Q121" si="232">IF(OR(O110=0,P110=0),$W$221/3,((MAX(O110:P110)-(MIN(O110:P110)))))</f>
        <v>0.13</v>
      </c>
      <c r="R110" s="1061">
        <f>IF(R109&lt;=N111,N110,IF(R109&lt;=N112,N111,IF(R109&lt;=N113,N112,IF(R109&lt;=N114,N113,IF(R109&lt;=N115,N114)))))</f>
        <v>2</v>
      </c>
      <c r="S110" s="929"/>
      <c r="T110" s="939">
        <v>-20</v>
      </c>
      <c r="U110" s="891">
        <f t="shared" ref="U110:U121" si="233">X209</f>
        <v>1E-3</v>
      </c>
      <c r="V110" s="940"/>
      <c r="W110" s="925">
        <f t="shared" ref="W110:W121" si="234">IF(OR(U110=0,V110=0),$X$221/3,((MAX(U110:V110)-(MIN(U110:V110)))))</f>
        <v>3.3333333333333332E-4</v>
      </c>
      <c r="X110" s="1061">
        <f>IF(X109&lt;=T111,T110,IF(X109&lt;=T112,T111,IF(X109&lt;=T113,T112,IF(X109&lt;=T114,T113,IF(X109&lt;=T115,T114)))))</f>
        <v>2</v>
      </c>
      <c r="Y110" s="929"/>
      <c r="Z110" s="939">
        <v>-20</v>
      </c>
      <c r="AA110" s="891">
        <f t="shared" ref="AA110:AA121" si="235">Y209</f>
        <v>1E-3</v>
      </c>
      <c r="AB110" s="940"/>
      <c r="AC110" s="925">
        <f t="shared" ref="AC110:AC121" si="236">IF(OR(AA110=0,AB110=0),$Y$221/3,((MAX(AA110:AB110)-(MIN(AA110:AB110)))))</f>
        <v>3.3333333333333332E-4</v>
      </c>
      <c r="AD110" s="1061">
        <f>IF(AD109&lt;=Z111,Z110,IF(AD109&lt;=Z112,Z111,IF(AD109&lt;=Z113,Z112,IF(AD109&lt;=Z114,Z113,IF(AD109&lt;=Z115,Z114)))))</f>
        <v>2</v>
      </c>
      <c r="AE110" s="929"/>
      <c r="AF110" s="939">
        <v>-20</v>
      </c>
      <c r="AG110" s="891">
        <f t="shared" ref="AG110:AG121" si="237">Z209</f>
        <v>-1E-3</v>
      </c>
      <c r="AH110" s="940"/>
      <c r="AI110" s="925">
        <f t="shared" ref="AI110:AI121" si="238">IF(OR(AG110=0,AH110=0),$Z$221/3,((MAX(AG110:AH110)-(MIN(AG110:AH110)))))</f>
        <v>0.3066666666666667</v>
      </c>
      <c r="AJ110" s="1061">
        <f>IF(AJ109&lt;=AF111,AF110,IF(AJ109&lt;=AF112,AF111,IF(AJ109&lt;=AF113,AF112,IF(AJ109&lt;=AF114,AF113,IF(AJ109&lt;=AF115,AF114)))))</f>
        <v>2</v>
      </c>
      <c r="AK110" s="929"/>
      <c r="AL110" s="939">
        <v>-20</v>
      </c>
      <c r="AM110" s="891">
        <f t="shared" ref="AM110:AM121" si="239">AA209</f>
        <v>1E-3</v>
      </c>
      <c r="AN110" s="940"/>
      <c r="AO110" s="925">
        <f t="shared" ref="AO110:AO121" si="240">IF(OR(AM110=0,AN110=0),$AA$221/3,((MAX(AM110:AN110)-(MIN(AM110:AN110)))))</f>
        <v>3.3333333333333332E-4</v>
      </c>
      <c r="AP110" s="1061">
        <f>IF(AP109&lt;=AL111,AL110,IF(AP109&lt;=AL112,AL111,IF(AP109&lt;=AL113,AL112,IF(AP109&lt;=AL114,AL113,IF(AP109&lt;=AL115,AL114)))))</f>
        <v>2</v>
      </c>
      <c r="AQ110" s="929"/>
      <c r="AR110" s="939">
        <v>-20</v>
      </c>
      <c r="AS110" s="891">
        <f t="shared" ref="AS110:AS121" si="241">AB209</f>
        <v>1E-3</v>
      </c>
      <c r="AT110" s="940"/>
      <c r="AU110" s="925">
        <f t="shared" ref="AU110:AU121" si="242">IF(OR(AS110=0,AT110=0),$AB$221/3,((MAX(AS110:AT110)-(MIN(AS110:AT110)))))</f>
        <v>3.3333333333333332E-4</v>
      </c>
      <c r="AV110" s="1061">
        <f>IF(AV109&lt;=AR111,AR110,IF(AV109&lt;=AR112,AR111,IF(AV109&lt;=AR113,AR112,IF(AV109&lt;=AR114,AR113,IF(AV109&lt;=AR115,AR114)))))</f>
        <v>2</v>
      </c>
      <c r="AW110" s="929"/>
      <c r="AX110" s="939">
        <v>-20</v>
      </c>
      <c r="AY110" s="891">
        <f t="shared" ref="AY110:AY121" si="243">AC209</f>
        <v>0.52</v>
      </c>
      <c r="AZ110" s="940"/>
      <c r="BA110" s="925">
        <f t="shared" ref="BA110:BA121" si="244">IF(OR(AY110=0,AZ110=0),$AC$221/3,((MAX(AY110:AZ110)-(MIN(AY110:AZ110)))))</f>
        <v>0.26333333333333336</v>
      </c>
      <c r="BB110" s="1061">
        <f>IF(BB109&lt;=AX111,AX110,IF(BB109&lt;=AX112,AX111,IF(BB109&lt;=AX113,AX112,IF(BB109&lt;=AX114,AX113,IF(BB109&lt;=AX115,AX114)))))</f>
        <v>2</v>
      </c>
      <c r="BC110" s="929"/>
      <c r="BD110" s="939">
        <v>-20</v>
      </c>
      <c r="BE110" s="891">
        <f t="shared" ref="BE110:BE121" si="245">AD209</f>
        <v>1E-3</v>
      </c>
      <c r="BF110" s="940"/>
      <c r="BG110" s="925">
        <f t="shared" ref="BG110:BG121" si="246">IF(OR(BE110=0,BF110=0),$AD$221/3,((MAX(BE110:BF110)-(MIN(BE110:BF110)))))</f>
        <v>3.3333333333333332E-4</v>
      </c>
      <c r="BH110" s="1061">
        <f>IF(BH109&lt;=BD111,BD110,IF(BH109&lt;=BD112,BD111,IF(BH109&lt;=BD113,BD112,IF(BH109&lt;=BD114,BD113,IF(BH109&lt;=BD115,BD114)))))</f>
        <v>2</v>
      </c>
      <c r="BI110" s="929"/>
      <c r="BJ110" s="939">
        <v>-20</v>
      </c>
      <c r="BK110" s="891">
        <f t="shared" ref="BK110:BK121" si="247">AE209</f>
        <v>0.52</v>
      </c>
      <c r="BL110" s="940"/>
      <c r="BM110" s="925">
        <f t="shared" ref="BM110:BM121" si="248">IF(OR(BK110=0,BL110=0),$AE$221/3,((MAX(BK110:BL110)-(MIN(BK110:BL110)))))</f>
        <v>0.26333333333333336</v>
      </c>
      <c r="BN110" s="1061">
        <f>IF(BN109&lt;=BJ111,BJ110,IF(BN109&lt;=BJ112,BJ111,IF(BN109&lt;=BJ113,BJ112,IF(BN109&lt;=BJ114,BJ113,IF(BN109&lt;=BJ115,BJ114)))))</f>
        <v>2</v>
      </c>
      <c r="BO110" s="929"/>
      <c r="BP110" s="939">
        <v>-20</v>
      </c>
      <c r="BQ110" s="891">
        <f t="shared" ref="BQ110:BQ121" si="249">AF209</f>
        <v>1E-3</v>
      </c>
      <c r="BR110" s="940"/>
      <c r="BS110" s="925">
        <f t="shared" ref="BS110:BS121" si="250">IF(OR(BQ110=0,BR110=0),$AF$221/3,((MAX(BQ110:BR110)-(MIN(BQ110:BR110)))))</f>
        <v>3.3333333333333332E-4</v>
      </c>
      <c r="BT110" s="1061">
        <f>IF(BT109&lt;=BP111,BP110,IF(BT109&lt;=BP112,BP111,IF(BT109&lt;=BP113,BP112,IF(BT109&lt;=BP114,BP113,IF(BT109&lt;=BP115,BP114)))))</f>
        <v>2</v>
      </c>
      <c r="BU110" s="929"/>
      <c r="BV110" s="939">
        <v>-20</v>
      </c>
      <c r="BW110" s="891">
        <f t="shared" ref="BW110:BW121" si="251">AG209</f>
        <v>16</v>
      </c>
      <c r="BX110" s="940"/>
      <c r="BY110" s="925">
        <f t="shared" ref="BY110:BY121" si="252">IF(OR(BW110=0,BX110=0),$AG$221/3,((MAX(BW110:BX110)-(MIN(BW110:BX110)))))</f>
        <v>9.3333333333333339</v>
      </c>
      <c r="BZ110" s="1061">
        <f>IF(BZ109&lt;=BV111,BV110,IF(BZ109&lt;=BV112,BV111,IF(BZ109&lt;=BV113,BV112,IF(BZ109&lt;=BV114,BV113,IF(BZ109&lt;=BV115,BV114)))))</f>
        <v>2</v>
      </c>
      <c r="CA110" s="929"/>
      <c r="CB110" s="939">
        <v>-20</v>
      </c>
      <c r="CC110" s="891">
        <f t="shared" si="224"/>
        <v>-0.7</v>
      </c>
      <c r="CD110" s="940"/>
      <c r="CE110" s="925">
        <f t="shared" ref="CE110:CE121" si="253">CE95</f>
        <v>0.13333333333333333</v>
      </c>
      <c r="CF110" s="1061">
        <f>IF(CF109&lt;=CB111,CB110,IF(CF109&lt;=CB112,CB111,IF(CF109&lt;=CB113,CB112,IF(CF109&lt;=CB114,CB113,IF(CF109&lt;=CB115,CB114)))))</f>
        <v>2</v>
      </c>
      <c r="CG110" s="954"/>
      <c r="CH110" s="939">
        <v>-20</v>
      </c>
      <c r="CI110" s="891">
        <f t="shared" si="225"/>
        <v>-1.5E-3</v>
      </c>
      <c r="CJ110" s="940"/>
      <c r="CK110" s="925">
        <f t="shared" ref="CK110:CK121" si="254">CK95</f>
        <v>7.3333333333333334E-2</v>
      </c>
      <c r="CL110" s="1061">
        <f>IF(CL109&lt;=CH111,CH110,IF(CL109&lt;=CH112,CH111,IF(CL109&lt;=CH113,CH112,IF(CL109&lt;=CH114,CH113,IF(CL109&lt;=CH115,CH114)))))</f>
        <v>2</v>
      </c>
      <c r="CN110" s="939">
        <v>-20</v>
      </c>
      <c r="CO110" s="891">
        <f t="shared" si="226"/>
        <v>-1.8</v>
      </c>
      <c r="CP110" s="940"/>
      <c r="CQ110" s="925">
        <f t="shared" ref="CQ110:CQ121" si="255">CQ95</f>
        <v>0.25666666666666665</v>
      </c>
      <c r="CR110" s="1061">
        <f>IF(CR109&lt;=CN111,CN110,IF(CR109&lt;=CN112,CN111,IF(CR109&lt;=CN113,CN112,IF(CR109&lt;=CN114,CN113,IF(CR109&lt;=CN115,CN114)))))</f>
        <v>2</v>
      </c>
    </row>
    <row r="111" spans="2:96">
      <c r="B111" s="939">
        <v>-15</v>
      </c>
      <c r="C111" s="891">
        <v>-1.2999999999999999E-3</v>
      </c>
      <c r="D111" s="891">
        <f t="shared" si="227"/>
        <v>-0.4</v>
      </c>
      <c r="E111" s="925">
        <f t="shared" si="228"/>
        <v>0.3987</v>
      </c>
      <c r="F111" s="1056"/>
      <c r="G111" s="942"/>
      <c r="H111" s="939">
        <v>-15</v>
      </c>
      <c r="I111" s="891">
        <v>-1.6999999999999999E-3</v>
      </c>
      <c r="J111" s="940">
        <f t="shared" si="229"/>
        <v>-0.61</v>
      </c>
      <c r="K111" s="925">
        <f t="shared" si="230"/>
        <v>0.60829999999999995</v>
      </c>
      <c r="L111" s="1056"/>
      <c r="M111" s="942"/>
      <c r="N111" s="939">
        <v>-15</v>
      </c>
      <c r="O111" s="940"/>
      <c r="P111" s="940">
        <f t="shared" si="231"/>
        <v>-0.47</v>
      </c>
      <c r="Q111" s="925">
        <f t="shared" si="232"/>
        <v>0.13</v>
      </c>
      <c r="R111" s="1056"/>
      <c r="S111" s="929"/>
      <c r="T111" s="939">
        <v>-15</v>
      </c>
      <c r="U111" s="891">
        <f t="shared" si="233"/>
        <v>1E-3</v>
      </c>
      <c r="V111" s="940"/>
      <c r="W111" s="925">
        <f t="shared" si="234"/>
        <v>3.3333333333333332E-4</v>
      </c>
      <c r="X111" s="1056"/>
      <c r="Y111" s="929"/>
      <c r="Z111" s="939">
        <v>-15</v>
      </c>
      <c r="AA111" s="891">
        <f t="shared" si="235"/>
        <v>1E-3</v>
      </c>
      <c r="AB111" s="940"/>
      <c r="AC111" s="925">
        <f t="shared" si="236"/>
        <v>3.3333333333333332E-4</v>
      </c>
      <c r="AD111" s="1056"/>
      <c r="AE111" s="929"/>
      <c r="AF111" s="939">
        <v>-15</v>
      </c>
      <c r="AG111" s="891">
        <f t="shared" si="237"/>
        <v>1E-3</v>
      </c>
      <c r="AH111" s="940"/>
      <c r="AI111" s="925">
        <f t="shared" si="238"/>
        <v>0.3066666666666667</v>
      </c>
      <c r="AJ111" s="1056"/>
      <c r="AK111" s="929"/>
      <c r="AL111" s="939">
        <v>-15</v>
      </c>
      <c r="AM111" s="891">
        <f t="shared" si="239"/>
        <v>1E-3</v>
      </c>
      <c r="AN111" s="940"/>
      <c r="AO111" s="925">
        <f t="shared" si="240"/>
        <v>3.3333333333333332E-4</v>
      </c>
      <c r="AP111" s="1056"/>
      <c r="AQ111" s="929"/>
      <c r="AR111" s="939">
        <v>-15</v>
      </c>
      <c r="AS111" s="891">
        <f t="shared" si="241"/>
        <v>1E-3</v>
      </c>
      <c r="AT111" s="940"/>
      <c r="AU111" s="925">
        <f t="shared" si="242"/>
        <v>3.3333333333333332E-4</v>
      </c>
      <c r="AV111" s="1056"/>
      <c r="AW111" s="929"/>
      <c r="AX111" s="939">
        <v>-15</v>
      </c>
      <c r="AY111" s="891">
        <f t="shared" si="243"/>
        <v>1E-3</v>
      </c>
      <c r="AZ111" s="940"/>
      <c r="BA111" s="925">
        <f t="shared" si="244"/>
        <v>0.26333333333333336</v>
      </c>
      <c r="BB111" s="1056"/>
      <c r="BC111" s="929"/>
      <c r="BD111" s="939">
        <v>-15</v>
      </c>
      <c r="BE111" s="891">
        <f t="shared" si="245"/>
        <v>1E-3</v>
      </c>
      <c r="BF111" s="940"/>
      <c r="BG111" s="925">
        <f t="shared" si="246"/>
        <v>3.3333333333333332E-4</v>
      </c>
      <c r="BH111" s="1056"/>
      <c r="BI111" s="929"/>
      <c r="BJ111" s="939">
        <v>-15</v>
      </c>
      <c r="BK111" s="891">
        <f t="shared" si="247"/>
        <v>1E-3</v>
      </c>
      <c r="BL111" s="940"/>
      <c r="BM111" s="925">
        <f t="shared" si="248"/>
        <v>0.26333333333333336</v>
      </c>
      <c r="BN111" s="1056"/>
      <c r="BO111" s="929"/>
      <c r="BP111" s="939">
        <v>-15</v>
      </c>
      <c r="BQ111" s="891">
        <f t="shared" si="249"/>
        <v>1E-3</v>
      </c>
      <c r="BR111" s="940"/>
      <c r="BS111" s="925">
        <f t="shared" si="250"/>
        <v>3.3333333333333332E-4</v>
      </c>
      <c r="BT111" s="1056"/>
      <c r="BU111" s="929"/>
      <c r="BV111" s="939">
        <v>-15</v>
      </c>
      <c r="BW111" s="891">
        <f t="shared" si="251"/>
        <v>17</v>
      </c>
      <c r="BX111" s="940"/>
      <c r="BY111" s="925">
        <f t="shared" si="252"/>
        <v>9.3333333333333339</v>
      </c>
      <c r="BZ111" s="1056"/>
      <c r="CA111" s="929"/>
      <c r="CB111" s="939">
        <v>-15</v>
      </c>
      <c r="CC111" s="891">
        <f t="shared" si="224"/>
        <v>-0.7</v>
      </c>
      <c r="CD111" s="940"/>
      <c r="CE111" s="925">
        <f t="shared" si="253"/>
        <v>0.13333333333333333</v>
      </c>
      <c r="CF111" s="1056"/>
      <c r="CG111" s="955"/>
      <c r="CH111" s="939">
        <v>-15</v>
      </c>
      <c r="CI111" s="891">
        <f t="shared" si="225"/>
        <v>1E-3</v>
      </c>
      <c r="CJ111" s="940"/>
      <c r="CK111" s="925">
        <f t="shared" si="254"/>
        <v>7.3333333333333334E-2</v>
      </c>
      <c r="CL111" s="1056"/>
      <c r="CN111" s="939">
        <v>-15</v>
      </c>
      <c r="CO111" s="891">
        <f t="shared" si="226"/>
        <v>-1.52</v>
      </c>
      <c r="CP111" s="940"/>
      <c r="CQ111" s="925">
        <f t="shared" si="255"/>
        <v>0.25666666666666665</v>
      </c>
      <c r="CR111" s="1056"/>
    </row>
    <row r="112" spans="2:96">
      <c r="B112" s="939">
        <v>-10</v>
      </c>
      <c r="C112" s="891">
        <v>-1.1000000000000001E-3</v>
      </c>
      <c r="D112" s="891">
        <f t="shared" si="227"/>
        <v>-0.33</v>
      </c>
      <c r="E112" s="925">
        <f t="shared" si="228"/>
        <v>0.32890000000000003</v>
      </c>
      <c r="F112" s="1061">
        <f>IF(F109&lt;=B110,B110,IF(F109&lt;=B111,B111,IF(F109&lt;=B112,B112,IF(F109&lt;=B113,B113,IF(F109&lt;=B114,B114,IF(F109&lt;=B115,B115))))))</f>
        <v>8</v>
      </c>
      <c r="G112" s="942"/>
      <c r="H112" s="939">
        <v>-10</v>
      </c>
      <c r="I112" s="891">
        <v>-1.5E-3</v>
      </c>
      <c r="J112" s="940">
        <f t="shared" si="229"/>
        <v>1E-3</v>
      </c>
      <c r="K112" s="925">
        <f t="shared" si="230"/>
        <v>2.5000000000000001E-3</v>
      </c>
      <c r="L112" s="1061">
        <f>IF(L109&lt;=H110,H110,IF(L109&lt;=H111,H111,IF(L109&lt;=H112,H112,IF(L109&lt;=H113,H113,IF(L109&lt;=H114,H114,IF(L109&lt;=H115,H115))))))</f>
        <v>8</v>
      </c>
      <c r="M112" s="942"/>
      <c r="N112" s="939">
        <v>-10</v>
      </c>
      <c r="O112" s="940"/>
      <c r="P112" s="940">
        <f t="shared" si="231"/>
        <v>-0.39</v>
      </c>
      <c r="Q112" s="925">
        <f t="shared" si="232"/>
        <v>0.13</v>
      </c>
      <c r="R112" s="1061">
        <f>IF(R109&lt;=N110,N110,IF(R109&lt;=N111,N111,IF(R109&lt;=N112,N112,IF(R109&lt;=N113,N113,IF(R109&lt;=N114,N114,IF(R109&lt;=N115,N115))))))</f>
        <v>8</v>
      </c>
      <c r="S112" s="929"/>
      <c r="T112" s="939">
        <v>-10</v>
      </c>
      <c r="U112" s="891">
        <f t="shared" si="233"/>
        <v>1E-3</v>
      </c>
      <c r="V112" s="940"/>
      <c r="W112" s="925">
        <f t="shared" si="234"/>
        <v>3.3333333333333332E-4</v>
      </c>
      <c r="X112" s="1061">
        <f>IF(X109&lt;=T110,T110,IF(X109&lt;=T111,T111,IF(X109&lt;=T112,T112,IF(X109&lt;=T113,T113,IF(X109&lt;=T114,T114,IF(X109&lt;=T115,T115))))))</f>
        <v>8</v>
      </c>
      <c r="Y112" s="929"/>
      <c r="Z112" s="939">
        <v>-10</v>
      </c>
      <c r="AA112" s="891">
        <f t="shared" si="235"/>
        <v>1E-3</v>
      </c>
      <c r="AB112" s="940"/>
      <c r="AC112" s="925">
        <f t="shared" si="236"/>
        <v>3.3333333333333332E-4</v>
      </c>
      <c r="AD112" s="1061">
        <f>IF(AD109&lt;=Z110,Z110,IF(AD109&lt;=Z111,Z111,IF(AD109&lt;=Z112,Z112,IF(AD109&lt;=Z113,Z113,IF(AD109&lt;=Z114,Z114,IF(AD109&lt;=Z115,Z115))))))</f>
        <v>8</v>
      </c>
      <c r="AE112" s="929"/>
      <c r="AF112" s="939">
        <v>-10</v>
      </c>
      <c r="AG112" s="891">
        <f t="shared" si="237"/>
        <v>1.2999999999999999E-3</v>
      </c>
      <c r="AH112" s="940"/>
      <c r="AI112" s="925">
        <f t="shared" si="238"/>
        <v>0.3066666666666667</v>
      </c>
      <c r="AJ112" s="1061">
        <f>IF(AJ109&lt;=AF110,AF110,IF(AJ109&lt;=AF111,AF111,IF(AJ109&lt;=AF112,AF112,IF(AJ109&lt;=AF113,AF113,IF(AJ109&lt;=AF114,AF114,IF(AJ109&lt;=AF115,AF115))))))</f>
        <v>8</v>
      </c>
      <c r="AK112" s="929"/>
      <c r="AL112" s="939">
        <v>-10</v>
      </c>
      <c r="AM112" s="891">
        <f t="shared" si="239"/>
        <v>1E-3</v>
      </c>
      <c r="AN112" s="940"/>
      <c r="AO112" s="925">
        <f t="shared" si="240"/>
        <v>3.3333333333333332E-4</v>
      </c>
      <c r="AP112" s="1061">
        <f>IF(AP109&lt;=AL110,AL110,IF(AP109&lt;=AL111,AL111,IF(AP109&lt;=AL112,AL112,IF(AP109&lt;=AL113,AL113,IF(AP109&lt;=AL114,AL114,IF(AP109&lt;=AL115,AL115))))))</f>
        <v>8</v>
      </c>
      <c r="AQ112" s="929"/>
      <c r="AR112" s="939">
        <v>-10</v>
      </c>
      <c r="AS112" s="891">
        <f t="shared" si="241"/>
        <v>1E-3</v>
      </c>
      <c r="AT112" s="940"/>
      <c r="AU112" s="925">
        <f t="shared" si="242"/>
        <v>3.3333333333333332E-4</v>
      </c>
      <c r="AV112" s="1061">
        <f>IF(AV109&lt;=AR110,AR110,IF(AV109&lt;=AR111,AR111,IF(AV109&lt;=AR112,AR112,IF(AV109&lt;=AR113,AR113,IF(AV109&lt;=AR114,AR114,IF(AV109&lt;=AR115,AR115))))))</f>
        <v>8</v>
      </c>
      <c r="AW112" s="929"/>
      <c r="AX112" s="939">
        <v>-10</v>
      </c>
      <c r="AY112" s="891">
        <f t="shared" si="243"/>
        <v>0.5</v>
      </c>
      <c r="AZ112" s="940"/>
      <c r="BA112" s="925">
        <f t="shared" si="244"/>
        <v>0.26333333333333336</v>
      </c>
      <c r="BB112" s="1061">
        <f>IF(BB109&lt;=AX110,AX110,IF(BB109&lt;=AX111,AX111,IF(BB109&lt;=AX112,AX112,IF(BB109&lt;=AX113,AX113,IF(BB109&lt;=AX114,AX114,IF(BB109&lt;=AX115,AX115))))))</f>
        <v>8</v>
      </c>
      <c r="BC112" s="929"/>
      <c r="BD112" s="939">
        <v>-10</v>
      </c>
      <c r="BE112" s="891">
        <f t="shared" si="245"/>
        <v>1E-3</v>
      </c>
      <c r="BF112" s="940"/>
      <c r="BG112" s="925">
        <f t="shared" si="246"/>
        <v>3.3333333333333332E-4</v>
      </c>
      <c r="BH112" s="1061">
        <f>IF(BH109&lt;=BD110,BD110,IF(BH109&lt;=BD111,BD111,IF(BH109&lt;=BD112,BD112,IF(BH109&lt;=BD113,BD113,IF(BH109&lt;=BD114,BD114,IF(BH109&lt;=BD115,BD115))))))</f>
        <v>8</v>
      </c>
      <c r="BI112" s="929"/>
      <c r="BJ112" s="939">
        <v>-10</v>
      </c>
      <c r="BK112" s="891">
        <f t="shared" si="247"/>
        <v>0.5</v>
      </c>
      <c r="BL112" s="940"/>
      <c r="BM112" s="925">
        <f t="shared" si="248"/>
        <v>0.26333333333333336</v>
      </c>
      <c r="BN112" s="1061">
        <f>IF(BN109&lt;=BJ110,BJ110,IF(BN109&lt;=BJ111,BJ111,IF(BN109&lt;=BJ112,BJ112,IF(BN109&lt;=BJ113,BJ113,IF(BN109&lt;=BJ114,BJ114,IF(BN109&lt;=BJ115,BJ115))))))</f>
        <v>8</v>
      </c>
      <c r="BO112" s="929"/>
      <c r="BP112" s="939">
        <v>-10</v>
      </c>
      <c r="BQ112" s="891">
        <f t="shared" si="249"/>
        <v>1E-3</v>
      </c>
      <c r="BR112" s="940"/>
      <c r="BS112" s="925">
        <f t="shared" si="250"/>
        <v>3.3333333333333332E-4</v>
      </c>
      <c r="BT112" s="1061">
        <f>IF(BT109&lt;=BP110,BP110,IF(BT109&lt;=BP111,BP111,IF(BT109&lt;=BP112,BP112,IF(BT109&lt;=BP113,BP113,IF(BT109&lt;=BP114,BP114,IF(BT109&lt;=BP115,BP115))))))</f>
        <v>8</v>
      </c>
      <c r="BU112" s="929"/>
      <c r="BV112" s="939">
        <v>-10</v>
      </c>
      <c r="BW112" s="891">
        <f t="shared" si="251"/>
        <v>18</v>
      </c>
      <c r="BX112" s="940"/>
      <c r="BY112" s="925">
        <f t="shared" si="252"/>
        <v>9.3333333333333339</v>
      </c>
      <c r="BZ112" s="1061">
        <f>IF(BZ109&lt;=BV110,BV110,IF(BZ109&lt;=BV111,BV111,IF(BZ109&lt;=BV112,BV112,IF(BZ109&lt;=BV113,BV113,IF(BZ109&lt;=BV114,BV114,IF(BZ109&lt;=BV115,BV115))))))</f>
        <v>8</v>
      </c>
      <c r="CA112" s="929"/>
      <c r="CB112" s="939">
        <v>-10</v>
      </c>
      <c r="CC112" s="891">
        <f t="shared" si="224"/>
        <v>-0.7</v>
      </c>
      <c r="CD112" s="940"/>
      <c r="CE112" s="925">
        <f t="shared" si="253"/>
        <v>0.13333333333333333</v>
      </c>
      <c r="CF112" s="1061">
        <f>IF(CF109&lt;=CB110,CB110,IF(CF109&lt;=CB111,CB111,IF(CF109&lt;=CB112,CB112,IF(CF109&lt;=CB113,CB113,IF(CF109&lt;=CB114,CB114,IF(CF109&lt;=CB115,CB115))))))</f>
        <v>8</v>
      </c>
      <c r="CG112" s="956"/>
      <c r="CH112" s="939">
        <v>-10</v>
      </c>
      <c r="CI112" s="891">
        <f t="shared" si="225"/>
        <v>-0.05</v>
      </c>
      <c r="CJ112" s="940"/>
      <c r="CK112" s="925">
        <f t="shared" si="254"/>
        <v>7.3333333333333334E-2</v>
      </c>
      <c r="CL112" s="1061">
        <f>IF(CL109&lt;=CH110,CH110,IF(CL109&lt;=CH111,CH111,IF(CL109&lt;=CH112,CH112,IF(CL109&lt;=CH113,CH113,IF(CL109&lt;=CH114,CH114,IF(CL109&lt;=CH115,CH115))))))</f>
        <v>8</v>
      </c>
      <c r="CN112" s="939">
        <v>-10</v>
      </c>
      <c r="CO112" s="891">
        <f t="shared" si="226"/>
        <v>-1.26</v>
      </c>
      <c r="CP112" s="940"/>
      <c r="CQ112" s="925">
        <f t="shared" si="255"/>
        <v>0.25666666666666665</v>
      </c>
      <c r="CR112" s="1061">
        <f>IF(CR109&lt;=CN110,CN110,IF(CR109&lt;=CN111,CN111,IF(CR109&lt;=CN112,CN112,IF(CR109&lt;=CN113,CN113,IF(CR109&lt;=CN114,CN114,IF(CR109&lt;=CN115,CN115))))))</f>
        <v>8</v>
      </c>
    </row>
    <row r="113" spans="2:96">
      <c r="B113" s="939">
        <v>1E-3</v>
      </c>
      <c r="C113" s="891">
        <v>-0.06</v>
      </c>
      <c r="D113" s="891">
        <f t="shared" si="227"/>
        <v>-0.2</v>
      </c>
      <c r="E113" s="925">
        <f t="shared" si="228"/>
        <v>0.14000000000000001</v>
      </c>
      <c r="F113" s="1056"/>
      <c r="G113" s="942"/>
      <c r="H113" s="939">
        <v>1E-3</v>
      </c>
      <c r="I113" s="891">
        <v>-1.1000000000000001E-3</v>
      </c>
      <c r="J113" s="940">
        <f t="shared" si="229"/>
        <v>-0.28999999999999998</v>
      </c>
      <c r="K113" s="925">
        <f t="shared" si="230"/>
        <v>0.28889999999999999</v>
      </c>
      <c r="L113" s="1056"/>
      <c r="M113" s="942"/>
      <c r="N113" s="939">
        <v>1E-3</v>
      </c>
      <c r="O113" s="940"/>
      <c r="P113" s="940">
        <f t="shared" si="231"/>
        <v>-0.33</v>
      </c>
      <c r="Q113" s="925">
        <f t="shared" si="232"/>
        <v>0.13</v>
      </c>
      <c r="R113" s="1056"/>
      <c r="S113" s="929"/>
      <c r="T113" s="939">
        <v>1E-3</v>
      </c>
      <c r="U113" s="891">
        <f t="shared" si="233"/>
        <v>1E-3</v>
      </c>
      <c r="V113" s="940"/>
      <c r="W113" s="925">
        <f t="shared" si="234"/>
        <v>3.3333333333333332E-4</v>
      </c>
      <c r="X113" s="1056"/>
      <c r="Y113" s="929"/>
      <c r="Z113" s="939">
        <v>1E-3</v>
      </c>
      <c r="AA113" s="891">
        <f t="shared" si="235"/>
        <v>1E-3</v>
      </c>
      <c r="AB113" s="940"/>
      <c r="AC113" s="925">
        <f t="shared" si="236"/>
        <v>3.3333333333333332E-4</v>
      </c>
      <c r="AD113" s="1056"/>
      <c r="AE113" s="929"/>
      <c r="AF113" s="939">
        <v>1E-3</v>
      </c>
      <c r="AG113" s="891">
        <f t="shared" si="237"/>
        <v>0.32</v>
      </c>
      <c r="AH113" s="940"/>
      <c r="AI113" s="925">
        <f t="shared" si="238"/>
        <v>0.3066666666666667</v>
      </c>
      <c r="AJ113" s="1056"/>
      <c r="AK113" s="929"/>
      <c r="AL113" s="939">
        <v>1E-3</v>
      </c>
      <c r="AM113" s="891">
        <f t="shared" si="239"/>
        <v>1E-3</v>
      </c>
      <c r="AN113" s="940"/>
      <c r="AO113" s="925">
        <f t="shared" si="240"/>
        <v>3.3333333333333332E-4</v>
      </c>
      <c r="AP113" s="1056"/>
      <c r="AQ113" s="929"/>
      <c r="AR113" s="939">
        <v>1E-3</v>
      </c>
      <c r="AS113" s="891">
        <f t="shared" si="241"/>
        <v>1E-3</v>
      </c>
      <c r="AT113" s="940"/>
      <c r="AU113" s="925">
        <f t="shared" si="242"/>
        <v>3.3333333333333332E-4</v>
      </c>
      <c r="AV113" s="1056"/>
      <c r="AW113" s="929"/>
      <c r="AX113" s="939">
        <v>1E-3</v>
      </c>
      <c r="AY113" s="891">
        <f t="shared" si="243"/>
        <v>0.48</v>
      </c>
      <c r="AZ113" s="940"/>
      <c r="BA113" s="925">
        <f t="shared" si="244"/>
        <v>0.26333333333333336</v>
      </c>
      <c r="BB113" s="1056"/>
      <c r="BC113" s="929"/>
      <c r="BD113" s="939">
        <v>1E-3</v>
      </c>
      <c r="BE113" s="891">
        <f t="shared" si="245"/>
        <v>1E-3</v>
      </c>
      <c r="BF113" s="940"/>
      <c r="BG113" s="925">
        <f t="shared" si="246"/>
        <v>3.3333333333333332E-4</v>
      </c>
      <c r="BH113" s="1056"/>
      <c r="BI113" s="929"/>
      <c r="BJ113" s="939">
        <v>1E-3</v>
      </c>
      <c r="BK113" s="891">
        <f t="shared" si="247"/>
        <v>0.48</v>
      </c>
      <c r="BL113" s="940"/>
      <c r="BM113" s="925">
        <f t="shared" si="248"/>
        <v>0.26333333333333336</v>
      </c>
      <c r="BN113" s="1056"/>
      <c r="BO113" s="929"/>
      <c r="BP113" s="939">
        <v>1E-3</v>
      </c>
      <c r="BQ113" s="891">
        <f t="shared" si="249"/>
        <v>1E-3</v>
      </c>
      <c r="BR113" s="940"/>
      <c r="BS113" s="925">
        <f t="shared" si="250"/>
        <v>3.3333333333333332E-4</v>
      </c>
      <c r="BT113" s="1056"/>
      <c r="BU113" s="929"/>
      <c r="BV113" s="939">
        <v>1E-3</v>
      </c>
      <c r="BW113" s="891">
        <f t="shared" si="251"/>
        <v>19</v>
      </c>
      <c r="BX113" s="940"/>
      <c r="BY113" s="925">
        <f t="shared" si="252"/>
        <v>9.3333333333333339</v>
      </c>
      <c r="BZ113" s="1056"/>
      <c r="CA113" s="929"/>
      <c r="CB113" s="939">
        <v>1E-3</v>
      </c>
      <c r="CC113" s="891">
        <f t="shared" si="224"/>
        <v>-0.7</v>
      </c>
      <c r="CD113" s="940"/>
      <c r="CE113" s="925">
        <f t="shared" si="253"/>
        <v>0.13333333333333333</v>
      </c>
      <c r="CF113" s="1056"/>
      <c r="CG113" s="957"/>
      <c r="CH113" s="939">
        <v>1E-3</v>
      </c>
      <c r="CI113" s="891">
        <f t="shared" si="225"/>
        <v>0.03</v>
      </c>
      <c r="CJ113" s="940"/>
      <c r="CK113" s="925">
        <f t="shared" si="254"/>
        <v>7.3333333333333334E-2</v>
      </c>
      <c r="CL113" s="1056"/>
      <c r="CN113" s="939">
        <v>1E-3</v>
      </c>
      <c r="CO113" s="891">
        <f t="shared" si="226"/>
        <v>-0.79</v>
      </c>
      <c r="CP113" s="940"/>
      <c r="CQ113" s="925">
        <f t="shared" si="255"/>
        <v>0.25666666666666665</v>
      </c>
      <c r="CR113" s="1056"/>
    </row>
    <row r="114" spans="2:96">
      <c r="B114" s="939">
        <v>2</v>
      </c>
      <c r="C114" s="891">
        <v>-0.05</v>
      </c>
      <c r="D114" s="891">
        <f t="shared" si="227"/>
        <v>-1.8E-3</v>
      </c>
      <c r="E114" s="925">
        <f t="shared" si="228"/>
        <v>4.82E-2</v>
      </c>
      <c r="F114" s="1062">
        <f>LOOKUP(F110,B110:E121)</f>
        <v>4.82E-2</v>
      </c>
      <c r="G114" s="942"/>
      <c r="H114" s="939">
        <v>2</v>
      </c>
      <c r="I114" s="891">
        <v>-1E-3</v>
      </c>
      <c r="J114" s="940">
        <f t="shared" si="229"/>
        <v>-0.26</v>
      </c>
      <c r="K114" s="925">
        <f t="shared" si="230"/>
        <v>0.25900000000000001</v>
      </c>
      <c r="L114" s="1062">
        <f>LOOKUP(L110,H110:K121)</f>
        <v>0.25900000000000001</v>
      </c>
      <c r="M114" s="942"/>
      <c r="N114" s="939">
        <v>2</v>
      </c>
      <c r="O114" s="940"/>
      <c r="P114" s="940">
        <f t="shared" si="231"/>
        <v>-0.31</v>
      </c>
      <c r="Q114" s="925">
        <f t="shared" si="232"/>
        <v>0.13</v>
      </c>
      <c r="R114" s="1062">
        <f>LOOKUP(R110,N110:Q121)</f>
        <v>0.13</v>
      </c>
      <c r="S114" s="929"/>
      <c r="T114" s="939">
        <v>2</v>
      </c>
      <c r="U114" s="891">
        <f t="shared" si="233"/>
        <v>1E-3</v>
      </c>
      <c r="V114" s="940"/>
      <c r="W114" s="925">
        <f t="shared" si="234"/>
        <v>3.3333333333333332E-4</v>
      </c>
      <c r="X114" s="1062">
        <f>LOOKUP(X110,T110:W121)</f>
        <v>3.3333333333333332E-4</v>
      </c>
      <c r="Y114" s="929"/>
      <c r="Z114" s="939">
        <v>2</v>
      </c>
      <c r="AA114" s="891">
        <f t="shared" si="235"/>
        <v>1E-3</v>
      </c>
      <c r="AB114" s="940"/>
      <c r="AC114" s="925">
        <f t="shared" si="236"/>
        <v>3.3333333333333332E-4</v>
      </c>
      <c r="AD114" s="1062">
        <f>LOOKUP(AD110,Z110:AC121)</f>
        <v>3.3333333333333332E-4</v>
      </c>
      <c r="AE114" s="929"/>
      <c r="AF114" s="939">
        <v>2</v>
      </c>
      <c r="AG114" s="891">
        <f t="shared" si="237"/>
        <v>0.35</v>
      </c>
      <c r="AH114" s="940"/>
      <c r="AI114" s="925">
        <f t="shared" si="238"/>
        <v>0.3066666666666667</v>
      </c>
      <c r="AJ114" s="1062">
        <f>LOOKUP(AJ110,AF110:AI121)</f>
        <v>0.3066666666666667</v>
      </c>
      <c r="AK114" s="929"/>
      <c r="AL114" s="939">
        <v>2</v>
      </c>
      <c r="AM114" s="891">
        <f t="shared" si="239"/>
        <v>1E-3</v>
      </c>
      <c r="AN114" s="940"/>
      <c r="AO114" s="925">
        <f t="shared" si="240"/>
        <v>3.3333333333333332E-4</v>
      </c>
      <c r="AP114" s="1062">
        <f>LOOKUP(AP110,AL110:AO121)</f>
        <v>3.3333333333333332E-4</v>
      </c>
      <c r="AQ114" s="929"/>
      <c r="AR114" s="939">
        <v>2</v>
      </c>
      <c r="AS114" s="891">
        <f t="shared" si="241"/>
        <v>1E-3</v>
      </c>
      <c r="AT114" s="940"/>
      <c r="AU114" s="925">
        <f t="shared" si="242"/>
        <v>3.3333333333333332E-4</v>
      </c>
      <c r="AV114" s="1062">
        <f>LOOKUP(AV110,AR110:AU121)</f>
        <v>3.3333333333333332E-4</v>
      </c>
      <c r="AW114" s="929"/>
      <c r="AX114" s="939">
        <v>2</v>
      </c>
      <c r="AY114" s="891">
        <f t="shared" si="243"/>
        <v>0.48</v>
      </c>
      <c r="AZ114" s="940"/>
      <c r="BA114" s="925">
        <f t="shared" si="244"/>
        <v>0.26333333333333336</v>
      </c>
      <c r="BB114" s="1062">
        <f>LOOKUP(BB110,AX110:BA121)</f>
        <v>0.26333333333333336</v>
      </c>
      <c r="BC114" s="929"/>
      <c r="BD114" s="939">
        <v>2</v>
      </c>
      <c r="BE114" s="891">
        <f t="shared" si="245"/>
        <v>1E-3</v>
      </c>
      <c r="BF114" s="940"/>
      <c r="BG114" s="925">
        <f t="shared" si="246"/>
        <v>3.3333333333333332E-4</v>
      </c>
      <c r="BH114" s="1062">
        <f>LOOKUP(BH110,BD110:BG121)</f>
        <v>3.3333333333333332E-4</v>
      </c>
      <c r="BI114" s="929"/>
      <c r="BJ114" s="939">
        <v>2</v>
      </c>
      <c r="BK114" s="891">
        <f t="shared" si="247"/>
        <v>0.48</v>
      </c>
      <c r="BL114" s="940"/>
      <c r="BM114" s="925">
        <f t="shared" si="248"/>
        <v>0.26333333333333336</v>
      </c>
      <c r="BN114" s="1062">
        <f>LOOKUP(BN110,BJ110:BM121)</f>
        <v>0.26333333333333336</v>
      </c>
      <c r="BO114" s="929"/>
      <c r="BP114" s="939">
        <v>2</v>
      </c>
      <c r="BQ114" s="891">
        <f t="shared" si="249"/>
        <v>1E-3</v>
      </c>
      <c r="BR114" s="940"/>
      <c r="BS114" s="925">
        <f t="shared" si="250"/>
        <v>3.3333333333333332E-4</v>
      </c>
      <c r="BT114" s="1062">
        <f>LOOKUP(BT110,BP110:BS121)</f>
        <v>3.3333333333333332E-4</v>
      </c>
      <c r="BU114" s="929"/>
      <c r="BV114" s="939">
        <v>2</v>
      </c>
      <c r="BW114" s="891">
        <f t="shared" si="251"/>
        <v>20</v>
      </c>
      <c r="BX114" s="940"/>
      <c r="BY114" s="925">
        <f t="shared" si="252"/>
        <v>9.3333333333333339</v>
      </c>
      <c r="BZ114" s="1062">
        <f>LOOKUP(BZ110,BV110:BY121)</f>
        <v>9.3333333333333339</v>
      </c>
      <c r="CA114" s="929"/>
      <c r="CB114" s="939">
        <v>2</v>
      </c>
      <c r="CC114" s="891">
        <f t="shared" si="224"/>
        <v>-0.7</v>
      </c>
      <c r="CD114" s="940"/>
      <c r="CE114" s="925">
        <f t="shared" si="253"/>
        <v>0.13333333333333333</v>
      </c>
      <c r="CF114" s="1062">
        <f>LOOKUP(CF110,CB110:CE121)</f>
        <v>0.13333333333333333</v>
      </c>
      <c r="CG114" s="958"/>
      <c r="CH114" s="939">
        <v>2</v>
      </c>
      <c r="CI114" s="891">
        <f t="shared" si="225"/>
        <v>0.04</v>
      </c>
      <c r="CJ114" s="940"/>
      <c r="CK114" s="925">
        <f t="shared" si="254"/>
        <v>7.3333333333333334E-2</v>
      </c>
      <c r="CL114" s="1062">
        <f>LOOKUP(CL110,CH110:CK121)</f>
        <v>7.3333333333333334E-2</v>
      </c>
      <c r="CN114" s="939">
        <v>2</v>
      </c>
      <c r="CO114" s="891">
        <f t="shared" si="226"/>
        <v>-2.7</v>
      </c>
      <c r="CP114" s="940"/>
      <c r="CQ114" s="925">
        <f t="shared" si="255"/>
        <v>0.25666666666666665</v>
      </c>
      <c r="CR114" s="1062">
        <f>LOOKUP(CR110,CN110:CQ121)</f>
        <v>0.25666666666666665</v>
      </c>
    </row>
    <row r="115" spans="2:96">
      <c r="B115" s="939">
        <v>8</v>
      </c>
      <c r="C115" s="891">
        <v>-0.03</v>
      </c>
      <c r="D115" s="891">
        <f t="shared" si="227"/>
        <v>-1.1000000000000001E-3</v>
      </c>
      <c r="E115" s="925">
        <f t="shared" si="228"/>
        <v>2.8899999999999999E-2</v>
      </c>
      <c r="F115" s="1056"/>
      <c r="G115" s="942"/>
      <c r="H115" s="939">
        <v>8</v>
      </c>
      <c r="I115" s="891">
        <v>-7.0000000000000007E-2</v>
      </c>
      <c r="J115" s="940">
        <f t="shared" si="229"/>
        <v>-1.6000000000000001E-3</v>
      </c>
      <c r="K115" s="925">
        <f t="shared" si="230"/>
        <v>6.8400000000000002E-2</v>
      </c>
      <c r="L115" s="1056"/>
      <c r="M115" s="942"/>
      <c r="N115" s="939">
        <v>8</v>
      </c>
      <c r="O115" s="940"/>
      <c r="P115" s="940">
        <f t="shared" si="231"/>
        <v>-1.8E-3</v>
      </c>
      <c r="Q115" s="925">
        <f t="shared" si="232"/>
        <v>0.13</v>
      </c>
      <c r="R115" s="1056"/>
      <c r="S115" s="929"/>
      <c r="T115" s="939">
        <v>8</v>
      </c>
      <c r="U115" s="891">
        <f t="shared" si="233"/>
        <v>1E-3</v>
      </c>
      <c r="V115" s="940"/>
      <c r="W115" s="925">
        <f t="shared" si="234"/>
        <v>3.3333333333333332E-4</v>
      </c>
      <c r="X115" s="1056"/>
      <c r="Y115" s="929"/>
      <c r="Z115" s="939">
        <v>8</v>
      </c>
      <c r="AA115" s="891">
        <f t="shared" si="235"/>
        <v>1E-3</v>
      </c>
      <c r="AB115" s="940"/>
      <c r="AC115" s="925">
        <f t="shared" si="236"/>
        <v>3.3333333333333332E-4</v>
      </c>
      <c r="AD115" s="1056"/>
      <c r="AE115" s="929"/>
      <c r="AF115" s="939">
        <v>8</v>
      </c>
      <c r="AG115" s="891">
        <f t="shared" si="237"/>
        <v>0.44</v>
      </c>
      <c r="AH115" s="940"/>
      <c r="AI115" s="925">
        <f t="shared" si="238"/>
        <v>0.3066666666666667</v>
      </c>
      <c r="AJ115" s="1056"/>
      <c r="AK115" s="929"/>
      <c r="AL115" s="939">
        <v>8</v>
      </c>
      <c r="AM115" s="891">
        <f t="shared" si="239"/>
        <v>1E-3</v>
      </c>
      <c r="AN115" s="940"/>
      <c r="AO115" s="925">
        <f t="shared" si="240"/>
        <v>3.3333333333333332E-4</v>
      </c>
      <c r="AP115" s="1056"/>
      <c r="AQ115" s="929"/>
      <c r="AR115" s="939">
        <v>8</v>
      </c>
      <c r="AS115" s="891">
        <f t="shared" si="241"/>
        <v>1E-3</v>
      </c>
      <c r="AT115" s="940"/>
      <c r="AU115" s="925">
        <f t="shared" si="242"/>
        <v>3.3333333333333332E-4</v>
      </c>
      <c r="AV115" s="1056"/>
      <c r="AW115" s="929"/>
      <c r="AX115" s="939">
        <v>8</v>
      </c>
      <c r="AY115" s="891">
        <f t="shared" si="243"/>
        <v>0.46</v>
      </c>
      <c r="AZ115" s="940"/>
      <c r="BA115" s="925">
        <f t="shared" si="244"/>
        <v>0.26333333333333336</v>
      </c>
      <c r="BB115" s="1056"/>
      <c r="BC115" s="929"/>
      <c r="BD115" s="939">
        <v>8</v>
      </c>
      <c r="BE115" s="891">
        <f t="shared" si="245"/>
        <v>1E-3</v>
      </c>
      <c r="BF115" s="940"/>
      <c r="BG115" s="925">
        <f t="shared" si="246"/>
        <v>3.3333333333333332E-4</v>
      </c>
      <c r="BH115" s="1056"/>
      <c r="BI115" s="929"/>
      <c r="BJ115" s="939">
        <v>8</v>
      </c>
      <c r="BK115" s="891">
        <f t="shared" si="247"/>
        <v>0.46</v>
      </c>
      <c r="BL115" s="940"/>
      <c r="BM115" s="925">
        <f t="shared" si="248"/>
        <v>0.26333333333333336</v>
      </c>
      <c r="BN115" s="1056"/>
      <c r="BO115" s="929"/>
      <c r="BP115" s="939">
        <v>8</v>
      </c>
      <c r="BQ115" s="891">
        <f t="shared" si="249"/>
        <v>1E-3</v>
      </c>
      <c r="BR115" s="940"/>
      <c r="BS115" s="925">
        <f t="shared" si="250"/>
        <v>3.3333333333333332E-4</v>
      </c>
      <c r="BT115" s="1056"/>
      <c r="BU115" s="929"/>
      <c r="BV115" s="939">
        <v>8</v>
      </c>
      <c r="BW115" s="891">
        <f t="shared" si="251"/>
        <v>21</v>
      </c>
      <c r="BX115" s="940"/>
      <c r="BY115" s="925">
        <f t="shared" si="252"/>
        <v>9.3333333333333339</v>
      </c>
      <c r="BZ115" s="1056"/>
      <c r="CA115" s="929"/>
      <c r="CB115" s="939">
        <v>8</v>
      </c>
      <c r="CC115" s="891">
        <f t="shared" si="224"/>
        <v>-0.7</v>
      </c>
      <c r="CD115" s="940"/>
      <c r="CE115" s="925">
        <f t="shared" si="253"/>
        <v>0.13333333333333333</v>
      </c>
      <c r="CF115" s="1056"/>
      <c r="CG115" s="958"/>
      <c r="CH115" s="939">
        <v>8</v>
      </c>
      <c r="CI115" s="891">
        <f t="shared" si="225"/>
        <v>0.08</v>
      </c>
      <c r="CJ115" s="940"/>
      <c r="CK115" s="925">
        <f t="shared" si="254"/>
        <v>7.3333333333333334E-2</v>
      </c>
      <c r="CL115" s="1056"/>
      <c r="CN115" s="939">
        <v>8</v>
      </c>
      <c r="CO115" s="891">
        <f t="shared" si="226"/>
        <v>-0.46</v>
      </c>
      <c r="CP115" s="940"/>
      <c r="CQ115" s="925">
        <f t="shared" si="255"/>
        <v>0.25666666666666665</v>
      </c>
      <c r="CR115" s="1056"/>
    </row>
    <row r="116" spans="2:96">
      <c r="B116" s="939">
        <v>37</v>
      </c>
      <c r="C116" s="891">
        <v>0.06</v>
      </c>
      <c r="D116" s="891">
        <f t="shared" si="227"/>
        <v>1.1000000000000001E-3</v>
      </c>
      <c r="E116" s="925">
        <f t="shared" si="228"/>
        <v>5.8900000000000001E-2</v>
      </c>
      <c r="F116" s="1062">
        <f>LOOKUP(F112,B110:E121)</f>
        <v>2.8899999999999999E-2</v>
      </c>
      <c r="G116" s="942"/>
      <c r="H116" s="939">
        <v>37</v>
      </c>
      <c r="I116" s="891">
        <v>0.02</v>
      </c>
      <c r="J116" s="940">
        <f t="shared" si="229"/>
        <v>1.4E-3</v>
      </c>
      <c r="K116" s="925">
        <f t="shared" si="230"/>
        <v>1.8600000000000002E-2</v>
      </c>
      <c r="L116" s="1062">
        <f>LOOKUP(L112,H110:K121)</f>
        <v>6.8400000000000002E-2</v>
      </c>
      <c r="M116" s="942"/>
      <c r="N116" s="939">
        <v>37</v>
      </c>
      <c r="O116" s="940"/>
      <c r="P116" s="940">
        <f t="shared" si="231"/>
        <v>-1.4E-3</v>
      </c>
      <c r="Q116" s="925">
        <f t="shared" si="232"/>
        <v>0.13</v>
      </c>
      <c r="R116" s="1062">
        <f>LOOKUP(R112,N110:Q121)</f>
        <v>0.13</v>
      </c>
      <c r="S116" s="929"/>
      <c r="T116" s="939">
        <v>37</v>
      </c>
      <c r="U116" s="891">
        <f t="shared" si="233"/>
        <v>1E-3</v>
      </c>
      <c r="V116" s="940"/>
      <c r="W116" s="925">
        <f t="shared" si="234"/>
        <v>3.3333333333333332E-4</v>
      </c>
      <c r="X116" s="1062">
        <f>LOOKUP(X112,T110:W121)</f>
        <v>3.3333333333333332E-4</v>
      </c>
      <c r="Y116" s="929"/>
      <c r="Z116" s="939">
        <v>37</v>
      </c>
      <c r="AA116" s="891">
        <f t="shared" si="235"/>
        <v>1E-3</v>
      </c>
      <c r="AB116" s="940"/>
      <c r="AC116" s="925">
        <f t="shared" si="236"/>
        <v>3.3333333333333332E-4</v>
      </c>
      <c r="AD116" s="1062">
        <f>LOOKUP(AD112,Z110:AC121)</f>
        <v>3.3333333333333332E-4</v>
      </c>
      <c r="AE116" s="929"/>
      <c r="AF116" s="939">
        <v>37</v>
      </c>
      <c r="AG116" s="891">
        <f t="shared" si="237"/>
        <v>0.72</v>
      </c>
      <c r="AH116" s="940"/>
      <c r="AI116" s="925">
        <f t="shared" si="238"/>
        <v>0.3066666666666667</v>
      </c>
      <c r="AJ116" s="1062">
        <f>LOOKUP(AJ112,AF110:AI121)</f>
        <v>0.3066666666666667</v>
      </c>
      <c r="AK116" s="929"/>
      <c r="AL116" s="939">
        <v>37</v>
      </c>
      <c r="AM116" s="891">
        <f t="shared" si="239"/>
        <v>1E-3</v>
      </c>
      <c r="AN116" s="940"/>
      <c r="AO116" s="925">
        <f t="shared" si="240"/>
        <v>3.3333333333333332E-4</v>
      </c>
      <c r="AP116" s="1062">
        <f>LOOKUP(AP112,AL110:AO121)</f>
        <v>3.3333333333333332E-4</v>
      </c>
      <c r="AQ116" s="929"/>
      <c r="AR116" s="939">
        <v>37</v>
      </c>
      <c r="AS116" s="891">
        <f t="shared" si="241"/>
        <v>1E-3</v>
      </c>
      <c r="AT116" s="940"/>
      <c r="AU116" s="925">
        <f t="shared" si="242"/>
        <v>3.3333333333333332E-4</v>
      </c>
      <c r="AV116" s="1062">
        <f>LOOKUP(AV112,AR110:AU121)</f>
        <v>3.3333333333333332E-4</v>
      </c>
      <c r="AW116" s="929"/>
      <c r="AX116" s="939">
        <v>37</v>
      </c>
      <c r="AY116" s="891">
        <f t="shared" si="243"/>
        <v>0.39</v>
      </c>
      <c r="AZ116" s="940"/>
      <c r="BA116" s="925">
        <f t="shared" si="244"/>
        <v>0.26333333333333336</v>
      </c>
      <c r="BB116" s="1062">
        <f>LOOKUP(BB112,AX110:BA121)</f>
        <v>0.26333333333333336</v>
      </c>
      <c r="BC116" s="929"/>
      <c r="BD116" s="939">
        <v>37</v>
      </c>
      <c r="BE116" s="891">
        <f t="shared" si="245"/>
        <v>1E-3</v>
      </c>
      <c r="BF116" s="940"/>
      <c r="BG116" s="925">
        <f t="shared" si="246"/>
        <v>3.3333333333333332E-4</v>
      </c>
      <c r="BH116" s="1062">
        <f>LOOKUP(BH112,BD110:BG121)</f>
        <v>3.3333333333333332E-4</v>
      </c>
      <c r="BI116" s="929"/>
      <c r="BJ116" s="939">
        <v>37</v>
      </c>
      <c r="BK116" s="891">
        <f t="shared" si="247"/>
        <v>0.39</v>
      </c>
      <c r="BL116" s="940"/>
      <c r="BM116" s="925">
        <f t="shared" si="248"/>
        <v>0.26333333333333336</v>
      </c>
      <c r="BN116" s="1062">
        <f>LOOKUP(BN112,BJ110:BM121)</f>
        <v>0.26333333333333336</v>
      </c>
      <c r="BO116" s="929"/>
      <c r="BP116" s="939">
        <v>37</v>
      </c>
      <c r="BQ116" s="891">
        <f t="shared" si="249"/>
        <v>1E-3</v>
      </c>
      <c r="BR116" s="940"/>
      <c r="BS116" s="925">
        <f t="shared" si="250"/>
        <v>3.3333333333333332E-4</v>
      </c>
      <c r="BT116" s="1062">
        <f>LOOKUP(BT112,BP110:BS121)</f>
        <v>3.3333333333333332E-4</v>
      </c>
      <c r="BU116" s="929"/>
      <c r="BV116" s="939">
        <v>37</v>
      </c>
      <c r="BW116" s="891">
        <f t="shared" si="251"/>
        <v>22</v>
      </c>
      <c r="BX116" s="940"/>
      <c r="BY116" s="925">
        <f t="shared" si="252"/>
        <v>9.3333333333333339</v>
      </c>
      <c r="BZ116" s="1062">
        <f>LOOKUP(BZ112,BV110:BY121)</f>
        <v>9.3333333333333339</v>
      </c>
      <c r="CA116" s="929"/>
      <c r="CB116" s="939">
        <v>37</v>
      </c>
      <c r="CC116" s="891">
        <f t="shared" si="224"/>
        <v>-0.6</v>
      </c>
      <c r="CD116" s="940"/>
      <c r="CE116" s="925">
        <f t="shared" si="253"/>
        <v>0.13333333333333333</v>
      </c>
      <c r="CF116" s="1062">
        <f>LOOKUP(CF112,CB110:CE121)</f>
        <v>0.13333333333333333</v>
      </c>
      <c r="CG116" s="958"/>
      <c r="CH116" s="939">
        <v>37</v>
      </c>
      <c r="CI116" s="891">
        <f t="shared" si="225"/>
        <v>0.23</v>
      </c>
      <c r="CJ116" s="940"/>
      <c r="CK116" s="925">
        <f t="shared" si="254"/>
        <v>7.3333333333333334E-2</v>
      </c>
      <c r="CL116" s="1062">
        <f>LOOKUP(CL112,CH110:CK121)</f>
        <v>7.3333333333333334E-2</v>
      </c>
      <c r="CN116" s="939">
        <v>37</v>
      </c>
      <c r="CO116" s="891">
        <f t="shared" si="226"/>
        <v>0.42</v>
      </c>
      <c r="CP116" s="940"/>
      <c r="CQ116" s="925">
        <f t="shared" si="255"/>
        <v>0.25666666666666665</v>
      </c>
      <c r="CR116" s="1062">
        <f>LOOKUP(CR112,CN110:CQ121)</f>
        <v>0.25666666666666665</v>
      </c>
    </row>
    <row r="117" spans="2:96">
      <c r="B117" s="939">
        <v>44</v>
      </c>
      <c r="C117" s="891">
        <v>7.0000000000000007E-2</v>
      </c>
      <c r="D117" s="891">
        <f t="shared" si="227"/>
        <v>1.5E-3</v>
      </c>
      <c r="E117" s="925">
        <f t="shared" si="228"/>
        <v>6.8500000000000005E-2</v>
      </c>
      <c r="F117" s="941"/>
      <c r="G117" s="942"/>
      <c r="H117" s="939">
        <v>44</v>
      </c>
      <c r="I117" s="891">
        <v>0.03</v>
      </c>
      <c r="J117" s="940">
        <f t="shared" si="229"/>
        <v>1.8E-3</v>
      </c>
      <c r="K117" s="925">
        <f t="shared" si="230"/>
        <v>2.8199999999999999E-2</v>
      </c>
      <c r="L117" s="941"/>
      <c r="M117" s="942"/>
      <c r="N117" s="939">
        <v>44</v>
      </c>
      <c r="O117" s="940"/>
      <c r="P117" s="940">
        <f t="shared" si="231"/>
        <v>-1.8E-3</v>
      </c>
      <c r="Q117" s="925">
        <f t="shared" si="232"/>
        <v>0.13</v>
      </c>
      <c r="R117" s="941"/>
      <c r="S117" s="929"/>
      <c r="T117" s="939">
        <v>44</v>
      </c>
      <c r="U117" s="891">
        <f t="shared" si="233"/>
        <v>1E-3</v>
      </c>
      <c r="V117" s="940"/>
      <c r="W117" s="925">
        <f t="shared" si="234"/>
        <v>3.3333333333333332E-4</v>
      </c>
      <c r="X117" s="941"/>
      <c r="Y117" s="929"/>
      <c r="Z117" s="939">
        <v>44</v>
      </c>
      <c r="AA117" s="891">
        <f t="shared" si="235"/>
        <v>1E-3</v>
      </c>
      <c r="AB117" s="940"/>
      <c r="AC117" s="925">
        <f t="shared" si="236"/>
        <v>3.3333333333333332E-4</v>
      </c>
      <c r="AD117" s="941"/>
      <c r="AE117" s="929"/>
      <c r="AF117" s="939">
        <v>44</v>
      </c>
      <c r="AG117" s="891">
        <f t="shared" si="237"/>
        <v>0.75</v>
      </c>
      <c r="AH117" s="940"/>
      <c r="AI117" s="925">
        <f t="shared" si="238"/>
        <v>0.3066666666666667</v>
      </c>
      <c r="AJ117" s="941"/>
      <c r="AK117" s="929"/>
      <c r="AL117" s="939">
        <v>44</v>
      </c>
      <c r="AM117" s="891">
        <f t="shared" si="239"/>
        <v>1E-3</v>
      </c>
      <c r="AN117" s="940"/>
      <c r="AO117" s="925">
        <f t="shared" si="240"/>
        <v>3.3333333333333332E-4</v>
      </c>
      <c r="AP117" s="941"/>
      <c r="AQ117" s="929"/>
      <c r="AR117" s="939">
        <v>44</v>
      </c>
      <c r="AS117" s="891">
        <f t="shared" si="241"/>
        <v>1E-3</v>
      </c>
      <c r="AT117" s="940"/>
      <c r="AU117" s="925">
        <f t="shared" si="242"/>
        <v>3.3333333333333332E-4</v>
      </c>
      <c r="AV117" s="941"/>
      <c r="AW117" s="929"/>
      <c r="AX117" s="939">
        <v>44</v>
      </c>
      <c r="AY117" s="891">
        <f t="shared" si="243"/>
        <v>0.37</v>
      </c>
      <c r="AZ117" s="940"/>
      <c r="BA117" s="925">
        <f t="shared" si="244"/>
        <v>0.26333333333333336</v>
      </c>
      <c r="BB117" s="941"/>
      <c r="BC117" s="929"/>
      <c r="BD117" s="939">
        <v>44</v>
      </c>
      <c r="BE117" s="891">
        <f t="shared" si="245"/>
        <v>1E-3</v>
      </c>
      <c r="BF117" s="940"/>
      <c r="BG117" s="925">
        <f t="shared" si="246"/>
        <v>3.3333333333333332E-4</v>
      </c>
      <c r="BH117" s="941"/>
      <c r="BI117" s="929"/>
      <c r="BJ117" s="939">
        <v>44</v>
      </c>
      <c r="BK117" s="891">
        <f t="shared" si="247"/>
        <v>0.37</v>
      </c>
      <c r="BL117" s="940"/>
      <c r="BM117" s="925">
        <f t="shared" si="248"/>
        <v>0.26333333333333336</v>
      </c>
      <c r="BN117" s="941"/>
      <c r="BO117" s="929"/>
      <c r="BP117" s="939">
        <v>44</v>
      </c>
      <c r="BQ117" s="891">
        <f t="shared" si="249"/>
        <v>1E-3</v>
      </c>
      <c r="BR117" s="940"/>
      <c r="BS117" s="925">
        <f t="shared" si="250"/>
        <v>3.3333333333333332E-4</v>
      </c>
      <c r="BT117" s="941"/>
      <c r="BU117" s="929"/>
      <c r="BV117" s="939">
        <v>44</v>
      </c>
      <c r="BW117" s="891">
        <f t="shared" si="251"/>
        <v>23</v>
      </c>
      <c r="BX117" s="940"/>
      <c r="BY117" s="925">
        <f t="shared" si="252"/>
        <v>9.3333333333333339</v>
      </c>
      <c r="BZ117" s="941"/>
      <c r="CA117" s="929"/>
      <c r="CB117" s="939">
        <v>44</v>
      </c>
      <c r="CC117" s="891">
        <f t="shared" si="224"/>
        <v>-0.7</v>
      </c>
      <c r="CD117" s="940"/>
      <c r="CE117" s="925">
        <f t="shared" si="253"/>
        <v>0.13333333333333333</v>
      </c>
      <c r="CF117" s="941"/>
      <c r="CG117" s="959"/>
      <c r="CH117" s="939">
        <v>44</v>
      </c>
      <c r="CI117" s="891">
        <f t="shared" si="225"/>
        <v>0.25</v>
      </c>
      <c r="CJ117" s="940"/>
      <c r="CK117" s="925">
        <f t="shared" si="254"/>
        <v>7.3333333333333334E-2</v>
      </c>
      <c r="CL117" s="941"/>
      <c r="CN117" s="939">
        <v>44</v>
      </c>
      <c r="CO117" s="891">
        <f t="shared" si="226"/>
        <v>0.56999999999999995</v>
      </c>
      <c r="CP117" s="940"/>
      <c r="CQ117" s="925">
        <f t="shared" si="255"/>
        <v>0.25666666666666665</v>
      </c>
      <c r="CR117" s="941"/>
    </row>
    <row r="118" spans="2:96">
      <c r="B118" s="939">
        <v>50</v>
      </c>
      <c r="C118" s="891">
        <v>0.09</v>
      </c>
      <c r="D118" s="891">
        <f t="shared" si="227"/>
        <v>1.8E-3</v>
      </c>
      <c r="E118" s="925">
        <f t="shared" si="228"/>
        <v>8.8200000000000001E-2</v>
      </c>
      <c r="F118" s="1066">
        <f>(((F116-F114)/(F112-F110))*(F109-F110))+F114</f>
        <v>3.3908920474451085E-2</v>
      </c>
      <c r="G118" s="942"/>
      <c r="H118" s="939">
        <v>50</v>
      </c>
      <c r="I118" s="891">
        <v>0.05</v>
      </c>
      <c r="J118" s="940">
        <f t="shared" si="229"/>
        <v>0.2</v>
      </c>
      <c r="K118" s="925">
        <f t="shared" si="230"/>
        <v>0.15000000000000002</v>
      </c>
      <c r="L118" s="1064">
        <f>(((L116-L114)/(L112-L110))*(L109-L110))+L114</f>
        <v>0.11786633380468278</v>
      </c>
      <c r="M118" s="942"/>
      <c r="N118" s="939">
        <v>50</v>
      </c>
      <c r="O118" s="940"/>
      <c r="P118" s="940">
        <f t="shared" si="231"/>
        <v>0.2</v>
      </c>
      <c r="Q118" s="925">
        <f t="shared" si="232"/>
        <v>0.13</v>
      </c>
      <c r="R118" s="1064">
        <f>(((R116-R114)/(R112-R110))*(R109-R110))+R114</f>
        <v>0.13</v>
      </c>
      <c r="S118" s="929"/>
      <c r="T118" s="939">
        <v>50</v>
      </c>
      <c r="U118" s="891">
        <f t="shared" si="233"/>
        <v>1E-3</v>
      </c>
      <c r="V118" s="940"/>
      <c r="W118" s="925">
        <f t="shared" si="234"/>
        <v>3.3333333333333332E-4</v>
      </c>
      <c r="X118" s="1064">
        <f>(((X116-X114)/(X112-X110))*(X109-X110))+X114</f>
        <v>3.3333333333333332E-4</v>
      </c>
      <c r="Y118" s="929"/>
      <c r="Z118" s="939">
        <v>50</v>
      </c>
      <c r="AA118" s="891">
        <f t="shared" si="235"/>
        <v>1E-3</v>
      </c>
      <c r="AB118" s="940"/>
      <c r="AC118" s="925">
        <f t="shared" si="236"/>
        <v>3.3333333333333332E-4</v>
      </c>
      <c r="AD118" s="1064">
        <f>(((AD116-AD114)/(AD112-AD110))*(AD109-AD110))+AD114</f>
        <v>3.3333333333333332E-4</v>
      </c>
      <c r="AE118" s="929"/>
      <c r="AF118" s="939">
        <v>50</v>
      </c>
      <c r="AG118" s="891">
        <f t="shared" si="237"/>
        <v>0.77</v>
      </c>
      <c r="AH118" s="940"/>
      <c r="AI118" s="925">
        <f t="shared" si="238"/>
        <v>0.3066666666666667</v>
      </c>
      <c r="AJ118" s="1064">
        <f>(((AJ116-AJ114)/(AJ112-AJ110))*(AJ109-AJ110))+AJ114</f>
        <v>0.3066666666666667</v>
      </c>
      <c r="AK118" s="929"/>
      <c r="AL118" s="939">
        <v>50</v>
      </c>
      <c r="AM118" s="891">
        <f t="shared" si="239"/>
        <v>1E-3</v>
      </c>
      <c r="AN118" s="940"/>
      <c r="AO118" s="925">
        <f t="shared" si="240"/>
        <v>3.3333333333333332E-4</v>
      </c>
      <c r="AP118" s="1064">
        <f>(((AP116-AP114)/(AP112-AP110))*(AP109-AP110))+AP114</f>
        <v>3.3333333333333332E-4</v>
      </c>
      <c r="AQ118" s="929"/>
      <c r="AR118" s="939">
        <v>50</v>
      </c>
      <c r="AS118" s="891">
        <f t="shared" si="241"/>
        <v>1E-3</v>
      </c>
      <c r="AT118" s="940"/>
      <c r="AU118" s="925">
        <f t="shared" si="242"/>
        <v>3.3333333333333332E-4</v>
      </c>
      <c r="AV118" s="1064">
        <f>(((AV116-AV114)/(AV112-AV110))*(AV109-AV110))+AV114</f>
        <v>3.3333333333333332E-4</v>
      </c>
      <c r="AW118" s="929"/>
      <c r="AX118" s="939">
        <v>50</v>
      </c>
      <c r="AY118" s="891">
        <f t="shared" si="243"/>
        <v>0.35</v>
      </c>
      <c r="AZ118" s="940"/>
      <c r="BA118" s="925">
        <f t="shared" si="244"/>
        <v>0.26333333333333336</v>
      </c>
      <c r="BB118" s="1064">
        <f>(((BB116-BB114)/(BB112-BB110))*(BB109-BB110))+BB114</f>
        <v>0.26333333333333336</v>
      </c>
      <c r="BC118" s="929"/>
      <c r="BD118" s="939">
        <v>50</v>
      </c>
      <c r="BE118" s="891">
        <f t="shared" si="245"/>
        <v>1E-3</v>
      </c>
      <c r="BF118" s="940"/>
      <c r="BG118" s="925">
        <f t="shared" si="246"/>
        <v>3.3333333333333332E-4</v>
      </c>
      <c r="BH118" s="1064">
        <f>(((BH116-BH114)/(BH112-BH110))*(BH109-BH110))+BH114</f>
        <v>3.3333333333333332E-4</v>
      </c>
      <c r="BI118" s="929"/>
      <c r="BJ118" s="939">
        <v>50</v>
      </c>
      <c r="BK118" s="891">
        <f t="shared" si="247"/>
        <v>0.35</v>
      </c>
      <c r="BL118" s="940"/>
      <c r="BM118" s="925">
        <f t="shared" si="248"/>
        <v>0.26333333333333336</v>
      </c>
      <c r="BN118" s="1064">
        <f>(((BN116-BN114)/(BN112-BN110))*(BN109-BN110))+BN114</f>
        <v>0.26333333333333336</v>
      </c>
      <c r="BO118" s="929"/>
      <c r="BP118" s="939">
        <v>50</v>
      </c>
      <c r="BQ118" s="891">
        <f t="shared" si="249"/>
        <v>1E-3</v>
      </c>
      <c r="BR118" s="940"/>
      <c r="BS118" s="925">
        <f t="shared" si="250"/>
        <v>3.3333333333333332E-4</v>
      </c>
      <c r="BT118" s="1064">
        <f>(((BT116-BT114)/(BT112-BT110))*(BT109-BT110))+BT114</f>
        <v>3.3333333333333332E-4</v>
      </c>
      <c r="BU118" s="929"/>
      <c r="BV118" s="939">
        <v>50</v>
      </c>
      <c r="BW118" s="891">
        <f t="shared" si="251"/>
        <v>24</v>
      </c>
      <c r="BX118" s="940"/>
      <c r="BY118" s="925">
        <f t="shared" si="252"/>
        <v>9.3333333333333339</v>
      </c>
      <c r="BZ118" s="1064">
        <f>(((BZ116-BZ114)/(BZ112-BZ110))*(BZ109-BZ110))+BZ114</f>
        <v>9.3333333333333339</v>
      </c>
      <c r="CA118" s="929"/>
      <c r="CB118" s="939">
        <v>50</v>
      </c>
      <c r="CC118" s="891">
        <f t="shared" si="224"/>
        <v>-0.7</v>
      </c>
      <c r="CD118" s="940"/>
      <c r="CE118" s="925">
        <f t="shared" si="253"/>
        <v>0.13333333333333333</v>
      </c>
      <c r="CF118" s="1064">
        <f>(((CF116-CF114)/(CF112-CF110))*(CF109-CF110))+CF114</f>
        <v>0.13333333333333333</v>
      </c>
      <c r="CH118" s="939">
        <v>50</v>
      </c>
      <c r="CI118" s="891">
        <f t="shared" si="225"/>
        <v>0.27</v>
      </c>
      <c r="CJ118" s="940"/>
      <c r="CK118" s="925">
        <f t="shared" si="254"/>
        <v>7.3333333333333334E-2</v>
      </c>
      <c r="CL118" s="1064">
        <f>(((CL116-CL114)/(CL112-CL110))*(CL109-CL110))+CL114</f>
        <v>7.3333333333333334E-2</v>
      </c>
      <c r="CN118" s="939">
        <v>50</v>
      </c>
      <c r="CO118" s="891">
        <f t="shared" si="226"/>
        <v>0.67</v>
      </c>
      <c r="CP118" s="940"/>
      <c r="CQ118" s="925">
        <f t="shared" si="255"/>
        <v>0.25666666666666665</v>
      </c>
      <c r="CR118" s="1064">
        <f>(((CR116-CR114)/(CR112-CR110))*(CR109-CR110))+CR114</f>
        <v>0.25666666666666665</v>
      </c>
    </row>
    <row r="119" spans="2:96">
      <c r="B119" s="939">
        <v>100</v>
      </c>
      <c r="C119" s="891">
        <v>1.1999999999999999E-3</v>
      </c>
      <c r="D119" s="891">
        <f t="shared" si="227"/>
        <v>0.26</v>
      </c>
      <c r="E119" s="925">
        <f t="shared" si="228"/>
        <v>0.25880000000000003</v>
      </c>
      <c r="F119" s="941"/>
      <c r="G119" s="942"/>
      <c r="H119" s="939">
        <v>100</v>
      </c>
      <c r="I119" s="891">
        <v>0.09</v>
      </c>
      <c r="J119" s="940">
        <f t="shared" si="229"/>
        <v>1.2999999999999999E-3</v>
      </c>
      <c r="K119" s="925">
        <f t="shared" si="230"/>
        <v>8.8700000000000001E-2</v>
      </c>
      <c r="L119" s="941"/>
      <c r="M119" s="942"/>
      <c r="N119" s="939">
        <v>100</v>
      </c>
      <c r="O119" s="940"/>
      <c r="P119" s="940">
        <f t="shared" si="231"/>
        <v>-1.2999999999999999E-3</v>
      </c>
      <c r="Q119" s="925">
        <f t="shared" si="232"/>
        <v>0.13</v>
      </c>
      <c r="R119" s="941"/>
      <c r="S119" s="929"/>
      <c r="T119" s="939">
        <v>100</v>
      </c>
      <c r="U119" s="891">
        <f t="shared" si="233"/>
        <v>1E-3</v>
      </c>
      <c r="V119" s="940"/>
      <c r="W119" s="925">
        <f t="shared" si="234"/>
        <v>3.3333333333333332E-4</v>
      </c>
      <c r="X119" s="941"/>
      <c r="Y119" s="929"/>
      <c r="Z119" s="939">
        <v>100</v>
      </c>
      <c r="AA119" s="891">
        <f t="shared" si="235"/>
        <v>1E-3</v>
      </c>
      <c r="AB119" s="940"/>
      <c r="AC119" s="925">
        <f t="shared" si="236"/>
        <v>3.3333333333333332E-4</v>
      </c>
      <c r="AD119" s="941"/>
      <c r="AE119" s="929"/>
      <c r="AF119" s="939">
        <v>100</v>
      </c>
      <c r="AG119" s="891">
        <f t="shared" si="237"/>
        <v>0.61</v>
      </c>
      <c r="AH119" s="940"/>
      <c r="AI119" s="925">
        <f t="shared" si="238"/>
        <v>0.3066666666666667</v>
      </c>
      <c r="AJ119" s="941"/>
      <c r="AK119" s="929"/>
      <c r="AL119" s="939">
        <v>100</v>
      </c>
      <c r="AM119" s="891">
        <f t="shared" si="239"/>
        <v>1E-3</v>
      </c>
      <c r="AN119" s="940"/>
      <c r="AO119" s="925">
        <f t="shared" si="240"/>
        <v>3.3333333333333332E-4</v>
      </c>
      <c r="AP119" s="941"/>
      <c r="AQ119" s="929"/>
      <c r="AR119" s="939">
        <v>100</v>
      </c>
      <c r="AS119" s="891">
        <f t="shared" si="241"/>
        <v>1E-3</v>
      </c>
      <c r="AT119" s="940"/>
      <c r="AU119" s="925">
        <f t="shared" si="242"/>
        <v>3.3333333333333332E-4</v>
      </c>
      <c r="AV119" s="941"/>
      <c r="AW119" s="929"/>
      <c r="AX119" s="939">
        <v>100</v>
      </c>
      <c r="AY119" s="891">
        <f t="shared" si="243"/>
        <v>1.9E-3</v>
      </c>
      <c r="AZ119" s="940"/>
      <c r="BA119" s="925">
        <f t="shared" si="244"/>
        <v>0.26333333333333336</v>
      </c>
      <c r="BB119" s="941"/>
      <c r="BC119" s="929"/>
      <c r="BD119" s="939">
        <v>100</v>
      </c>
      <c r="BE119" s="891">
        <f t="shared" si="245"/>
        <v>1E-3</v>
      </c>
      <c r="BF119" s="940"/>
      <c r="BG119" s="925">
        <f t="shared" si="246"/>
        <v>3.3333333333333332E-4</v>
      </c>
      <c r="BH119" s="941"/>
      <c r="BI119" s="929"/>
      <c r="BJ119" s="939">
        <v>100</v>
      </c>
      <c r="BK119" s="891">
        <f t="shared" si="247"/>
        <v>1.9E-3</v>
      </c>
      <c r="BL119" s="940"/>
      <c r="BM119" s="925">
        <f t="shared" si="248"/>
        <v>0.26333333333333336</v>
      </c>
      <c r="BN119" s="941"/>
      <c r="BO119" s="929"/>
      <c r="BP119" s="939">
        <v>100</v>
      </c>
      <c r="BQ119" s="891">
        <f t="shared" si="249"/>
        <v>1E-3</v>
      </c>
      <c r="BR119" s="940"/>
      <c r="BS119" s="925">
        <f t="shared" si="250"/>
        <v>3.3333333333333332E-4</v>
      </c>
      <c r="BT119" s="941"/>
      <c r="BU119" s="929"/>
      <c r="BV119" s="939">
        <v>100</v>
      </c>
      <c r="BW119" s="891">
        <f t="shared" si="251"/>
        <v>25</v>
      </c>
      <c r="BX119" s="940"/>
      <c r="BY119" s="925">
        <f t="shared" si="252"/>
        <v>9.3333333333333339</v>
      </c>
      <c r="BZ119" s="941"/>
      <c r="CA119" s="929"/>
      <c r="CB119" s="939">
        <v>100</v>
      </c>
      <c r="CC119" s="891">
        <f t="shared" si="224"/>
        <v>-0.7</v>
      </c>
      <c r="CD119" s="940"/>
      <c r="CE119" s="925">
        <f t="shared" si="253"/>
        <v>0.13333333333333333</v>
      </c>
      <c r="CF119" s="941"/>
      <c r="CH119" s="939">
        <v>100</v>
      </c>
      <c r="CI119" s="891">
        <f t="shared" si="225"/>
        <v>0.31</v>
      </c>
      <c r="CJ119" s="940"/>
      <c r="CK119" s="925">
        <f t="shared" si="254"/>
        <v>7.3333333333333334E-2</v>
      </c>
      <c r="CL119" s="941"/>
      <c r="CN119" s="939">
        <v>100</v>
      </c>
      <c r="CO119" s="891">
        <f t="shared" si="226"/>
        <v>0.95</v>
      </c>
      <c r="CP119" s="940"/>
      <c r="CQ119" s="925">
        <f t="shared" si="255"/>
        <v>0.25666666666666665</v>
      </c>
      <c r="CR119" s="941"/>
    </row>
    <row r="120" spans="2:96">
      <c r="B120" s="939">
        <v>150</v>
      </c>
      <c r="C120" s="891">
        <v>0.05</v>
      </c>
      <c r="D120" s="891">
        <f t="shared" si="227"/>
        <v>0.28000000000000003</v>
      </c>
      <c r="E120" s="925">
        <f t="shared" si="228"/>
        <v>0.23000000000000004</v>
      </c>
      <c r="F120" s="941"/>
      <c r="G120" s="942"/>
      <c r="H120" s="939">
        <v>150</v>
      </c>
      <c r="I120" s="891">
        <v>0.04</v>
      </c>
      <c r="J120" s="940">
        <f t="shared" si="229"/>
        <v>-0.02</v>
      </c>
      <c r="K120" s="925">
        <f t="shared" si="230"/>
        <v>0.06</v>
      </c>
      <c r="L120" s="941"/>
      <c r="M120" s="942"/>
      <c r="N120" s="939">
        <v>150</v>
      </c>
      <c r="O120" s="940"/>
      <c r="P120" s="940">
        <f t="shared" si="231"/>
        <v>-0.68</v>
      </c>
      <c r="Q120" s="925">
        <f t="shared" si="232"/>
        <v>0.13</v>
      </c>
      <c r="R120" s="941"/>
      <c r="S120" s="929"/>
      <c r="T120" s="939">
        <v>150</v>
      </c>
      <c r="U120" s="891">
        <f t="shared" si="233"/>
        <v>1E-3</v>
      </c>
      <c r="V120" s="940"/>
      <c r="W120" s="925">
        <f t="shared" si="234"/>
        <v>3.3333333333333332E-4</v>
      </c>
      <c r="X120" s="941"/>
      <c r="Y120" s="929"/>
      <c r="Z120" s="939">
        <v>150</v>
      </c>
      <c r="AA120" s="891">
        <f t="shared" si="235"/>
        <v>1E-3</v>
      </c>
      <c r="AB120" s="940"/>
      <c r="AC120" s="925">
        <f t="shared" si="236"/>
        <v>3.3333333333333332E-4</v>
      </c>
      <c r="AD120" s="941"/>
      <c r="AE120" s="929"/>
      <c r="AF120" s="939">
        <v>150</v>
      </c>
      <c r="AG120" s="891">
        <f t="shared" si="237"/>
        <v>1.6000000000000001E-3</v>
      </c>
      <c r="AH120" s="940"/>
      <c r="AI120" s="925">
        <f t="shared" si="238"/>
        <v>0.3066666666666667</v>
      </c>
      <c r="AJ120" s="941"/>
      <c r="AK120" s="929"/>
      <c r="AL120" s="939">
        <v>150</v>
      </c>
      <c r="AM120" s="891">
        <f t="shared" si="239"/>
        <v>1E-3</v>
      </c>
      <c r="AN120" s="940"/>
      <c r="AO120" s="925">
        <f t="shared" si="240"/>
        <v>3.3333333333333332E-4</v>
      </c>
      <c r="AP120" s="941"/>
      <c r="AQ120" s="929"/>
      <c r="AR120" s="939">
        <v>150</v>
      </c>
      <c r="AS120" s="891">
        <f t="shared" si="241"/>
        <v>1E-3</v>
      </c>
      <c r="AT120" s="940"/>
      <c r="AU120" s="925">
        <f t="shared" si="242"/>
        <v>3.3333333333333332E-4</v>
      </c>
      <c r="AV120" s="941"/>
      <c r="AW120" s="929"/>
      <c r="AX120" s="939">
        <v>150</v>
      </c>
      <c r="AY120" s="891">
        <f t="shared" si="243"/>
        <v>-0.02</v>
      </c>
      <c r="AZ120" s="940"/>
      <c r="BA120" s="925">
        <f t="shared" si="244"/>
        <v>0.26333333333333336</v>
      </c>
      <c r="BB120" s="941"/>
      <c r="BC120" s="929"/>
      <c r="BD120" s="939">
        <v>150</v>
      </c>
      <c r="BE120" s="891">
        <f t="shared" si="245"/>
        <v>1E-3</v>
      </c>
      <c r="BF120" s="940"/>
      <c r="BG120" s="925">
        <f t="shared" si="246"/>
        <v>3.3333333333333332E-4</v>
      </c>
      <c r="BH120" s="941"/>
      <c r="BI120" s="929"/>
      <c r="BJ120" s="939">
        <v>150</v>
      </c>
      <c r="BK120" s="891">
        <f t="shared" si="247"/>
        <v>-0.02</v>
      </c>
      <c r="BL120" s="940"/>
      <c r="BM120" s="925">
        <f t="shared" si="248"/>
        <v>0.26333333333333336</v>
      </c>
      <c r="BN120" s="941"/>
      <c r="BO120" s="929"/>
      <c r="BP120" s="939">
        <v>150</v>
      </c>
      <c r="BQ120" s="891">
        <f t="shared" si="249"/>
        <v>1E-3</v>
      </c>
      <c r="BR120" s="940"/>
      <c r="BS120" s="925">
        <f t="shared" si="250"/>
        <v>3.3333333333333332E-4</v>
      </c>
      <c r="BT120" s="941"/>
      <c r="BU120" s="929"/>
      <c r="BV120" s="939">
        <v>150</v>
      </c>
      <c r="BW120" s="891">
        <f t="shared" si="251"/>
        <v>26</v>
      </c>
      <c r="BX120" s="940"/>
      <c r="BY120" s="925">
        <f t="shared" si="252"/>
        <v>9.3333333333333339</v>
      </c>
      <c r="BZ120" s="941"/>
      <c r="CA120" s="929"/>
      <c r="CB120" s="939">
        <v>150</v>
      </c>
      <c r="CC120" s="891">
        <f t="shared" si="224"/>
        <v>-0.7</v>
      </c>
      <c r="CD120" s="940"/>
      <c r="CE120" s="925">
        <f t="shared" si="253"/>
        <v>0.13333333333333333</v>
      </c>
      <c r="CF120" s="941"/>
      <c r="CH120" s="939">
        <v>150</v>
      </c>
      <c r="CI120" s="891">
        <f t="shared" si="225"/>
        <v>0.3</v>
      </c>
      <c r="CJ120" s="940"/>
      <c r="CK120" s="925">
        <f t="shared" si="254"/>
        <v>7.3333333333333334E-2</v>
      </c>
      <c r="CL120" s="941"/>
      <c r="CN120" s="939">
        <v>150</v>
      </c>
      <c r="CO120" s="891">
        <f t="shared" si="226"/>
        <v>0.49</v>
      </c>
      <c r="CP120" s="940"/>
      <c r="CQ120" s="925">
        <f t="shared" si="255"/>
        <v>0.25666666666666665</v>
      </c>
      <c r="CR120" s="941"/>
    </row>
    <row r="121" spans="2:96">
      <c r="B121" s="939">
        <v>200</v>
      </c>
      <c r="C121" s="891">
        <v>-1.4E-3</v>
      </c>
      <c r="D121" s="891">
        <f t="shared" si="227"/>
        <v>0.45</v>
      </c>
      <c r="E121" s="925">
        <f t="shared" si="228"/>
        <v>0.45140000000000002</v>
      </c>
      <c r="F121" s="941"/>
      <c r="G121" s="942"/>
      <c r="H121" s="939">
        <v>200</v>
      </c>
      <c r="I121" s="891">
        <v>-1.1999999999999999E-3</v>
      </c>
      <c r="J121" s="940">
        <f t="shared" si="229"/>
        <v>0.21</v>
      </c>
      <c r="K121" s="925">
        <f t="shared" si="230"/>
        <v>0.2112</v>
      </c>
      <c r="L121" s="941"/>
      <c r="M121" s="942"/>
      <c r="N121" s="939">
        <v>200</v>
      </c>
      <c r="O121" s="940"/>
      <c r="P121" s="940">
        <f t="shared" si="231"/>
        <v>-0.38</v>
      </c>
      <c r="Q121" s="925">
        <f t="shared" si="232"/>
        <v>0.13</v>
      </c>
      <c r="R121" s="941"/>
      <c r="S121" s="929"/>
      <c r="T121" s="939">
        <v>200</v>
      </c>
      <c r="U121" s="891">
        <f t="shared" si="233"/>
        <v>1E-3</v>
      </c>
      <c r="V121" s="940"/>
      <c r="W121" s="925">
        <f t="shared" si="234"/>
        <v>3.3333333333333332E-4</v>
      </c>
      <c r="X121" s="941"/>
      <c r="Y121" s="929"/>
      <c r="Z121" s="939">
        <v>200</v>
      </c>
      <c r="AA121" s="891">
        <f t="shared" si="235"/>
        <v>1E-3</v>
      </c>
      <c r="AB121" s="940"/>
      <c r="AC121" s="925">
        <f t="shared" si="236"/>
        <v>3.3333333333333332E-4</v>
      </c>
      <c r="AD121" s="941"/>
      <c r="AE121" s="929"/>
      <c r="AF121" s="939">
        <v>200</v>
      </c>
      <c r="AG121" s="891">
        <f t="shared" si="237"/>
        <v>-0.25</v>
      </c>
      <c r="AH121" s="940"/>
      <c r="AI121" s="925">
        <f t="shared" si="238"/>
        <v>0.3066666666666667</v>
      </c>
      <c r="AJ121" s="941"/>
      <c r="AK121" s="929"/>
      <c r="AL121" s="939">
        <v>200</v>
      </c>
      <c r="AM121" s="891">
        <f t="shared" si="239"/>
        <v>1E-3</v>
      </c>
      <c r="AN121" s="940"/>
      <c r="AO121" s="925">
        <f t="shared" si="240"/>
        <v>3.3333333333333332E-4</v>
      </c>
      <c r="AP121" s="941"/>
      <c r="AQ121" s="929"/>
      <c r="AR121" s="939">
        <v>200</v>
      </c>
      <c r="AS121" s="891">
        <f t="shared" si="241"/>
        <v>1E-3</v>
      </c>
      <c r="AT121" s="940"/>
      <c r="AU121" s="925">
        <f t="shared" si="242"/>
        <v>3.3333333333333332E-4</v>
      </c>
      <c r="AV121" s="941"/>
      <c r="AW121" s="929"/>
      <c r="AX121" s="939">
        <v>200</v>
      </c>
      <c r="AY121" s="891">
        <f t="shared" si="243"/>
        <v>-0.26</v>
      </c>
      <c r="AZ121" s="940"/>
      <c r="BA121" s="925">
        <f t="shared" si="244"/>
        <v>0.26333333333333336</v>
      </c>
      <c r="BB121" s="941"/>
      <c r="BC121" s="929"/>
      <c r="BD121" s="939">
        <v>200</v>
      </c>
      <c r="BE121" s="891">
        <f t="shared" si="245"/>
        <v>1E-3</v>
      </c>
      <c r="BF121" s="940"/>
      <c r="BG121" s="925">
        <f t="shared" si="246"/>
        <v>3.3333333333333332E-4</v>
      </c>
      <c r="BH121" s="941"/>
      <c r="BI121" s="929"/>
      <c r="BJ121" s="939">
        <v>200</v>
      </c>
      <c r="BK121" s="891">
        <f t="shared" si="247"/>
        <v>-0.26</v>
      </c>
      <c r="BL121" s="940"/>
      <c r="BM121" s="925">
        <f t="shared" si="248"/>
        <v>0.26333333333333336</v>
      </c>
      <c r="BN121" s="941"/>
      <c r="BO121" s="929"/>
      <c r="BP121" s="939">
        <v>200</v>
      </c>
      <c r="BQ121" s="891">
        <f t="shared" si="249"/>
        <v>1E-3</v>
      </c>
      <c r="BR121" s="940"/>
      <c r="BS121" s="925">
        <f t="shared" si="250"/>
        <v>3.3333333333333332E-4</v>
      </c>
      <c r="BT121" s="941"/>
      <c r="BU121" s="929"/>
      <c r="BV121" s="939">
        <v>200</v>
      </c>
      <c r="BW121" s="891">
        <f t="shared" si="251"/>
        <v>27</v>
      </c>
      <c r="BX121" s="940"/>
      <c r="BY121" s="925">
        <f t="shared" si="252"/>
        <v>9.3333333333333339</v>
      </c>
      <c r="BZ121" s="941"/>
      <c r="CA121" s="929"/>
      <c r="CB121" s="939">
        <v>200</v>
      </c>
      <c r="CC121" s="891">
        <f t="shared" si="224"/>
        <v>-0.6</v>
      </c>
      <c r="CD121" s="940"/>
      <c r="CE121" s="925">
        <f t="shared" si="253"/>
        <v>0.13333333333333333</v>
      </c>
      <c r="CF121" s="941"/>
      <c r="CH121" s="939">
        <v>200</v>
      </c>
      <c r="CI121" s="891">
        <f t="shared" si="225"/>
        <v>0.34</v>
      </c>
      <c r="CJ121" s="940"/>
      <c r="CK121" s="925">
        <f t="shared" si="254"/>
        <v>7.3333333333333334E-2</v>
      </c>
      <c r="CL121" s="941"/>
      <c r="CN121" s="939">
        <v>200</v>
      </c>
      <c r="CO121" s="891">
        <f t="shared" si="226"/>
        <v>-0.26</v>
      </c>
      <c r="CP121" s="940"/>
      <c r="CQ121" s="925">
        <f t="shared" si="255"/>
        <v>0.25666666666666665</v>
      </c>
      <c r="CR121" s="941"/>
    </row>
    <row r="122" spans="2:96" s="929" customFormat="1">
      <c r="B122" s="947"/>
      <c r="C122" s="930"/>
      <c r="D122" s="930"/>
      <c r="E122" s="944"/>
      <c r="F122" s="944"/>
      <c r="G122" s="944"/>
      <c r="H122" s="944"/>
      <c r="I122" s="944"/>
      <c r="J122" s="944"/>
      <c r="K122" s="944"/>
      <c r="L122" s="944"/>
      <c r="M122" s="944"/>
      <c r="N122" s="944"/>
      <c r="T122" s="930"/>
      <c r="U122" s="930"/>
      <c r="V122" s="930"/>
      <c r="W122" s="930"/>
      <c r="X122" s="930"/>
      <c r="Y122" s="930"/>
      <c r="Z122" s="930"/>
      <c r="AA122" s="930"/>
      <c r="AB122" s="930"/>
      <c r="AH122" s="930"/>
      <c r="AJ122" s="931"/>
      <c r="AN122" s="930"/>
      <c r="AP122" s="931"/>
      <c r="AT122" s="930"/>
      <c r="AV122" s="931"/>
      <c r="AZ122" s="930"/>
      <c r="BB122" s="931"/>
      <c r="BF122" s="930"/>
      <c r="BH122" s="931"/>
      <c r="BL122" s="930"/>
      <c r="BN122" s="931"/>
      <c r="BR122" s="930"/>
      <c r="BT122" s="931"/>
      <c r="BX122" s="930"/>
      <c r="BZ122" s="931"/>
      <c r="CD122" s="930"/>
      <c r="CF122" s="931"/>
      <c r="CJ122" s="930"/>
      <c r="CL122" s="931"/>
      <c r="CP122" s="930"/>
      <c r="CR122" s="931"/>
    </row>
    <row r="123" spans="2:96" ht="24.75" customHeight="1">
      <c r="B123" s="1314" t="s">
        <v>425</v>
      </c>
      <c r="C123" s="1316" t="str">
        <f>C108</f>
        <v>Thermocouple Data Logger, Merek : MADGETECH, Model : OctTemp 2000, SN : P40270</v>
      </c>
      <c r="D123" s="1316"/>
      <c r="E123" s="1316"/>
      <c r="F123" s="932" t="str">
        <f>F108</f>
        <v>Interpolasi</v>
      </c>
      <c r="G123" s="933"/>
      <c r="H123" s="1314" t="str">
        <f>B123</f>
        <v>CH 9</v>
      </c>
      <c r="I123" s="1316" t="str">
        <f>I108</f>
        <v>Thermocouple Data Logger, Merek : MADGETECH, Model : OctTemp 2000, SN : P41878</v>
      </c>
      <c r="J123" s="1316"/>
      <c r="K123" s="1316"/>
      <c r="L123" s="932" t="s">
        <v>572</v>
      </c>
      <c r="M123" s="933"/>
      <c r="N123" s="1314" t="str">
        <f>H123</f>
        <v>CH 9</v>
      </c>
      <c r="O123" s="1316" t="str">
        <f>O108</f>
        <v>Mobile Corder, Merek : Yokogawa, Model : GP 10, SN : S5T810599</v>
      </c>
      <c r="P123" s="1317"/>
      <c r="Q123" s="1316"/>
      <c r="R123" s="932" t="s">
        <v>572</v>
      </c>
      <c r="S123" s="929"/>
      <c r="T123" s="1314" t="str">
        <f>N123</f>
        <v>CH 9</v>
      </c>
      <c r="U123" s="1316" t="str">
        <f>U108</f>
        <v>Wireless Temperature Recorder : Merek : HIOKI, Model : LR 8510, SN : 200936000</v>
      </c>
      <c r="V123" s="1317"/>
      <c r="W123" s="1316"/>
      <c r="X123" s="932" t="s">
        <v>572</v>
      </c>
      <c r="Y123" s="929"/>
      <c r="Z123" s="1314" t="str">
        <f>T123</f>
        <v>CH 9</v>
      </c>
      <c r="AA123" s="1316" t="str">
        <f>AA108</f>
        <v>Wireless Temperature Recorder : Merek : HIOKI, Model : LR 8510, SN : 200936001</v>
      </c>
      <c r="AB123" s="1317"/>
      <c r="AC123" s="1316"/>
      <c r="AD123" s="932" t="s">
        <v>572</v>
      </c>
      <c r="AE123" s="929"/>
      <c r="AF123" s="1314" t="str">
        <f>Z123</f>
        <v>CH 9</v>
      </c>
      <c r="AG123" s="1316" t="str">
        <f>AG108</f>
        <v>Wireless Temperature Recorder : Merek : HIOKI, Model : LR 8510, SN : 200821397</v>
      </c>
      <c r="AH123" s="1317"/>
      <c r="AI123" s="1316"/>
      <c r="AJ123" s="932" t="s">
        <v>572</v>
      </c>
      <c r="AK123" s="929"/>
      <c r="AL123" s="1314" t="str">
        <f>AF123</f>
        <v>CH 9</v>
      </c>
      <c r="AM123" s="1316" t="str">
        <f>AM108</f>
        <v>Wireless Temperature Recorder : Merek : HIOKI, Model : LR 8510, SN : 210411983</v>
      </c>
      <c r="AN123" s="1317"/>
      <c r="AO123" s="1316"/>
      <c r="AP123" s="932" t="s">
        <v>572</v>
      </c>
      <c r="AQ123" s="960"/>
      <c r="AR123" s="1314" t="str">
        <f>AL123</f>
        <v>CH 9</v>
      </c>
      <c r="AS123" s="1316" t="str">
        <f>AS108</f>
        <v>Wireless Temperature Recorder : Merek : HIOKI, Model : LR 8510, SN : 210411984</v>
      </c>
      <c r="AT123" s="1317"/>
      <c r="AU123" s="1316"/>
      <c r="AV123" s="932" t="s">
        <v>572</v>
      </c>
      <c r="AW123" s="929"/>
      <c r="AX123" s="1314" t="str">
        <f>AR123</f>
        <v>CH 9</v>
      </c>
      <c r="AY123" s="1316" t="str">
        <f>AY108</f>
        <v>Wireless Temperature Recorder : Merek : HIOKI, Model : LR 8510, SN : 210411985</v>
      </c>
      <c r="AZ123" s="1317"/>
      <c r="BA123" s="1316"/>
      <c r="BB123" s="932" t="s">
        <v>572</v>
      </c>
      <c r="BC123" s="929"/>
      <c r="BD123" s="1314" t="str">
        <f>AX123</f>
        <v>CH 9</v>
      </c>
      <c r="BE123" s="1316" t="str">
        <f>BE108</f>
        <v>Wireless Temperature Recorder : Merek : HIOKI, Model : LR 8510, SN : 210746054</v>
      </c>
      <c r="BF123" s="1317"/>
      <c r="BG123" s="1316"/>
      <c r="BH123" s="932" t="s">
        <v>572</v>
      </c>
      <c r="BI123" s="929"/>
      <c r="BJ123" s="1314" t="str">
        <f>BD123</f>
        <v>CH 9</v>
      </c>
      <c r="BK123" s="1316" t="str">
        <f>BK108</f>
        <v>Wireless Temperature Recorder : Merek : HIOKI, Model : LR 8510, SN : 210746055</v>
      </c>
      <c r="BL123" s="1317"/>
      <c r="BM123" s="1316"/>
      <c r="BN123" s="932" t="s">
        <v>572</v>
      </c>
      <c r="BO123" s="929"/>
      <c r="BP123" s="1314" t="str">
        <f>BJ123</f>
        <v>CH 9</v>
      </c>
      <c r="BQ123" s="1316" t="str">
        <f>BQ108</f>
        <v>Wireless Temperature Recorder : Merek : HIOKI, Model : LR 8510, SN : 210746056</v>
      </c>
      <c r="BR123" s="1317"/>
      <c r="BS123" s="1316"/>
      <c r="BT123" s="932" t="s">
        <v>572</v>
      </c>
      <c r="BU123" s="929"/>
      <c r="BV123" s="1314" t="str">
        <f>BP123</f>
        <v>CH 9</v>
      </c>
      <c r="BW123" s="1316" t="str">
        <f>BW108</f>
        <v>Wireless Temperature Recorder : Merek : HIOKI, Model : LR 8510, SN : x x x</v>
      </c>
      <c r="BX123" s="1317"/>
      <c r="BY123" s="1316"/>
      <c r="BZ123" s="932" t="s">
        <v>572</v>
      </c>
      <c r="CA123" s="929"/>
      <c r="CB123" s="1314" t="str">
        <f>BV123</f>
        <v>CH 9</v>
      </c>
      <c r="CC123" s="1316" t="str">
        <f t="shared" ref="CC123:CC136" si="256">CC108</f>
        <v>Reference Thermometer, Merek : APPA, Model : APPA51, SN : 03002948</v>
      </c>
      <c r="CD123" s="1317"/>
      <c r="CE123" s="1316"/>
      <c r="CF123" s="932" t="s">
        <v>572</v>
      </c>
      <c r="CH123" s="1314" t="str">
        <f>CB123</f>
        <v>CH 9</v>
      </c>
      <c r="CI123" s="1316" t="str">
        <f t="shared" ref="CI123:CI136" si="257">CI108</f>
        <v>Reference Thermometer, Merek : FLUKE, Model : 1524, SN : 1803038</v>
      </c>
      <c r="CJ123" s="1317"/>
      <c r="CK123" s="1316"/>
      <c r="CL123" s="932" t="s">
        <v>572</v>
      </c>
      <c r="CN123" s="1314" t="str">
        <f>CH123</f>
        <v>CH 9</v>
      </c>
      <c r="CO123" s="1316" t="str">
        <f t="shared" ref="CO123:CO136" si="258">CO108</f>
        <v>Reference Thermometer, Merek : FLUKE, Model : 1524, SN : 1803037</v>
      </c>
      <c r="CP123" s="1317"/>
      <c r="CQ123" s="1316"/>
      <c r="CR123" s="932" t="s">
        <v>572</v>
      </c>
    </row>
    <row r="124" spans="2:96">
      <c r="B124" s="1315"/>
      <c r="C124" s="935">
        <f>C109</f>
        <v>2019</v>
      </c>
      <c r="D124" s="935">
        <f>D109</f>
        <v>2021</v>
      </c>
      <c r="E124" s="936" t="s">
        <v>215</v>
      </c>
      <c r="F124" s="1063">
        <f>F109</f>
        <v>6.4428226504297132</v>
      </c>
      <c r="G124" s="937"/>
      <c r="H124" s="1315"/>
      <c r="I124" s="938">
        <f>I109</f>
        <v>2020</v>
      </c>
      <c r="J124" s="938">
        <f>J109</f>
        <v>2021</v>
      </c>
      <c r="K124" s="936" t="s">
        <v>215</v>
      </c>
      <c r="L124" s="1063">
        <f>F124</f>
        <v>6.4428226504297132</v>
      </c>
      <c r="M124" s="937"/>
      <c r="N124" s="1315"/>
      <c r="O124" s="938">
        <f>O19</f>
        <v>2018</v>
      </c>
      <c r="P124" s="935">
        <f>P19</f>
        <v>2021</v>
      </c>
      <c r="Q124" s="936" t="s">
        <v>215</v>
      </c>
      <c r="R124" s="1063">
        <f>L124</f>
        <v>6.4428226504297132</v>
      </c>
      <c r="S124" s="929"/>
      <c r="T124" s="1315"/>
      <c r="U124" s="938">
        <f>U109</f>
        <v>2021</v>
      </c>
      <c r="V124" s="935"/>
      <c r="W124" s="936" t="s">
        <v>215</v>
      </c>
      <c r="X124" s="1063">
        <f>R124</f>
        <v>6.4428226504297132</v>
      </c>
      <c r="Y124" s="929"/>
      <c r="Z124" s="1315"/>
      <c r="AA124" s="938">
        <f>AA109</f>
        <v>2021</v>
      </c>
      <c r="AB124" s="935"/>
      <c r="AC124" s="936" t="s">
        <v>215</v>
      </c>
      <c r="AD124" s="1063">
        <f>X124</f>
        <v>6.4428226504297132</v>
      </c>
      <c r="AE124" s="929"/>
      <c r="AF124" s="1315"/>
      <c r="AG124" s="938">
        <f>AG109</f>
        <v>2021</v>
      </c>
      <c r="AH124" s="938">
        <f>AH109</f>
        <v>0</v>
      </c>
      <c r="AI124" s="936" t="s">
        <v>215</v>
      </c>
      <c r="AJ124" s="1063">
        <f>AD124</f>
        <v>6.4428226504297132</v>
      </c>
      <c r="AK124" s="929"/>
      <c r="AL124" s="1315"/>
      <c r="AM124" s="938">
        <f>AM109</f>
        <v>2021</v>
      </c>
      <c r="AN124" s="935"/>
      <c r="AO124" s="936" t="s">
        <v>215</v>
      </c>
      <c r="AP124" s="1063">
        <f>AJ124</f>
        <v>6.4428226504297132</v>
      </c>
      <c r="AQ124" s="960"/>
      <c r="AR124" s="1315"/>
      <c r="AS124" s="938">
        <f>AS109</f>
        <v>2021</v>
      </c>
      <c r="AT124" s="935"/>
      <c r="AU124" s="936" t="s">
        <v>215</v>
      </c>
      <c r="AV124" s="1063">
        <f>AP124</f>
        <v>6.4428226504297132</v>
      </c>
      <c r="AW124" s="929"/>
      <c r="AX124" s="1315"/>
      <c r="AY124" s="938">
        <f>AY109</f>
        <v>2021</v>
      </c>
      <c r="AZ124" s="935"/>
      <c r="BA124" s="936" t="s">
        <v>215</v>
      </c>
      <c r="BB124" s="1063">
        <f>AV124</f>
        <v>6.4428226504297132</v>
      </c>
      <c r="BC124" s="929"/>
      <c r="BD124" s="1315"/>
      <c r="BE124" s="938">
        <f>BE109</f>
        <v>2021</v>
      </c>
      <c r="BF124" s="935"/>
      <c r="BG124" s="936" t="s">
        <v>215</v>
      </c>
      <c r="BH124" s="1063">
        <f>BB124</f>
        <v>6.4428226504297132</v>
      </c>
      <c r="BI124" s="929"/>
      <c r="BJ124" s="1315"/>
      <c r="BK124" s="938">
        <f>BK109</f>
        <v>2021</v>
      </c>
      <c r="BL124" s="935"/>
      <c r="BM124" s="936" t="s">
        <v>215</v>
      </c>
      <c r="BN124" s="1063">
        <f>BH124</f>
        <v>6.4428226504297132</v>
      </c>
      <c r="BO124" s="929"/>
      <c r="BP124" s="1315"/>
      <c r="BQ124" s="938">
        <f>BQ109</f>
        <v>2021</v>
      </c>
      <c r="BR124" s="935"/>
      <c r="BS124" s="936" t="s">
        <v>215</v>
      </c>
      <c r="BT124" s="1063">
        <f>BN124</f>
        <v>6.4428226504297132</v>
      </c>
      <c r="BU124" s="929"/>
      <c r="BV124" s="1315"/>
      <c r="BW124" s="938">
        <f>BW109</f>
        <v>2021</v>
      </c>
      <c r="BX124" s="935"/>
      <c r="BY124" s="936" t="s">
        <v>215</v>
      </c>
      <c r="BZ124" s="1063">
        <f>BT124</f>
        <v>6.4428226504297132</v>
      </c>
      <c r="CA124" s="929"/>
      <c r="CB124" s="1315"/>
      <c r="CC124" s="938">
        <f t="shared" si="256"/>
        <v>2020</v>
      </c>
      <c r="CD124" s="935"/>
      <c r="CE124" s="936" t="s">
        <v>215</v>
      </c>
      <c r="CF124" s="1063">
        <f>BZ124</f>
        <v>6.4428226504297132</v>
      </c>
      <c r="CG124" s="954"/>
      <c r="CH124" s="1315"/>
      <c r="CI124" s="938">
        <f t="shared" si="257"/>
        <v>2021</v>
      </c>
      <c r="CJ124" s="935"/>
      <c r="CK124" s="936" t="s">
        <v>215</v>
      </c>
      <c r="CL124" s="1063">
        <f>CF124</f>
        <v>6.4428226504297132</v>
      </c>
      <c r="CN124" s="1315"/>
      <c r="CO124" s="938">
        <f t="shared" si="258"/>
        <v>2021</v>
      </c>
      <c r="CP124" s="935"/>
      <c r="CQ124" s="936" t="s">
        <v>215</v>
      </c>
      <c r="CR124" s="1063">
        <f>CL124</f>
        <v>6.4428226504297132</v>
      </c>
    </row>
    <row r="125" spans="2:96">
      <c r="B125" s="939">
        <v>-20</v>
      </c>
      <c r="C125" s="891"/>
      <c r="D125" s="891">
        <v>1</v>
      </c>
      <c r="E125" s="925">
        <f t="shared" ref="E125:E136" si="259">IF(OR(C125=0,D125=0),$U$221/3,((MAX(C125:D125)-(MIN(C125:D125)))))</f>
        <v>0.11333333333333334</v>
      </c>
      <c r="F125" s="1061">
        <f>IF(F124&lt;=B126,B125,IF(F124&lt;=B127,B126,IF(F124&lt;=B128,B127,IF(F124&lt;=B129,B128,IF(F124&lt;=B130,B129)))))</f>
        <v>2</v>
      </c>
      <c r="G125" s="942"/>
      <c r="H125" s="939">
        <v>-20</v>
      </c>
      <c r="I125" s="891"/>
      <c r="J125" s="891">
        <v>1E-3</v>
      </c>
      <c r="K125" s="925">
        <v>0.1</v>
      </c>
      <c r="L125" s="1061">
        <f>IF(L124&lt;=H126,H125,IF(L124&lt;=H127,H126,IF(L124&lt;=H128,H127,IF(L124&lt;=H129,H128,IF(L124&lt;=H130,H129)))))</f>
        <v>2</v>
      </c>
      <c r="M125" s="942"/>
      <c r="N125" s="939">
        <v>-20</v>
      </c>
      <c r="O125" s="940">
        <v>1E-3</v>
      </c>
      <c r="P125" s="940"/>
      <c r="Q125" s="925">
        <v>0.1</v>
      </c>
      <c r="R125" s="1061">
        <f>IF(R124&lt;=N126,N125,IF(R124&lt;=N127,N126,IF(R124&lt;=N128,N127,IF(R124&lt;=N129,N128,IF(R124&lt;=N130,N129)))))</f>
        <v>2</v>
      </c>
      <c r="S125" s="929"/>
      <c r="T125" s="939">
        <v>-20</v>
      </c>
      <c r="U125" s="891">
        <f t="shared" ref="U125:U136" si="260">F225</f>
        <v>1E-3</v>
      </c>
      <c r="V125" s="940"/>
      <c r="W125" s="925">
        <f t="shared" ref="W125:W136" si="261">IF(OR(U125=0,V125=0),$F$237/3,((MAX(U125:V125)-(MIN(U125:V125)))))</f>
        <v>3.3333333333333332E-4</v>
      </c>
      <c r="X125" s="1061">
        <f>IF(X124&lt;=T126,T125,IF(X124&lt;=T127,T126,IF(X124&lt;=T128,T127,IF(X124&lt;=T129,T128,IF(X124&lt;=T130,T129)))))</f>
        <v>2</v>
      </c>
      <c r="Y125" s="929"/>
      <c r="Z125" s="939">
        <v>-20</v>
      </c>
      <c r="AA125" s="891">
        <f t="shared" ref="AA125:AA136" si="262">G225</f>
        <v>1E-3</v>
      </c>
      <c r="AB125" s="940"/>
      <c r="AC125" s="925">
        <f t="shared" ref="AC125:AC136" si="263">IF(OR(AA125=0,AB125=0),$G$237/3,((MAX(AA125:AB125)-(MIN(AA125:AB125)))))</f>
        <v>3.3333333333333332E-4</v>
      </c>
      <c r="AD125" s="1061">
        <f>IF(AD124&lt;=Z126,Z125,IF(AD124&lt;=Z127,Z126,IF(AD124&lt;=Z128,Z127,IF(AD124&lt;=Z129,Z128,IF(AD124&lt;=Z130,Z129)))))</f>
        <v>2</v>
      </c>
      <c r="AE125" s="929"/>
      <c r="AF125" s="939">
        <v>-20</v>
      </c>
      <c r="AG125" s="891">
        <v>1E-3</v>
      </c>
      <c r="AH125" s="940"/>
      <c r="AI125" s="925">
        <f t="shared" ref="AI125:AI136" si="264">IF(OR(AG125=0,AH125=0),$H$237/3,((MAX(AG125:AH125)-(MIN(AG125:AH125)))))</f>
        <v>3.3333333333333332E-4</v>
      </c>
      <c r="AJ125" s="1061">
        <f>IF(AJ124&lt;=AF126,AF125,IF(AJ124&lt;=AF127,AF126,IF(AJ124&lt;=AF128,AF127,IF(AJ124&lt;=AF129,AF128,IF(AJ124&lt;=AF130,AF129)))))</f>
        <v>2</v>
      </c>
      <c r="AK125" s="929"/>
      <c r="AL125" s="939">
        <v>-20</v>
      </c>
      <c r="AM125" s="891">
        <f t="shared" ref="AM125:AM136" si="265">I225</f>
        <v>1E-3</v>
      </c>
      <c r="AN125" s="940"/>
      <c r="AO125" s="925">
        <f t="shared" ref="AO125:AO136" si="266">IF(OR(AM125=0,AN125=0),$I$237/3,((MAX(AM125:AN125)-(MIN(AM125:AN125)))))</f>
        <v>3.3333333333333332E-4</v>
      </c>
      <c r="AP125" s="1061">
        <f>IF(AP124&lt;=AL126,AL125,IF(AP124&lt;=AL127,AL126,IF(AP124&lt;=AL128,AL127,IF(AP124&lt;=AL129,AL128,IF(AP124&lt;=AL130,AL129)))))</f>
        <v>2</v>
      </c>
      <c r="AQ125" s="960"/>
      <c r="AR125" s="939">
        <v>-20</v>
      </c>
      <c r="AS125" s="891">
        <f t="shared" ref="AS125:AS136" si="267">J225</f>
        <v>1E-3</v>
      </c>
      <c r="AT125" s="940"/>
      <c r="AU125" s="925">
        <f t="shared" ref="AU125:AU136" si="268">IF(OR(AS125=0,AT125=0),$J$237/3,((MAX(AS125:AT125)-(MIN(AS125:AT125)))))</f>
        <v>3.3333333333333332E-4</v>
      </c>
      <c r="AV125" s="1061">
        <f>IF(AV124&lt;=AR126,AR125,IF(AV124&lt;=AR127,AR126,IF(AV124&lt;=AR128,AR127,IF(AV124&lt;=AR129,AR128,IF(AV124&lt;=AR130,AR129)))))</f>
        <v>2</v>
      </c>
      <c r="AW125" s="929"/>
      <c r="AX125" s="939">
        <v>-20</v>
      </c>
      <c r="AY125" s="891">
        <f t="shared" ref="AY125:AY136" si="269">K225</f>
        <v>0.5</v>
      </c>
      <c r="AZ125" s="940"/>
      <c r="BA125" s="925">
        <f t="shared" ref="BA125:BA136" si="270">IF(OR(AY125=0,AZ125=0),$K$237/3,((MAX(AY125:AZ125)-(MIN(AY125:AZ125)))))</f>
        <v>0.26333333333333336</v>
      </c>
      <c r="BB125" s="1061">
        <f>IF(BB124&lt;=AX126,AX125,IF(BB124&lt;=AX127,AX126,IF(BB124&lt;=AX128,AX127,IF(BB124&lt;=AX129,AX128,IF(BB124&lt;=AX130,AX129)))))</f>
        <v>2</v>
      </c>
      <c r="BC125" s="929"/>
      <c r="BD125" s="939">
        <v>-20</v>
      </c>
      <c r="BE125" s="891">
        <f t="shared" ref="BE125:BE136" si="271">L225</f>
        <v>1E-3</v>
      </c>
      <c r="BF125" s="940"/>
      <c r="BG125" s="925">
        <f t="shared" ref="BG125:BG136" si="272">IF(OR(BE125=0,BF125=0),$L$237/3,((MAX(BE125:BF125)-(MIN(BE125:BF125)))))</f>
        <v>3.3333333333333332E-4</v>
      </c>
      <c r="BH125" s="1061">
        <f>IF(BH124&lt;=BD126,BD125,IF(BH124&lt;=BD127,BD126,IF(BH124&lt;=BD128,BD127,IF(BH124&lt;=BD129,BD128,IF(BH124&lt;=BD130,BD129)))))</f>
        <v>2</v>
      </c>
      <c r="BI125" s="929"/>
      <c r="BJ125" s="939">
        <v>-20</v>
      </c>
      <c r="BK125" s="891">
        <f t="shared" ref="BK125:BK136" si="273">M225</f>
        <v>0.5</v>
      </c>
      <c r="BL125" s="940"/>
      <c r="BM125" s="925">
        <f t="shared" ref="BM125:BM136" si="274">IF(OR(BK125=0,BL125=0),$M$237/3,((MAX(BK125:BL125)-(MIN(BK125:BL125)))))</f>
        <v>0.26333333333333336</v>
      </c>
      <c r="BN125" s="1061">
        <f>IF(BN124&lt;=BJ126,BJ125,IF(BN124&lt;=BJ127,BJ126,IF(BN124&lt;=BJ128,BJ127,IF(BN124&lt;=BJ129,BJ128,IF(BN124&lt;=BJ130,BJ129)))))</f>
        <v>2</v>
      </c>
      <c r="BO125" s="929"/>
      <c r="BP125" s="939">
        <v>-20</v>
      </c>
      <c r="BQ125" s="891">
        <f t="shared" ref="BQ125:BQ136" si="275">N225</f>
        <v>1E-3</v>
      </c>
      <c r="BR125" s="940"/>
      <c r="BS125" s="925">
        <f t="shared" ref="BS125:BS136" si="276">IF(OR(BQ125=0,BR125=0),$N$237/3,((MAX(BQ125:BR125)-(MIN(BQ125:BR125)))))</f>
        <v>3.3333333333333332E-4</v>
      </c>
      <c r="BT125" s="1061">
        <f>IF(BT124&lt;=BP126,BP125,IF(BT124&lt;=BP127,BP126,IF(BT124&lt;=BP128,BP127,IF(BT124&lt;=BP129,BP128,IF(BT124&lt;=BP130,BP129)))))</f>
        <v>2</v>
      </c>
      <c r="BU125" s="929"/>
      <c r="BV125" s="939">
        <v>-20</v>
      </c>
      <c r="BW125" s="891">
        <f t="shared" ref="BW125:BW136" si="277">O225</f>
        <v>2</v>
      </c>
      <c r="BX125" s="940"/>
      <c r="BY125" s="925">
        <f t="shared" ref="BY125:BY136" si="278">IF(OR(BW125=0,BX125=0),$O$237/3,((MAX(BW125:BX125)-(MIN(BW125:BX125)))))</f>
        <v>4.666666666666667</v>
      </c>
      <c r="BZ125" s="1061">
        <f>IF(BZ124&lt;=BV126,BV125,IF(BZ124&lt;=BV127,BV126,IF(BZ124&lt;=BV128,BV127,IF(BZ124&lt;=BV129,BV128,IF(BZ124&lt;=BV130,BV129)))))</f>
        <v>2</v>
      </c>
      <c r="CA125" s="929"/>
      <c r="CB125" s="939">
        <v>-20</v>
      </c>
      <c r="CC125" s="891">
        <f t="shared" si="256"/>
        <v>-0.7</v>
      </c>
      <c r="CD125" s="940"/>
      <c r="CE125" s="925">
        <f t="shared" ref="CE125:CE136" si="279">CE110</f>
        <v>0.13333333333333333</v>
      </c>
      <c r="CF125" s="1061">
        <f>IF(CF124&lt;=CB126,CB125,IF(CF124&lt;=CB127,CB126,IF(CF124&lt;=CB128,CB127,IF(CF124&lt;=CB129,CB128,IF(CF124&lt;=CB130,CB129)))))</f>
        <v>2</v>
      </c>
      <c r="CG125" s="954"/>
      <c r="CH125" s="939">
        <v>-20</v>
      </c>
      <c r="CI125" s="891">
        <f t="shared" si="257"/>
        <v>-1.5E-3</v>
      </c>
      <c r="CJ125" s="940"/>
      <c r="CK125" s="925">
        <f t="shared" ref="CK125:CK136" si="280">CK110</f>
        <v>7.3333333333333334E-2</v>
      </c>
      <c r="CL125" s="1061">
        <f>IF(CL124&lt;=CH126,CH125,IF(CL124&lt;=CH127,CH126,IF(CL124&lt;=CH128,CH127,IF(CL124&lt;=CH129,CH128,IF(CL124&lt;=CH130,CH129)))))</f>
        <v>2</v>
      </c>
      <c r="CN125" s="939">
        <v>-20</v>
      </c>
      <c r="CO125" s="891">
        <f t="shared" si="258"/>
        <v>-1.8</v>
      </c>
      <c r="CP125" s="940"/>
      <c r="CQ125" s="925">
        <f t="shared" ref="CQ125:CQ136" si="281">CQ110</f>
        <v>0.25666666666666665</v>
      </c>
      <c r="CR125" s="1061">
        <f>IF(CR124&lt;=CN126,CN125,IF(CR124&lt;=CN127,CN126,IF(CR124&lt;=CN128,CN127,IF(CR124&lt;=CN129,CN128,IF(CR124&lt;=CN130,CN129)))))</f>
        <v>2</v>
      </c>
    </row>
    <row r="126" spans="2:96">
      <c r="B126" s="939">
        <v>-15</v>
      </c>
      <c r="C126" s="891"/>
      <c r="D126" s="891">
        <v>2</v>
      </c>
      <c r="E126" s="925">
        <f t="shared" si="259"/>
        <v>0.11333333333333334</v>
      </c>
      <c r="F126" s="1056"/>
      <c r="G126" s="942"/>
      <c r="H126" s="939">
        <v>-15</v>
      </c>
      <c r="I126" s="891"/>
      <c r="J126" s="891">
        <v>1E-3</v>
      </c>
      <c r="K126" s="925">
        <v>0.1</v>
      </c>
      <c r="L126" s="1056"/>
      <c r="M126" s="942"/>
      <c r="N126" s="939">
        <v>-15</v>
      </c>
      <c r="O126" s="940">
        <v>1E-3</v>
      </c>
      <c r="P126" s="940"/>
      <c r="Q126" s="925">
        <v>0.1</v>
      </c>
      <c r="R126" s="1056"/>
      <c r="S126" s="929"/>
      <c r="T126" s="939">
        <v>-15</v>
      </c>
      <c r="U126" s="891">
        <f t="shared" si="260"/>
        <v>1E-3</v>
      </c>
      <c r="V126" s="940"/>
      <c r="W126" s="925">
        <f t="shared" si="261"/>
        <v>3.3333333333333332E-4</v>
      </c>
      <c r="X126" s="1056"/>
      <c r="Y126" s="929"/>
      <c r="Z126" s="939">
        <v>-15</v>
      </c>
      <c r="AA126" s="891">
        <f t="shared" si="262"/>
        <v>1E-3</v>
      </c>
      <c r="AB126" s="940"/>
      <c r="AC126" s="925">
        <f t="shared" si="263"/>
        <v>3.3333333333333332E-4</v>
      </c>
      <c r="AD126" s="1056"/>
      <c r="AE126" s="929"/>
      <c r="AF126" s="939">
        <v>-15</v>
      </c>
      <c r="AG126" s="891">
        <v>1E-3</v>
      </c>
      <c r="AH126" s="940"/>
      <c r="AI126" s="925">
        <f t="shared" si="264"/>
        <v>3.3333333333333332E-4</v>
      </c>
      <c r="AJ126" s="1056"/>
      <c r="AK126" s="929"/>
      <c r="AL126" s="939">
        <v>-15</v>
      </c>
      <c r="AM126" s="891">
        <f t="shared" si="265"/>
        <v>1E-3</v>
      </c>
      <c r="AN126" s="940"/>
      <c r="AO126" s="925">
        <f t="shared" si="266"/>
        <v>3.3333333333333332E-4</v>
      </c>
      <c r="AP126" s="1056"/>
      <c r="AQ126" s="960"/>
      <c r="AR126" s="939">
        <v>-15</v>
      </c>
      <c r="AS126" s="891">
        <f t="shared" si="267"/>
        <v>1E-3</v>
      </c>
      <c r="AT126" s="940"/>
      <c r="AU126" s="925">
        <f t="shared" si="268"/>
        <v>3.3333333333333332E-4</v>
      </c>
      <c r="AV126" s="1056"/>
      <c r="AW126" s="929"/>
      <c r="AX126" s="939">
        <v>-15</v>
      </c>
      <c r="AY126" s="891">
        <f t="shared" si="269"/>
        <v>1E-3</v>
      </c>
      <c r="AZ126" s="940"/>
      <c r="BA126" s="925">
        <f t="shared" si="270"/>
        <v>0.26333333333333336</v>
      </c>
      <c r="BB126" s="1056"/>
      <c r="BC126" s="929"/>
      <c r="BD126" s="939">
        <v>-15</v>
      </c>
      <c r="BE126" s="891">
        <f t="shared" si="271"/>
        <v>1E-3</v>
      </c>
      <c r="BF126" s="940"/>
      <c r="BG126" s="925">
        <f t="shared" si="272"/>
        <v>3.3333333333333332E-4</v>
      </c>
      <c r="BH126" s="1056"/>
      <c r="BI126" s="929"/>
      <c r="BJ126" s="939">
        <v>-15</v>
      </c>
      <c r="BK126" s="891">
        <f t="shared" si="273"/>
        <v>1E-3</v>
      </c>
      <c r="BL126" s="940"/>
      <c r="BM126" s="925">
        <f t="shared" si="274"/>
        <v>0.26333333333333336</v>
      </c>
      <c r="BN126" s="1056"/>
      <c r="BO126" s="929"/>
      <c r="BP126" s="939">
        <v>-15</v>
      </c>
      <c r="BQ126" s="891">
        <f t="shared" si="275"/>
        <v>1E-3</v>
      </c>
      <c r="BR126" s="940"/>
      <c r="BS126" s="925">
        <f t="shared" si="276"/>
        <v>3.3333333333333332E-4</v>
      </c>
      <c r="BT126" s="1056"/>
      <c r="BU126" s="929"/>
      <c r="BV126" s="939">
        <v>-15</v>
      </c>
      <c r="BW126" s="891">
        <f t="shared" si="277"/>
        <v>3</v>
      </c>
      <c r="BX126" s="940"/>
      <c r="BY126" s="925">
        <f t="shared" si="278"/>
        <v>4.666666666666667</v>
      </c>
      <c r="BZ126" s="1056"/>
      <c r="CA126" s="929"/>
      <c r="CB126" s="939">
        <v>-15</v>
      </c>
      <c r="CC126" s="891">
        <f t="shared" si="256"/>
        <v>-0.7</v>
      </c>
      <c r="CD126" s="940"/>
      <c r="CE126" s="925">
        <f t="shared" si="279"/>
        <v>0.13333333333333333</v>
      </c>
      <c r="CF126" s="1056"/>
      <c r="CG126" s="955"/>
      <c r="CH126" s="939">
        <v>-15</v>
      </c>
      <c r="CI126" s="891">
        <f t="shared" si="257"/>
        <v>1E-3</v>
      </c>
      <c r="CJ126" s="940"/>
      <c r="CK126" s="925">
        <f t="shared" si="280"/>
        <v>7.3333333333333334E-2</v>
      </c>
      <c r="CL126" s="1056"/>
      <c r="CN126" s="939">
        <v>-15</v>
      </c>
      <c r="CO126" s="891">
        <f t="shared" si="258"/>
        <v>-1.52</v>
      </c>
      <c r="CP126" s="940"/>
      <c r="CQ126" s="925">
        <f t="shared" si="281"/>
        <v>0.25666666666666665</v>
      </c>
      <c r="CR126" s="1056"/>
    </row>
    <row r="127" spans="2:96">
      <c r="B127" s="939">
        <v>-10</v>
      </c>
      <c r="C127" s="891"/>
      <c r="D127" s="891">
        <v>3</v>
      </c>
      <c r="E127" s="925">
        <f t="shared" si="259"/>
        <v>0.11333333333333334</v>
      </c>
      <c r="F127" s="1061">
        <f>IF(F124&lt;=B125,B125,IF(F124&lt;=B126,B126,IF(F124&lt;=B127,B127,IF(F124&lt;=B128,B128,IF(F124&lt;=B129,B129,IF(F124&lt;=B130,B130))))))</f>
        <v>8</v>
      </c>
      <c r="G127" s="942"/>
      <c r="H127" s="939">
        <v>-10</v>
      </c>
      <c r="I127" s="891"/>
      <c r="J127" s="891">
        <v>1E-3</v>
      </c>
      <c r="K127" s="925">
        <v>0.1</v>
      </c>
      <c r="L127" s="1061">
        <f>IF(L124&lt;=H125,H125,IF(L124&lt;=H126,H126,IF(L124&lt;=H127,H127,IF(L124&lt;=H128,H128,IF(L124&lt;=H129,H129,IF(L124&lt;=H130,H130))))))</f>
        <v>8</v>
      </c>
      <c r="M127" s="942"/>
      <c r="N127" s="939">
        <v>-10</v>
      </c>
      <c r="O127" s="940">
        <v>1E-3</v>
      </c>
      <c r="P127" s="940"/>
      <c r="Q127" s="925">
        <v>0.1</v>
      </c>
      <c r="R127" s="1061">
        <f>IF(R124&lt;=N125,N125,IF(R124&lt;=N126,N126,IF(R124&lt;=N127,N127,IF(R124&lt;=N128,N128,IF(R124&lt;=N129,N129,IF(R124&lt;=N130,N130))))))</f>
        <v>8</v>
      </c>
      <c r="S127" s="929"/>
      <c r="T127" s="939">
        <v>-10</v>
      </c>
      <c r="U127" s="891">
        <f t="shared" si="260"/>
        <v>1E-3</v>
      </c>
      <c r="V127" s="940"/>
      <c r="W127" s="925">
        <f t="shared" si="261"/>
        <v>3.3333333333333332E-4</v>
      </c>
      <c r="X127" s="1061">
        <f>IF(X124&lt;=T125,T125,IF(X124&lt;=T126,T126,IF(X124&lt;=T127,T127,IF(X124&lt;=T128,T128,IF(X124&lt;=T129,T129,IF(X124&lt;=T130,T130))))))</f>
        <v>8</v>
      </c>
      <c r="Y127" s="929"/>
      <c r="Z127" s="939">
        <v>-10</v>
      </c>
      <c r="AA127" s="891">
        <f t="shared" si="262"/>
        <v>1E-3</v>
      </c>
      <c r="AB127" s="940"/>
      <c r="AC127" s="925">
        <f t="shared" si="263"/>
        <v>3.3333333333333332E-4</v>
      </c>
      <c r="AD127" s="1061">
        <f>IF(AD124&lt;=Z125,Z125,IF(AD124&lt;=Z126,Z126,IF(AD124&lt;=Z127,Z127,IF(AD124&lt;=Z128,Z128,IF(AD124&lt;=Z129,Z129,IF(AD124&lt;=Z130,Z130))))))</f>
        <v>8</v>
      </c>
      <c r="AE127" s="929"/>
      <c r="AF127" s="939">
        <v>-10</v>
      </c>
      <c r="AG127" s="891">
        <v>1E-3</v>
      </c>
      <c r="AH127" s="940"/>
      <c r="AI127" s="925">
        <f t="shared" si="264"/>
        <v>3.3333333333333332E-4</v>
      </c>
      <c r="AJ127" s="1061">
        <f>IF(AJ124&lt;=AF125,AF125,IF(AJ124&lt;=AF126,AF126,IF(AJ124&lt;=AF127,AF127,IF(AJ124&lt;=AF128,AF128,IF(AJ124&lt;=AF129,AF129,IF(AJ124&lt;=AF130,AF130))))))</f>
        <v>8</v>
      </c>
      <c r="AK127" s="929"/>
      <c r="AL127" s="939">
        <v>-10</v>
      </c>
      <c r="AM127" s="891">
        <f t="shared" si="265"/>
        <v>1E-3</v>
      </c>
      <c r="AN127" s="940"/>
      <c r="AO127" s="925">
        <f t="shared" si="266"/>
        <v>3.3333333333333332E-4</v>
      </c>
      <c r="AP127" s="1061">
        <f>IF(AP124&lt;=AL125,AL125,IF(AP124&lt;=AL126,AL126,IF(AP124&lt;=AL127,AL127,IF(AP124&lt;=AL128,AL128,IF(AP124&lt;=AL129,AL129,IF(AP124&lt;=AL130,AL130))))))</f>
        <v>8</v>
      </c>
      <c r="AQ127" s="960"/>
      <c r="AR127" s="939">
        <v>-10</v>
      </c>
      <c r="AS127" s="891">
        <f t="shared" si="267"/>
        <v>1E-3</v>
      </c>
      <c r="AT127" s="940"/>
      <c r="AU127" s="925">
        <f t="shared" si="268"/>
        <v>3.3333333333333332E-4</v>
      </c>
      <c r="AV127" s="1061">
        <f>IF(AV124&lt;=AR125,AR125,IF(AV124&lt;=AR126,AR126,IF(AV124&lt;=AR127,AR127,IF(AV124&lt;=AR128,AR128,IF(AV124&lt;=AR129,AR129,IF(AV124&lt;=AR130,AR130))))))</f>
        <v>8</v>
      </c>
      <c r="AW127" s="929"/>
      <c r="AX127" s="939">
        <v>-10</v>
      </c>
      <c r="AY127" s="891">
        <f t="shared" si="269"/>
        <v>0.48</v>
      </c>
      <c r="AZ127" s="940"/>
      <c r="BA127" s="925">
        <f t="shared" si="270"/>
        <v>0.26333333333333336</v>
      </c>
      <c r="BB127" s="1061">
        <f>IF(BB124&lt;=AX125,AX125,IF(BB124&lt;=AX126,AX126,IF(BB124&lt;=AX127,AX127,IF(BB124&lt;=AX128,AX128,IF(BB124&lt;=AX129,AX129,IF(BB124&lt;=AX130,AX130))))))</f>
        <v>8</v>
      </c>
      <c r="BC127" s="929"/>
      <c r="BD127" s="939">
        <v>-10</v>
      </c>
      <c r="BE127" s="891">
        <f t="shared" si="271"/>
        <v>1E-3</v>
      </c>
      <c r="BF127" s="940"/>
      <c r="BG127" s="925">
        <f t="shared" si="272"/>
        <v>3.3333333333333332E-4</v>
      </c>
      <c r="BH127" s="1061">
        <f>IF(BH124&lt;=BD125,BD125,IF(BH124&lt;=BD126,BD126,IF(BH124&lt;=BD127,BD127,IF(BH124&lt;=BD128,BD128,IF(BH124&lt;=BD129,BD129,IF(BH124&lt;=BD130,BD130))))))</f>
        <v>8</v>
      </c>
      <c r="BI127" s="929"/>
      <c r="BJ127" s="939">
        <v>-10</v>
      </c>
      <c r="BK127" s="891">
        <f t="shared" si="273"/>
        <v>0.48</v>
      </c>
      <c r="BL127" s="940"/>
      <c r="BM127" s="925">
        <f t="shared" si="274"/>
        <v>0.26333333333333336</v>
      </c>
      <c r="BN127" s="1061">
        <f>IF(BN124&lt;=BJ125,BJ125,IF(BN124&lt;=BJ126,BJ126,IF(BN124&lt;=BJ127,BJ127,IF(BN124&lt;=BJ128,BJ128,IF(BN124&lt;=BJ129,BJ129,IF(BN124&lt;=BJ130,BJ130))))))</f>
        <v>8</v>
      </c>
      <c r="BO127" s="929"/>
      <c r="BP127" s="939">
        <v>-10</v>
      </c>
      <c r="BQ127" s="891">
        <f t="shared" si="275"/>
        <v>1E-3</v>
      </c>
      <c r="BR127" s="940"/>
      <c r="BS127" s="925">
        <f t="shared" si="276"/>
        <v>3.3333333333333332E-4</v>
      </c>
      <c r="BT127" s="1061">
        <f>IF(BT124&lt;=BP125,BP125,IF(BT124&lt;=BP126,BP126,IF(BT124&lt;=BP127,BP127,IF(BT124&lt;=BP128,BP128,IF(BT124&lt;=BP129,BP129,IF(BT124&lt;=BP130,BP130))))))</f>
        <v>8</v>
      </c>
      <c r="BU127" s="929"/>
      <c r="BV127" s="939">
        <v>-10</v>
      </c>
      <c r="BW127" s="891">
        <f t="shared" si="277"/>
        <v>4</v>
      </c>
      <c r="BX127" s="940"/>
      <c r="BY127" s="925">
        <f t="shared" si="278"/>
        <v>4.666666666666667</v>
      </c>
      <c r="BZ127" s="1061">
        <f>IF(BZ124&lt;=BV125,BV125,IF(BZ124&lt;=BV126,BV126,IF(BZ124&lt;=BV127,BV127,IF(BZ124&lt;=BV128,BV128,IF(BZ124&lt;=BV129,BV129,IF(BZ124&lt;=BV130,BV130))))))</f>
        <v>8</v>
      </c>
      <c r="CA127" s="929"/>
      <c r="CB127" s="939">
        <v>-10</v>
      </c>
      <c r="CC127" s="891">
        <f t="shared" si="256"/>
        <v>-0.7</v>
      </c>
      <c r="CD127" s="940"/>
      <c r="CE127" s="925">
        <f t="shared" si="279"/>
        <v>0.13333333333333333</v>
      </c>
      <c r="CF127" s="1061">
        <f>IF(CF124&lt;=CB125,CB125,IF(CF124&lt;=CB126,CB126,IF(CF124&lt;=CB127,CB127,IF(CF124&lt;=CB128,CB128,IF(CF124&lt;=CB129,CB129,IF(CF124&lt;=CB130,CB130))))))</f>
        <v>8</v>
      </c>
      <c r="CG127" s="956"/>
      <c r="CH127" s="939">
        <v>-10</v>
      </c>
      <c r="CI127" s="891">
        <f t="shared" si="257"/>
        <v>-0.05</v>
      </c>
      <c r="CJ127" s="940"/>
      <c r="CK127" s="925">
        <f t="shared" si="280"/>
        <v>7.3333333333333334E-2</v>
      </c>
      <c r="CL127" s="1061">
        <f>IF(CL124&lt;=CH125,CH125,IF(CL124&lt;=CH126,CH126,IF(CL124&lt;=CH127,CH127,IF(CL124&lt;=CH128,CH128,IF(CL124&lt;=CH129,CH129,IF(CL124&lt;=CH130,CH130))))))</f>
        <v>8</v>
      </c>
      <c r="CN127" s="939">
        <v>-10</v>
      </c>
      <c r="CO127" s="891">
        <f t="shared" si="258"/>
        <v>-1.26</v>
      </c>
      <c r="CP127" s="940"/>
      <c r="CQ127" s="925">
        <f t="shared" si="281"/>
        <v>0.25666666666666665</v>
      </c>
      <c r="CR127" s="1061">
        <f>IF(CR124&lt;=CN125,CN125,IF(CR124&lt;=CN126,CN126,IF(CR124&lt;=CN127,CN127,IF(CR124&lt;=CN128,CN128,IF(CR124&lt;=CN129,CN129,IF(CR124&lt;=CN130,CN130))))))</f>
        <v>8</v>
      </c>
    </row>
    <row r="128" spans="2:96">
      <c r="B128" s="939">
        <v>1E-3</v>
      </c>
      <c r="C128" s="891"/>
      <c r="D128" s="891">
        <v>4</v>
      </c>
      <c r="E128" s="925">
        <f t="shared" si="259"/>
        <v>0.11333333333333334</v>
      </c>
      <c r="F128" s="1056"/>
      <c r="G128" s="942"/>
      <c r="H128" s="939">
        <v>1E-3</v>
      </c>
      <c r="I128" s="891"/>
      <c r="J128" s="891">
        <v>1E-3</v>
      </c>
      <c r="K128" s="925">
        <v>0.1</v>
      </c>
      <c r="L128" s="1056"/>
      <c r="M128" s="942"/>
      <c r="N128" s="939">
        <v>1E-3</v>
      </c>
      <c r="O128" s="940">
        <v>1E-3</v>
      </c>
      <c r="P128" s="940"/>
      <c r="Q128" s="925">
        <v>0.1</v>
      </c>
      <c r="R128" s="1056"/>
      <c r="S128" s="929"/>
      <c r="T128" s="939">
        <v>1E-3</v>
      </c>
      <c r="U128" s="891">
        <f t="shared" si="260"/>
        <v>1E-3</v>
      </c>
      <c r="V128" s="940"/>
      <c r="W128" s="925">
        <f t="shared" si="261"/>
        <v>3.3333333333333332E-4</v>
      </c>
      <c r="X128" s="1056"/>
      <c r="Y128" s="929"/>
      <c r="Z128" s="939">
        <v>1E-3</v>
      </c>
      <c r="AA128" s="891">
        <f t="shared" si="262"/>
        <v>1E-3</v>
      </c>
      <c r="AB128" s="940"/>
      <c r="AC128" s="925">
        <f t="shared" si="263"/>
        <v>3.3333333333333332E-4</v>
      </c>
      <c r="AD128" s="1056"/>
      <c r="AE128" s="929"/>
      <c r="AF128" s="939">
        <v>1E-3</v>
      </c>
      <c r="AG128" s="891">
        <v>1E-3</v>
      </c>
      <c r="AH128" s="940"/>
      <c r="AI128" s="925">
        <f t="shared" si="264"/>
        <v>3.3333333333333332E-4</v>
      </c>
      <c r="AJ128" s="1056"/>
      <c r="AK128" s="929"/>
      <c r="AL128" s="939">
        <v>1E-3</v>
      </c>
      <c r="AM128" s="891">
        <f t="shared" si="265"/>
        <v>1E-3</v>
      </c>
      <c r="AN128" s="940"/>
      <c r="AO128" s="925">
        <f t="shared" si="266"/>
        <v>3.3333333333333332E-4</v>
      </c>
      <c r="AP128" s="1056"/>
      <c r="AQ128" s="960"/>
      <c r="AR128" s="939">
        <v>1E-3</v>
      </c>
      <c r="AS128" s="891">
        <f t="shared" si="267"/>
        <v>1E-3</v>
      </c>
      <c r="AT128" s="940"/>
      <c r="AU128" s="925">
        <f t="shared" si="268"/>
        <v>3.3333333333333332E-4</v>
      </c>
      <c r="AV128" s="1056"/>
      <c r="AW128" s="929"/>
      <c r="AX128" s="939">
        <v>1E-3</v>
      </c>
      <c r="AY128" s="891">
        <f t="shared" si="269"/>
        <v>0.47</v>
      </c>
      <c r="AZ128" s="940"/>
      <c r="BA128" s="925">
        <f t="shared" si="270"/>
        <v>0.26333333333333336</v>
      </c>
      <c r="BB128" s="1056"/>
      <c r="BC128" s="929"/>
      <c r="BD128" s="939">
        <v>1E-3</v>
      </c>
      <c r="BE128" s="891">
        <f t="shared" si="271"/>
        <v>1E-3</v>
      </c>
      <c r="BF128" s="940"/>
      <c r="BG128" s="925">
        <f t="shared" si="272"/>
        <v>3.3333333333333332E-4</v>
      </c>
      <c r="BH128" s="1056"/>
      <c r="BI128" s="929"/>
      <c r="BJ128" s="939">
        <v>1E-3</v>
      </c>
      <c r="BK128" s="891">
        <f t="shared" si="273"/>
        <v>0.47</v>
      </c>
      <c r="BL128" s="940"/>
      <c r="BM128" s="925">
        <f t="shared" si="274"/>
        <v>0.26333333333333336</v>
      </c>
      <c r="BN128" s="1056"/>
      <c r="BO128" s="929"/>
      <c r="BP128" s="939">
        <v>1E-3</v>
      </c>
      <c r="BQ128" s="891">
        <f t="shared" si="275"/>
        <v>1E-3</v>
      </c>
      <c r="BR128" s="940"/>
      <c r="BS128" s="925">
        <f t="shared" si="276"/>
        <v>3.3333333333333332E-4</v>
      </c>
      <c r="BT128" s="1056"/>
      <c r="BU128" s="929"/>
      <c r="BV128" s="939">
        <v>1E-3</v>
      </c>
      <c r="BW128" s="891">
        <f t="shared" si="277"/>
        <v>5</v>
      </c>
      <c r="BX128" s="940"/>
      <c r="BY128" s="925">
        <f t="shared" si="278"/>
        <v>4.666666666666667</v>
      </c>
      <c r="BZ128" s="1056"/>
      <c r="CA128" s="929"/>
      <c r="CB128" s="939">
        <v>1E-3</v>
      </c>
      <c r="CC128" s="891">
        <f t="shared" si="256"/>
        <v>-0.7</v>
      </c>
      <c r="CD128" s="940"/>
      <c r="CE128" s="925">
        <f t="shared" si="279"/>
        <v>0.13333333333333333</v>
      </c>
      <c r="CF128" s="1056"/>
      <c r="CG128" s="957"/>
      <c r="CH128" s="939">
        <v>1E-3</v>
      </c>
      <c r="CI128" s="891">
        <f t="shared" si="257"/>
        <v>0.03</v>
      </c>
      <c r="CJ128" s="940"/>
      <c r="CK128" s="925">
        <f t="shared" si="280"/>
        <v>7.3333333333333334E-2</v>
      </c>
      <c r="CL128" s="1056"/>
      <c r="CN128" s="939">
        <v>1E-3</v>
      </c>
      <c r="CO128" s="891">
        <f t="shared" si="258"/>
        <v>-0.79</v>
      </c>
      <c r="CP128" s="940"/>
      <c r="CQ128" s="925">
        <f t="shared" si="281"/>
        <v>0.25666666666666665</v>
      </c>
      <c r="CR128" s="1056"/>
    </row>
    <row r="129" spans="2:96">
      <c r="B129" s="939">
        <v>2</v>
      </c>
      <c r="C129" s="891"/>
      <c r="D129" s="891">
        <v>5</v>
      </c>
      <c r="E129" s="925">
        <f t="shared" si="259"/>
        <v>0.11333333333333334</v>
      </c>
      <c r="F129" s="1062">
        <f>LOOKUP(F125,B125:E136)</f>
        <v>0.11333333333333334</v>
      </c>
      <c r="G129" s="942"/>
      <c r="H129" s="939">
        <v>2</v>
      </c>
      <c r="I129" s="891"/>
      <c r="J129" s="891">
        <v>1E-3</v>
      </c>
      <c r="K129" s="925">
        <v>0.1</v>
      </c>
      <c r="L129" s="1062">
        <f>LOOKUP(L125,H125:K136)</f>
        <v>0.1</v>
      </c>
      <c r="M129" s="942"/>
      <c r="N129" s="939">
        <v>2</v>
      </c>
      <c r="O129" s="940">
        <v>1E-3</v>
      </c>
      <c r="P129" s="940"/>
      <c r="Q129" s="925">
        <v>0.1</v>
      </c>
      <c r="R129" s="1062">
        <f>LOOKUP(R125,N125:Q136)</f>
        <v>0.1</v>
      </c>
      <c r="S129" s="929"/>
      <c r="T129" s="939">
        <v>2</v>
      </c>
      <c r="U129" s="891">
        <f t="shared" si="260"/>
        <v>1E-3</v>
      </c>
      <c r="V129" s="940"/>
      <c r="W129" s="925">
        <f t="shared" si="261"/>
        <v>3.3333333333333332E-4</v>
      </c>
      <c r="X129" s="1062">
        <f>LOOKUP(X125,T125:W136)</f>
        <v>3.3333333333333332E-4</v>
      </c>
      <c r="Y129" s="929"/>
      <c r="Z129" s="939">
        <v>2</v>
      </c>
      <c r="AA129" s="891">
        <f t="shared" si="262"/>
        <v>1E-3</v>
      </c>
      <c r="AB129" s="940"/>
      <c r="AC129" s="925">
        <f t="shared" si="263"/>
        <v>3.3333333333333332E-4</v>
      </c>
      <c r="AD129" s="1062">
        <f>LOOKUP(AD125,Z125:AC136)</f>
        <v>3.3333333333333332E-4</v>
      </c>
      <c r="AE129" s="929"/>
      <c r="AF129" s="939">
        <v>2</v>
      </c>
      <c r="AG129" s="891">
        <v>1E-3</v>
      </c>
      <c r="AH129" s="940"/>
      <c r="AI129" s="925">
        <f t="shared" si="264"/>
        <v>3.3333333333333332E-4</v>
      </c>
      <c r="AJ129" s="1062">
        <f>LOOKUP(AJ125,AF125:AI136)</f>
        <v>3.3333333333333332E-4</v>
      </c>
      <c r="AK129" s="929"/>
      <c r="AL129" s="939">
        <v>2</v>
      </c>
      <c r="AM129" s="891">
        <f t="shared" si="265"/>
        <v>1E-3</v>
      </c>
      <c r="AN129" s="940"/>
      <c r="AO129" s="925">
        <f t="shared" si="266"/>
        <v>3.3333333333333332E-4</v>
      </c>
      <c r="AP129" s="1062">
        <f>LOOKUP(AP125,AL125:AO136)</f>
        <v>3.3333333333333332E-4</v>
      </c>
      <c r="AQ129" s="960"/>
      <c r="AR129" s="939">
        <v>2</v>
      </c>
      <c r="AS129" s="891">
        <f t="shared" si="267"/>
        <v>1E-3</v>
      </c>
      <c r="AT129" s="940"/>
      <c r="AU129" s="925">
        <f t="shared" si="268"/>
        <v>3.3333333333333332E-4</v>
      </c>
      <c r="AV129" s="1062">
        <f>LOOKUP(AV125,AR125:AU136)</f>
        <v>3.3333333333333332E-4</v>
      </c>
      <c r="AW129" s="929"/>
      <c r="AX129" s="939">
        <v>2</v>
      </c>
      <c r="AY129" s="891">
        <f t="shared" si="269"/>
        <v>0.47</v>
      </c>
      <c r="AZ129" s="940"/>
      <c r="BA129" s="925">
        <f t="shared" si="270"/>
        <v>0.26333333333333336</v>
      </c>
      <c r="BB129" s="1062">
        <f>LOOKUP(BB125,AX125:BA136)</f>
        <v>0.26333333333333336</v>
      </c>
      <c r="BC129" s="929"/>
      <c r="BD129" s="939">
        <v>2</v>
      </c>
      <c r="BE129" s="891">
        <f t="shared" si="271"/>
        <v>1E-3</v>
      </c>
      <c r="BF129" s="940"/>
      <c r="BG129" s="925">
        <f t="shared" si="272"/>
        <v>3.3333333333333332E-4</v>
      </c>
      <c r="BH129" s="1062">
        <f>LOOKUP(BH125,BD125:BG136)</f>
        <v>3.3333333333333332E-4</v>
      </c>
      <c r="BI129" s="929"/>
      <c r="BJ129" s="939">
        <v>2</v>
      </c>
      <c r="BK129" s="891">
        <f t="shared" si="273"/>
        <v>0.47</v>
      </c>
      <c r="BL129" s="940"/>
      <c r="BM129" s="925">
        <f t="shared" si="274"/>
        <v>0.26333333333333336</v>
      </c>
      <c r="BN129" s="1062">
        <f>LOOKUP(BN125,BJ125:BM136)</f>
        <v>0.26333333333333336</v>
      </c>
      <c r="BO129" s="929"/>
      <c r="BP129" s="939">
        <v>2</v>
      </c>
      <c r="BQ129" s="891">
        <f t="shared" si="275"/>
        <v>1E-3</v>
      </c>
      <c r="BR129" s="940"/>
      <c r="BS129" s="925">
        <f t="shared" si="276"/>
        <v>3.3333333333333332E-4</v>
      </c>
      <c r="BT129" s="1062">
        <f>LOOKUP(BT125,BP125:BS136)</f>
        <v>3.3333333333333332E-4</v>
      </c>
      <c r="BU129" s="929"/>
      <c r="BV129" s="939">
        <v>2</v>
      </c>
      <c r="BW129" s="891">
        <f t="shared" si="277"/>
        <v>6</v>
      </c>
      <c r="BX129" s="940"/>
      <c r="BY129" s="925">
        <f t="shared" si="278"/>
        <v>4.666666666666667</v>
      </c>
      <c r="BZ129" s="1062">
        <f>LOOKUP(BZ125,BV125:BY136)</f>
        <v>4.666666666666667</v>
      </c>
      <c r="CA129" s="929"/>
      <c r="CB129" s="939">
        <v>2</v>
      </c>
      <c r="CC129" s="891">
        <f t="shared" si="256"/>
        <v>-0.7</v>
      </c>
      <c r="CD129" s="940"/>
      <c r="CE129" s="925">
        <f t="shared" si="279"/>
        <v>0.13333333333333333</v>
      </c>
      <c r="CF129" s="1062">
        <f>LOOKUP(CF125,CB125:CE136)</f>
        <v>0.13333333333333333</v>
      </c>
      <c r="CG129" s="958"/>
      <c r="CH129" s="939">
        <v>2</v>
      </c>
      <c r="CI129" s="891">
        <f t="shared" si="257"/>
        <v>0.04</v>
      </c>
      <c r="CJ129" s="940"/>
      <c r="CK129" s="925">
        <f t="shared" si="280"/>
        <v>7.3333333333333334E-2</v>
      </c>
      <c r="CL129" s="1062">
        <f>LOOKUP(CL125,CH125:CK136)</f>
        <v>7.3333333333333334E-2</v>
      </c>
      <c r="CN129" s="939">
        <v>2</v>
      </c>
      <c r="CO129" s="891">
        <f t="shared" si="258"/>
        <v>-2.7</v>
      </c>
      <c r="CP129" s="940"/>
      <c r="CQ129" s="925">
        <f t="shared" si="281"/>
        <v>0.25666666666666665</v>
      </c>
      <c r="CR129" s="1062">
        <f>LOOKUP(CR125,CN125:CQ136)</f>
        <v>0.25666666666666665</v>
      </c>
    </row>
    <row r="130" spans="2:96">
      <c r="B130" s="939">
        <v>8</v>
      </c>
      <c r="C130" s="891"/>
      <c r="D130" s="891">
        <v>6</v>
      </c>
      <c r="E130" s="925">
        <f t="shared" si="259"/>
        <v>0.11333333333333334</v>
      </c>
      <c r="F130" s="1056"/>
      <c r="G130" s="942"/>
      <c r="H130" s="939">
        <v>8</v>
      </c>
      <c r="I130" s="891"/>
      <c r="J130" s="891">
        <v>1E-3</v>
      </c>
      <c r="K130" s="925">
        <v>0.1</v>
      </c>
      <c r="L130" s="1056"/>
      <c r="M130" s="942"/>
      <c r="N130" s="939">
        <v>8</v>
      </c>
      <c r="O130" s="940">
        <v>1E-3</v>
      </c>
      <c r="P130" s="940"/>
      <c r="Q130" s="925">
        <v>0.1</v>
      </c>
      <c r="R130" s="1056"/>
      <c r="S130" s="929"/>
      <c r="T130" s="939">
        <v>8</v>
      </c>
      <c r="U130" s="891">
        <f t="shared" si="260"/>
        <v>1E-3</v>
      </c>
      <c r="V130" s="940"/>
      <c r="W130" s="925">
        <f t="shared" si="261"/>
        <v>3.3333333333333332E-4</v>
      </c>
      <c r="X130" s="1056"/>
      <c r="Y130" s="929"/>
      <c r="Z130" s="939">
        <v>8</v>
      </c>
      <c r="AA130" s="891">
        <f t="shared" si="262"/>
        <v>1E-3</v>
      </c>
      <c r="AB130" s="940"/>
      <c r="AC130" s="925">
        <f t="shared" si="263"/>
        <v>3.3333333333333332E-4</v>
      </c>
      <c r="AD130" s="1056"/>
      <c r="AE130" s="929"/>
      <c r="AF130" s="939">
        <v>8</v>
      </c>
      <c r="AG130" s="891">
        <v>1E-3</v>
      </c>
      <c r="AH130" s="940"/>
      <c r="AI130" s="925">
        <f t="shared" si="264"/>
        <v>3.3333333333333332E-4</v>
      </c>
      <c r="AJ130" s="1056"/>
      <c r="AK130" s="929"/>
      <c r="AL130" s="939">
        <v>8</v>
      </c>
      <c r="AM130" s="891">
        <f t="shared" si="265"/>
        <v>1E-3</v>
      </c>
      <c r="AN130" s="940"/>
      <c r="AO130" s="925">
        <f t="shared" si="266"/>
        <v>3.3333333333333332E-4</v>
      </c>
      <c r="AP130" s="1056"/>
      <c r="AQ130" s="960"/>
      <c r="AR130" s="939">
        <v>8</v>
      </c>
      <c r="AS130" s="891">
        <f t="shared" si="267"/>
        <v>1E-3</v>
      </c>
      <c r="AT130" s="940"/>
      <c r="AU130" s="925">
        <f t="shared" si="268"/>
        <v>3.3333333333333332E-4</v>
      </c>
      <c r="AV130" s="1056"/>
      <c r="AW130" s="929"/>
      <c r="AX130" s="939">
        <v>8</v>
      </c>
      <c r="AY130" s="891">
        <f t="shared" si="269"/>
        <v>0.46</v>
      </c>
      <c r="AZ130" s="940"/>
      <c r="BA130" s="925">
        <f t="shared" si="270"/>
        <v>0.26333333333333336</v>
      </c>
      <c r="BB130" s="1056"/>
      <c r="BC130" s="929"/>
      <c r="BD130" s="939">
        <v>8</v>
      </c>
      <c r="BE130" s="891">
        <f t="shared" si="271"/>
        <v>1E-3</v>
      </c>
      <c r="BF130" s="940"/>
      <c r="BG130" s="925">
        <f t="shared" si="272"/>
        <v>3.3333333333333332E-4</v>
      </c>
      <c r="BH130" s="1056"/>
      <c r="BI130" s="929"/>
      <c r="BJ130" s="939">
        <v>8</v>
      </c>
      <c r="BK130" s="891">
        <f t="shared" si="273"/>
        <v>0.46</v>
      </c>
      <c r="BL130" s="940"/>
      <c r="BM130" s="925">
        <f t="shared" si="274"/>
        <v>0.26333333333333336</v>
      </c>
      <c r="BN130" s="1056"/>
      <c r="BO130" s="929"/>
      <c r="BP130" s="939">
        <v>8</v>
      </c>
      <c r="BQ130" s="891">
        <f t="shared" si="275"/>
        <v>1E-3</v>
      </c>
      <c r="BR130" s="940"/>
      <c r="BS130" s="925">
        <f t="shared" si="276"/>
        <v>3.3333333333333332E-4</v>
      </c>
      <c r="BT130" s="1056"/>
      <c r="BU130" s="929"/>
      <c r="BV130" s="939">
        <v>8</v>
      </c>
      <c r="BW130" s="891">
        <f t="shared" si="277"/>
        <v>7</v>
      </c>
      <c r="BX130" s="940"/>
      <c r="BY130" s="925">
        <f t="shared" si="278"/>
        <v>4.666666666666667</v>
      </c>
      <c r="BZ130" s="1056"/>
      <c r="CA130" s="929"/>
      <c r="CB130" s="939">
        <v>8</v>
      </c>
      <c r="CC130" s="891">
        <f t="shared" si="256"/>
        <v>-0.7</v>
      </c>
      <c r="CD130" s="940"/>
      <c r="CE130" s="925">
        <f t="shared" si="279"/>
        <v>0.13333333333333333</v>
      </c>
      <c r="CF130" s="1056"/>
      <c r="CG130" s="958"/>
      <c r="CH130" s="939">
        <v>8</v>
      </c>
      <c r="CI130" s="891">
        <f t="shared" si="257"/>
        <v>0.08</v>
      </c>
      <c r="CJ130" s="940"/>
      <c r="CK130" s="925">
        <f t="shared" si="280"/>
        <v>7.3333333333333334E-2</v>
      </c>
      <c r="CL130" s="1056"/>
      <c r="CN130" s="939">
        <v>8</v>
      </c>
      <c r="CO130" s="891">
        <f t="shared" si="258"/>
        <v>-0.46</v>
      </c>
      <c r="CP130" s="940"/>
      <c r="CQ130" s="925">
        <f t="shared" si="281"/>
        <v>0.25666666666666665</v>
      </c>
      <c r="CR130" s="1056"/>
    </row>
    <row r="131" spans="2:96">
      <c r="B131" s="939">
        <v>37</v>
      </c>
      <c r="C131" s="891"/>
      <c r="D131" s="891">
        <v>7</v>
      </c>
      <c r="E131" s="925">
        <f t="shared" si="259"/>
        <v>0.11333333333333334</v>
      </c>
      <c r="F131" s="1062">
        <f>LOOKUP(F127,B125:E136)</f>
        <v>0.11333333333333334</v>
      </c>
      <c r="G131" s="942"/>
      <c r="H131" s="939">
        <v>37</v>
      </c>
      <c r="I131" s="891"/>
      <c r="J131" s="891">
        <v>1E-3</v>
      </c>
      <c r="K131" s="925">
        <v>0.1</v>
      </c>
      <c r="L131" s="1062">
        <f>LOOKUP(L127,H125:K136)</f>
        <v>0.1</v>
      </c>
      <c r="M131" s="942"/>
      <c r="N131" s="939">
        <v>37</v>
      </c>
      <c r="O131" s="940">
        <v>1E-3</v>
      </c>
      <c r="P131" s="940"/>
      <c r="Q131" s="925">
        <v>0.1</v>
      </c>
      <c r="R131" s="1062">
        <f>LOOKUP(R127,N125:Q136)</f>
        <v>0.1</v>
      </c>
      <c r="S131" s="929"/>
      <c r="T131" s="939">
        <v>37</v>
      </c>
      <c r="U131" s="891">
        <f t="shared" si="260"/>
        <v>1E-3</v>
      </c>
      <c r="V131" s="940"/>
      <c r="W131" s="925">
        <f t="shared" si="261"/>
        <v>3.3333333333333332E-4</v>
      </c>
      <c r="X131" s="1062">
        <f>LOOKUP(X127,T125:W136)</f>
        <v>3.3333333333333332E-4</v>
      </c>
      <c r="Y131" s="929"/>
      <c r="Z131" s="939">
        <v>37</v>
      </c>
      <c r="AA131" s="891">
        <f t="shared" si="262"/>
        <v>1E-3</v>
      </c>
      <c r="AB131" s="940"/>
      <c r="AC131" s="925">
        <f t="shared" si="263"/>
        <v>3.3333333333333332E-4</v>
      </c>
      <c r="AD131" s="1062">
        <f>LOOKUP(AD127,Z125:AC136)</f>
        <v>3.3333333333333332E-4</v>
      </c>
      <c r="AE131" s="929"/>
      <c r="AF131" s="939">
        <v>37</v>
      </c>
      <c r="AG131" s="891">
        <v>1E-3</v>
      </c>
      <c r="AH131" s="940"/>
      <c r="AI131" s="925">
        <f t="shared" si="264"/>
        <v>3.3333333333333332E-4</v>
      </c>
      <c r="AJ131" s="1062">
        <f>LOOKUP(AJ127,AF125:AI136)</f>
        <v>3.3333333333333332E-4</v>
      </c>
      <c r="AK131" s="929"/>
      <c r="AL131" s="939">
        <v>37</v>
      </c>
      <c r="AM131" s="891">
        <f t="shared" si="265"/>
        <v>1E-3</v>
      </c>
      <c r="AN131" s="940"/>
      <c r="AO131" s="925">
        <f t="shared" si="266"/>
        <v>3.3333333333333332E-4</v>
      </c>
      <c r="AP131" s="1062">
        <f>LOOKUP(AP127,AL125:AO136)</f>
        <v>3.3333333333333332E-4</v>
      </c>
      <c r="AQ131" s="960"/>
      <c r="AR131" s="939">
        <v>37</v>
      </c>
      <c r="AS131" s="891">
        <f t="shared" si="267"/>
        <v>1E-3</v>
      </c>
      <c r="AT131" s="940"/>
      <c r="AU131" s="925">
        <f t="shared" si="268"/>
        <v>3.3333333333333332E-4</v>
      </c>
      <c r="AV131" s="1062">
        <f>LOOKUP(AV127,AR125:AU136)</f>
        <v>3.3333333333333332E-4</v>
      </c>
      <c r="AW131" s="929"/>
      <c r="AX131" s="939">
        <v>37</v>
      </c>
      <c r="AY131" s="891">
        <f t="shared" si="269"/>
        <v>0.4</v>
      </c>
      <c r="AZ131" s="940"/>
      <c r="BA131" s="925">
        <f t="shared" si="270"/>
        <v>0.26333333333333336</v>
      </c>
      <c r="BB131" s="1062">
        <f>LOOKUP(BB127,AX125:BA136)</f>
        <v>0.26333333333333336</v>
      </c>
      <c r="BC131" s="929"/>
      <c r="BD131" s="939">
        <v>37</v>
      </c>
      <c r="BE131" s="891">
        <f t="shared" si="271"/>
        <v>1E-3</v>
      </c>
      <c r="BF131" s="940"/>
      <c r="BG131" s="925">
        <f t="shared" si="272"/>
        <v>3.3333333333333332E-4</v>
      </c>
      <c r="BH131" s="1062">
        <f>LOOKUP(BH127,BD125:BG136)</f>
        <v>3.3333333333333332E-4</v>
      </c>
      <c r="BI131" s="929"/>
      <c r="BJ131" s="939">
        <v>37</v>
      </c>
      <c r="BK131" s="891">
        <f t="shared" si="273"/>
        <v>0.4</v>
      </c>
      <c r="BL131" s="940"/>
      <c r="BM131" s="925">
        <f t="shared" si="274"/>
        <v>0.26333333333333336</v>
      </c>
      <c r="BN131" s="1062">
        <f>LOOKUP(BN127,BJ125:BM136)</f>
        <v>0.26333333333333336</v>
      </c>
      <c r="BO131" s="929"/>
      <c r="BP131" s="939">
        <v>37</v>
      </c>
      <c r="BQ131" s="891">
        <f t="shared" si="275"/>
        <v>1E-3</v>
      </c>
      <c r="BR131" s="940"/>
      <c r="BS131" s="925">
        <f t="shared" si="276"/>
        <v>3.3333333333333332E-4</v>
      </c>
      <c r="BT131" s="1062">
        <f>LOOKUP(BT127,BP125:BS136)</f>
        <v>3.3333333333333332E-4</v>
      </c>
      <c r="BU131" s="929"/>
      <c r="BV131" s="939">
        <v>37</v>
      </c>
      <c r="BW131" s="891">
        <f t="shared" si="277"/>
        <v>8</v>
      </c>
      <c r="BX131" s="940"/>
      <c r="BY131" s="925">
        <f t="shared" si="278"/>
        <v>4.666666666666667</v>
      </c>
      <c r="BZ131" s="1062">
        <f>LOOKUP(BZ127,BV125:BY136)</f>
        <v>4.666666666666667</v>
      </c>
      <c r="CA131" s="929"/>
      <c r="CB131" s="939">
        <v>37</v>
      </c>
      <c r="CC131" s="891">
        <f t="shared" si="256"/>
        <v>-0.6</v>
      </c>
      <c r="CD131" s="940"/>
      <c r="CE131" s="925">
        <f t="shared" si="279"/>
        <v>0.13333333333333333</v>
      </c>
      <c r="CF131" s="1062">
        <f>LOOKUP(CF127,CB125:CE136)</f>
        <v>0.13333333333333333</v>
      </c>
      <c r="CG131" s="958"/>
      <c r="CH131" s="939">
        <v>37</v>
      </c>
      <c r="CI131" s="891">
        <f t="shared" si="257"/>
        <v>0.23</v>
      </c>
      <c r="CJ131" s="940"/>
      <c r="CK131" s="925">
        <f t="shared" si="280"/>
        <v>7.3333333333333334E-2</v>
      </c>
      <c r="CL131" s="1062">
        <f>LOOKUP(CL127,CH125:CK136)</f>
        <v>7.3333333333333334E-2</v>
      </c>
      <c r="CN131" s="939">
        <v>37</v>
      </c>
      <c r="CO131" s="891">
        <f t="shared" si="258"/>
        <v>0.42</v>
      </c>
      <c r="CP131" s="940"/>
      <c r="CQ131" s="925">
        <f t="shared" si="281"/>
        <v>0.25666666666666665</v>
      </c>
      <c r="CR131" s="1062">
        <f>LOOKUP(CR127,CN125:CQ136)</f>
        <v>0.25666666666666665</v>
      </c>
    </row>
    <row r="132" spans="2:96">
      <c r="B132" s="939">
        <v>44</v>
      </c>
      <c r="C132" s="891"/>
      <c r="D132" s="891">
        <v>8</v>
      </c>
      <c r="E132" s="925">
        <f t="shared" si="259"/>
        <v>0.11333333333333334</v>
      </c>
      <c r="F132" s="941"/>
      <c r="G132" s="942"/>
      <c r="H132" s="939">
        <v>44</v>
      </c>
      <c r="I132" s="891"/>
      <c r="J132" s="891">
        <v>1E-3</v>
      </c>
      <c r="K132" s="925">
        <v>0.1</v>
      </c>
      <c r="L132" s="941"/>
      <c r="M132" s="942"/>
      <c r="N132" s="939">
        <v>44</v>
      </c>
      <c r="O132" s="940">
        <v>1E-3</v>
      </c>
      <c r="P132" s="940"/>
      <c r="Q132" s="925">
        <v>0.1</v>
      </c>
      <c r="R132" s="941"/>
      <c r="S132" s="929"/>
      <c r="T132" s="939">
        <v>44</v>
      </c>
      <c r="U132" s="891">
        <f t="shared" si="260"/>
        <v>1E-3</v>
      </c>
      <c r="V132" s="940"/>
      <c r="W132" s="925">
        <f t="shared" si="261"/>
        <v>3.3333333333333332E-4</v>
      </c>
      <c r="X132" s="941"/>
      <c r="Y132" s="929"/>
      <c r="Z132" s="939">
        <v>44</v>
      </c>
      <c r="AA132" s="891">
        <f t="shared" si="262"/>
        <v>1E-3</v>
      </c>
      <c r="AB132" s="940"/>
      <c r="AC132" s="925">
        <f t="shared" si="263"/>
        <v>3.3333333333333332E-4</v>
      </c>
      <c r="AD132" s="941"/>
      <c r="AE132" s="929"/>
      <c r="AF132" s="939">
        <v>44</v>
      </c>
      <c r="AG132" s="891">
        <v>1E-3</v>
      </c>
      <c r="AH132" s="940"/>
      <c r="AI132" s="925">
        <f t="shared" si="264"/>
        <v>3.3333333333333332E-4</v>
      </c>
      <c r="AJ132" s="941"/>
      <c r="AK132" s="929"/>
      <c r="AL132" s="939">
        <v>44</v>
      </c>
      <c r="AM132" s="891">
        <f t="shared" si="265"/>
        <v>1E-3</v>
      </c>
      <c r="AN132" s="940"/>
      <c r="AO132" s="925">
        <f t="shared" si="266"/>
        <v>3.3333333333333332E-4</v>
      </c>
      <c r="AP132" s="941"/>
      <c r="AQ132" s="929"/>
      <c r="AR132" s="939">
        <v>44</v>
      </c>
      <c r="AS132" s="891">
        <f t="shared" si="267"/>
        <v>1E-3</v>
      </c>
      <c r="AT132" s="940"/>
      <c r="AU132" s="925">
        <f t="shared" si="268"/>
        <v>3.3333333333333332E-4</v>
      </c>
      <c r="AV132" s="941"/>
      <c r="AW132" s="929"/>
      <c r="AX132" s="939">
        <v>44</v>
      </c>
      <c r="AY132" s="891">
        <f t="shared" si="269"/>
        <v>0.38</v>
      </c>
      <c r="AZ132" s="940"/>
      <c r="BA132" s="925">
        <f t="shared" si="270"/>
        <v>0.26333333333333336</v>
      </c>
      <c r="BB132" s="941"/>
      <c r="BC132" s="929"/>
      <c r="BD132" s="939">
        <v>44</v>
      </c>
      <c r="BE132" s="891">
        <f t="shared" si="271"/>
        <v>1E-3</v>
      </c>
      <c r="BF132" s="940"/>
      <c r="BG132" s="925">
        <f t="shared" si="272"/>
        <v>3.3333333333333332E-4</v>
      </c>
      <c r="BH132" s="941"/>
      <c r="BI132" s="929"/>
      <c r="BJ132" s="939">
        <v>44</v>
      </c>
      <c r="BK132" s="891">
        <f t="shared" si="273"/>
        <v>0.38</v>
      </c>
      <c r="BL132" s="940"/>
      <c r="BM132" s="925">
        <f t="shared" si="274"/>
        <v>0.26333333333333336</v>
      </c>
      <c r="BN132" s="941"/>
      <c r="BO132" s="929"/>
      <c r="BP132" s="939">
        <v>44</v>
      </c>
      <c r="BQ132" s="891">
        <f t="shared" si="275"/>
        <v>1E-3</v>
      </c>
      <c r="BR132" s="940"/>
      <c r="BS132" s="925">
        <f t="shared" si="276"/>
        <v>3.3333333333333332E-4</v>
      </c>
      <c r="BT132" s="941"/>
      <c r="BU132" s="929"/>
      <c r="BV132" s="939">
        <v>44</v>
      </c>
      <c r="BW132" s="891">
        <f t="shared" si="277"/>
        <v>9</v>
      </c>
      <c r="BX132" s="940"/>
      <c r="BY132" s="925">
        <f t="shared" si="278"/>
        <v>4.666666666666667</v>
      </c>
      <c r="BZ132" s="941"/>
      <c r="CA132" s="929"/>
      <c r="CB132" s="939">
        <v>44</v>
      </c>
      <c r="CC132" s="891">
        <f t="shared" si="256"/>
        <v>-0.7</v>
      </c>
      <c r="CD132" s="940"/>
      <c r="CE132" s="925">
        <f t="shared" si="279"/>
        <v>0.13333333333333333</v>
      </c>
      <c r="CF132" s="941"/>
      <c r="CG132" s="959"/>
      <c r="CH132" s="939">
        <v>44</v>
      </c>
      <c r="CI132" s="891">
        <f t="shared" si="257"/>
        <v>0.25</v>
      </c>
      <c r="CJ132" s="940"/>
      <c r="CK132" s="925">
        <f t="shared" si="280"/>
        <v>7.3333333333333334E-2</v>
      </c>
      <c r="CL132" s="941"/>
      <c r="CN132" s="939">
        <v>44</v>
      </c>
      <c r="CO132" s="891">
        <f t="shared" si="258"/>
        <v>0.56999999999999995</v>
      </c>
      <c r="CP132" s="940"/>
      <c r="CQ132" s="925">
        <f t="shared" si="281"/>
        <v>0.25666666666666665</v>
      </c>
      <c r="CR132" s="941"/>
    </row>
    <row r="133" spans="2:96">
      <c r="B133" s="939">
        <v>50</v>
      </c>
      <c r="C133" s="891"/>
      <c r="D133" s="891">
        <v>9</v>
      </c>
      <c r="E133" s="925">
        <f t="shared" si="259"/>
        <v>0.11333333333333334</v>
      </c>
      <c r="F133" s="1066">
        <f>(((F131-F129)/(F127-F125))*(F124-F125))+F129</f>
        <v>0.11333333333333334</v>
      </c>
      <c r="G133" s="942"/>
      <c r="H133" s="939">
        <v>50</v>
      </c>
      <c r="I133" s="891"/>
      <c r="J133" s="891">
        <v>1E-3</v>
      </c>
      <c r="K133" s="925">
        <v>0.1</v>
      </c>
      <c r="L133" s="1064">
        <f>(((L131-L129)/(L127-L125))*(L124-L125))+L129</f>
        <v>0.1</v>
      </c>
      <c r="M133" s="942"/>
      <c r="N133" s="939">
        <v>50</v>
      </c>
      <c r="O133" s="940">
        <v>1E-3</v>
      </c>
      <c r="P133" s="940"/>
      <c r="Q133" s="925">
        <v>0.1</v>
      </c>
      <c r="R133" s="1064">
        <f>(((R131-R129)/(R127-R125))*(R124-R125))+R129</f>
        <v>0.1</v>
      </c>
      <c r="S133" s="929"/>
      <c r="T133" s="939">
        <v>50</v>
      </c>
      <c r="U133" s="891">
        <f t="shared" si="260"/>
        <v>1E-3</v>
      </c>
      <c r="V133" s="940"/>
      <c r="W133" s="925">
        <f t="shared" si="261"/>
        <v>3.3333333333333332E-4</v>
      </c>
      <c r="X133" s="1064">
        <f>(((X131-X129)/(X127-X125))*(X124-X125))+X129</f>
        <v>3.3333333333333332E-4</v>
      </c>
      <c r="Y133" s="929"/>
      <c r="Z133" s="939">
        <v>50</v>
      </c>
      <c r="AA133" s="891">
        <f t="shared" si="262"/>
        <v>1E-3</v>
      </c>
      <c r="AB133" s="940"/>
      <c r="AC133" s="925">
        <f t="shared" si="263"/>
        <v>3.3333333333333332E-4</v>
      </c>
      <c r="AD133" s="1064">
        <f>(((AD131-AD129)/(AD127-AD125))*(AD124-AD125))+AD129</f>
        <v>3.3333333333333332E-4</v>
      </c>
      <c r="AE133" s="929"/>
      <c r="AF133" s="939">
        <v>50</v>
      </c>
      <c r="AG133" s="891">
        <v>1E-3</v>
      </c>
      <c r="AH133" s="940"/>
      <c r="AI133" s="925">
        <f t="shared" si="264"/>
        <v>3.3333333333333332E-4</v>
      </c>
      <c r="AJ133" s="1064">
        <f>(((AJ131-AJ129)/(AJ127-AJ125))*(AJ124-AJ125))+AJ129</f>
        <v>3.3333333333333332E-4</v>
      </c>
      <c r="AK133" s="929"/>
      <c r="AL133" s="939">
        <v>50</v>
      </c>
      <c r="AM133" s="891">
        <f t="shared" si="265"/>
        <v>1E-3</v>
      </c>
      <c r="AN133" s="940"/>
      <c r="AO133" s="925">
        <f t="shared" si="266"/>
        <v>3.3333333333333332E-4</v>
      </c>
      <c r="AP133" s="1064">
        <f>(((AP131-AP129)/(AP127-AP125))*(AP124-AP125))+AP129</f>
        <v>3.3333333333333332E-4</v>
      </c>
      <c r="AQ133" s="929"/>
      <c r="AR133" s="939">
        <v>50</v>
      </c>
      <c r="AS133" s="891">
        <f t="shared" si="267"/>
        <v>1E-3</v>
      </c>
      <c r="AT133" s="940"/>
      <c r="AU133" s="925">
        <f t="shared" si="268"/>
        <v>3.3333333333333332E-4</v>
      </c>
      <c r="AV133" s="1064">
        <f>(((AV131-AV129)/(AV127-AV125))*(AV124-AV125))+AV129</f>
        <v>3.3333333333333332E-4</v>
      </c>
      <c r="AW133" s="929"/>
      <c r="AX133" s="939">
        <v>50</v>
      </c>
      <c r="AY133" s="891">
        <f t="shared" si="269"/>
        <v>0.37</v>
      </c>
      <c r="AZ133" s="940"/>
      <c r="BA133" s="925">
        <f t="shared" si="270"/>
        <v>0.26333333333333336</v>
      </c>
      <c r="BB133" s="1064">
        <f>(((BB131-BB129)/(BB127-BB125))*(BB124-BB125))+BB129</f>
        <v>0.26333333333333336</v>
      </c>
      <c r="BC133" s="929"/>
      <c r="BD133" s="939">
        <v>50</v>
      </c>
      <c r="BE133" s="891">
        <f t="shared" si="271"/>
        <v>1E-3</v>
      </c>
      <c r="BF133" s="940"/>
      <c r="BG133" s="925">
        <f t="shared" si="272"/>
        <v>3.3333333333333332E-4</v>
      </c>
      <c r="BH133" s="1064">
        <f>(((BH131-BH129)/(BH127-BH125))*(BH124-BH125))+BH129</f>
        <v>3.3333333333333332E-4</v>
      </c>
      <c r="BI133" s="929"/>
      <c r="BJ133" s="939">
        <v>50</v>
      </c>
      <c r="BK133" s="891">
        <f t="shared" si="273"/>
        <v>0.37</v>
      </c>
      <c r="BL133" s="940"/>
      <c r="BM133" s="925">
        <f t="shared" si="274"/>
        <v>0.26333333333333336</v>
      </c>
      <c r="BN133" s="1064">
        <f>(((BN131-BN129)/(BN127-BN125))*(BN124-BN125))+BN129</f>
        <v>0.26333333333333336</v>
      </c>
      <c r="BO133" s="929"/>
      <c r="BP133" s="939">
        <v>50</v>
      </c>
      <c r="BQ133" s="891">
        <f t="shared" si="275"/>
        <v>1E-3</v>
      </c>
      <c r="BR133" s="940"/>
      <c r="BS133" s="925">
        <f t="shared" si="276"/>
        <v>3.3333333333333332E-4</v>
      </c>
      <c r="BT133" s="1064">
        <f>(((BT131-BT129)/(BT127-BT125))*(BT124-BT125))+BT129</f>
        <v>3.3333333333333332E-4</v>
      </c>
      <c r="BU133" s="929"/>
      <c r="BV133" s="939">
        <v>50</v>
      </c>
      <c r="BW133" s="891">
        <f t="shared" si="277"/>
        <v>10</v>
      </c>
      <c r="BX133" s="940"/>
      <c r="BY133" s="925">
        <f t="shared" si="278"/>
        <v>4.666666666666667</v>
      </c>
      <c r="BZ133" s="1064">
        <f>(((BZ131-BZ129)/(BZ127-BZ125))*(BZ124-BZ125))+BZ129</f>
        <v>4.666666666666667</v>
      </c>
      <c r="CA133" s="929"/>
      <c r="CB133" s="939">
        <v>50</v>
      </c>
      <c r="CC133" s="891">
        <f t="shared" si="256"/>
        <v>-0.7</v>
      </c>
      <c r="CD133" s="940"/>
      <c r="CE133" s="925">
        <f t="shared" si="279"/>
        <v>0.13333333333333333</v>
      </c>
      <c r="CF133" s="1064">
        <f>(((CF131-CF129)/(CF127-CF125))*(CF124-CF125))+CF129</f>
        <v>0.13333333333333333</v>
      </c>
      <c r="CH133" s="939">
        <v>50</v>
      </c>
      <c r="CI133" s="891">
        <f t="shared" si="257"/>
        <v>0.27</v>
      </c>
      <c r="CJ133" s="940"/>
      <c r="CK133" s="925">
        <f t="shared" si="280"/>
        <v>7.3333333333333334E-2</v>
      </c>
      <c r="CL133" s="1064">
        <f>(((CL131-CL129)/(CL127-CL125))*(CL124-CL125))+CL129</f>
        <v>7.3333333333333334E-2</v>
      </c>
      <c r="CN133" s="939">
        <v>50</v>
      </c>
      <c r="CO133" s="891">
        <f t="shared" si="258"/>
        <v>0.67</v>
      </c>
      <c r="CP133" s="940"/>
      <c r="CQ133" s="925">
        <f t="shared" si="281"/>
        <v>0.25666666666666665</v>
      </c>
      <c r="CR133" s="1064">
        <f>(((CR131-CR129)/(CR127-CR125))*(CR124-CR125))+CR129</f>
        <v>0.25666666666666665</v>
      </c>
    </row>
    <row r="134" spans="2:96">
      <c r="B134" s="939">
        <v>100</v>
      </c>
      <c r="C134" s="891"/>
      <c r="D134" s="891">
        <v>10</v>
      </c>
      <c r="E134" s="925">
        <f t="shared" si="259"/>
        <v>0.11333333333333334</v>
      </c>
      <c r="F134" s="941"/>
      <c r="G134" s="942"/>
      <c r="H134" s="939">
        <v>100</v>
      </c>
      <c r="I134" s="891"/>
      <c r="J134" s="891">
        <v>1E-3</v>
      </c>
      <c r="K134" s="925">
        <v>0.1</v>
      </c>
      <c r="L134" s="941"/>
      <c r="M134" s="942"/>
      <c r="N134" s="939">
        <v>100</v>
      </c>
      <c r="O134" s="940">
        <v>1E-3</v>
      </c>
      <c r="P134" s="940"/>
      <c r="Q134" s="925">
        <v>0.1</v>
      </c>
      <c r="R134" s="941"/>
      <c r="S134" s="929"/>
      <c r="T134" s="939">
        <v>100</v>
      </c>
      <c r="U134" s="891">
        <f t="shared" si="260"/>
        <v>1E-3</v>
      </c>
      <c r="V134" s="940"/>
      <c r="W134" s="925">
        <f t="shared" si="261"/>
        <v>3.3333333333333332E-4</v>
      </c>
      <c r="X134" s="941"/>
      <c r="Y134" s="929"/>
      <c r="Z134" s="939">
        <v>100</v>
      </c>
      <c r="AA134" s="891">
        <f t="shared" si="262"/>
        <v>1E-3</v>
      </c>
      <c r="AB134" s="940"/>
      <c r="AC134" s="925">
        <f t="shared" si="263"/>
        <v>3.3333333333333332E-4</v>
      </c>
      <c r="AD134" s="941"/>
      <c r="AE134" s="929"/>
      <c r="AF134" s="939">
        <v>100</v>
      </c>
      <c r="AG134" s="891">
        <v>1E-3</v>
      </c>
      <c r="AH134" s="940"/>
      <c r="AI134" s="925">
        <f t="shared" si="264"/>
        <v>3.3333333333333332E-4</v>
      </c>
      <c r="AJ134" s="941"/>
      <c r="AK134" s="929"/>
      <c r="AL134" s="939">
        <v>100</v>
      </c>
      <c r="AM134" s="891">
        <f t="shared" si="265"/>
        <v>1E-3</v>
      </c>
      <c r="AN134" s="940"/>
      <c r="AO134" s="925">
        <f t="shared" si="266"/>
        <v>3.3333333333333332E-4</v>
      </c>
      <c r="AP134" s="941"/>
      <c r="AQ134" s="929"/>
      <c r="AR134" s="939">
        <v>100</v>
      </c>
      <c r="AS134" s="891">
        <f t="shared" si="267"/>
        <v>1E-3</v>
      </c>
      <c r="AT134" s="940"/>
      <c r="AU134" s="925">
        <f t="shared" si="268"/>
        <v>3.3333333333333332E-4</v>
      </c>
      <c r="AV134" s="941"/>
      <c r="AW134" s="929"/>
      <c r="AX134" s="939">
        <v>100</v>
      </c>
      <c r="AY134" s="891">
        <f t="shared" si="269"/>
        <v>0.2</v>
      </c>
      <c r="AZ134" s="940"/>
      <c r="BA134" s="925">
        <f t="shared" si="270"/>
        <v>0.26333333333333336</v>
      </c>
      <c r="BB134" s="941"/>
      <c r="BC134" s="929"/>
      <c r="BD134" s="939">
        <v>100</v>
      </c>
      <c r="BE134" s="891">
        <f t="shared" si="271"/>
        <v>1E-3</v>
      </c>
      <c r="BF134" s="940"/>
      <c r="BG134" s="925">
        <f t="shared" si="272"/>
        <v>3.3333333333333332E-4</v>
      </c>
      <c r="BH134" s="941"/>
      <c r="BI134" s="929"/>
      <c r="BJ134" s="939">
        <v>100</v>
      </c>
      <c r="BK134" s="891">
        <f t="shared" si="273"/>
        <v>0.2</v>
      </c>
      <c r="BL134" s="940"/>
      <c r="BM134" s="925">
        <f t="shared" si="274"/>
        <v>0.26333333333333336</v>
      </c>
      <c r="BN134" s="941"/>
      <c r="BO134" s="929"/>
      <c r="BP134" s="939">
        <v>100</v>
      </c>
      <c r="BQ134" s="891">
        <f t="shared" si="275"/>
        <v>1E-3</v>
      </c>
      <c r="BR134" s="940"/>
      <c r="BS134" s="925">
        <f t="shared" si="276"/>
        <v>3.3333333333333332E-4</v>
      </c>
      <c r="BT134" s="941"/>
      <c r="BU134" s="929"/>
      <c r="BV134" s="939">
        <v>100</v>
      </c>
      <c r="BW134" s="891">
        <f t="shared" si="277"/>
        <v>11</v>
      </c>
      <c r="BX134" s="940"/>
      <c r="BY134" s="925">
        <f t="shared" si="278"/>
        <v>4.666666666666667</v>
      </c>
      <c r="BZ134" s="941"/>
      <c r="CA134" s="929"/>
      <c r="CB134" s="939">
        <v>100</v>
      </c>
      <c r="CC134" s="891">
        <f t="shared" si="256"/>
        <v>-0.7</v>
      </c>
      <c r="CD134" s="940"/>
      <c r="CE134" s="925">
        <f t="shared" si="279"/>
        <v>0.13333333333333333</v>
      </c>
      <c r="CF134" s="941"/>
      <c r="CH134" s="939">
        <v>100</v>
      </c>
      <c r="CI134" s="891">
        <f t="shared" si="257"/>
        <v>0.31</v>
      </c>
      <c r="CJ134" s="940"/>
      <c r="CK134" s="925">
        <f t="shared" si="280"/>
        <v>7.3333333333333334E-2</v>
      </c>
      <c r="CL134" s="941"/>
      <c r="CN134" s="939">
        <v>100</v>
      </c>
      <c r="CO134" s="891">
        <f t="shared" si="258"/>
        <v>0.95</v>
      </c>
      <c r="CP134" s="940"/>
      <c r="CQ134" s="925">
        <f t="shared" si="281"/>
        <v>0.25666666666666665</v>
      </c>
      <c r="CR134" s="941"/>
    </row>
    <row r="135" spans="2:96">
      <c r="B135" s="939">
        <v>150</v>
      </c>
      <c r="C135" s="891"/>
      <c r="D135" s="891">
        <v>11</v>
      </c>
      <c r="E135" s="925">
        <f t="shared" si="259"/>
        <v>0.11333333333333334</v>
      </c>
      <c r="F135" s="941"/>
      <c r="G135" s="942"/>
      <c r="H135" s="939">
        <v>150</v>
      </c>
      <c r="I135" s="891"/>
      <c r="J135" s="891">
        <v>1E-3</v>
      </c>
      <c r="K135" s="925">
        <v>0.1</v>
      </c>
      <c r="L135" s="941"/>
      <c r="M135" s="942"/>
      <c r="N135" s="939">
        <v>150</v>
      </c>
      <c r="O135" s="940">
        <v>1E-3</v>
      </c>
      <c r="P135" s="940"/>
      <c r="Q135" s="925">
        <v>0.1</v>
      </c>
      <c r="R135" s="941"/>
      <c r="S135" s="929"/>
      <c r="T135" s="939">
        <v>150</v>
      </c>
      <c r="U135" s="891">
        <f t="shared" si="260"/>
        <v>1E-3</v>
      </c>
      <c r="V135" s="940"/>
      <c r="W135" s="925">
        <f t="shared" si="261"/>
        <v>3.3333333333333332E-4</v>
      </c>
      <c r="X135" s="941"/>
      <c r="Y135" s="929"/>
      <c r="Z135" s="939">
        <v>150</v>
      </c>
      <c r="AA135" s="891">
        <f t="shared" si="262"/>
        <v>1E-3</v>
      </c>
      <c r="AB135" s="940"/>
      <c r="AC135" s="925">
        <f t="shared" si="263"/>
        <v>3.3333333333333332E-4</v>
      </c>
      <c r="AD135" s="941"/>
      <c r="AE135" s="929"/>
      <c r="AF135" s="939">
        <v>150</v>
      </c>
      <c r="AG135" s="891">
        <v>1E-3</v>
      </c>
      <c r="AH135" s="940"/>
      <c r="AI135" s="925">
        <f t="shared" si="264"/>
        <v>3.3333333333333332E-4</v>
      </c>
      <c r="AJ135" s="941"/>
      <c r="AK135" s="929"/>
      <c r="AL135" s="939">
        <v>150</v>
      </c>
      <c r="AM135" s="891">
        <f t="shared" si="265"/>
        <v>1E-3</v>
      </c>
      <c r="AN135" s="940"/>
      <c r="AO135" s="925">
        <f t="shared" si="266"/>
        <v>3.3333333333333332E-4</v>
      </c>
      <c r="AP135" s="941"/>
      <c r="AQ135" s="929"/>
      <c r="AR135" s="939">
        <v>150</v>
      </c>
      <c r="AS135" s="891">
        <f t="shared" si="267"/>
        <v>1E-3</v>
      </c>
      <c r="AT135" s="940"/>
      <c r="AU135" s="925">
        <f t="shared" si="268"/>
        <v>3.3333333333333332E-4</v>
      </c>
      <c r="AV135" s="941"/>
      <c r="AW135" s="929"/>
      <c r="AX135" s="939">
        <v>150</v>
      </c>
      <c r="AY135" s="891">
        <f t="shared" si="269"/>
        <v>-0.01</v>
      </c>
      <c r="AZ135" s="940"/>
      <c r="BA135" s="925">
        <f t="shared" si="270"/>
        <v>0.26333333333333336</v>
      </c>
      <c r="BB135" s="941"/>
      <c r="BC135" s="929"/>
      <c r="BD135" s="939">
        <v>150</v>
      </c>
      <c r="BE135" s="891">
        <f t="shared" si="271"/>
        <v>1E-3</v>
      </c>
      <c r="BF135" s="940"/>
      <c r="BG135" s="925">
        <f t="shared" si="272"/>
        <v>3.3333333333333332E-4</v>
      </c>
      <c r="BH135" s="941"/>
      <c r="BI135" s="929"/>
      <c r="BJ135" s="939">
        <v>150</v>
      </c>
      <c r="BK135" s="891">
        <f t="shared" si="273"/>
        <v>-0.01</v>
      </c>
      <c r="BL135" s="940"/>
      <c r="BM135" s="925">
        <f t="shared" si="274"/>
        <v>0.26333333333333336</v>
      </c>
      <c r="BN135" s="941"/>
      <c r="BO135" s="929"/>
      <c r="BP135" s="939">
        <v>150</v>
      </c>
      <c r="BQ135" s="891">
        <f t="shared" si="275"/>
        <v>1E-3</v>
      </c>
      <c r="BR135" s="940"/>
      <c r="BS135" s="925">
        <f t="shared" si="276"/>
        <v>3.3333333333333332E-4</v>
      </c>
      <c r="BT135" s="941"/>
      <c r="BU135" s="929"/>
      <c r="BV135" s="939">
        <v>150</v>
      </c>
      <c r="BW135" s="891">
        <f t="shared" si="277"/>
        <v>12</v>
      </c>
      <c r="BX135" s="940"/>
      <c r="BY135" s="925">
        <f t="shared" si="278"/>
        <v>4.666666666666667</v>
      </c>
      <c r="BZ135" s="941"/>
      <c r="CA135" s="929"/>
      <c r="CB135" s="939">
        <v>150</v>
      </c>
      <c r="CC135" s="891">
        <f t="shared" si="256"/>
        <v>-0.7</v>
      </c>
      <c r="CD135" s="940"/>
      <c r="CE135" s="925">
        <f t="shared" si="279"/>
        <v>0.13333333333333333</v>
      </c>
      <c r="CF135" s="941"/>
      <c r="CH135" s="939">
        <v>150</v>
      </c>
      <c r="CI135" s="891">
        <f t="shared" si="257"/>
        <v>0.3</v>
      </c>
      <c r="CJ135" s="940"/>
      <c r="CK135" s="925">
        <f t="shared" si="280"/>
        <v>7.3333333333333334E-2</v>
      </c>
      <c r="CL135" s="941"/>
      <c r="CN135" s="939">
        <v>150</v>
      </c>
      <c r="CO135" s="891">
        <f t="shared" si="258"/>
        <v>0.49</v>
      </c>
      <c r="CP135" s="940"/>
      <c r="CQ135" s="925">
        <f t="shared" si="281"/>
        <v>0.25666666666666665</v>
      </c>
      <c r="CR135" s="941"/>
    </row>
    <row r="136" spans="2:96">
      <c r="B136" s="939">
        <v>200</v>
      </c>
      <c r="C136" s="891"/>
      <c r="D136" s="891">
        <v>12</v>
      </c>
      <c r="E136" s="925">
        <f t="shared" si="259"/>
        <v>0.11333333333333334</v>
      </c>
      <c r="F136" s="941"/>
      <c r="G136" s="942"/>
      <c r="H136" s="939">
        <v>200</v>
      </c>
      <c r="I136" s="891"/>
      <c r="J136" s="891">
        <v>1E-3</v>
      </c>
      <c r="K136" s="925">
        <v>0.1</v>
      </c>
      <c r="L136" s="941"/>
      <c r="M136" s="942"/>
      <c r="N136" s="939">
        <v>200</v>
      </c>
      <c r="O136" s="940">
        <v>1E-3</v>
      </c>
      <c r="P136" s="940"/>
      <c r="Q136" s="925">
        <v>0.1</v>
      </c>
      <c r="R136" s="941"/>
      <c r="S136" s="929"/>
      <c r="T136" s="939">
        <v>200</v>
      </c>
      <c r="U136" s="891">
        <f t="shared" si="260"/>
        <v>1E-3</v>
      </c>
      <c r="V136" s="940"/>
      <c r="W136" s="925">
        <f t="shared" si="261"/>
        <v>3.3333333333333332E-4</v>
      </c>
      <c r="X136" s="941"/>
      <c r="Y136" s="929"/>
      <c r="Z136" s="939">
        <v>200</v>
      </c>
      <c r="AA136" s="891">
        <f t="shared" si="262"/>
        <v>1E-3</v>
      </c>
      <c r="AB136" s="940"/>
      <c r="AC136" s="925">
        <f t="shared" si="263"/>
        <v>3.3333333333333332E-4</v>
      </c>
      <c r="AD136" s="941"/>
      <c r="AE136" s="929"/>
      <c r="AF136" s="939">
        <v>200</v>
      </c>
      <c r="AG136" s="891">
        <v>1E-3</v>
      </c>
      <c r="AH136" s="940"/>
      <c r="AI136" s="925">
        <f t="shared" si="264"/>
        <v>3.3333333333333332E-4</v>
      </c>
      <c r="AJ136" s="941"/>
      <c r="AK136" s="929"/>
      <c r="AL136" s="939">
        <v>200</v>
      </c>
      <c r="AM136" s="891">
        <f t="shared" si="265"/>
        <v>1E-3</v>
      </c>
      <c r="AN136" s="940"/>
      <c r="AO136" s="925">
        <f t="shared" si="266"/>
        <v>3.3333333333333332E-4</v>
      </c>
      <c r="AP136" s="941"/>
      <c r="AQ136" s="929"/>
      <c r="AR136" s="939">
        <v>200</v>
      </c>
      <c r="AS136" s="891">
        <f t="shared" si="267"/>
        <v>1E-3</v>
      </c>
      <c r="AT136" s="940"/>
      <c r="AU136" s="925">
        <f t="shared" si="268"/>
        <v>3.3333333333333332E-4</v>
      </c>
      <c r="AV136" s="941"/>
      <c r="AW136" s="929"/>
      <c r="AX136" s="939">
        <v>200</v>
      </c>
      <c r="AY136" s="891">
        <f t="shared" si="269"/>
        <v>-0.28999999999999998</v>
      </c>
      <c r="AZ136" s="940"/>
      <c r="BA136" s="925">
        <f t="shared" si="270"/>
        <v>0.26333333333333336</v>
      </c>
      <c r="BB136" s="941"/>
      <c r="BC136" s="929"/>
      <c r="BD136" s="939">
        <v>200</v>
      </c>
      <c r="BE136" s="891">
        <f t="shared" si="271"/>
        <v>1E-3</v>
      </c>
      <c r="BF136" s="940"/>
      <c r="BG136" s="925">
        <f t="shared" si="272"/>
        <v>3.3333333333333332E-4</v>
      </c>
      <c r="BH136" s="941"/>
      <c r="BI136" s="929"/>
      <c r="BJ136" s="939">
        <v>200</v>
      </c>
      <c r="BK136" s="891">
        <f t="shared" si="273"/>
        <v>-0.28999999999999998</v>
      </c>
      <c r="BL136" s="940"/>
      <c r="BM136" s="925">
        <f t="shared" si="274"/>
        <v>0.26333333333333336</v>
      </c>
      <c r="BN136" s="941"/>
      <c r="BO136" s="929"/>
      <c r="BP136" s="939">
        <v>200</v>
      </c>
      <c r="BQ136" s="891">
        <f t="shared" si="275"/>
        <v>1E-3</v>
      </c>
      <c r="BR136" s="940"/>
      <c r="BS136" s="925">
        <f t="shared" si="276"/>
        <v>3.3333333333333332E-4</v>
      </c>
      <c r="BT136" s="941"/>
      <c r="BU136" s="929"/>
      <c r="BV136" s="939">
        <v>200</v>
      </c>
      <c r="BW136" s="891">
        <f t="shared" si="277"/>
        <v>13</v>
      </c>
      <c r="BX136" s="940"/>
      <c r="BY136" s="925">
        <f t="shared" si="278"/>
        <v>4.666666666666667</v>
      </c>
      <c r="BZ136" s="941"/>
      <c r="CA136" s="929"/>
      <c r="CB136" s="939">
        <v>200</v>
      </c>
      <c r="CC136" s="891">
        <f t="shared" si="256"/>
        <v>-0.6</v>
      </c>
      <c r="CD136" s="940"/>
      <c r="CE136" s="925">
        <f t="shared" si="279"/>
        <v>0.13333333333333333</v>
      </c>
      <c r="CF136" s="941"/>
      <c r="CH136" s="939">
        <v>200</v>
      </c>
      <c r="CI136" s="891">
        <f t="shared" si="257"/>
        <v>0.34</v>
      </c>
      <c r="CJ136" s="940"/>
      <c r="CK136" s="925">
        <f t="shared" si="280"/>
        <v>7.3333333333333334E-2</v>
      </c>
      <c r="CL136" s="941"/>
      <c r="CN136" s="939">
        <v>200</v>
      </c>
      <c r="CO136" s="891">
        <f t="shared" si="258"/>
        <v>-0.26</v>
      </c>
      <c r="CP136" s="940"/>
      <c r="CQ136" s="925">
        <f t="shared" si="281"/>
        <v>0.25666666666666665</v>
      </c>
      <c r="CR136" s="941"/>
    </row>
    <row r="137" spans="2:96" s="929" customFormat="1">
      <c r="B137" s="947"/>
      <c r="C137" s="930"/>
      <c r="D137" s="930"/>
      <c r="E137" s="944"/>
      <c r="F137" s="944"/>
      <c r="G137" s="944"/>
      <c r="H137" s="944"/>
      <c r="I137" s="944"/>
      <c r="J137" s="944"/>
      <c r="K137" s="944"/>
      <c r="L137" s="944"/>
      <c r="M137" s="944"/>
      <c r="N137" s="944"/>
      <c r="T137" s="930"/>
      <c r="U137" s="930"/>
      <c r="V137" s="930"/>
      <c r="W137" s="930"/>
      <c r="X137" s="930"/>
      <c r="Y137" s="930"/>
      <c r="Z137" s="930"/>
      <c r="AA137" s="930"/>
      <c r="AB137" s="930"/>
      <c r="AH137" s="930"/>
      <c r="AJ137" s="931"/>
      <c r="AN137" s="930"/>
      <c r="AP137" s="931"/>
      <c r="AT137" s="930"/>
      <c r="AV137" s="931"/>
      <c r="AZ137" s="930"/>
      <c r="BB137" s="931"/>
      <c r="BF137" s="930"/>
      <c r="BH137" s="931"/>
      <c r="BL137" s="930"/>
      <c r="BN137" s="931"/>
      <c r="BR137" s="930"/>
      <c r="BT137" s="931"/>
      <c r="BX137" s="930"/>
      <c r="BZ137" s="931"/>
      <c r="CD137" s="930"/>
      <c r="CF137" s="931"/>
      <c r="CJ137" s="930"/>
      <c r="CL137" s="931"/>
      <c r="CP137" s="930"/>
      <c r="CR137" s="931"/>
    </row>
    <row r="138" spans="2:96" ht="24.75" customHeight="1">
      <c r="B138" s="1314" t="s">
        <v>426</v>
      </c>
      <c r="C138" s="1316" t="str">
        <f>C123</f>
        <v>Thermocouple Data Logger, Merek : MADGETECH, Model : OctTemp 2000, SN : P40270</v>
      </c>
      <c r="D138" s="1316"/>
      <c r="E138" s="1316"/>
      <c r="F138" s="932" t="str">
        <f>F123</f>
        <v>Interpolasi</v>
      </c>
      <c r="G138" s="933"/>
      <c r="H138" s="1314" t="str">
        <f>B138</f>
        <v>CH 10</v>
      </c>
      <c r="I138" s="1316" t="str">
        <f>I123</f>
        <v>Thermocouple Data Logger, Merek : MADGETECH, Model : OctTemp 2000, SN : P41878</v>
      </c>
      <c r="J138" s="1316"/>
      <c r="K138" s="1316"/>
      <c r="L138" s="932" t="s">
        <v>572</v>
      </c>
      <c r="M138" s="933"/>
      <c r="N138" s="1314" t="str">
        <f>H138</f>
        <v>CH 10</v>
      </c>
      <c r="O138" s="1316" t="str">
        <f>O123</f>
        <v>Mobile Corder, Merek : Yokogawa, Model : GP 10, SN : S5T810599</v>
      </c>
      <c r="P138" s="1317"/>
      <c r="Q138" s="1316"/>
      <c r="R138" s="932" t="s">
        <v>572</v>
      </c>
      <c r="S138" s="929"/>
      <c r="T138" s="1314" t="str">
        <f>N138</f>
        <v>CH 10</v>
      </c>
      <c r="U138" s="1316" t="str">
        <f>U123</f>
        <v>Wireless Temperature Recorder : Merek : HIOKI, Model : LR 8510, SN : 200936000</v>
      </c>
      <c r="V138" s="1317"/>
      <c r="W138" s="1316"/>
      <c r="X138" s="932" t="s">
        <v>572</v>
      </c>
      <c r="Y138" s="929"/>
      <c r="Z138" s="1314" t="str">
        <f>T138</f>
        <v>CH 10</v>
      </c>
      <c r="AA138" s="1316" t="str">
        <f>AA123</f>
        <v>Wireless Temperature Recorder : Merek : HIOKI, Model : LR 8510, SN : 200936001</v>
      </c>
      <c r="AB138" s="1317"/>
      <c r="AC138" s="1316"/>
      <c r="AD138" s="932" t="s">
        <v>572</v>
      </c>
      <c r="AE138" s="929"/>
      <c r="AF138" s="1314" t="str">
        <f>Z138</f>
        <v>CH 10</v>
      </c>
      <c r="AG138" s="1316" t="str">
        <f>AG123</f>
        <v>Wireless Temperature Recorder : Merek : HIOKI, Model : LR 8510, SN : 200821397</v>
      </c>
      <c r="AH138" s="1317"/>
      <c r="AI138" s="1316"/>
      <c r="AJ138" s="932" t="s">
        <v>572</v>
      </c>
      <c r="AK138" s="929"/>
      <c r="AL138" s="1314" t="str">
        <f>AF138</f>
        <v>CH 10</v>
      </c>
      <c r="AM138" s="1316" t="str">
        <f>AM123</f>
        <v>Wireless Temperature Recorder : Merek : HIOKI, Model : LR 8510, SN : 210411983</v>
      </c>
      <c r="AN138" s="1317"/>
      <c r="AO138" s="1316"/>
      <c r="AP138" s="932" t="s">
        <v>572</v>
      </c>
      <c r="AQ138" s="960"/>
      <c r="AR138" s="1314" t="str">
        <f>AL138</f>
        <v>CH 10</v>
      </c>
      <c r="AS138" s="1316" t="str">
        <f>AS123</f>
        <v>Wireless Temperature Recorder : Merek : HIOKI, Model : LR 8510, SN : 210411984</v>
      </c>
      <c r="AT138" s="1317"/>
      <c r="AU138" s="1316"/>
      <c r="AV138" s="932" t="s">
        <v>572</v>
      </c>
      <c r="AW138" s="929"/>
      <c r="AX138" s="1314" t="str">
        <f>AR138</f>
        <v>CH 10</v>
      </c>
      <c r="AY138" s="1316" t="str">
        <f>AY123</f>
        <v>Wireless Temperature Recorder : Merek : HIOKI, Model : LR 8510, SN : 210411985</v>
      </c>
      <c r="AZ138" s="1317"/>
      <c r="BA138" s="1316"/>
      <c r="BB138" s="932" t="s">
        <v>572</v>
      </c>
      <c r="BC138" s="929"/>
      <c r="BD138" s="1314" t="str">
        <f>AX138</f>
        <v>CH 10</v>
      </c>
      <c r="BE138" s="1316" t="str">
        <f>BE123</f>
        <v>Wireless Temperature Recorder : Merek : HIOKI, Model : LR 8510, SN : 210746054</v>
      </c>
      <c r="BF138" s="1317"/>
      <c r="BG138" s="1316"/>
      <c r="BH138" s="932" t="s">
        <v>572</v>
      </c>
      <c r="BI138" s="929"/>
      <c r="BJ138" s="1314" t="str">
        <f>BD138</f>
        <v>CH 10</v>
      </c>
      <c r="BK138" s="1316" t="str">
        <f>BK123</f>
        <v>Wireless Temperature Recorder : Merek : HIOKI, Model : LR 8510, SN : 210746055</v>
      </c>
      <c r="BL138" s="1317"/>
      <c r="BM138" s="1316"/>
      <c r="BN138" s="932" t="s">
        <v>572</v>
      </c>
      <c r="BO138" s="929"/>
      <c r="BP138" s="1314" t="str">
        <f>BJ138</f>
        <v>CH 10</v>
      </c>
      <c r="BQ138" s="1316" t="str">
        <f>BQ123</f>
        <v>Wireless Temperature Recorder : Merek : HIOKI, Model : LR 8510, SN : 210746056</v>
      </c>
      <c r="BR138" s="1317"/>
      <c r="BS138" s="1316"/>
      <c r="BT138" s="932" t="s">
        <v>572</v>
      </c>
      <c r="BU138" s="929"/>
      <c r="BV138" s="1314" t="str">
        <f>BP138</f>
        <v>CH 10</v>
      </c>
      <c r="BW138" s="1316" t="str">
        <f>BW123</f>
        <v>Wireless Temperature Recorder : Merek : HIOKI, Model : LR 8510, SN : x x x</v>
      </c>
      <c r="BX138" s="1317"/>
      <c r="BY138" s="1316"/>
      <c r="BZ138" s="932" t="s">
        <v>572</v>
      </c>
      <c r="CA138" s="929"/>
      <c r="CB138" s="1314" t="str">
        <f>BV138</f>
        <v>CH 10</v>
      </c>
      <c r="CC138" s="1316" t="str">
        <f t="shared" ref="CC138:CC151" si="282">CC123</f>
        <v>Reference Thermometer, Merek : APPA, Model : APPA51, SN : 03002948</v>
      </c>
      <c r="CD138" s="1317"/>
      <c r="CE138" s="1316"/>
      <c r="CF138" s="932" t="s">
        <v>572</v>
      </c>
      <c r="CH138" s="1314" t="str">
        <f>CB138</f>
        <v>CH 10</v>
      </c>
      <c r="CI138" s="1316" t="str">
        <f t="shared" ref="CI138:CI151" si="283">CI123</f>
        <v>Reference Thermometer, Merek : FLUKE, Model : 1524, SN : 1803038</v>
      </c>
      <c r="CJ138" s="1317"/>
      <c r="CK138" s="1316"/>
      <c r="CL138" s="932" t="s">
        <v>572</v>
      </c>
      <c r="CN138" s="1314" t="str">
        <f>CH138</f>
        <v>CH 10</v>
      </c>
      <c r="CO138" s="1316" t="str">
        <f t="shared" ref="CO138:CO151" si="284">CO123</f>
        <v>Reference Thermometer, Merek : FLUKE, Model : 1524, SN : 1803037</v>
      </c>
      <c r="CP138" s="1317"/>
      <c r="CQ138" s="1316"/>
      <c r="CR138" s="932" t="s">
        <v>572</v>
      </c>
    </row>
    <row r="139" spans="2:96">
      <c r="B139" s="1315"/>
      <c r="C139" s="935">
        <f>C124</f>
        <v>2019</v>
      </c>
      <c r="D139" s="935">
        <f>D124</f>
        <v>2021</v>
      </c>
      <c r="E139" s="936" t="s">
        <v>215</v>
      </c>
      <c r="F139" s="1063">
        <f>F124</f>
        <v>6.4428226504297132</v>
      </c>
      <c r="G139" s="937"/>
      <c r="H139" s="1315"/>
      <c r="I139" s="938">
        <f>I124</f>
        <v>2020</v>
      </c>
      <c r="J139" s="938">
        <f>J124</f>
        <v>2021</v>
      </c>
      <c r="K139" s="936" t="s">
        <v>215</v>
      </c>
      <c r="L139" s="1063">
        <f>F139</f>
        <v>6.4428226504297132</v>
      </c>
      <c r="M139" s="937"/>
      <c r="N139" s="1315"/>
      <c r="O139" s="938">
        <f>O34</f>
        <v>2018</v>
      </c>
      <c r="P139" s="935">
        <f>P34</f>
        <v>2021</v>
      </c>
      <c r="Q139" s="936" t="s">
        <v>215</v>
      </c>
      <c r="R139" s="1063">
        <f>L139</f>
        <v>6.4428226504297132</v>
      </c>
      <c r="S139" s="929"/>
      <c r="T139" s="1315"/>
      <c r="U139" s="938">
        <f>U124</f>
        <v>2021</v>
      </c>
      <c r="V139" s="935"/>
      <c r="W139" s="936" t="s">
        <v>215</v>
      </c>
      <c r="X139" s="1063">
        <f>R139</f>
        <v>6.4428226504297132</v>
      </c>
      <c r="Y139" s="929"/>
      <c r="Z139" s="1315"/>
      <c r="AA139" s="938">
        <f>AA124</f>
        <v>2021</v>
      </c>
      <c r="AB139" s="935"/>
      <c r="AC139" s="936" t="s">
        <v>215</v>
      </c>
      <c r="AD139" s="1063">
        <f>X139</f>
        <v>6.4428226504297132</v>
      </c>
      <c r="AE139" s="929"/>
      <c r="AF139" s="1315"/>
      <c r="AG139" s="938">
        <f>AG124</f>
        <v>2021</v>
      </c>
      <c r="AH139" s="938">
        <f>AH124</f>
        <v>0</v>
      </c>
      <c r="AI139" s="936" t="s">
        <v>215</v>
      </c>
      <c r="AJ139" s="1063">
        <f>AD139</f>
        <v>6.4428226504297132</v>
      </c>
      <c r="AK139" s="929"/>
      <c r="AL139" s="1315"/>
      <c r="AM139" s="938">
        <f>AM124</f>
        <v>2021</v>
      </c>
      <c r="AN139" s="935"/>
      <c r="AO139" s="936" t="s">
        <v>215</v>
      </c>
      <c r="AP139" s="1063">
        <f>AJ139</f>
        <v>6.4428226504297132</v>
      </c>
      <c r="AQ139" s="960"/>
      <c r="AR139" s="1315"/>
      <c r="AS139" s="938">
        <f>AS124</f>
        <v>2021</v>
      </c>
      <c r="AT139" s="935"/>
      <c r="AU139" s="936" t="s">
        <v>215</v>
      </c>
      <c r="AV139" s="1063">
        <f>AP139</f>
        <v>6.4428226504297132</v>
      </c>
      <c r="AW139" s="929"/>
      <c r="AX139" s="1315"/>
      <c r="AY139" s="938">
        <f>AY124</f>
        <v>2021</v>
      </c>
      <c r="AZ139" s="935"/>
      <c r="BA139" s="936" t="s">
        <v>215</v>
      </c>
      <c r="BB139" s="1063">
        <f>AV139</f>
        <v>6.4428226504297132</v>
      </c>
      <c r="BC139" s="929"/>
      <c r="BD139" s="1315"/>
      <c r="BE139" s="938">
        <f>BE124</f>
        <v>2021</v>
      </c>
      <c r="BF139" s="935"/>
      <c r="BG139" s="936" t="s">
        <v>215</v>
      </c>
      <c r="BH139" s="1063">
        <f>BB139</f>
        <v>6.4428226504297132</v>
      </c>
      <c r="BI139" s="929"/>
      <c r="BJ139" s="1315"/>
      <c r="BK139" s="938">
        <f>BK124</f>
        <v>2021</v>
      </c>
      <c r="BL139" s="935"/>
      <c r="BM139" s="936" t="s">
        <v>215</v>
      </c>
      <c r="BN139" s="1063">
        <f>BH139</f>
        <v>6.4428226504297132</v>
      </c>
      <c r="BO139" s="929"/>
      <c r="BP139" s="1315"/>
      <c r="BQ139" s="938">
        <f>BQ124</f>
        <v>2021</v>
      </c>
      <c r="BR139" s="935"/>
      <c r="BS139" s="936" t="s">
        <v>215</v>
      </c>
      <c r="BT139" s="1063">
        <f>BN139</f>
        <v>6.4428226504297132</v>
      </c>
      <c r="BU139" s="929"/>
      <c r="BV139" s="1315"/>
      <c r="BW139" s="938">
        <f>BW124</f>
        <v>2021</v>
      </c>
      <c r="BX139" s="935"/>
      <c r="BY139" s="936" t="s">
        <v>215</v>
      </c>
      <c r="BZ139" s="1063">
        <f>BT139</f>
        <v>6.4428226504297132</v>
      </c>
      <c r="CA139" s="929"/>
      <c r="CB139" s="1315"/>
      <c r="CC139" s="938">
        <f t="shared" si="282"/>
        <v>2020</v>
      </c>
      <c r="CD139" s="935"/>
      <c r="CE139" s="936" t="s">
        <v>215</v>
      </c>
      <c r="CF139" s="1063">
        <f>BZ139</f>
        <v>6.4428226504297132</v>
      </c>
      <c r="CG139" s="954"/>
      <c r="CH139" s="1315"/>
      <c r="CI139" s="938">
        <f t="shared" si="283"/>
        <v>2021</v>
      </c>
      <c r="CJ139" s="935"/>
      <c r="CK139" s="936" t="s">
        <v>215</v>
      </c>
      <c r="CL139" s="1063">
        <f>CF139</f>
        <v>6.4428226504297132</v>
      </c>
      <c r="CN139" s="1315"/>
      <c r="CO139" s="938">
        <f t="shared" si="284"/>
        <v>2021</v>
      </c>
      <c r="CP139" s="935"/>
      <c r="CQ139" s="936" t="s">
        <v>215</v>
      </c>
      <c r="CR139" s="1063">
        <f>CL139</f>
        <v>6.4428226504297132</v>
      </c>
    </row>
    <row r="140" spans="2:96">
      <c r="B140" s="939">
        <v>-20</v>
      </c>
      <c r="C140" s="891"/>
      <c r="D140" s="1058">
        <v>1</v>
      </c>
      <c r="E140" s="925">
        <f t="shared" ref="E140:E151" si="285">IF(OR(C140=0,D140=0),$U$221/3,((MAX(C140:D140)-(MIN(C140:D140)))))</f>
        <v>0.11333333333333334</v>
      </c>
      <c r="F140" s="1061">
        <f>IF(F139&lt;=B141,B140,IF(F139&lt;=B142,B141,IF(F139&lt;=B143,B142,IF(F139&lt;=B144,B143,IF(F139&lt;=B145,B144)))))</f>
        <v>2</v>
      </c>
      <c r="G140" s="942"/>
      <c r="H140" s="939">
        <v>-20</v>
      </c>
      <c r="I140" s="891"/>
      <c r="J140" s="891"/>
      <c r="K140" s="925">
        <v>0.1</v>
      </c>
      <c r="L140" s="1061">
        <f>IF(L139&lt;=H141,H140,IF(L139&lt;=H142,H141,IF(L139&lt;=H143,H142,IF(L139&lt;=H144,H143,IF(L139&lt;=H145,H144)))))</f>
        <v>2</v>
      </c>
      <c r="M140" s="942"/>
      <c r="N140" s="939">
        <v>-20</v>
      </c>
      <c r="O140" s="891">
        <v>1E-3</v>
      </c>
      <c r="P140" s="891"/>
      <c r="Q140" s="925">
        <v>0.1</v>
      </c>
      <c r="R140" s="1061">
        <f>IF(R139&lt;=N141,N140,IF(R139&lt;=N142,N141,IF(R139&lt;=N143,N142,IF(R139&lt;=N144,N143,IF(R139&lt;=N145,N144)))))</f>
        <v>2</v>
      </c>
      <c r="S140" s="929"/>
      <c r="T140" s="939">
        <v>-20</v>
      </c>
      <c r="U140" s="891">
        <f t="shared" ref="U140:U151" si="286">X225</f>
        <v>1E-3</v>
      </c>
      <c r="V140" s="940"/>
      <c r="W140" s="925">
        <f t="shared" ref="W140:W151" si="287">IF(OR(U140=0,V140=0),$X$237/3,((MAX(U140:V140)-(MIN(U140:V140)))))</f>
        <v>3.3333333333333332E-4</v>
      </c>
      <c r="X140" s="1061">
        <f>IF(X139&lt;=T141,T140,IF(X139&lt;=T142,T141,IF(X139&lt;=T143,T142,IF(X139&lt;=T144,T143,IF(X139&lt;=T145,T144)))))</f>
        <v>2</v>
      </c>
      <c r="Y140" s="929"/>
      <c r="Z140" s="939">
        <v>-20</v>
      </c>
      <c r="AA140" s="891">
        <f t="shared" ref="AA140:AA151" si="288">Y225</f>
        <v>1E-3</v>
      </c>
      <c r="AB140" s="940"/>
      <c r="AC140" s="925">
        <f t="shared" ref="AC140:AC151" si="289">IF(OR(AA140=0,AB140=0),$Y$237/3,((MAX(AA140:AB140)-(MIN(AA140:AB140)))))</f>
        <v>3.3333333333333332E-4</v>
      </c>
      <c r="AD140" s="1061">
        <f>IF(AD139&lt;=Z141,Z140,IF(AD139&lt;=Z142,Z141,IF(AD139&lt;=Z143,Z142,IF(AD139&lt;=Z144,Z143,IF(AD139&lt;=Z145,Z144)))))</f>
        <v>2</v>
      </c>
      <c r="AE140" s="929"/>
      <c r="AF140" s="939">
        <v>-20</v>
      </c>
      <c r="AG140" s="891">
        <v>0.2</v>
      </c>
      <c r="AH140" s="940"/>
      <c r="AI140" s="925">
        <f t="shared" ref="AI140:AI151" si="290">IF(OR(AG140=0,AH140=0),$Z$237/3,((MAX(AG140:AH140)-(MIN(AG140:AH140)))))</f>
        <v>3.3333333333333332E-4</v>
      </c>
      <c r="AJ140" s="1061">
        <f>IF(AJ139&lt;=AF141,AF140,IF(AJ139&lt;=AF142,AF141,IF(AJ139&lt;=AF143,AF142,IF(AJ139&lt;=AF144,AF143,IF(AJ139&lt;=AF145,AF144)))))</f>
        <v>2</v>
      </c>
      <c r="AK140" s="929"/>
      <c r="AL140" s="939">
        <v>-20</v>
      </c>
      <c r="AM140" s="891">
        <f t="shared" ref="AM140:AM151" si="291">AA225</f>
        <v>1E-3</v>
      </c>
      <c r="AN140" s="940"/>
      <c r="AO140" s="925">
        <f t="shared" ref="AO140:AO151" si="292">IF(OR(AM140=0,AN140=0),$AA$237/3,((MAX(AM140:AN140)-(MIN(AM140:AN140)))))</f>
        <v>3.3333333333333332E-4</v>
      </c>
      <c r="AP140" s="1061">
        <f>IF(AP139&lt;=AL141,AL140,IF(AP139&lt;=AL142,AL141,IF(AP139&lt;=AL143,AL142,IF(AP139&lt;=AL144,AL143,IF(AP139&lt;=AL145,AL144)))))</f>
        <v>2</v>
      </c>
      <c r="AQ140" s="960"/>
      <c r="AR140" s="939">
        <v>-20</v>
      </c>
      <c r="AS140" s="891">
        <f t="shared" ref="AS140:AS151" si="293">AB225</f>
        <v>1E-3</v>
      </c>
      <c r="AT140" s="940"/>
      <c r="AU140" s="925">
        <f t="shared" ref="AU140:AU151" si="294">IF(OR(AS140=0,AT140=0),$AB$237/3,((MAX(AS140:AT140)-(MIN(AS140:AT140)))))</f>
        <v>3.3333333333333332E-4</v>
      </c>
      <c r="AV140" s="1061">
        <f>IF(AV139&lt;=AR141,AR140,IF(AV139&lt;=AR142,AR141,IF(AV139&lt;=AR143,AR142,IF(AV139&lt;=AR144,AR143,IF(AV139&lt;=AR145,AR144)))))</f>
        <v>2</v>
      </c>
      <c r="AW140" s="929"/>
      <c r="AX140" s="939">
        <v>-20</v>
      </c>
      <c r="AY140" s="891">
        <f t="shared" ref="AY140:AY151" si="295">AC225</f>
        <v>0.47</v>
      </c>
      <c r="AZ140" s="940"/>
      <c r="BA140" s="925">
        <f t="shared" ref="BA140:BA151" si="296">IF(OR(AY140=0,AZ140=0),$AC$237/3,((MAX(AY140:AZ140)-(MIN(AY140:AZ140)))))</f>
        <v>0.26333333333333336</v>
      </c>
      <c r="BB140" s="1061">
        <f>IF(BB139&lt;=AX141,AX140,IF(BB139&lt;=AX142,AX141,IF(BB139&lt;=AX143,AX142,IF(BB139&lt;=AX144,AX143,IF(BB139&lt;=AX145,AX144)))))</f>
        <v>2</v>
      </c>
      <c r="BC140" s="929"/>
      <c r="BD140" s="939">
        <v>-20</v>
      </c>
      <c r="BE140" s="891">
        <f t="shared" ref="BE140:BE151" si="297">AD225</f>
        <v>1E-3</v>
      </c>
      <c r="BF140" s="940"/>
      <c r="BG140" s="925">
        <f t="shared" ref="BG140:BG151" si="298">IF(OR(BE140=0,BF140=0),$AD$237/3,((MAX(BE140:BF140)-(MIN(BE140:BF140)))))</f>
        <v>3.3333333333333332E-4</v>
      </c>
      <c r="BH140" s="1061">
        <f>IF(BH139&lt;=BD141,BD140,IF(BH139&lt;=BD142,BD141,IF(BH139&lt;=BD143,BD142,IF(BH139&lt;=BD144,BD143,IF(BH139&lt;=BD145,BD144)))))</f>
        <v>2</v>
      </c>
      <c r="BI140" s="929"/>
      <c r="BJ140" s="939">
        <v>-20</v>
      </c>
      <c r="BK140" s="891">
        <f t="shared" ref="BK140:BK151" si="299">AE225</f>
        <v>0.47</v>
      </c>
      <c r="BL140" s="940"/>
      <c r="BM140" s="925">
        <f t="shared" ref="BM140:BM151" si="300">IF(OR(BK140=0,BL140=0),$AE$237/3,((MAX(BK140:BL140)-(MIN(BK140:BL140)))))</f>
        <v>0.26333333333333336</v>
      </c>
      <c r="BN140" s="1061">
        <f>IF(BN139&lt;=BJ141,BJ140,IF(BN139&lt;=BJ142,BJ141,IF(BN139&lt;=BJ143,BJ142,IF(BN139&lt;=BJ144,BJ143,IF(BN139&lt;=BJ145,BJ144)))))</f>
        <v>2</v>
      </c>
      <c r="BO140" s="929"/>
      <c r="BP140" s="939">
        <v>-20</v>
      </c>
      <c r="BQ140" s="891">
        <f t="shared" ref="BQ140:BQ151" si="301">AF225</f>
        <v>1E-3</v>
      </c>
      <c r="BR140" s="940"/>
      <c r="BS140" s="925">
        <f t="shared" ref="BS140:BS151" si="302">IF(OR(BQ140=0,BR140=0),$AF$237/3,((MAX(BQ140:BR140)-(MIN(BQ140:BR140)))))</f>
        <v>3.3333333333333332E-4</v>
      </c>
      <c r="BT140" s="1061">
        <f>IF(BT139&lt;=BP141,BP140,IF(BT139&lt;=BP142,BP141,IF(BT139&lt;=BP143,BP142,IF(BT139&lt;=BP144,BP143,IF(BT139&lt;=BP145,BP144)))))</f>
        <v>2</v>
      </c>
      <c r="BU140" s="929"/>
      <c r="BV140" s="939">
        <v>-20</v>
      </c>
      <c r="BW140" s="891">
        <f t="shared" ref="BW140:BW151" si="303">AG225</f>
        <v>16</v>
      </c>
      <c r="BX140" s="940"/>
      <c r="BY140" s="925">
        <f t="shared" ref="BY140:BY151" si="304">IF(OR(BW140=0,BX140=0),$AG$237/3,((MAX(BW140:BX140)-(MIN(BW140:BX140)))))</f>
        <v>9.3333333333333339</v>
      </c>
      <c r="BZ140" s="1061">
        <f>IF(BZ139&lt;=BV141,BV140,IF(BZ139&lt;=BV142,BV141,IF(BZ139&lt;=BV143,BV142,IF(BZ139&lt;=BV144,BV143,IF(BZ139&lt;=BV145,BV144)))))</f>
        <v>2</v>
      </c>
      <c r="CA140" s="929"/>
      <c r="CB140" s="939">
        <v>-20</v>
      </c>
      <c r="CC140" s="891">
        <f t="shared" si="282"/>
        <v>-0.7</v>
      </c>
      <c r="CD140" s="940"/>
      <c r="CE140" s="925">
        <f t="shared" ref="CE140:CE151" si="305">CE125</f>
        <v>0.13333333333333333</v>
      </c>
      <c r="CF140" s="1061">
        <f>IF(CF139&lt;=CB141,CB140,IF(CF139&lt;=CB142,CB141,IF(CF139&lt;=CB143,CB142,IF(CF139&lt;=CB144,CB143,IF(CF139&lt;=CB145,CB144)))))</f>
        <v>2</v>
      </c>
      <c r="CG140" s="954"/>
      <c r="CH140" s="939">
        <v>-20</v>
      </c>
      <c r="CI140" s="891">
        <f t="shared" si="283"/>
        <v>-1.5E-3</v>
      </c>
      <c r="CJ140" s="940"/>
      <c r="CK140" s="925">
        <f t="shared" ref="CK140:CK151" si="306">CK125</f>
        <v>7.3333333333333334E-2</v>
      </c>
      <c r="CL140" s="1061">
        <f>IF(CL139&lt;=CH141,CH140,IF(CL139&lt;=CH142,CH141,IF(CL139&lt;=CH143,CH142,IF(CL139&lt;=CH144,CH143,IF(CL139&lt;=CH145,CH144)))))</f>
        <v>2</v>
      </c>
      <c r="CN140" s="939">
        <v>-20</v>
      </c>
      <c r="CO140" s="891">
        <f t="shared" si="284"/>
        <v>-1.8</v>
      </c>
      <c r="CP140" s="940"/>
      <c r="CQ140" s="925">
        <f t="shared" ref="CQ140:CQ151" si="307">CQ125</f>
        <v>0.25666666666666665</v>
      </c>
      <c r="CR140" s="1061">
        <f>IF(CR139&lt;=CN141,CN140,IF(CR139&lt;=CN142,CN141,IF(CR139&lt;=CN143,CN142,IF(CR139&lt;=CN144,CN143,IF(CR139&lt;=CN145,CN144)))))</f>
        <v>2</v>
      </c>
    </row>
    <row r="141" spans="2:96">
      <c r="B141" s="939">
        <v>-15</v>
      </c>
      <c r="C141" s="891"/>
      <c r="D141" s="1058">
        <v>2</v>
      </c>
      <c r="E141" s="925">
        <f t="shared" si="285"/>
        <v>0.11333333333333334</v>
      </c>
      <c r="F141" s="1056"/>
      <c r="G141" s="942"/>
      <c r="H141" s="939">
        <v>-15</v>
      </c>
      <c r="I141" s="891"/>
      <c r="J141" s="891"/>
      <c r="K141" s="925">
        <v>0.1</v>
      </c>
      <c r="L141" s="1056"/>
      <c r="M141" s="942"/>
      <c r="N141" s="939">
        <v>-15</v>
      </c>
      <c r="O141" s="891">
        <v>1E-3</v>
      </c>
      <c r="P141" s="891"/>
      <c r="Q141" s="925">
        <v>0.1</v>
      </c>
      <c r="R141" s="1056"/>
      <c r="S141" s="929"/>
      <c r="T141" s="939">
        <v>-15</v>
      </c>
      <c r="U141" s="891">
        <f t="shared" si="286"/>
        <v>1E-3</v>
      </c>
      <c r="V141" s="940"/>
      <c r="W141" s="925">
        <f t="shared" si="287"/>
        <v>3.3333333333333332E-4</v>
      </c>
      <c r="X141" s="1056"/>
      <c r="Y141" s="929"/>
      <c r="Z141" s="939">
        <v>-15</v>
      </c>
      <c r="AA141" s="891">
        <f t="shared" si="288"/>
        <v>1E-3</v>
      </c>
      <c r="AB141" s="940"/>
      <c r="AC141" s="925">
        <f t="shared" si="289"/>
        <v>3.3333333333333332E-4</v>
      </c>
      <c r="AD141" s="1056"/>
      <c r="AE141" s="929"/>
      <c r="AF141" s="939">
        <v>-15</v>
      </c>
      <c r="AG141" s="891">
        <v>0.2</v>
      </c>
      <c r="AH141" s="940"/>
      <c r="AI141" s="925">
        <f t="shared" si="290"/>
        <v>3.3333333333333332E-4</v>
      </c>
      <c r="AJ141" s="1056"/>
      <c r="AK141" s="929"/>
      <c r="AL141" s="939">
        <v>-15</v>
      </c>
      <c r="AM141" s="891">
        <f t="shared" si="291"/>
        <v>1E-3</v>
      </c>
      <c r="AN141" s="940"/>
      <c r="AO141" s="925">
        <f t="shared" si="292"/>
        <v>3.3333333333333332E-4</v>
      </c>
      <c r="AP141" s="1056"/>
      <c r="AQ141" s="960"/>
      <c r="AR141" s="939">
        <v>-15</v>
      </c>
      <c r="AS141" s="891">
        <f t="shared" si="293"/>
        <v>1E-3</v>
      </c>
      <c r="AT141" s="940"/>
      <c r="AU141" s="925">
        <f t="shared" si="294"/>
        <v>3.3333333333333332E-4</v>
      </c>
      <c r="AV141" s="1056"/>
      <c r="AW141" s="929"/>
      <c r="AX141" s="939">
        <v>-15</v>
      </c>
      <c r="AY141" s="891">
        <f t="shared" si="295"/>
        <v>1E-3</v>
      </c>
      <c r="AZ141" s="940"/>
      <c r="BA141" s="925">
        <f t="shared" si="296"/>
        <v>0.26333333333333336</v>
      </c>
      <c r="BB141" s="1056"/>
      <c r="BC141" s="929"/>
      <c r="BD141" s="939">
        <v>-15</v>
      </c>
      <c r="BE141" s="891">
        <f t="shared" si="297"/>
        <v>1E-3</v>
      </c>
      <c r="BF141" s="940"/>
      <c r="BG141" s="925">
        <f t="shared" si="298"/>
        <v>3.3333333333333332E-4</v>
      </c>
      <c r="BH141" s="1056"/>
      <c r="BI141" s="929"/>
      <c r="BJ141" s="939">
        <v>-15</v>
      </c>
      <c r="BK141" s="891">
        <f t="shared" si="299"/>
        <v>1E-3</v>
      </c>
      <c r="BL141" s="940"/>
      <c r="BM141" s="925">
        <f t="shared" si="300"/>
        <v>0.26333333333333336</v>
      </c>
      <c r="BN141" s="1056"/>
      <c r="BO141" s="929"/>
      <c r="BP141" s="939">
        <v>-15</v>
      </c>
      <c r="BQ141" s="891">
        <f t="shared" si="301"/>
        <v>1E-3</v>
      </c>
      <c r="BR141" s="940"/>
      <c r="BS141" s="925">
        <f t="shared" si="302"/>
        <v>3.3333333333333332E-4</v>
      </c>
      <c r="BT141" s="1056"/>
      <c r="BU141" s="929"/>
      <c r="BV141" s="939">
        <v>-15</v>
      </c>
      <c r="BW141" s="891">
        <f t="shared" si="303"/>
        <v>17</v>
      </c>
      <c r="BX141" s="940"/>
      <c r="BY141" s="925">
        <f t="shared" si="304"/>
        <v>9.3333333333333339</v>
      </c>
      <c r="BZ141" s="1056"/>
      <c r="CA141" s="929"/>
      <c r="CB141" s="939">
        <v>-15</v>
      </c>
      <c r="CC141" s="891">
        <f t="shared" si="282"/>
        <v>-0.7</v>
      </c>
      <c r="CD141" s="940"/>
      <c r="CE141" s="925">
        <f t="shared" si="305"/>
        <v>0.13333333333333333</v>
      </c>
      <c r="CF141" s="1056"/>
      <c r="CG141" s="955"/>
      <c r="CH141" s="939">
        <v>-15</v>
      </c>
      <c r="CI141" s="891">
        <f t="shared" si="283"/>
        <v>1E-3</v>
      </c>
      <c r="CJ141" s="940"/>
      <c r="CK141" s="925">
        <f t="shared" si="306"/>
        <v>7.3333333333333334E-2</v>
      </c>
      <c r="CL141" s="1056"/>
      <c r="CN141" s="939">
        <v>-15</v>
      </c>
      <c r="CO141" s="891">
        <f t="shared" si="284"/>
        <v>-1.52</v>
      </c>
      <c r="CP141" s="940"/>
      <c r="CQ141" s="925">
        <f t="shared" si="307"/>
        <v>0.25666666666666665</v>
      </c>
      <c r="CR141" s="1056"/>
    </row>
    <row r="142" spans="2:96">
      <c r="B142" s="939">
        <v>-10</v>
      </c>
      <c r="C142" s="891"/>
      <c r="D142" s="1058">
        <v>3</v>
      </c>
      <c r="E142" s="925">
        <f t="shared" si="285"/>
        <v>0.11333333333333334</v>
      </c>
      <c r="F142" s="1061">
        <f>IF(F139&lt;=B140,B140,IF(F139&lt;=B141,B141,IF(F139&lt;=B142,B142,IF(F139&lt;=B143,B143,IF(F139&lt;=B144,B144,IF(F139&lt;=B145,B145))))))</f>
        <v>8</v>
      </c>
      <c r="G142" s="942"/>
      <c r="H142" s="939">
        <v>-10</v>
      </c>
      <c r="I142" s="891"/>
      <c r="J142" s="891"/>
      <c r="K142" s="925">
        <v>0.1</v>
      </c>
      <c r="L142" s="1061">
        <f>IF(L139&lt;=H140,H140,IF(L139&lt;=H141,H141,IF(L139&lt;=H142,H142,IF(L139&lt;=H143,H143,IF(L139&lt;=H144,H144,IF(L139&lt;=H145,H145))))))</f>
        <v>8</v>
      </c>
      <c r="M142" s="942"/>
      <c r="N142" s="939">
        <v>-10</v>
      </c>
      <c r="O142" s="891">
        <v>1E-3</v>
      </c>
      <c r="P142" s="891"/>
      <c r="Q142" s="925">
        <v>0.1</v>
      </c>
      <c r="R142" s="1061">
        <f>IF(R139&lt;=N140,N140,IF(R139&lt;=N141,N141,IF(R139&lt;=N142,N142,IF(R139&lt;=N143,N143,IF(R139&lt;=N144,N144,IF(R139&lt;=N145,N145))))))</f>
        <v>8</v>
      </c>
      <c r="S142" s="929"/>
      <c r="T142" s="939">
        <v>-10</v>
      </c>
      <c r="U142" s="891">
        <f t="shared" si="286"/>
        <v>1E-3</v>
      </c>
      <c r="V142" s="940"/>
      <c r="W142" s="925">
        <f t="shared" si="287"/>
        <v>3.3333333333333332E-4</v>
      </c>
      <c r="X142" s="1061">
        <f>IF(X139&lt;=T140,T140,IF(X139&lt;=T141,T141,IF(X139&lt;=T142,T142,IF(X139&lt;=T143,T143,IF(X139&lt;=T144,T144,IF(X139&lt;=T145,T145))))))</f>
        <v>8</v>
      </c>
      <c r="Y142" s="929"/>
      <c r="Z142" s="939">
        <v>-10</v>
      </c>
      <c r="AA142" s="891">
        <f t="shared" si="288"/>
        <v>1E-3</v>
      </c>
      <c r="AB142" s="940"/>
      <c r="AC142" s="925">
        <f t="shared" si="289"/>
        <v>3.3333333333333332E-4</v>
      </c>
      <c r="AD142" s="1061">
        <f>IF(AD139&lt;=Z140,Z140,IF(AD139&lt;=Z141,Z141,IF(AD139&lt;=Z142,Z142,IF(AD139&lt;=Z143,Z143,IF(AD139&lt;=Z144,Z144,IF(AD139&lt;=Z145,Z145))))))</f>
        <v>8</v>
      </c>
      <c r="AE142" s="929"/>
      <c r="AF142" s="939">
        <v>-10</v>
      </c>
      <c r="AG142" s="891">
        <v>0.2</v>
      </c>
      <c r="AH142" s="940"/>
      <c r="AI142" s="925">
        <f t="shared" si="290"/>
        <v>3.3333333333333332E-4</v>
      </c>
      <c r="AJ142" s="1061">
        <f>IF(AJ139&lt;=AF140,AF140,IF(AJ139&lt;=AF141,AF141,IF(AJ139&lt;=AF142,AF142,IF(AJ139&lt;=AF143,AF143,IF(AJ139&lt;=AF144,AF144,IF(AJ139&lt;=AF145,AF145))))))</f>
        <v>8</v>
      </c>
      <c r="AK142" s="929"/>
      <c r="AL142" s="939">
        <v>-10</v>
      </c>
      <c r="AM142" s="891">
        <f t="shared" si="291"/>
        <v>1E-3</v>
      </c>
      <c r="AN142" s="940"/>
      <c r="AO142" s="925">
        <f t="shared" si="292"/>
        <v>3.3333333333333332E-4</v>
      </c>
      <c r="AP142" s="1061">
        <f>IF(AP139&lt;=AL140,AL140,IF(AP139&lt;=AL141,AL141,IF(AP139&lt;=AL142,AL142,IF(AP139&lt;=AL143,AL143,IF(AP139&lt;=AL144,AL144,IF(AP139&lt;=AL145,AL145))))))</f>
        <v>8</v>
      </c>
      <c r="AQ142" s="960"/>
      <c r="AR142" s="939">
        <v>-10</v>
      </c>
      <c r="AS142" s="891">
        <f t="shared" si="293"/>
        <v>1E-3</v>
      </c>
      <c r="AT142" s="940"/>
      <c r="AU142" s="925">
        <f t="shared" si="294"/>
        <v>3.3333333333333332E-4</v>
      </c>
      <c r="AV142" s="1061">
        <f>IF(AV139&lt;=AR140,AR140,IF(AV139&lt;=AR141,AR141,IF(AV139&lt;=AR142,AR142,IF(AV139&lt;=AR143,AR143,IF(AV139&lt;=AR144,AR144,IF(AV139&lt;=AR145,AR145))))))</f>
        <v>8</v>
      </c>
      <c r="AW142" s="929"/>
      <c r="AX142" s="939">
        <v>-10</v>
      </c>
      <c r="AY142" s="891">
        <f t="shared" si="295"/>
        <v>0.46</v>
      </c>
      <c r="AZ142" s="940"/>
      <c r="BA142" s="925">
        <f t="shared" si="296"/>
        <v>0.26333333333333336</v>
      </c>
      <c r="BB142" s="1061">
        <f>IF(BB139&lt;=AX140,AX140,IF(BB139&lt;=AX141,AX141,IF(BB139&lt;=AX142,AX142,IF(BB139&lt;=AX143,AX143,IF(BB139&lt;=AX144,AX144,IF(BB139&lt;=AX145,AX145))))))</f>
        <v>8</v>
      </c>
      <c r="BC142" s="929"/>
      <c r="BD142" s="939">
        <v>-10</v>
      </c>
      <c r="BE142" s="891">
        <f t="shared" si="297"/>
        <v>1E-3</v>
      </c>
      <c r="BF142" s="940"/>
      <c r="BG142" s="925">
        <f t="shared" si="298"/>
        <v>3.3333333333333332E-4</v>
      </c>
      <c r="BH142" s="1061">
        <f>IF(BH139&lt;=BD140,BD140,IF(BH139&lt;=BD141,BD141,IF(BH139&lt;=BD142,BD142,IF(BH139&lt;=BD143,BD143,IF(BH139&lt;=BD144,BD144,IF(BH139&lt;=BD145,BD145))))))</f>
        <v>8</v>
      </c>
      <c r="BI142" s="929"/>
      <c r="BJ142" s="939">
        <v>-10</v>
      </c>
      <c r="BK142" s="891">
        <f t="shared" si="299"/>
        <v>0.46</v>
      </c>
      <c r="BL142" s="940"/>
      <c r="BM142" s="925">
        <f t="shared" si="300"/>
        <v>0.26333333333333336</v>
      </c>
      <c r="BN142" s="1061">
        <f>IF(BN139&lt;=BJ140,BJ140,IF(BN139&lt;=BJ141,BJ141,IF(BN139&lt;=BJ142,BJ142,IF(BN139&lt;=BJ143,BJ143,IF(BN139&lt;=BJ144,BJ144,IF(BN139&lt;=BJ145,BJ145))))))</f>
        <v>8</v>
      </c>
      <c r="BO142" s="929"/>
      <c r="BP142" s="939">
        <v>-10</v>
      </c>
      <c r="BQ142" s="891">
        <f t="shared" si="301"/>
        <v>1E-3</v>
      </c>
      <c r="BR142" s="940"/>
      <c r="BS142" s="925">
        <f t="shared" si="302"/>
        <v>3.3333333333333332E-4</v>
      </c>
      <c r="BT142" s="1061">
        <f>IF(BT139&lt;=BP140,BP140,IF(BT139&lt;=BP141,BP141,IF(BT139&lt;=BP142,BP142,IF(BT139&lt;=BP143,BP143,IF(BT139&lt;=BP144,BP144,IF(BT139&lt;=BP145,BP145))))))</f>
        <v>8</v>
      </c>
      <c r="BU142" s="929"/>
      <c r="BV142" s="939">
        <v>-10</v>
      </c>
      <c r="BW142" s="891">
        <f t="shared" si="303"/>
        <v>18</v>
      </c>
      <c r="BX142" s="940"/>
      <c r="BY142" s="925">
        <f t="shared" si="304"/>
        <v>9.3333333333333339</v>
      </c>
      <c r="BZ142" s="1061">
        <f>IF(BZ139&lt;=BV140,BV140,IF(BZ139&lt;=BV141,BV141,IF(BZ139&lt;=BV142,BV142,IF(BZ139&lt;=BV143,BV143,IF(BZ139&lt;=BV144,BV144,IF(BZ139&lt;=BV145,BV145))))))</f>
        <v>8</v>
      </c>
      <c r="CA142" s="929"/>
      <c r="CB142" s="939">
        <v>-10</v>
      </c>
      <c r="CC142" s="891">
        <f t="shared" si="282"/>
        <v>-0.7</v>
      </c>
      <c r="CD142" s="940"/>
      <c r="CE142" s="925">
        <f t="shared" si="305"/>
        <v>0.13333333333333333</v>
      </c>
      <c r="CF142" s="1061">
        <f>IF(CF139&lt;=CB140,CB140,IF(CF139&lt;=CB141,CB141,IF(CF139&lt;=CB142,CB142,IF(CF139&lt;=CB143,CB143,IF(CF139&lt;=CB144,CB144,IF(CF139&lt;=CB145,CB145))))))</f>
        <v>8</v>
      </c>
      <c r="CG142" s="956"/>
      <c r="CH142" s="939">
        <v>-10</v>
      </c>
      <c r="CI142" s="891">
        <f t="shared" si="283"/>
        <v>-0.05</v>
      </c>
      <c r="CJ142" s="940"/>
      <c r="CK142" s="925">
        <f t="shared" si="306"/>
        <v>7.3333333333333334E-2</v>
      </c>
      <c r="CL142" s="1061">
        <f>IF(CL139&lt;=CH140,CH140,IF(CL139&lt;=CH141,CH141,IF(CL139&lt;=CH142,CH142,IF(CL139&lt;=CH143,CH143,IF(CL139&lt;=CH144,CH144,IF(CL139&lt;=CH145,CH145))))))</f>
        <v>8</v>
      </c>
      <c r="CN142" s="939">
        <v>-10</v>
      </c>
      <c r="CO142" s="891">
        <f t="shared" si="284"/>
        <v>-1.26</v>
      </c>
      <c r="CP142" s="940"/>
      <c r="CQ142" s="925">
        <f t="shared" si="307"/>
        <v>0.25666666666666665</v>
      </c>
      <c r="CR142" s="1061">
        <f>IF(CR139&lt;=CN140,CN140,IF(CR139&lt;=CN141,CN141,IF(CR139&lt;=CN142,CN142,IF(CR139&lt;=CN143,CN143,IF(CR139&lt;=CN144,CN144,IF(CR139&lt;=CN145,CN145))))))</f>
        <v>8</v>
      </c>
    </row>
    <row r="143" spans="2:96">
      <c r="B143" s="939">
        <v>1E-3</v>
      </c>
      <c r="C143" s="891"/>
      <c r="D143" s="1058">
        <v>4</v>
      </c>
      <c r="E143" s="925">
        <f t="shared" si="285"/>
        <v>0.11333333333333334</v>
      </c>
      <c r="F143" s="1056"/>
      <c r="G143" s="942"/>
      <c r="H143" s="939">
        <v>1E-3</v>
      </c>
      <c r="I143" s="891"/>
      <c r="J143" s="891"/>
      <c r="K143" s="925">
        <v>0.1</v>
      </c>
      <c r="L143" s="1056"/>
      <c r="M143" s="942"/>
      <c r="N143" s="939">
        <v>1E-3</v>
      </c>
      <c r="O143" s="891">
        <v>1E-3</v>
      </c>
      <c r="P143" s="891"/>
      <c r="Q143" s="925">
        <v>0.1</v>
      </c>
      <c r="R143" s="1056"/>
      <c r="S143" s="929"/>
      <c r="T143" s="939">
        <v>1E-3</v>
      </c>
      <c r="U143" s="891">
        <f t="shared" si="286"/>
        <v>1E-3</v>
      </c>
      <c r="V143" s="940"/>
      <c r="W143" s="925">
        <f t="shared" si="287"/>
        <v>3.3333333333333332E-4</v>
      </c>
      <c r="X143" s="1056"/>
      <c r="Y143" s="929"/>
      <c r="Z143" s="939">
        <v>1E-3</v>
      </c>
      <c r="AA143" s="891">
        <f t="shared" si="288"/>
        <v>1E-3</v>
      </c>
      <c r="AB143" s="940"/>
      <c r="AC143" s="925">
        <f t="shared" si="289"/>
        <v>3.3333333333333332E-4</v>
      </c>
      <c r="AD143" s="1056"/>
      <c r="AE143" s="929"/>
      <c r="AF143" s="939">
        <v>1E-3</v>
      </c>
      <c r="AG143" s="891">
        <v>0.2</v>
      </c>
      <c r="AH143" s="940"/>
      <c r="AI143" s="925">
        <f t="shared" si="290"/>
        <v>3.3333333333333332E-4</v>
      </c>
      <c r="AJ143" s="1056"/>
      <c r="AK143" s="929"/>
      <c r="AL143" s="939">
        <v>1E-3</v>
      </c>
      <c r="AM143" s="891">
        <f t="shared" si="291"/>
        <v>1E-3</v>
      </c>
      <c r="AN143" s="940"/>
      <c r="AO143" s="925">
        <f t="shared" si="292"/>
        <v>3.3333333333333332E-4</v>
      </c>
      <c r="AP143" s="1056"/>
      <c r="AQ143" s="960"/>
      <c r="AR143" s="939">
        <v>1E-3</v>
      </c>
      <c r="AS143" s="891">
        <f t="shared" si="293"/>
        <v>1E-3</v>
      </c>
      <c r="AT143" s="940"/>
      <c r="AU143" s="925">
        <f t="shared" si="294"/>
        <v>3.3333333333333332E-4</v>
      </c>
      <c r="AV143" s="1056"/>
      <c r="AW143" s="929"/>
      <c r="AX143" s="939">
        <v>1E-3</v>
      </c>
      <c r="AY143" s="891">
        <f t="shared" si="295"/>
        <v>0.45</v>
      </c>
      <c r="AZ143" s="940"/>
      <c r="BA143" s="925">
        <f t="shared" si="296"/>
        <v>0.26333333333333336</v>
      </c>
      <c r="BB143" s="1056"/>
      <c r="BC143" s="929"/>
      <c r="BD143" s="939">
        <v>1E-3</v>
      </c>
      <c r="BE143" s="891">
        <f t="shared" si="297"/>
        <v>1E-3</v>
      </c>
      <c r="BF143" s="940"/>
      <c r="BG143" s="925">
        <f t="shared" si="298"/>
        <v>3.3333333333333332E-4</v>
      </c>
      <c r="BH143" s="1056"/>
      <c r="BI143" s="929"/>
      <c r="BJ143" s="939">
        <v>1E-3</v>
      </c>
      <c r="BK143" s="891">
        <f t="shared" si="299"/>
        <v>0.45</v>
      </c>
      <c r="BL143" s="940"/>
      <c r="BM143" s="925">
        <f t="shared" si="300"/>
        <v>0.26333333333333336</v>
      </c>
      <c r="BN143" s="1056"/>
      <c r="BO143" s="929"/>
      <c r="BP143" s="939">
        <v>1E-3</v>
      </c>
      <c r="BQ143" s="891">
        <f t="shared" si="301"/>
        <v>1E-3</v>
      </c>
      <c r="BR143" s="940"/>
      <c r="BS143" s="925">
        <f t="shared" si="302"/>
        <v>3.3333333333333332E-4</v>
      </c>
      <c r="BT143" s="1056"/>
      <c r="BU143" s="929"/>
      <c r="BV143" s="939">
        <v>1E-3</v>
      </c>
      <c r="BW143" s="891">
        <f t="shared" si="303"/>
        <v>19</v>
      </c>
      <c r="BX143" s="940"/>
      <c r="BY143" s="925">
        <f t="shared" si="304"/>
        <v>9.3333333333333339</v>
      </c>
      <c r="BZ143" s="1056"/>
      <c r="CA143" s="929"/>
      <c r="CB143" s="939">
        <v>1E-3</v>
      </c>
      <c r="CC143" s="891">
        <f t="shared" si="282"/>
        <v>-0.7</v>
      </c>
      <c r="CD143" s="940"/>
      <c r="CE143" s="925">
        <f t="shared" si="305"/>
        <v>0.13333333333333333</v>
      </c>
      <c r="CF143" s="1056"/>
      <c r="CG143" s="957"/>
      <c r="CH143" s="939">
        <v>1E-3</v>
      </c>
      <c r="CI143" s="891">
        <f t="shared" si="283"/>
        <v>0.03</v>
      </c>
      <c r="CJ143" s="940"/>
      <c r="CK143" s="925">
        <f t="shared" si="306"/>
        <v>7.3333333333333334E-2</v>
      </c>
      <c r="CL143" s="1056"/>
      <c r="CN143" s="939">
        <v>1E-3</v>
      </c>
      <c r="CO143" s="891">
        <f t="shared" si="284"/>
        <v>-0.79</v>
      </c>
      <c r="CP143" s="940"/>
      <c r="CQ143" s="925">
        <f t="shared" si="307"/>
        <v>0.25666666666666665</v>
      </c>
      <c r="CR143" s="1056"/>
    </row>
    <row r="144" spans="2:96">
      <c r="B144" s="939">
        <v>2</v>
      </c>
      <c r="C144" s="891"/>
      <c r="D144" s="1058">
        <v>5</v>
      </c>
      <c r="E144" s="925">
        <f t="shared" si="285"/>
        <v>0.11333333333333334</v>
      </c>
      <c r="F144" s="1062">
        <f>LOOKUP(F140,B140:E151)</f>
        <v>0.11333333333333334</v>
      </c>
      <c r="G144" s="942"/>
      <c r="H144" s="939">
        <v>2</v>
      </c>
      <c r="I144" s="891"/>
      <c r="J144" s="891"/>
      <c r="K144" s="925">
        <v>0.1</v>
      </c>
      <c r="L144" s="1062">
        <f>LOOKUP(L140,H140:K151)</f>
        <v>0.1</v>
      </c>
      <c r="M144" s="942"/>
      <c r="N144" s="939">
        <v>2</v>
      </c>
      <c r="O144" s="891">
        <v>1E-3</v>
      </c>
      <c r="P144" s="891"/>
      <c r="Q144" s="925">
        <v>0.1</v>
      </c>
      <c r="R144" s="1062">
        <f>LOOKUP(R140,N140:Q151)</f>
        <v>0.1</v>
      </c>
      <c r="S144" s="929"/>
      <c r="T144" s="939">
        <v>2</v>
      </c>
      <c r="U144" s="891">
        <f t="shared" si="286"/>
        <v>1E-3</v>
      </c>
      <c r="V144" s="940"/>
      <c r="W144" s="925">
        <f t="shared" si="287"/>
        <v>3.3333333333333332E-4</v>
      </c>
      <c r="X144" s="1062">
        <f>LOOKUP(X140,T140:W151)</f>
        <v>3.3333333333333332E-4</v>
      </c>
      <c r="Y144" s="929"/>
      <c r="Z144" s="939">
        <v>2</v>
      </c>
      <c r="AA144" s="891">
        <f t="shared" si="288"/>
        <v>1E-3</v>
      </c>
      <c r="AB144" s="940"/>
      <c r="AC144" s="925">
        <f t="shared" si="289"/>
        <v>3.3333333333333332E-4</v>
      </c>
      <c r="AD144" s="1062">
        <f>LOOKUP(AD140,Z140:AC151)</f>
        <v>3.3333333333333332E-4</v>
      </c>
      <c r="AE144" s="929"/>
      <c r="AF144" s="939">
        <v>2</v>
      </c>
      <c r="AG144" s="891">
        <v>0.2</v>
      </c>
      <c r="AH144" s="940"/>
      <c r="AI144" s="925">
        <f t="shared" si="290"/>
        <v>3.3333333333333332E-4</v>
      </c>
      <c r="AJ144" s="1062">
        <f>LOOKUP(AJ140,AF140:AI151)</f>
        <v>3.3333333333333332E-4</v>
      </c>
      <c r="AK144" s="929"/>
      <c r="AL144" s="939">
        <v>2</v>
      </c>
      <c r="AM144" s="891">
        <f t="shared" si="291"/>
        <v>1E-3</v>
      </c>
      <c r="AN144" s="940"/>
      <c r="AO144" s="925">
        <f t="shared" si="292"/>
        <v>3.3333333333333332E-4</v>
      </c>
      <c r="AP144" s="1062">
        <f>LOOKUP(AP140,AL140:AO151)</f>
        <v>3.3333333333333332E-4</v>
      </c>
      <c r="AQ144" s="960"/>
      <c r="AR144" s="939">
        <v>2</v>
      </c>
      <c r="AS144" s="891">
        <f t="shared" si="293"/>
        <v>1E-3</v>
      </c>
      <c r="AT144" s="940"/>
      <c r="AU144" s="925">
        <f t="shared" si="294"/>
        <v>3.3333333333333332E-4</v>
      </c>
      <c r="AV144" s="1062">
        <f>LOOKUP(AV140,AR140:AU151)</f>
        <v>3.3333333333333332E-4</v>
      </c>
      <c r="AW144" s="929"/>
      <c r="AX144" s="939">
        <v>2</v>
      </c>
      <c r="AY144" s="891">
        <f t="shared" si="295"/>
        <v>0.44</v>
      </c>
      <c r="AZ144" s="940"/>
      <c r="BA144" s="925">
        <f t="shared" si="296"/>
        <v>0.26333333333333336</v>
      </c>
      <c r="BB144" s="1062">
        <f>LOOKUP(BB140,AX140:BA151)</f>
        <v>0.26333333333333336</v>
      </c>
      <c r="BC144" s="929"/>
      <c r="BD144" s="939">
        <v>2</v>
      </c>
      <c r="BE144" s="891">
        <f t="shared" si="297"/>
        <v>1E-3</v>
      </c>
      <c r="BF144" s="940"/>
      <c r="BG144" s="925">
        <f t="shared" si="298"/>
        <v>3.3333333333333332E-4</v>
      </c>
      <c r="BH144" s="1062">
        <f>LOOKUP(BH140,BD140:BG151)</f>
        <v>3.3333333333333332E-4</v>
      </c>
      <c r="BI144" s="929"/>
      <c r="BJ144" s="939">
        <v>2</v>
      </c>
      <c r="BK144" s="891">
        <f t="shared" si="299"/>
        <v>0.44</v>
      </c>
      <c r="BL144" s="940"/>
      <c r="BM144" s="925">
        <f t="shared" si="300"/>
        <v>0.26333333333333336</v>
      </c>
      <c r="BN144" s="1062">
        <f>LOOKUP(BN140,BJ140:BM151)</f>
        <v>0.26333333333333336</v>
      </c>
      <c r="BO144" s="929"/>
      <c r="BP144" s="939">
        <v>2</v>
      </c>
      <c r="BQ144" s="891">
        <f t="shared" si="301"/>
        <v>1E-3</v>
      </c>
      <c r="BR144" s="940"/>
      <c r="BS144" s="925">
        <f t="shared" si="302"/>
        <v>3.3333333333333332E-4</v>
      </c>
      <c r="BT144" s="1062">
        <f>LOOKUP(BT140,BP140:BS151)</f>
        <v>3.3333333333333332E-4</v>
      </c>
      <c r="BU144" s="929"/>
      <c r="BV144" s="939">
        <v>2</v>
      </c>
      <c r="BW144" s="891">
        <f t="shared" si="303"/>
        <v>20</v>
      </c>
      <c r="BX144" s="940"/>
      <c r="BY144" s="925">
        <f t="shared" si="304"/>
        <v>9.3333333333333339</v>
      </c>
      <c r="BZ144" s="1062">
        <f>LOOKUP(BZ140,BV140:BY151)</f>
        <v>9.3333333333333339</v>
      </c>
      <c r="CA144" s="929"/>
      <c r="CB144" s="939">
        <v>2</v>
      </c>
      <c r="CC144" s="891">
        <f t="shared" si="282"/>
        <v>-0.7</v>
      </c>
      <c r="CD144" s="940"/>
      <c r="CE144" s="925">
        <f t="shared" si="305"/>
        <v>0.13333333333333333</v>
      </c>
      <c r="CF144" s="1062">
        <f>LOOKUP(CF140,CB140:CE151)</f>
        <v>0.13333333333333333</v>
      </c>
      <c r="CG144" s="958"/>
      <c r="CH144" s="939">
        <v>2</v>
      </c>
      <c r="CI144" s="891">
        <f t="shared" si="283"/>
        <v>0.04</v>
      </c>
      <c r="CJ144" s="940"/>
      <c r="CK144" s="925">
        <f t="shared" si="306"/>
        <v>7.3333333333333334E-2</v>
      </c>
      <c r="CL144" s="1062">
        <f>LOOKUP(CL140,CH140:CK151)</f>
        <v>7.3333333333333334E-2</v>
      </c>
      <c r="CN144" s="939">
        <v>2</v>
      </c>
      <c r="CO144" s="891">
        <f t="shared" si="284"/>
        <v>-2.7</v>
      </c>
      <c r="CP144" s="940"/>
      <c r="CQ144" s="925">
        <f t="shared" si="307"/>
        <v>0.25666666666666665</v>
      </c>
      <c r="CR144" s="1062">
        <f>LOOKUP(CR140,CN140:CQ151)</f>
        <v>0.25666666666666665</v>
      </c>
    </row>
    <row r="145" spans="2:96">
      <c r="B145" s="939">
        <v>8</v>
      </c>
      <c r="C145" s="891"/>
      <c r="D145" s="1058">
        <v>6</v>
      </c>
      <c r="E145" s="925">
        <f t="shared" si="285"/>
        <v>0.11333333333333334</v>
      </c>
      <c r="F145" s="1056"/>
      <c r="G145" s="942"/>
      <c r="H145" s="939">
        <v>8</v>
      </c>
      <c r="I145" s="891"/>
      <c r="J145" s="891"/>
      <c r="K145" s="925">
        <v>0.1</v>
      </c>
      <c r="L145" s="1056"/>
      <c r="M145" s="942"/>
      <c r="N145" s="939">
        <v>8</v>
      </c>
      <c r="O145" s="891">
        <v>1E-3</v>
      </c>
      <c r="P145" s="891"/>
      <c r="Q145" s="925">
        <v>0.1</v>
      </c>
      <c r="R145" s="1056"/>
      <c r="S145" s="929"/>
      <c r="T145" s="939">
        <v>8</v>
      </c>
      <c r="U145" s="891">
        <f t="shared" si="286"/>
        <v>1E-3</v>
      </c>
      <c r="V145" s="940"/>
      <c r="W145" s="925">
        <f t="shared" si="287"/>
        <v>3.3333333333333332E-4</v>
      </c>
      <c r="X145" s="1056"/>
      <c r="Y145" s="929"/>
      <c r="Z145" s="939">
        <v>8</v>
      </c>
      <c r="AA145" s="891">
        <f t="shared" si="288"/>
        <v>1E-3</v>
      </c>
      <c r="AB145" s="940"/>
      <c r="AC145" s="925">
        <f t="shared" si="289"/>
        <v>3.3333333333333332E-4</v>
      </c>
      <c r="AD145" s="1056"/>
      <c r="AE145" s="929"/>
      <c r="AF145" s="939">
        <v>8</v>
      </c>
      <c r="AG145" s="891">
        <v>0.2</v>
      </c>
      <c r="AH145" s="940"/>
      <c r="AI145" s="925">
        <f t="shared" si="290"/>
        <v>3.3333333333333332E-4</v>
      </c>
      <c r="AJ145" s="1056"/>
      <c r="AK145" s="929"/>
      <c r="AL145" s="939">
        <v>8</v>
      </c>
      <c r="AM145" s="891">
        <f t="shared" si="291"/>
        <v>1E-3</v>
      </c>
      <c r="AN145" s="940"/>
      <c r="AO145" s="925">
        <f t="shared" si="292"/>
        <v>3.3333333333333332E-4</v>
      </c>
      <c r="AP145" s="1056"/>
      <c r="AQ145" s="960"/>
      <c r="AR145" s="939">
        <v>8</v>
      </c>
      <c r="AS145" s="891">
        <f t="shared" si="293"/>
        <v>1E-3</v>
      </c>
      <c r="AT145" s="940"/>
      <c r="AU145" s="925">
        <f t="shared" si="294"/>
        <v>3.3333333333333332E-4</v>
      </c>
      <c r="AV145" s="1056"/>
      <c r="AW145" s="929"/>
      <c r="AX145" s="939">
        <v>8</v>
      </c>
      <c r="AY145" s="891">
        <f t="shared" si="295"/>
        <v>0.43</v>
      </c>
      <c r="AZ145" s="940"/>
      <c r="BA145" s="925">
        <f t="shared" si="296"/>
        <v>0.26333333333333336</v>
      </c>
      <c r="BB145" s="1056"/>
      <c r="BC145" s="929"/>
      <c r="BD145" s="939">
        <v>8</v>
      </c>
      <c r="BE145" s="891">
        <f t="shared" si="297"/>
        <v>1E-3</v>
      </c>
      <c r="BF145" s="940"/>
      <c r="BG145" s="925">
        <f t="shared" si="298"/>
        <v>3.3333333333333332E-4</v>
      </c>
      <c r="BH145" s="1056"/>
      <c r="BI145" s="929"/>
      <c r="BJ145" s="939">
        <v>8</v>
      </c>
      <c r="BK145" s="891">
        <f t="shared" si="299"/>
        <v>0.43</v>
      </c>
      <c r="BL145" s="940"/>
      <c r="BM145" s="925">
        <f t="shared" si="300"/>
        <v>0.26333333333333336</v>
      </c>
      <c r="BN145" s="1056"/>
      <c r="BO145" s="929"/>
      <c r="BP145" s="939">
        <v>8</v>
      </c>
      <c r="BQ145" s="891">
        <f t="shared" si="301"/>
        <v>1E-3</v>
      </c>
      <c r="BR145" s="940"/>
      <c r="BS145" s="925">
        <f t="shared" si="302"/>
        <v>3.3333333333333332E-4</v>
      </c>
      <c r="BT145" s="1056"/>
      <c r="BU145" s="929"/>
      <c r="BV145" s="939">
        <v>8</v>
      </c>
      <c r="BW145" s="891">
        <f t="shared" si="303"/>
        <v>21</v>
      </c>
      <c r="BX145" s="940"/>
      <c r="BY145" s="925">
        <f t="shared" si="304"/>
        <v>9.3333333333333339</v>
      </c>
      <c r="BZ145" s="1056"/>
      <c r="CA145" s="929"/>
      <c r="CB145" s="939">
        <v>8</v>
      </c>
      <c r="CC145" s="891">
        <f t="shared" si="282"/>
        <v>-0.7</v>
      </c>
      <c r="CD145" s="940"/>
      <c r="CE145" s="925">
        <f t="shared" si="305"/>
        <v>0.13333333333333333</v>
      </c>
      <c r="CF145" s="1056"/>
      <c r="CG145" s="958"/>
      <c r="CH145" s="939">
        <v>8</v>
      </c>
      <c r="CI145" s="891">
        <f t="shared" si="283"/>
        <v>0.08</v>
      </c>
      <c r="CJ145" s="940"/>
      <c r="CK145" s="925">
        <f t="shared" si="306"/>
        <v>7.3333333333333334E-2</v>
      </c>
      <c r="CL145" s="1056"/>
      <c r="CN145" s="939">
        <v>8</v>
      </c>
      <c r="CO145" s="891">
        <f t="shared" si="284"/>
        <v>-0.46</v>
      </c>
      <c r="CP145" s="940"/>
      <c r="CQ145" s="925">
        <f t="shared" si="307"/>
        <v>0.25666666666666665</v>
      </c>
      <c r="CR145" s="1056"/>
    </row>
    <row r="146" spans="2:96">
      <c r="B146" s="939">
        <v>37</v>
      </c>
      <c r="C146" s="891"/>
      <c r="D146" s="1058">
        <v>7</v>
      </c>
      <c r="E146" s="925">
        <f t="shared" si="285"/>
        <v>0.11333333333333334</v>
      </c>
      <c r="F146" s="1062">
        <f>LOOKUP(F142,B140:E151)</f>
        <v>0.11333333333333334</v>
      </c>
      <c r="G146" s="942"/>
      <c r="H146" s="939">
        <v>37</v>
      </c>
      <c r="I146" s="891"/>
      <c r="J146" s="891"/>
      <c r="K146" s="925">
        <v>1E-3</v>
      </c>
      <c r="L146" s="1062">
        <f>LOOKUP(L142,H140:K151)</f>
        <v>0.1</v>
      </c>
      <c r="M146" s="942"/>
      <c r="N146" s="939">
        <v>37</v>
      </c>
      <c r="O146" s="891">
        <v>1E-3</v>
      </c>
      <c r="P146" s="891"/>
      <c r="Q146" s="925">
        <v>0.1</v>
      </c>
      <c r="R146" s="1062">
        <f>LOOKUP(R142,N140:Q151)</f>
        <v>0.1</v>
      </c>
      <c r="S146" s="929"/>
      <c r="T146" s="939">
        <v>37</v>
      </c>
      <c r="U146" s="891">
        <f t="shared" si="286"/>
        <v>3</v>
      </c>
      <c r="V146" s="940"/>
      <c r="W146" s="925">
        <f t="shared" si="287"/>
        <v>3.3333333333333332E-4</v>
      </c>
      <c r="X146" s="1062">
        <f>LOOKUP(X142,T140:W151)</f>
        <v>3.3333333333333332E-4</v>
      </c>
      <c r="Y146" s="929"/>
      <c r="Z146" s="939">
        <v>37</v>
      </c>
      <c r="AA146" s="891">
        <f t="shared" si="288"/>
        <v>1E-3</v>
      </c>
      <c r="AB146" s="940"/>
      <c r="AC146" s="925">
        <f t="shared" si="289"/>
        <v>3.3333333333333332E-4</v>
      </c>
      <c r="AD146" s="1062">
        <f>LOOKUP(AD142,Z140:AC151)</f>
        <v>3.3333333333333332E-4</v>
      </c>
      <c r="AE146" s="929"/>
      <c r="AF146" s="939">
        <v>37</v>
      </c>
      <c r="AG146" s="891">
        <v>0.2</v>
      </c>
      <c r="AH146" s="940"/>
      <c r="AI146" s="925">
        <f t="shared" si="290"/>
        <v>3.3333333333333332E-4</v>
      </c>
      <c r="AJ146" s="1062">
        <f>LOOKUP(AJ142,AF140:AI151)</f>
        <v>3.3333333333333332E-4</v>
      </c>
      <c r="AK146" s="929"/>
      <c r="AL146" s="939">
        <v>37</v>
      </c>
      <c r="AM146" s="891">
        <f t="shared" si="291"/>
        <v>1E-3</v>
      </c>
      <c r="AN146" s="940"/>
      <c r="AO146" s="925">
        <f t="shared" si="292"/>
        <v>3.3333333333333332E-4</v>
      </c>
      <c r="AP146" s="1062">
        <f>LOOKUP(AP142,AL140:AO151)</f>
        <v>3.3333333333333332E-4</v>
      </c>
      <c r="AQ146" s="960"/>
      <c r="AR146" s="939">
        <v>37</v>
      </c>
      <c r="AS146" s="891">
        <f t="shared" si="293"/>
        <v>1E-3</v>
      </c>
      <c r="AT146" s="940"/>
      <c r="AU146" s="925">
        <f t="shared" si="294"/>
        <v>3.3333333333333332E-4</v>
      </c>
      <c r="AV146" s="1062">
        <f>LOOKUP(AV142,AR140:AU151)</f>
        <v>3.3333333333333332E-4</v>
      </c>
      <c r="AW146" s="929"/>
      <c r="AX146" s="939">
        <v>37</v>
      </c>
      <c r="AY146" s="891">
        <f t="shared" si="295"/>
        <v>0.37</v>
      </c>
      <c r="AZ146" s="940"/>
      <c r="BA146" s="925">
        <f t="shared" si="296"/>
        <v>0.26333333333333336</v>
      </c>
      <c r="BB146" s="1062">
        <f>LOOKUP(BB142,AX140:BA151)</f>
        <v>0.26333333333333336</v>
      </c>
      <c r="BC146" s="929"/>
      <c r="BD146" s="939">
        <v>37</v>
      </c>
      <c r="BE146" s="891">
        <f t="shared" si="297"/>
        <v>1E-3</v>
      </c>
      <c r="BF146" s="940"/>
      <c r="BG146" s="925">
        <f t="shared" si="298"/>
        <v>3.3333333333333332E-4</v>
      </c>
      <c r="BH146" s="1062">
        <f>LOOKUP(BH142,BD140:BG151)</f>
        <v>3.3333333333333332E-4</v>
      </c>
      <c r="BI146" s="929"/>
      <c r="BJ146" s="939">
        <v>37</v>
      </c>
      <c r="BK146" s="891">
        <f t="shared" si="299"/>
        <v>0.37</v>
      </c>
      <c r="BL146" s="940"/>
      <c r="BM146" s="925">
        <f t="shared" si="300"/>
        <v>0.26333333333333336</v>
      </c>
      <c r="BN146" s="1062">
        <f>LOOKUP(BN142,BJ140:BM151)</f>
        <v>0.26333333333333336</v>
      </c>
      <c r="BO146" s="929"/>
      <c r="BP146" s="939">
        <v>37</v>
      </c>
      <c r="BQ146" s="891">
        <f t="shared" si="301"/>
        <v>1E-3</v>
      </c>
      <c r="BR146" s="940"/>
      <c r="BS146" s="925">
        <f t="shared" si="302"/>
        <v>3.3333333333333332E-4</v>
      </c>
      <c r="BT146" s="1062">
        <f>LOOKUP(BT142,BP140:BS151)</f>
        <v>3.3333333333333332E-4</v>
      </c>
      <c r="BU146" s="929"/>
      <c r="BV146" s="939">
        <v>37</v>
      </c>
      <c r="BW146" s="891">
        <f t="shared" si="303"/>
        <v>22</v>
      </c>
      <c r="BX146" s="940"/>
      <c r="BY146" s="925">
        <f t="shared" si="304"/>
        <v>9.3333333333333339</v>
      </c>
      <c r="BZ146" s="1062">
        <f>LOOKUP(BZ142,BV140:BY151)</f>
        <v>9.3333333333333339</v>
      </c>
      <c r="CA146" s="929"/>
      <c r="CB146" s="939">
        <v>37</v>
      </c>
      <c r="CC146" s="891">
        <f t="shared" si="282"/>
        <v>-0.6</v>
      </c>
      <c r="CD146" s="940"/>
      <c r="CE146" s="925">
        <f t="shared" si="305"/>
        <v>0.13333333333333333</v>
      </c>
      <c r="CF146" s="1062">
        <f>LOOKUP(CF142,CB140:CE151)</f>
        <v>0.13333333333333333</v>
      </c>
      <c r="CG146" s="958"/>
      <c r="CH146" s="939">
        <v>37</v>
      </c>
      <c r="CI146" s="891">
        <f t="shared" si="283"/>
        <v>0.23</v>
      </c>
      <c r="CJ146" s="940"/>
      <c r="CK146" s="925">
        <f t="shared" si="306"/>
        <v>7.3333333333333334E-2</v>
      </c>
      <c r="CL146" s="1062">
        <f>LOOKUP(CL142,CH140:CK151)</f>
        <v>7.3333333333333334E-2</v>
      </c>
      <c r="CN146" s="939">
        <v>37</v>
      </c>
      <c r="CO146" s="891">
        <f t="shared" si="284"/>
        <v>0.42</v>
      </c>
      <c r="CP146" s="940"/>
      <c r="CQ146" s="925">
        <f t="shared" si="307"/>
        <v>0.25666666666666665</v>
      </c>
      <c r="CR146" s="1062">
        <f>LOOKUP(CR142,CN140:CQ151)</f>
        <v>0.25666666666666665</v>
      </c>
    </row>
    <row r="147" spans="2:96">
      <c r="B147" s="939">
        <v>44</v>
      </c>
      <c r="C147" s="891"/>
      <c r="D147" s="1058">
        <v>8</v>
      </c>
      <c r="E147" s="925">
        <f t="shared" si="285"/>
        <v>0.11333333333333334</v>
      </c>
      <c r="F147" s="941"/>
      <c r="G147" s="942"/>
      <c r="H147" s="939">
        <v>44</v>
      </c>
      <c r="I147" s="891"/>
      <c r="J147" s="891"/>
      <c r="K147" s="925">
        <v>1E-3</v>
      </c>
      <c r="L147" s="941"/>
      <c r="M147" s="942"/>
      <c r="N147" s="939">
        <v>44</v>
      </c>
      <c r="O147" s="891">
        <v>1E-3</v>
      </c>
      <c r="P147" s="891"/>
      <c r="Q147" s="925">
        <v>0.1</v>
      </c>
      <c r="R147" s="941"/>
      <c r="S147" s="929"/>
      <c r="T147" s="939">
        <v>44</v>
      </c>
      <c r="U147" s="891">
        <f t="shared" si="286"/>
        <v>1E-3</v>
      </c>
      <c r="V147" s="940"/>
      <c r="W147" s="925">
        <f t="shared" si="287"/>
        <v>3.3333333333333332E-4</v>
      </c>
      <c r="X147" s="941"/>
      <c r="Y147" s="929"/>
      <c r="Z147" s="939">
        <v>44</v>
      </c>
      <c r="AA147" s="891">
        <f t="shared" si="288"/>
        <v>1E-3</v>
      </c>
      <c r="AB147" s="940"/>
      <c r="AC147" s="925">
        <f t="shared" si="289"/>
        <v>3.3333333333333332E-4</v>
      </c>
      <c r="AD147" s="941"/>
      <c r="AE147" s="929"/>
      <c r="AF147" s="939">
        <v>44</v>
      </c>
      <c r="AG147" s="891">
        <v>0.2</v>
      </c>
      <c r="AH147" s="940"/>
      <c r="AI147" s="925">
        <f t="shared" si="290"/>
        <v>3.3333333333333332E-4</v>
      </c>
      <c r="AJ147" s="941"/>
      <c r="AK147" s="929"/>
      <c r="AL147" s="939">
        <v>44</v>
      </c>
      <c r="AM147" s="891">
        <f t="shared" si="291"/>
        <v>1E-3</v>
      </c>
      <c r="AN147" s="940"/>
      <c r="AO147" s="925">
        <f t="shared" si="292"/>
        <v>3.3333333333333332E-4</v>
      </c>
      <c r="AP147" s="941"/>
      <c r="AQ147" s="929"/>
      <c r="AR147" s="939">
        <v>44</v>
      </c>
      <c r="AS147" s="891">
        <f t="shared" si="293"/>
        <v>1E-3</v>
      </c>
      <c r="AT147" s="940"/>
      <c r="AU147" s="925">
        <f t="shared" si="294"/>
        <v>3.3333333333333332E-4</v>
      </c>
      <c r="AV147" s="941"/>
      <c r="AW147" s="929"/>
      <c r="AX147" s="939">
        <v>44</v>
      </c>
      <c r="AY147" s="891">
        <f t="shared" si="295"/>
        <v>0.36</v>
      </c>
      <c r="AZ147" s="940"/>
      <c r="BA147" s="925">
        <f t="shared" si="296"/>
        <v>0.26333333333333336</v>
      </c>
      <c r="BB147" s="941"/>
      <c r="BC147" s="929"/>
      <c r="BD147" s="939">
        <v>44</v>
      </c>
      <c r="BE147" s="891">
        <f t="shared" si="297"/>
        <v>1E-3</v>
      </c>
      <c r="BF147" s="940"/>
      <c r="BG147" s="925">
        <f t="shared" si="298"/>
        <v>3.3333333333333332E-4</v>
      </c>
      <c r="BH147" s="941"/>
      <c r="BI147" s="929"/>
      <c r="BJ147" s="939">
        <v>44</v>
      </c>
      <c r="BK147" s="891">
        <f t="shared" si="299"/>
        <v>0.36</v>
      </c>
      <c r="BL147" s="940"/>
      <c r="BM147" s="925">
        <f t="shared" si="300"/>
        <v>0.26333333333333336</v>
      </c>
      <c r="BN147" s="941"/>
      <c r="BO147" s="929"/>
      <c r="BP147" s="939">
        <v>44</v>
      </c>
      <c r="BQ147" s="891">
        <f t="shared" si="301"/>
        <v>1E-3</v>
      </c>
      <c r="BR147" s="940"/>
      <c r="BS147" s="925">
        <f t="shared" si="302"/>
        <v>3.3333333333333332E-4</v>
      </c>
      <c r="BT147" s="941"/>
      <c r="BU147" s="929"/>
      <c r="BV147" s="939">
        <v>44</v>
      </c>
      <c r="BW147" s="891">
        <f t="shared" si="303"/>
        <v>23</v>
      </c>
      <c r="BX147" s="940"/>
      <c r="BY147" s="925">
        <f t="shared" si="304"/>
        <v>9.3333333333333339</v>
      </c>
      <c r="BZ147" s="941"/>
      <c r="CA147" s="929"/>
      <c r="CB147" s="939">
        <v>44</v>
      </c>
      <c r="CC147" s="891">
        <f t="shared" si="282"/>
        <v>-0.7</v>
      </c>
      <c r="CD147" s="940"/>
      <c r="CE147" s="925">
        <f t="shared" si="305"/>
        <v>0.13333333333333333</v>
      </c>
      <c r="CF147" s="941"/>
      <c r="CG147" s="959"/>
      <c r="CH147" s="939">
        <v>44</v>
      </c>
      <c r="CI147" s="891">
        <f t="shared" si="283"/>
        <v>0.25</v>
      </c>
      <c r="CJ147" s="940"/>
      <c r="CK147" s="925">
        <f t="shared" si="306"/>
        <v>7.3333333333333334E-2</v>
      </c>
      <c r="CL147" s="941"/>
      <c r="CN147" s="939">
        <v>44</v>
      </c>
      <c r="CO147" s="891">
        <f t="shared" si="284"/>
        <v>0.56999999999999995</v>
      </c>
      <c r="CP147" s="940"/>
      <c r="CQ147" s="925">
        <f t="shared" si="307"/>
        <v>0.25666666666666665</v>
      </c>
      <c r="CR147" s="941"/>
    </row>
    <row r="148" spans="2:96">
      <c r="B148" s="939">
        <v>50</v>
      </c>
      <c r="C148" s="891"/>
      <c r="D148" s="1058">
        <v>9</v>
      </c>
      <c r="E148" s="925">
        <f t="shared" si="285"/>
        <v>0.11333333333333334</v>
      </c>
      <c r="F148" s="1066">
        <f>(((F146-F144)/(F142-F140))*(F139-F140))+F144</f>
        <v>0.11333333333333334</v>
      </c>
      <c r="G148" s="942"/>
      <c r="H148" s="939">
        <v>50</v>
      </c>
      <c r="I148" s="891"/>
      <c r="J148" s="891"/>
      <c r="K148" s="925">
        <v>1E-3</v>
      </c>
      <c r="L148" s="1064">
        <f>(((L146-L144)/(L142-L140))*(L139-L140))+L144</f>
        <v>0.1</v>
      </c>
      <c r="M148" s="942"/>
      <c r="N148" s="939">
        <v>50</v>
      </c>
      <c r="O148" s="891">
        <v>1E-3</v>
      </c>
      <c r="P148" s="891"/>
      <c r="Q148" s="925">
        <v>0.1</v>
      </c>
      <c r="R148" s="1064">
        <f>(((R146-R144)/(R142-R140))*(R139-R140))+R144</f>
        <v>0.1</v>
      </c>
      <c r="S148" s="929"/>
      <c r="T148" s="939">
        <v>50</v>
      </c>
      <c r="U148" s="891">
        <f t="shared" si="286"/>
        <v>1E-3</v>
      </c>
      <c r="V148" s="940"/>
      <c r="W148" s="925">
        <f t="shared" si="287"/>
        <v>3.3333333333333332E-4</v>
      </c>
      <c r="X148" s="1064">
        <f>(((X146-X144)/(X142-X140))*(X139-X140))+X144</f>
        <v>3.3333333333333332E-4</v>
      </c>
      <c r="Y148" s="929"/>
      <c r="Z148" s="939">
        <v>50</v>
      </c>
      <c r="AA148" s="891">
        <f t="shared" si="288"/>
        <v>1E-3</v>
      </c>
      <c r="AB148" s="940"/>
      <c r="AC148" s="925">
        <f t="shared" si="289"/>
        <v>3.3333333333333332E-4</v>
      </c>
      <c r="AD148" s="1064">
        <f>(((AD146-AD144)/(AD142-AD140))*(AD139-AD140))+AD144</f>
        <v>3.3333333333333332E-4</v>
      </c>
      <c r="AE148" s="929"/>
      <c r="AF148" s="939">
        <v>50</v>
      </c>
      <c r="AG148" s="891">
        <v>0.2</v>
      </c>
      <c r="AH148" s="940"/>
      <c r="AI148" s="925">
        <f t="shared" si="290"/>
        <v>3.3333333333333332E-4</v>
      </c>
      <c r="AJ148" s="1064">
        <f>(((AJ146-AJ144)/(AJ142-AJ140))*(AJ139-AJ140))+AJ144</f>
        <v>3.3333333333333332E-4</v>
      </c>
      <c r="AK148" s="929"/>
      <c r="AL148" s="939">
        <v>50</v>
      </c>
      <c r="AM148" s="891">
        <f t="shared" si="291"/>
        <v>1E-3</v>
      </c>
      <c r="AN148" s="940"/>
      <c r="AO148" s="925">
        <f t="shared" si="292"/>
        <v>3.3333333333333332E-4</v>
      </c>
      <c r="AP148" s="1064">
        <f>(((AP146-AP144)/(AP142-AP140))*(AP139-AP140))+AP144</f>
        <v>3.3333333333333332E-4</v>
      </c>
      <c r="AQ148" s="929"/>
      <c r="AR148" s="939">
        <v>50</v>
      </c>
      <c r="AS148" s="891">
        <f t="shared" si="293"/>
        <v>1E-3</v>
      </c>
      <c r="AT148" s="940"/>
      <c r="AU148" s="925">
        <f t="shared" si="294"/>
        <v>3.3333333333333332E-4</v>
      </c>
      <c r="AV148" s="1064">
        <f>(((AV146-AV144)/(AV142-AV140))*(AV139-AV140))+AV144</f>
        <v>3.3333333333333332E-4</v>
      </c>
      <c r="AW148" s="929"/>
      <c r="AX148" s="939">
        <v>50</v>
      </c>
      <c r="AY148" s="891">
        <f t="shared" si="295"/>
        <v>0.34</v>
      </c>
      <c r="AZ148" s="940"/>
      <c r="BA148" s="925">
        <f t="shared" si="296"/>
        <v>0.26333333333333336</v>
      </c>
      <c r="BB148" s="1064">
        <f>(((BB146-BB144)/(BB142-BB140))*(BB139-BB140))+BB144</f>
        <v>0.26333333333333336</v>
      </c>
      <c r="BC148" s="929"/>
      <c r="BD148" s="939">
        <v>50</v>
      </c>
      <c r="BE148" s="891">
        <f t="shared" si="297"/>
        <v>1E-3</v>
      </c>
      <c r="BF148" s="940"/>
      <c r="BG148" s="925">
        <f t="shared" si="298"/>
        <v>3.3333333333333332E-4</v>
      </c>
      <c r="BH148" s="1064">
        <f>(((BH146-BH144)/(BH142-BH140))*(BH139-BH140))+BH144</f>
        <v>3.3333333333333332E-4</v>
      </c>
      <c r="BI148" s="929"/>
      <c r="BJ148" s="939">
        <v>50</v>
      </c>
      <c r="BK148" s="891">
        <f t="shared" si="299"/>
        <v>0.34</v>
      </c>
      <c r="BL148" s="940"/>
      <c r="BM148" s="925">
        <f t="shared" si="300"/>
        <v>0.26333333333333336</v>
      </c>
      <c r="BN148" s="1064">
        <f>(((BN146-BN144)/(BN142-BN140))*(BN139-BN140))+BN144</f>
        <v>0.26333333333333336</v>
      </c>
      <c r="BO148" s="929"/>
      <c r="BP148" s="939">
        <v>50</v>
      </c>
      <c r="BQ148" s="891">
        <f t="shared" si="301"/>
        <v>1E-3</v>
      </c>
      <c r="BR148" s="940"/>
      <c r="BS148" s="925">
        <f t="shared" si="302"/>
        <v>3.3333333333333332E-4</v>
      </c>
      <c r="BT148" s="1064">
        <f>(((BT146-BT144)/(BT142-BT140))*(BT139-BT140))+BT144</f>
        <v>3.3333333333333332E-4</v>
      </c>
      <c r="BU148" s="929"/>
      <c r="BV148" s="939">
        <v>50</v>
      </c>
      <c r="BW148" s="891">
        <f t="shared" si="303"/>
        <v>24</v>
      </c>
      <c r="BX148" s="940"/>
      <c r="BY148" s="925">
        <f t="shared" si="304"/>
        <v>9.3333333333333339</v>
      </c>
      <c r="BZ148" s="1064">
        <f>(((BZ146-BZ144)/(BZ142-BZ140))*(BZ139-BZ140))+BZ144</f>
        <v>9.3333333333333339</v>
      </c>
      <c r="CA148" s="929"/>
      <c r="CB148" s="939">
        <v>50</v>
      </c>
      <c r="CC148" s="891">
        <f t="shared" si="282"/>
        <v>-0.7</v>
      </c>
      <c r="CD148" s="940"/>
      <c r="CE148" s="925">
        <f t="shared" si="305"/>
        <v>0.13333333333333333</v>
      </c>
      <c r="CF148" s="1064">
        <f>(((CF146-CF144)/(CF142-CF140))*(CF139-CF140))+CF144</f>
        <v>0.13333333333333333</v>
      </c>
      <c r="CH148" s="939">
        <v>50</v>
      </c>
      <c r="CI148" s="891">
        <f t="shared" si="283"/>
        <v>0.27</v>
      </c>
      <c r="CJ148" s="940"/>
      <c r="CK148" s="925">
        <f t="shared" si="306"/>
        <v>7.3333333333333334E-2</v>
      </c>
      <c r="CL148" s="1064">
        <f>(((CL146-CL144)/(CL142-CL140))*(CL139-CL140))+CL144</f>
        <v>7.3333333333333334E-2</v>
      </c>
      <c r="CN148" s="939">
        <v>50</v>
      </c>
      <c r="CO148" s="891">
        <f t="shared" si="284"/>
        <v>0.67</v>
      </c>
      <c r="CP148" s="940"/>
      <c r="CQ148" s="925">
        <f t="shared" si="307"/>
        <v>0.25666666666666665</v>
      </c>
      <c r="CR148" s="1064">
        <f>(((CR146-CR144)/(CR142-CR140))*(CR139-CR140))+CR144</f>
        <v>0.25666666666666665</v>
      </c>
    </row>
    <row r="149" spans="2:96">
      <c r="B149" s="939">
        <v>100</v>
      </c>
      <c r="C149" s="891"/>
      <c r="D149" s="1058">
        <v>10</v>
      </c>
      <c r="E149" s="925">
        <f t="shared" si="285"/>
        <v>0.11333333333333334</v>
      </c>
      <c r="F149" s="941"/>
      <c r="G149" s="942"/>
      <c r="H149" s="939">
        <v>100</v>
      </c>
      <c r="I149" s="891"/>
      <c r="J149" s="891"/>
      <c r="K149" s="925">
        <v>1E-3</v>
      </c>
      <c r="L149" s="941"/>
      <c r="M149" s="942"/>
      <c r="N149" s="939">
        <v>100</v>
      </c>
      <c r="O149" s="891">
        <v>1E-3</v>
      </c>
      <c r="P149" s="891"/>
      <c r="Q149" s="925">
        <v>0.1</v>
      </c>
      <c r="R149" s="941"/>
      <c r="S149" s="929"/>
      <c r="T149" s="939">
        <v>100</v>
      </c>
      <c r="U149" s="891">
        <f t="shared" si="286"/>
        <v>1E-3</v>
      </c>
      <c r="V149" s="940"/>
      <c r="W149" s="925">
        <f t="shared" si="287"/>
        <v>3.3333333333333332E-4</v>
      </c>
      <c r="X149" s="941"/>
      <c r="Y149" s="929"/>
      <c r="Z149" s="939">
        <v>100</v>
      </c>
      <c r="AA149" s="891">
        <f t="shared" si="288"/>
        <v>1E-3</v>
      </c>
      <c r="AB149" s="940"/>
      <c r="AC149" s="925">
        <f t="shared" si="289"/>
        <v>3.3333333333333332E-4</v>
      </c>
      <c r="AD149" s="941"/>
      <c r="AE149" s="929"/>
      <c r="AF149" s="939">
        <v>100</v>
      </c>
      <c r="AG149" s="891">
        <v>0.2</v>
      </c>
      <c r="AH149" s="940"/>
      <c r="AI149" s="925">
        <f t="shared" si="290"/>
        <v>3.3333333333333332E-4</v>
      </c>
      <c r="AJ149" s="941"/>
      <c r="AK149" s="929"/>
      <c r="AL149" s="939">
        <v>100</v>
      </c>
      <c r="AM149" s="891">
        <f t="shared" si="291"/>
        <v>1E-3</v>
      </c>
      <c r="AN149" s="940"/>
      <c r="AO149" s="925">
        <f t="shared" si="292"/>
        <v>3.3333333333333332E-4</v>
      </c>
      <c r="AP149" s="941"/>
      <c r="AQ149" s="929"/>
      <c r="AR149" s="939">
        <v>100</v>
      </c>
      <c r="AS149" s="891">
        <f t="shared" si="293"/>
        <v>1E-3</v>
      </c>
      <c r="AT149" s="940"/>
      <c r="AU149" s="925">
        <f t="shared" si="294"/>
        <v>3.3333333333333332E-4</v>
      </c>
      <c r="AV149" s="941"/>
      <c r="AW149" s="929"/>
      <c r="AX149" s="939">
        <v>100</v>
      </c>
      <c r="AY149" s="891">
        <f t="shared" si="295"/>
        <v>1.8E-3</v>
      </c>
      <c r="AZ149" s="940"/>
      <c r="BA149" s="925">
        <f t="shared" si="296"/>
        <v>0.26333333333333336</v>
      </c>
      <c r="BB149" s="941"/>
      <c r="BC149" s="929"/>
      <c r="BD149" s="939">
        <v>100</v>
      </c>
      <c r="BE149" s="891">
        <f t="shared" si="297"/>
        <v>1E-3</v>
      </c>
      <c r="BF149" s="940"/>
      <c r="BG149" s="925">
        <f t="shared" si="298"/>
        <v>3.3333333333333332E-4</v>
      </c>
      <c r="BH149" s="941"/>
      <c r="BI149" s="929"/>
      <c r="BJ149" s="939">
        <v>100</v>
      </c>
      <c r="BK149" s="891">
        <f t="shared" si="299"/>
        <v>1.8E-3</v>
      </c>
      <c r="BL149" s="940"/>
      <c r="BM149" s="925">
        <f t="shared" si="300"/>
        <v>0.26333333333333336</v>
      </c>
      <c r="BN149" s="941"/>
      <c r="BO149" s="929"/>
      <c r="BP149" s="939">
        <v>100</v>
      </c>
      <c r="BQ149" s="891">
        <f t="shared" si="301"/>
        <v>1E-3</v>
      </c>
      <c r="BR149" s="940"/>
      <c r="BS149" s="925">
        <f t="shared" si="302"/>
        <v>3.3333333333333332E-4</v>
      </c>
      <c r="BT149" s="941"/>
      <c r="BU149" s="929"/>
      <c r="BV149" s="939">
        <v>100</v>
      </c>
      <c r="BW149" s="891">
        <f t="shared" si="303"/>
        <v>25</v>
      </c>
      <c r="BX149" s="940"/>
      <c r="BY149" s="925">
        <f t="shared" si="304"/>
        <v>9.3333333333333339</v>
      </c>
      <c r="BZ149" s="941"/>
      <c r="CA149" s="929"/>
      <c r="CB149" s="939">
        <v>100</v>
      </c>
      <c r="CC149" s="891">
        <f t="shared" si="282"/>
        <v>-0.7</v>
      </c>
      <c r="CD149" s="940"/>
      <c r="CE149" s="925">
        <f t="shared" si="305"/>
        <v>0.13333333333333333</v>
      </c>
      <c r="CF149" s="941"/>
      <c r="CH149" s="939">
        <v>100</v>
      </c>
      <c r="CI149" s="891">
        <f t="shared" si="283"/>
        <v>0.31</v>
      </c>
      <c r="CJ149" s="940"/>
      <c r="CK149" s="925">
        <f t="shared" si="306"/>
        <v>7.3333333333333334E-2</v>
      </c>
      <c r="CL149" s="941"/>
      <c r="CN149" s="939">
        <v>100</v>
      </c>
      <c r="CO149" s="891">
        <f t="shared" si="284"/>
        <v>0.95</v>
      </c>
      <c r="CP149" s="940"/>
      <c r="CQ149" s="925">
        <f t="shared" si="307"/>
        <v>0.25666666666666665</v>
      </c>
      <c r="CR149" s="941"/>
    </row>
    <row r="150" spans="2:96">
      <c r="B150" s="939">
        <v>150</v>
      </c>
      <c r="C150" s="891"/>
      <c r="D150" s="1058">
        <v>11</v>
      </c>
      <c r="E150" s="925">
        <f t="shared" si="285"/>
        <v>0.11333333333333334</v>
      </c>
      <c r="F150" s="941"/>
      <c r="G150" s="942"/>
      <c r="H150" s="939">
        <v>150</v>
      </c>
      <c r="I150" s="891"/>
      <c r="J150" s="891"/>
      <c r="K150" s="925">
        <v>1E-3</v>
      </c>
      <c r="L150" s="941"/>
      <c r="M150" s="942"/>
      <c r="N150" s="939">
        <v>150</v>
      </c>
      <c r="O150" s="891">
        <v>1E-3</v>
      </c>
      <c r="P150" s="891"/>
      <c r="Q150" s="925">
        <v>0.1</v>
      </c>
      <c r="R150" s="941"/>
      <c r="S150" s="929"/>
      <c r="T150" s="939">
        <v>150</v>
      </c>
      <c r="U150" s="891">
        <f t="shared" si="286"/>
        <v>1E-3</v>
      </c>
      <c r="V150" s="940"/>
      <c r="W150" s="925">
        <f t="shared" si="287"/>
        <v>3.3333333333333332E-4</v>
      </c>
      <c r="X150" s="941"/>
      <c r="Y150" s="929"/>
      <c r="Z150" s="939">
        <v>150</v>
      </c>
      <c r="AA150" s="891">
        <f t="shared" si="288"/>
        <v>1E-3</v>
      </c>
      <c r="AB150" s="940"/>
      <c r="AC150" s="925">
        <f t="shared" si="289"/>
        <v>3.3333333333333332E-4</v>
      </c>
      <c r="AD150" s="941"/>
      <c r="AE150" s="929"/>
      <c r="AF150" s="939">
        <v>150</v>
      </c>
      <c r="AG150" s="891">
        <v>0.2</v>
      </c>
      <c r="AH150" s="940"/>
      <c r="AI150" s="925">
        <f t="shared" si="290"/>
        <v>3.3333333333333332E-4</v>
      </c>
      <c r="AJ150" s="941"/>
      <c r="AK150" s="929"/>
      <c r="AL150" s="939">
        <v>150</v>
      </c>
      <c r="AM150" s="891">
        <f t="shared" si="291"/>
        <v>1E-3</v>
      </c>
      <c r="AN150" s="940"/>
      <c r="AO150" s="925">
        <f t="shared" si="292"/>
        <v>3.3333333333333332E-4</v>
      </c>
      <c r="AP150" s="941"/>
      <c r="AQ150" s="929"/>
      <c r="AR150" s="939">
        <v>150</v>
      </c>
      <c r="AS150" s="891">
        <f t="shared" si="293"/>
        <v>1E-3</v>
      </c>
      <c r="AT150" s="940"/>
      <c r="AU150" s="925">
        <f t="shared" si="294"/>
        <v>3.3333333333333332E-4</v>
      </c>
      <c r="AV150" s="941"/>
      <c r="AW150" s="929"/>
      <c r="AX150" s="939">
        <v>150</v>
      </c>
      <c r="AY150" s="891">
        <f t="shared" si="295"/>
        <v>-0.02</v>
      </c>
      <c r="AZ150" s="940"/>
      <c r="BA150" s="925">
        <f t="shared" si="296"/>
        <v>0.26333333333333336</v>
      </c>
      <c r="BB150" s="941"/>
      <c r="BC150" s="929"/>
      <c r="BD150" s="939">
        <v>150</v>
      </c>
      <c r="BE150" s="891">
        <f t="shared" si="297"/>
        <v>1E-3</v>
      </c>
      <c r="BF150" s="940"/>
      <c r="BG150" s="925">
        <f t="shared" si="298"/>
        <v>3.3333333333333332E-4</v>
      </c>
      <c r="BH150" s="941"/>
      <c r="BI150" s="929"/>
      <c r="BJ150" s="939">
        <v>150</v>
      </c>
      <c r="BK150" s="891">
        <f t="shared" si="299"/>
        <v>-0.02</v>
      </c>
      <c r="BL150" s="940"/>
      <c r="BM150" s="925">
        <f t="shared" si="300"/>
        <v>0.26333333333333336</v>
      </c>
      <c r="BN150" s="941"/>
      <c r="BO150" s="929"/>
      <c r="BP150" s="939">
        <v>150</v>
      </c>
      <c r="BQ150" s="891">
        <f t="shared" si="301"/>
        <v>1E-3</v>
      </c>
      <c r="BR150" s="940"/>
      <c r="BS150" s="925">
        <f t="shared" si="302"/>
        <v>3.3333333333333332E-4</v>
      </c>
      <c r="BT150" s="941"/>
      <c r="BU150" s="929"/>
      <c r="BV150" s="939">
        <v>150</v>
      </c>
      <c r="BW150" s="891">
        <f t="shared" si="303"/>
        <v>26</v>
      </c>
      <c r="BX150" s="940"/>
      <c r="BY150" s="925">
        <f t="shared" si="304"/>
        <v>9.3333333333333339</v>
      </c>
      <c r="BZ150" s="941"/>
      <c r="CA150" s="929"/>
      <c r="CB150" s="939">
        <v>150</v>
      </c>
      <c r="CC150" s="891">
        <f t="shared" si="282"/>
        <v>-0.7</v>
      </c>
      <c r="CD150" s="940"/>
      <c r="CE150" s="925">
        <f t="shared" si="305"/>
        <v>0.13333333333333333</v>
      </c>
      <c r="CF150" s="941"/>
      <c r="CH150" s="939">
        <v>150</v>
      </c>
      <c r="CI150" s="891">
        <f t="shared" si="283"/>
        <v>0.3</v>
      </c>
      <c r="CJ150" s="940"/>
      <c r="CK150" s="925">
        <f t="shared" si="306"/>
        <v>7.3333333333333334E-2</v>
      </c>
      <c r="CL150" s="941"/>
      <c r="CN150" s="939">
        <v>150</v>
      </c>
      <c r="CO150" s="891">
        <f t="shared" si="284"/>
        <v>0.49</v>
      </c>
      <c r="CP150" s="940"/>
      <c r="CQ150" s="925">
        <f t="shared" si="307"/>
        <v>0.25666666666666665</v>
      </c>
      <c r="CR150" s="941"/>
    </row>
    <row r="151" spans="2:96">
      <c r="B151" s="961">
        <v>200</v>
      </c>
      <c r="C151" s="891"/>
      <c r="D151" s="1058">
        <v>12</v>
      </c>
      <c r="E151" s="925">
        <f t="shared" si="285"/>
        <v>0.11333333333333334</v>
      </c>
      <c r="F151" s="941"/>
      <c r="G151" s="942"/>
      <c r="H151" s="961">
        <v>200</v>
      </c>
      <c r="I151" s="891"/>
      <c r="J151" s="891"/>
      <c r="K151" s="925">
        <v>1E-3</v>
      </c>
      <c r="L151" s="941"/>
      <c r="M151" s="942"/>
      <c r="N151" s="961">
        <v>200</v>
      </c>
      <c r="O151" s="891">
        <v>1E-3</v>
      </c>
      <c r="P151" s="891"/>
      <c r="Q151" s="925">
        <v>0.1</v>
      </c>
      <c r="R151" s="941"/>
      <c r="S151" s="929"/>
      <c r="T151" s="961">
        <v>200</v>
      </c>
      <c r="U151" s="891">
        <f t="shared" si="286"/>
        <v>1E-3</v>
      </c>
      <c r="V151" s="962"/>
      <c r="W151" s="925">
        <f t="shared" si="287"/>
        <v>3.3333333333333332E-4</v>
      </c>
      <c r="X151" s="941"/>
      <c r="Y151" s="929"/>
      <c r="Z151" s="961">
        <v>200</v>
      </c>
      <c r="AA151" s="891">
        <f t="shared" si="288"/>
        <v>1E-3</v>
      </c>
      <c r="AB151" s="962"/>
      <c r="AC151" s="925">
        <f t="shared" si="289"/>
        <v>3.3333333333333332E-4</v>
      </c>
      <c r="AD151" s="941"/>
      <c r="AE151" s="929"/>
      <c r="AF151" s="961">
        <v>200</v>
      </c>
      <c r="AG151" s="963">
        <v>0.2</v>
      </c>
      <c r="AH151" s="962"/>
      <c r="AI151" s="964">
        <f t="shared" si="290"/>
        <v>3.3333333333333332E-4</v>
      </c>
      <c r="AJ151" s="941"/>
      <c r="AK151" s="929"/>
      <c r="AL151" s="961">
        <v>200</v>
      </c>
      <c r="AM151" s="963">
        <f t="shared" si="291"/>
        <v>1E-3</v>
      </c>
      <c r="AN151" s="962"/>
      <c r="AO151" s="964">
        <f t="shared" si="292"/>
        <v>3.3333333333333332E-4</v>
      </c>
      <c r="AP151" s="941"/>
      <c r="AQ151" s="929"/>
      <c r="AR151" s="961">
        <v>200</v>
      </c>
      <c r="AS151" s="963">
        <f t="shared" si="293"/>
        <v>1E-3</v>
      </c>
      <c r="AT151" s="962"/>
      <c r="AU151" s="964">
        <f t="shared" si="294"/>
        <v>3.3333333333333332E-4</v>
      </c>
      <c r="AV151" s="941"/>
      <c r="AW151" s="929"/>
      <c r="AX151" s="961">
        <v>200</v>
      </c>
      <c r="AY151" s="891">
        <f t="shared" si="295"/>
        <v>-0.28000000000000003</v>
      </c>
      <c r="AZ151" s="962"/>
      <c r="BA151" s="925">
        <f t="shared" si="296"/>
        <v>0.26333333333333336</v>
      </c>
      <c r="BB151" s="941"/>
      <c r="BC151" s="929"/>
      <c r="BD151" s="961">
        <v>200</v>
      </c>
      <c r="BE151" s="891">
        <f t="shared" si="297"/>
        <v>1E-3</v>
      </c>
      <c r="BF151" s="962"/>
      <c r="BG151" s="925">
        <f t="shared" si="298"/>
        <v>3.3333333333333332E-4</v>
      </c>
      <c r="BH151" s="941"/>
      <c r="BI151" s="929"/>
      <c r="BJ151" s="961">
        <v>200</v>
      </c>
      <c r="BK151" s="891">
        <f t="shared" si="299"/>
        <v>-0.28000000000000003</v>
      </c>
      <c r="BL151" s="962"/>
      <c r="BM151" s="925">
        <f t="shared" si="300"/>
        <v>0.26333333333333336</v>
      </c>
      <c r="BN151" s="941"/>
      <c r="BO151" s="929"/>
      <c r="BP151" s="961">
        <v>200</v>
      </c>
      <c r="BQ151" s="891">
        <f t="shared" si="301"/>
        <v>1E-3</v>
      </c>
      <c r="BR151" s="962"/>
      <c r="BS151" s="925">
        <f t="shared" si="302"/>
        <v>3.3333333333333332E-4</v>
      </c>
      <c r="BT151" s="941"/>
      <c r="BU151" s="929"/>
      <c r="BV151" s="961">
        <v>200</v>
      </c>
      <c r="BW151" s="891">
        <f t="shared" si="303"/>
        <v>27</v>
      </c>
      <c r="BX151" s="962"/>
      <c r="BY151" s="925">
        <f t="shared" si="304"/>
        <v>9.3333333333333339</v>
      </c>
      <c r="BZ151" s="941"/>
      <c r="CA151" s="929"/>
      <c r="CB151" s="961">
        <v>200</v>
      </c>
      <c r="CC151" s="891">
        <f t="shared" si="282"/>
        <v>-0.6</v>
      </c>
      <c r="CD151" s="962"/>
      <c r="CE151" s="925">
        <f t="shared" si="305"/>
        <v>0.13333333333333333</v>
      </c>
      <c r="CF151" s="941"/>
      <c r="CH151" s="961">
        <v>200</v>
      </c>
      <c r="CI151" s="891">
        <f t="shared" si="283"/>
        <v>0.34</v>
      </c>
      <c r="CJ151" s="962"/>
      <c r="CK151" s="925">
        <f t="shared" si="306"/>
        <v>7.3333333333333334E-2</v>
      </c>
      <c r="CL151" s="941"/>
      <c r="CN151" s="961">
        <v>200</v>
      </c>
      <c r="CO151" s="891">
        <f t="shared" si="284"/>
        <v>-0.26</v>
      </c>
      <c r="CP151" s="962"/>
      <c r="CQ151" s="925">
        <f t="shared" si="307"/>
        <v>0.25666666666666665</v>
      </c>
      <c r="CR151" s="941"/>
    </row>
    <row r="152" spans="2:96" s="929" customFormat="1">
      <c r="B152" s="947"/>
      <c r="C152" s="930"/>
      <c r="D152" s="930"/>
      <c r="E152" s="944"/>
      <c r="F152" s="942"/>
      <c r="G152" s="942"/>
      <c r="H152" s="947"/>
      <c r="I152" s="930"/>
      <c r="J152" s="930"/>
      <c r="K152" s="944"/>
      <c r="L152" s="942"/>
      <c r="M152" s="942"/>
      <c r="N152" s="947"/>
      <c r="O152" s="930"/>
      <c r="P152" s="930"/>
      <c r="Q152" s="944"/>
      <c r="R152" s="931"/>
      <c r="T152" s="947"/>
      <c r="U152" s="930"/>
      <c r="V152" s="930"/>
      <c r="W152" s="944"/>
      <c r="X152" s="931"/>
      <c r="Z152" s="947"/>
      <c r="AA152" s="930"/>
      <c r="AB152" s="930"/>
      <c r="AC152" s="944"/>
      <c r="AD152" s="931"/>
      <c r="AF152" s="947"/>
      <c r="AG152" s="930"/>
      <c r="AH152" s="930"/>
      <c r="AI152" s="944"/>
      <c r="AJ152" s="931"/>
      <c r="AL152" s="947"/>
      <c r="AM152" s="930"/>
      <c r="AN152" s="930"/>
      <c r="AO152" s="944"/>
      <c r="AP152" s="931"/>
      <c r="AR152" s="947"/>
      <c r="AS152" s="930"/>
      <c r="AT152" s="930"/>
      <c r="AU152" s="944"/>
      <c r="AV152" s="931"/>
      <c r="AX152" s="947"/>
      <c r="AY152" s="965"/>
      <c r="AZ152" s="930"/>
      <c r="BA152" s="944"/>
      <c r="BB152" s="931"/>
      <c r="BD152" s="947"/>
      <c r="BE152" s="965"/>
      <c r="BF152" s="930"/>
      <c r="BG152" s="944"/>
      <c r="BH152" s="931"/>
      <c r="BJ152" s="947"/>
      <c r="BK152" s="965"/>
      <c r="BL152" s="930"/>
      <c r="BM152" s="944"/>
      <c r="BN152" s="931"/>
      <c r="BP152" s="947"/>
      <c r="BQ152" s="965"/>
      <c r="BR152" s="930"/>
      <c r="BS152" s="944"/>
      <c r="BT152" s="931"/>
      <c r="BV152" s="947"/>
      <c r="BW152" s="965"/>
      <c r="BX152" s="930"/>
      <c r="BY152" s="944"/>
      <c r="BZ152" s="931"/>
    </row>
    <row r="153" spans="2:96" s="929" customFormat="1">
      <c r="B153" s="947"/>
      <c r="C153" s="930"/>
      <c r="D153" s="930"/>
      <c r="E153" s="944"/>
      <c r="F153" s="942"/>
      <c r="G153" s="942"/>
      <c r="H153" s="947"/>
      <c r="I153" s="930"/>
      <c r="J153" s="930"/>
      <c r="K153" s="944"/>
      <c r="L153" s="942"/>
      <c r="M153" s="942"/>
      <c r="N153" s="947"/>
      <c r="O153" s="930"/>
      <c r="P153" s="930"/>
      <c r="Q153" s="944"/>
      <c r="R153" s="931"/>
      <c r="T153" s="947"/>
      <c r="U153" s="930"/>
      <c r="V153" s="930"/>
      <c r="W153" s="944"/>
      <c r="X153" s="931"/>
      <c r="Z153" s="947"/>
      <c r="AA153" s="930"/>
      <c r="AB153" s="930"/>
      <c r="AC153" s="944"/>
      <c r="AD153" s="931"/>
      <c r="AF153" s="947"/>
      <c r="AG153" s="930"/>
      <c r="AH153" s="930"/>
      <c r="AI153" s="944"/>
      <c r="AJ153" s="931"/>
      <c r="AL153" s="947"/>
      <c r="AM153" s="930"/>
      <c r="AN153" s="930"/>
      <c r="AO153" s="944"/>
      <c r="AP153" s="931"/>
      <c r="AR153" s="947"/>
      <c r="AS153" s="930"/>
      <c r="AT153" s="930"/>
      <c r="AU153" s="944"/>
      <c r="AV153" s="931"/>
      <c r="AX153" s="947"/>
      <c r="AY153" s="930"/>
      <c r="AZ153" s="930"/>
      <c r="BA153" s="944"/>
      <c r="BB153" s="931"/>
      <c r="BD153" s="947"/>
      <c r="BE153" s="930"/>
      <c r="BF153" s="930"/>
      <c r="BG153" s="944"/>
      <c r="BH153" s="931"/>
      <c r="BJ153" s="947"/>
      <c r="BK153" s="930"/>
      <c r="BL153" s="930"/>
      <c r="BM153" s="944"/>
      <c r="BN153" s="931"/>
      <c r="BP153" s="947"/>
      <c r="BQ153" s="930"/>
      <c r="BR153" s="930"/>
      <c r="BS153" s="944"/>
      <c r="BT153" s="931"/>
      <c r="BV153" s="947"/>
      <c r="BW153" s="930"/>
      <c r="BX153" s="930"/>
      <c r="BY153" s="944"/>
      <c r="BZ153" s="931"/>
    </row>
    <row r="154" spans="2:96" s="929" customFormat="1" ht="21.6" customHeight="1">
      <c r="B154" s="1313" t="s">
        <v>427</v>
      </c>
      <c r="C154" s="1313"/>
      <c r="D154" s="1313"/>
      <c r="E154" s="1313"/>
      <c r="F154" s="1313"/>
      <c r="G154" s="1313"/>
      <c r="H154" s="1313"/>
      <c r="I154" s="1313"/>
      <c r="J154" s="1313"/>
      <c r="K154" s="1313"/>
      <c r="L154" s="1313"/>
      <c r="M154" s="1313"/>
      <c r="N154" s="1313"/>
      <c r="O154" s="1313"/>
      <c r="P154" s="1313"/>
      <c r="Q154" s="1313"/>
      <c r="R154" s="1313"/>
      <c r="S154" s="966"/>
      <c r="T154" s="1313" t="s">
        <v>427</v>
      </c>
      <c r="U154" s="1313"/>
      <c r="V154" s="1313"/>
      <c r="W154" s="1313"/>
      <c r="X154" s="1313"/>
      <c r="Y154" s="1313"/>
      <c r="Z154" s="1313"/>
      <c r="AA154" s="1313"/>
      <c r="AB154" s="1313"/>
      <c r="AC154" s="1313"/>
      <c r="AD154" s="1313"/>
      <c r="AE154" s="1313"/>
      <c r="AF154" s="1313"/>
      <c r="AG154" s="1313"/>
      <c r="AH154" s="1313"/>
      <c r="AI154" s="1313"/>
      <c r="AJ154" s="1313"/>
      <c r="AL154" s="947"/>
      <c r="AM154" s="930"/>
      <c r="AN154" s="930"/>
      <c r="AO154" s="944"/>
      <c r="AP154" s="931"/>
      <c r="AR154" s="947"/>
      <c r="AS154" s="930"/>
      <c r="AT154" s="930"/>
      <c r="AU154" s="944"/>
      <c r="AV154" s="931"/>
      <c r="AX154" s="947"/>
      <c r="AY154" s="930"/>
      <c r="AZ154" s="930"/>
      <c r="BA154" s="944"/>
      <c r="BB154" s="931"/>
      <c r="BD154" s="947"/>
      <c r="BE154" s="930"/>
      <c r="BF154" s="930"/>
      <c r="BG154" s="944"/>
      <c r="BH154" s="931"/>
      <c r="BJ154" s="947"/>
      <c r="BK154" s="930"/>
      <c r="BL154" s="930"/>
      <c r="BM154" s="944"/>
      <c r="BN154" s="931"/>
      <c r="BP154" s="947"/>
      <c r="BQ154" s="930"/>
      <c r="BR154" s="930"/>
      <c r="BS154" s="944"/>
      <c r="BT154" s="931"/>
      <c r="BV154" s="947"/>
      <c r="BW154" s="930"/>
      <c r="BX154" s="930"/>
      <c r="BY154" s="944"/>
      <c r="BZ154" s="931"/>
    </row>
    <row r="155" spans="2:96" s="929" customFormat="1">
      <c r="B155" s="947"/>
      <c r="C155" s="930"/>
      <c r="D155" s="930"/>
      <c r="E155" s="944"/>
      <c r="F155" s="942"/>
      <c r="G155" s="942"/>
      <c r="H155" s="947"/>
      <c r="I155" s="930"/>
      <c r="J155" s="930"/>
      <c r="K155" s="944"/>
      <c r="L155" s="942"/>
      <c r="M155" s="942"/>
      <c r="N155" s="947"/>
      <c r="O155" s="930"/>
      <c r="P155" s="930"/>
      <c r="Q155" s="944"/>
      <c r="R155" s="931"/>
      <c r="T155" s="947"/>
      <c r="U155" s="930"/>
      <c r="V155" s="930"/>
      <c r="W155" s="944"/>
      <c r="X155" s="931"/>
      <c r="Z155" s="947"/>
      <c r="AA155" s="930"/>
      <c r="AB155" s="930"/>
      <c r="AC155" s="944"/>
      <c r="AD155" s="931"/>
      <c r="AF155" s="947"/>
      <c r="AG155" s="930"/>
      <c r="AH155" s="930"/>
      <c r="AI155" s="944"/>
      <c r="AJ155" s="931"/>
      <c r="AL155" s="947"/>
      <c r="AM155" s="930"/>
      <c r="AN155" s="930"/>
      <c r="AO155" s="944"/>
      <c r="AP155" s="931"/>
      <c r="AR155" s="947"/>
      <c r="AS155" s="930"/>
      <c r="AT155" s="930"/>
      <c r="AU155" s="944"/>
      <c r="AV155" s="931"/>
      <c r="AX155" s="947"/>
      <c r="AY155" s="930"/>
      <c r="AZ155" s="930"/>
      <c r="BA155" s="944"/>
      <c r="BB155" s="931"/>
      <c r="BD155" s="947"/>
      <c r="BE155" s="930"/>
      <c r="BF155" s="930"/>
      <c r="BG155" s="944"/>
      <c r="BH155" s="931"/>
      <c r="BJ155" s="947"/>
      <c r="BK155" s="930"/>
      <c r="BL155" s="930"/>
      <c r="BM155" s="944"/>
      <c r="BN155" s="931"/>
      <c r="BP155" s="947"/>
      <c r="BQ155" s="930"/>
      <c r="BR155" s="930"/>
      <c r="BS155" s="944"/>
      <c r="BT155" s="931"/>
      <c r="BV155" s="947"/>
      <c r="BW155" s="930"/>
      <c r="BX155" s="930"/>
      <c r="BY155" s="944"/>
      <c r="BZ155" s="931"/>
    </row>
    <row r="156" spans="2:96" ht="90" customHeight="1">
      <c r="B156" s="967" t="s">
        <v>214</v>
      </c>
      <c r="C156" s="968" t="s">
        <v>381</v>
      </c>
      <c r="D156" s="968" t="s">
        <v>380</v>
      </c>
      <c r="E156" s="968" t="s">
        <v>69</v>
      </c>
      <c r="F156" s="968" t="str">
        <f>'Data Alat'!A10</f>
        <v>Wireless Temperature Recorder : Merek : HIOKI, Model : LR 8510, SN : 200936000</v>
      </c>
      <c r="G156" s="968" t="str">
        <f>'Data Alat'!A11</f>
        <v>Wireless Temperature Recorder : Merek : HIOKI, Model : LR 8510, SN : 200936001</v>
      </c>
      <c r="H156" s="968" t="str">
        <f>'Data Alat'!A12</f>
        <v>Wireless Temperature Recorder : Merek : HIOKI, Model : LR 8510, SN : 200821397</v>
      </c>
      <c r="I156" s="968" t="str">
        <f>'Data Alat'!A13</f>
        <v>Wireless Temperature Recorder : Merek : HIOKI, Model : LR 8510, SN : 210411983</v>
      </c>
      <c r="J156" s="968" t="str">
        <f>'Data Alat'!A14</f>
        <v>Wireless Temperature Recorder : Merek : HIOKI, Model : LR 8510, SN : 210411984</v>
      </c>
      <c r="K156" s="968" t="str">
        <f>'Data Alat'!A15</f>
        <v>Wireless Temperature Recorder : Merek : HIOKI, Model : LR 8510, SN : 210411985</v>
      </c>
      <c r="L156" s="968" t="str">
        <f>'Data Alat'!A16</f>
        <v>Wireless Temperature Recorder : Merek : HIOKI, Model : LR 8510, SN : 210746054</v>
      </c>
      <c r="M156" s="968" t="str">
        <f>'Data Alat'!A17</f>
        <v>Wireless Temperature Recorder : Merek : HIOKI, Model : LR 8510, SN : 210746055</v>
      </c>
      <c r="N156" s="968" t="str">
        <f>'Data Alat'!A18</f>
        <v>Wireless Temperature Recorder : Merek : HIOKI, Model : LR 8510, SN : 210746056</v>
      </c>
      <c r="O156" s="968" t="str">
        <f>'Data Alat'!A19</f>
        <v>Wireless Temperature Recorder : Merek : HIOKI, Model : LR 8510, SN : x x x</v>
      </c>
      <c r="P156" s="969" t="str">
        <f>'Data Alat'!A7</f>
        <v>Reference Thermometer, Merek : APPA, Model : APPA51, SN : 03002948</v>
      </c>
      <c r="Q156" s="969" t="str">
        <f>'Data Alat'!A8</f>
        <v>Reference Thermometer, Merek : FLUKE, Model : 1524, SN : 1803038</v>
      </c>
      <c r="R156" s="969" t="str">
        <f>'Data Alat'!A9</f>
        <v>Reference Thermometer, Merek : FLUKE, Model : 1524, SN : 1803037</v>
      </c>
      <c r="S156" s="929"/>
      <c r="T156" s="967" t="s">
        <v>216</v>
      </c>
      <c r="U156" s="970" t="str">
        <f t="shared" ref="U156:AG156" si="308">C156</f>
        <v>Thermocouple Data Logger, Merek : MADGETECH, Model : OctTemp 2000, SN : P40270</v>
      </c>
      <c r="V156" s="970" t="str">
        <f t="shared" si="308"/>
        <v>Thermocouple Data Logger, Merek : MADGETECH, Model : OctTemp 2000, SN : P41878</v>
      </c>
      <c r="W156" s="970" t="str">
        <f t="shared" si="308"/>
        <v>Mobile Corder, Merek : Yokogawa, Model : GP 10, SN : S5T810599</v>
      </c>
      <c r="X156" s="970" t="str">
        <f t="shared" si="308"/>
        <v>Wireless Temperature Recorder : Merek : HIOKI, Model : LR 8510, SN : 200936000</v>
      </c>
      <c r="Y156" s="970" t="str">
        <f t="shared" si="308"/>
        <v>Wireless Temperature Recorder : Merek : HIOKI, Model : LR 8510, SN : 200936001</v>
      </c>
      <c r="Z156" s="970" t="str">
        <f t="shared" si="308"/>
        <v>Wireless Temperature Recorder : Merek : HIOKI, Model : LR 8510, SN : 200821397</v>
      </c>
      <c r="AA156" s="970" t="str">
        <f t="shared" si="308"/>
        <v>Wireless Temperature Recorder : Merek : HIOKI, Model : LR 8510, SN : 210411983</v>
      </c>
      <c r="AB156" s="970" t="str">
        <f t="shared" si="308"/>
        <v>Wireless Temperature Recorder : Merek : HIOKI, Model : LR 8510, SN : 210411984</v>
      </c>
      <c r="AC156" s="970" t="str">
        <f t="shared" si="308"/>
        <v>Wireless Temperature Recorder : Merek : HIOKI, Model : LR 8510, SN : 210411985</v>
      </c>
      <c r="AD156" s="970" t="str">
        <f t="shared" si="308"/>
        <v>Wireless Temperature Recorder : Merek : HIOKI, Model : LR 8510, SN : 210746054</v>
      </c>
      <c r="AE156" s="970" t="str">
        <f t="shared" si="308"/>
        <v>Wireless Temperature Recorder : Merek : HIOKI, Model : LR 8510, SN : 210746055</v>
      </c>
      <c r="AF156" s="970" t="str">
        <f t="shared" si="308"/>
        <v>Wireless Temperature Recorder : Merek : HIOKI, Model : LR 8510, SN : 210746056</v>
      </c>
      <c r="AG156" s="971" t="str">
        <f t="shared" si="308"/>
        <v>Wireless Temperature Recorder : Merek : HIOKI, Model : LR 8510, SN : x x x</v>
      </c>
      <c r="AH156" s="969" t="s">
        <v>457</v>
      </c>
      <c r="AI156" s="969" t="s">
        <v>458</v>
      </c>
      <c r="AJ156" s="969" t="s">
        <v>456</v>
      </c>
      <c r="AK156" s="929"/>
      <c r="AX156" s="974"/>
      <c r="AY156" s="975"/>
      <c r="AZ156" s="976"/>
      <c r="BD156" s="974"/>
      <c r="BE156" s="975"/>
      <c r="BF156" s="976"/>
      <c r="BJ156" s="974"/>
      <c r="BK156" s="975"/>
      <c r="BL156" s="976"/>
      <c r="BP156" s="974"/>
      <c r="BQ156" s="975"/>
      <c r="BR156" s="976"/>
      <c r="BV156" s="974"/>
      <c r="BW156" s="975"/>
      <c r="BX156" s="976"/>
    </row>
    <row r="157" spans="2:96" s="977" customFormat="1" ht="6.6" customHeight="1">
      <c r="B157" s="978"/>
      <c r="C157" s="979"/>
      <c r="D157" s="979"/>
      <c r="E157" s="980"/>
      <c r="F157" s="979"/>
      <c r="G157" s="979"/>
      <c r="H157" s="979"/>
      <c r="I157" s="979"/>
      <c r="J157" s="979"/>
      <c r="K157" s="979"/>
      <c r="L157" s="979"/>
      <c r="M157" s="979"/>
      <c r="N157" s="979"/>
      <c r="O157" s="979"/>
      <c r="P157" s="981"/>
      <c r="Q157" s="981"/>
      <c r="R157" s="981"/>
      <c r="T157" s="978"/>
      <c r="U157" s="982"/>
      <c r="V157" s="982"/>
      <c r="W157" s="982"/>
      <c r="X157" s="982"/>
      <c r="Y157" s="982"/>
      <c r="Z157" s="982"/>
      <c r="AA157" s="982"/>
      <c r="AB157" s="982"/>
      <c r="AC157" s="982"/>
      <c r="AD157" s="982"/>
      <c r="AE157" s="982"/>
      <c r="AF157" s="982"/>
      <c r="AG157" s="983"/>
      <c r="AH157" s="981"/>
      <c r="AI157" s="981"/>
      <c r="AJ157" s="981"/>
      <c r="AN157" s="984"/>
      <c r="AP157" s="985"/>
      <c r="AT157" s="984"/>
      <c r="AV157" s="985"/>
      <c r="AX157" s="986"/>
      <c r="AY157" s="987"/>
      <c r="AZ157" s="988"/>
      <c r="BB157" s="985"/>
      <c r="BD157" s="986"/>
      <c r="BE157" s="987"/>
      <c r="BF157" s="988"/>
      <c r="BH157" s="985"/>
      <c r="BJ157" s="986"/>
      <c r="BK157" s="987"/>
      <c r="BL157" s="988"/>
      <c r="BN157" s="985"/>
      <c r="BP157" s="986"/>
      <c r="BQ157" s="987"/>
      <c r="BR157" s="988"/>
      <c r="BT157" s="985"/>
      <c r="BV157" s="986"/>
      <c r="BW157" s="987"/>
      <c r="BX157" s="988"/>
      <c r="BZ157" s="985"/>
    </row>
    <row r="158" spans="2:96">
      <c r="B158" s="989">
        <v>-20</v>
      </c>
      <c r="C158" s="926">
        <v>-0.43</v>
      </c>
      <c r="D158" s="926">
        <v>-0.69</v>
      </c>
      <c r="E158" s="990">
        <v>1E-3</v>
      </c>
      <c r="F158" s="926">
        <v>1</v>
      </c>
      <c r="G158" s="926">
        <v>1E-3</v>
      </c>
      <c r="H158" s="926">
        <v>-0.05</v>
      </c>
      <c r="I158" s="926">
        <v>1E-3</v>
      </c>
      <c r="J158" s="926">
        <v>1E-3</v>
      </c>
      <c r="K158" s="926">
        <v>0.53</v>
      </c>
      <c r="L158" s="926">
        <v>1E-3</v>
      </c>
      <c r="M158" s="926">
        <v>0.53</v>
      </c>
      <c r="N158" s="926">
        <v>1E-3</v>
      </c>
      <c r="O158" s="926">
        <v>2</v>
      </c>
      <c r="P158" s="926">
        <v>-0.7</v>
      </c>
      <c r="Q158" s="926">
        <v>-1.5E-3</v>
      </c>
      <c r="R158" s="926">
        <v>-1.8</v>
      </c>
      <c r="S158" s="929"/>
      <c r="T158" s="989">
        <v>-20</v>
      </c>
      <c r="U158" s="926">
        <v>-0.48</v>
      </c>
      <c r="V158" s="926">
        <v>-0.69</v>
      </c>
      <c r="W158" s="926">
        <v>1E-3</v>
      </c>
      <c r="X158" s="926">
        <v>1E-3</v>
      </c>
      <c r="Y158" s="926">
        <v>1E-3</v>
      </c>
      <c r="Z158" s="926">
        <v>-1.4E-3</v>
      </c>
      <c r="AA158" s="926">
        <v>1E-3</v>
      </c>
      <c r="AB158" s="926">
        <v>1E-3</v>
      </c>
      <c r="AC158" s="926">
        <v>0.62</v>
      </c>
      <c r="AD158" s="926">
        <v>1E-3</v>
      </c>
      <c r="AE158" s="926">
        <v>0.62</v>
      </c>
      <c r="AF158" s="926">
        <v>1E-3</v>
      </c>
      <c r="AG158" s="991">
        <v>16</v>
      </c>
      <c r="AH158" s="926">
        <v>-0.7</v>
      </c>
      <c r="AI158" s="926">
        <v>-1.5E-3</v>
      </c>
      <c r="AJ158" s="926">
        <v>-1.8</v>
      </c>
      <c r="AK158" s="929"/>
      <c r="AX158" s="972"/>
      <c r="AY158" s="972"/>
      <c r="BC158" s="992"/>
      <c r="BD158" s="972"/>
      <c r="BE158" s="972"/>
      <c r="BI158" s="992"/>
      <c r="BJ158" s="972"/>
      <c r="BK158" s="972"/>
      <c r="BO158" s="992"/>
      <c r="BP158" s="972"/>
      <c r="BQ158" s="972"/>
      <c r="BU158" s="992"/>
      <c r="BV158" s="972"/>
      <c r="BW158" s="972"/>
      <c r="CA158" s="992"/>
      <c r="CB158" s="992"/>
      <c r="CC158" s="992"/>
    </row>
    <row r="159" spans="2:96">
      <c r="B159" s="989">
        <v>-15</v>
      </c>
      <c r="C159" s="926">
        <v>-0.37</v>
      </c>
      <c r="D159" s="926">
        <v>-0.56999999999999995</v>
      </c>
      <c r="E159" s="990">
        <v>-0.45</v>
      </c>
      <c r="F159" s="926">
        <v>2</v>
      </c>
      <c r="G159" s="926">
        <v>1E-3</v>
      </c>
      <c r="H159" s="926">
        <v>1E-3</v>
      </c>
      <c r="I159" s="926">
        <v>1E-3</v>
      </c>
      <c r="J159" s="926">
        <v>1E-3</v>
      </c>
      <c r="K159" s="926">
        <v>1E-3</v>
      </c>
      <c r="L159" s="926">
        <v>1E-3</v>
      </c>
      <c r="M159" s="926">
        <v>1E-3</v>
      </c>
      <c r="N159" s="926">
        <v>1E-3</v>
      </c>
      <c r="O159" s="926">
        <v>3</v>
      </c>
      <c r="P159" s="926">
        <v>-0.7</v>
      </c>
      <c r="Q159" s="926">
        <v>1E-3</v>
      </c>
      <c r="R159" s="926">
        <v>-1.52</v>
      </c>
      <c r="S159" s="929"/>
      <c r="T159" s="989">
        <v>-15</v>
      </c>
      <c r="U159" s="926">
        <v>-0.4</v>
      </c>
      <c r="V159" s="926">
        <v>-0.56000000000000005</v>
      </c>
      <c r="W159" s="926">
        <v>-0.44</v>
      </c>
      <c r="X159" s="926">
        <v>1E-3</v>
      </c>
      <c r="Y159" s="926">
        <v>1E-3</v>
      </c>
      <c r="Z159" s="926">
        <v>1E-3</v>
      </c>
      <c r="AA159" s="926">
        <v>1E-3</v>
      </c>
      <c r="AB159" s="926">
        <v>1E-3</v>
      </c>
      <c r="AC159" s="926">
        <v>1E-3</v>
      </c>
      <c r="AD159" s="926">
        <v>1E-3</v>
      </c>
      <c r="AE159" s="926">
        <v>1E-3</v>
      </c>
      <c r="AF159" s="926">
        <v>1E-3</v>
      </c>
      <c r="AG159" s="991">
        <v>17</v>
      </c>
      <c r="AH159" s="926">
        <v>-0.7</v>
      </c>
      <c r="AI159" s="926">
        <v>1E-3</v>
      </c>
      <c r="AJ159" s="926">
        <v>-1.52</v>
      </c>
      <c r="AK159" s="929"/>
      <c r="AX159" s="972"/>
      <c r="AY159" s="972"/>
      <c r="BC159" s="992"/>
      <c r="BD159" s="972"/>
      <c r="BE159" s="972"/>
      <c r="BI159" s="992"/>
      <c r="BJ159" s="972"/>
      <c r="BK159" s="972"/>
      <c r="BO159" s="992"/>
      <c r="BP159" s="972"/>
      <c r="BQ159" s="972"/>
      <c r="BU159" s="992"/>
      <c r="BV159" s="972"/>
      <c r="BW159" s="972"/>
      <c r="CA159" s="992"/>
      <c r="CB159" s="992"/>
      <c r="CC159" s="992"/>
    </row>
    <row r="160" spans="2:96">
      <c r="B160" s="989">
        <v>-10</v>
      </c>
      <c r="C160" s="926">
        <v>-0.32</v>
      </c>
      <c r="D160" s="926">
        <v>1E-3</v>
      </c>
      <c r="E160" s="990">
        <v>-0.34</v>
      </c>
      <c r="F160" s="926">
        <v>3</v>
      </c>
      <c r="G160" s="926">
        <v>1E-3</v>
      </c>
      <c r="H160" s="926">
        <v>1.6999999999999999E-3</v>
      </c>
      <c r="I160" s="926">
        <v>1E-3</v>
      </c>
      <c r="J160" s="926">
        <v>1E-3</v>
      </c>
      <c r="K160" s="926">
        <v>0.5</v>
      </c>
      <c r="L160" s="926">
        <v>1E-3</v>
      </c>
      <c r="M160" s="926">
        <v>0.5</v>
      </c>
      <c r="N160" s="926">
        <v>1E-3</v>
      </c>
      <c r="O160" s="926">
        <v>4</v>
      </c>
      <c r="P160" s="926">
        <v>-0.7</v>
      </c>
      <c r="Q160" s="926">
        <v>-0.05</v>
      </c>
      <c r="R160" s="926">
        <v>-1.26</v>
      </c>
      <c r="S160" s="929"/>
      <c r="T160" s="989">
        <v>-10</v>
      </c>
      <c r="U160" s="926">
        <v>-0.33</v>
      </c>
      <c r="V160" s="926">
        <v>-0.25</v>
      </c>
      <c r="W160" s="926">
        <v>-0.34</v>
      </c>
      <c r="X160" s="926">
        <v>1E-3</v>
      </c>
      <c r="Y160" s="926">
        <v>1E-3</v>
      </c>
      <c r="Z160" s="926">
        <v>1E-3</v>
      </c>
      <c r="AA160" s="926">
        <v>1E-3</v>
      </c>
      <c r="AB160" s="926">
        <v>1E-3</v>
      </c>
      <c r="AC160" s="926">
        <v>0.59</v>
      </c>
      <c r="AD160" s="926">
        <v>1E-3</v>
      </c>
      <c r="AE160" s="926">
        <v>0.59</v>
      </c>
      <c r="AF160" s="926">
        <v>1E-3</v>
      </c>
      <c r="AG160" s="991">
        <v>18</v>
      </c>
      <c r="AH160" s="926">
        <v>-0.7</v>
      </c>
      <c r="AI160" s="926">
        <v>-0.05</v>
      </c>
      <c r="AJ160" s="926">
        <v>-1.26</v>
      </c>
      <c r="AK160" s="929"/>
      <c r="AX160" s="972"/>
      <c r="AY160" s="972"/>
      <c r="BD160" s="972"/>
      <c r="BE160" s="972"/>
      <c r="BJ160" s="972"/>
      <c r="BK160" s="972"/>
      <c r="BP160" s="972"/>
      <c r="BQ160" s="972"/>
      <c r="BV160" s="972"/>
      <c r="BW160" s="972"/>
    </row>
    <row r="161" spans="2:81">
      <c r="B161" s="989">
        <v>1E-3</v>
      </c>
      <c r="C161" s="926">
        <v>-0.23</v>
      </c>
      <c r="D161" s="926">
        <v>-0.28000000000000003</v>
      </c>
      <c r="E161" s="990">
        <v>-0.35</v>
      </c>
      <c r="F161" s="926">
        <v>4</v>
      </c>
      <c r="G161" s="926">
        <v>1E-3</v>
      </c>
      <c r="H161" s="926">
        <v>0.35</v>
      </c>
      <c r="I161" s="926">
        <v>1E-3</v>
      </c>
      <c r="J161" s="926">
        <v>1E-3</v>
      </c>
      <c r="K161" s="926">
        <v>0.48</v>
      </c>
      <c r="L161" s="926">
        <v>1E-3</v>
      </c>
      <c r="M161" s="926">
        <v>0.48</v>
      </c>
      <c r="N161" s="926">
        <v>1E-3</v>
      </c>
      <c r="O161" s="926">
        <v>5</v>
      </c>
      <c r="P161" s="926">
        <v>-0.7</v>
      </c>
      <c r="Q161" s="926">
        <v>0.03</v>
      </c>
      <c r="R161" s="926">
        <v>-0.79</v>
      </c>
      <c r="S161" s="929"/>
      <c r="T161" s="989">
        <v>1E-3</v>
      </c>
      <c r="U161" s="926">
        <v>-0.2</v>
      </c>
      <c r="V161" s="926">
        <v>1E-3</v>
      </c>
      <c r="W161" s="926">
        <v>-0.32</v>
      </c>
      <c r="X161" s="926">
        <v>1E-3</v>
      </c>
      <c r="Y161" s="926">
        <v>1E-3</v>
      </c>
      <c r="Z161" s="926">
        <v>0.28999999999999998</v>
      </c>
      <c r="AA161" s="926">
        <v>1E-3</v>
      </c>
      <c r="AB161" s="926">
        <v>1E-3</v>
      </c>
      <c r="AC161" s="926">
        <v>0.56000000000000005</v>
      </c>
      <c r="AD161" s="926">
        <v>1E-3</v>
      </c>
      <c r="AE161" s="926">
        <v>0.56000000000000005</v>
      </c>
      <c r="AF161" s="926">
        <v>1E-3</v>
      </c>
      <c r="AG161" s="991">
        <v>19</v>
      </c>
      <c r="AH161" s="926">
        <v>-0.7</v>
      </c>
      <c r="AI161" s="926">
        <v>0.03</v>
      </c>
      <c r="AJ161" s="926">
        <v>-0.79</v>
      </c>
      <c r="AK161" s="929"/>
      <c r="AX161" s="972"/>
      <c r="AY161" s="972"/>
      <c r="BD161" s="972"/>
      <c r="BE161" s="972"/>
      <c r="BJ161" s="972"/>
      <c r="BK161" s="972"/>
      <c r="BP161" s="972"/>
      <c r="BQ161" s="972"/>
      <c r="BV161" s="972"/>
      <c r="BW161" s="972"/>
    </row>
    <row r="162" spans="2:81">
      <c r="B162" s="989">
        <v>2</v>
      </c>
      <c r="C162" s="926">
        <v>-0.21</v>
      </c>
      <c r="D162" s="926">
        <v>-0.25</v>
      </c>
      <c r="E162" s="990">
        <v>-0.35</v>
      </c>
      <c r="F162" s="926">
        <v>5</v>
      </c>
      <c r="G162" s="926">
        <v>1E-3</v>
      </c>
      <c r="H162" s="926">
        <v>0.38</v>
      </c>
      <c r="I162" s="926">
        <v>1E-3</v>
      </c>
      <c r="J162" s="926">
        <v>1E-3</v>
      </c>
      <c r="K162" s="926">
        <v>0.48</v>
      </c>
      <c r="L162" s="926">
        <v>1E-3</v>
      </c>
      <c r="M162" s="926">
        <v>0.48</v>
      </c>
      <c r="N162" s="926">
        <v>1E-3</v>
      </c>
      <c r="O162" s="926">
        <v>6</v>
      </c>
      <c r="P162" s="926">
        <v>-0.7</v>
      </c>
      <c r="Q162" s="926">
        <v>0.04</v>
      </c>
      <c r="R162" s="926">
        <v>-2.7</v>
      </c>
      <c r="S162" s="929"/>
      <c r="T162" s="989">
        <v>2</v>
      </c>
      <c r="U162" s="926">
        <v>-1.8E-3</v>
      </c>
      <c r="V162" s="926">
        <v>-0.22</v>
      </c>
      <c r="W162" s="926">
        <v>-0.32</v>
      </c>
      <c r="X162" s="926">
        <v>1E-3</v>
      </c>
      <c r="Y162" s="926">
        <v>1E-3</v>
      </c>
      <c r="Z162" s="926">
        <v>0.33</v>
      </c>
      <c r="AA162" s="926">
        <v>1E-3</v>
      </c>
      <c r="AB162" s="926">
        <v>1E-3</v>
      </c>
      <c r="AC162" s="926">
        <v>0.55000000000000004</v>
      </c>
      <c r="AD162" s="926">
        <v>1E-3</v>
      </c>
      <c r="AE162" s="926">
        <v>0.55000000000000004</v>
      </c>
      <c r="AF162" s="926">
        <v>1E-3</v>
      </c>
      <c r="AG162" s="991">
        <v>20</v>
      </c>
      <c r="AH162" s="926">
        <v>-0.7</v>
      </c>
      <c r="AI162" s="926">
        <v>0.04</v>
      </c>
      <c r="AJ162" s="926">
        <v>-2.7</v>
      </c>
      <c r="AK162" s="929"/>
      <c r="AX162" s="972"/>
      <c r="AY162" s="972"/>
      <c r="BD162" s="972"/>
      <c r="BE162" s="972"/>
      <c r="BJ162" s="972"/>
      <c r="BK162" s="972"/>
      <c r="BP162" s="972"/>
      <c r="BQ162" s="972"/>
      <c r="BV162" s="972"/>
      <c r="BW162" s="972"/>
    </row>
    <row r="163" spans="2:81">
      <c r="B163" s="989">
        <v>8</v>
      </c>
      <c r="C163" s="926">
        <v>-1.6000000000000001E-3</v>
      </c>
      <c r="D163" s="926">
        <v>-1.6999999999999999E-3</v>
      </c>
      <c r="E163" s="990">
        <v>-1.5E-3</v>
      </c>
      <c r="F163" s="926">
        <v>6</v>
      </c>
      <c r="G163" s="926">
        <v>1E-3</v>
      </c>
      <c r="H163" s="926">
        <v>0.47</v>
      </c>
      <c r="I163" s="926">
        <v>1E-3</v>
      </c>
      <c r="J163" s="926">
        <v>1E-3</v>
      </c>
      <c r="K163" s="926">
        <v>0.46</v>
      </c>
      <c r="L163" s="926">
        <v>1E-3</v>
      </c>
      <c r="M163" s="926">
        <v>0.46</v>
      </c>
      <c r="N163" s="926">
        <v>1E-3</v>
      </c>
      <c r="O163" s="926">
        <v>7</v>
      </c>
      <c r="P163" s="926">
        <v>-0.7</v>
      </c>
      <c r="Q163" s="926">
        <v>0.08</v>
      </c>
      <c r="R163" s="926">
        <v>-0.46</v>
      </c>
      <c r="S163" s="929"/>
      <c r="T163" s="989">
        <v>8</v>
      </c>
      <c r="U163" s="926">
        <v>-1.1000000000000001E-3</v>
      </c>
      <c r="V163" s="926">
        <v>-1.2999999999999999E-3</v>
      </c>
      <c r="W163" s="926">
        <v>-1.8E-3</v>
      </c>
      <c r="X163" s="926">
        <v>1E-3</v>
      </c>
      <c r="Y163" s="926">
        <v>1E-3</v>
      </c>
      <c r="Z163" s="926">
        <v>0.42</v>
      </c>
      <c r="AA163" s="926">
        <v>1E-3</v>
      </c>
      <c r="AB163" s="926">
        <v>1E-3</v>
      </c>
      <c r="AC163" s="926">
        <v>0.53</v>
      </c>
      <c r="AD163" s="926">
        <v>1E-3</v>
      </c>
      <c r="AE163" s="926">
        <v>0.53</v>
      </c>
      <c r="AF163" s="926">
        <v>1E-3</v>
      </c>
      <c r="AG163" s="991">
        <v>21</v>
      </c>
      <c r="AH163" s="926">
        <v>-0.7</v>
      </c>
      <c r="AI163" s="926">
        <v>0.08</v>
      </c>
      <c r="AJ163" s="926">
        <v>-0.46</v>
      </c>
      <c r="AK163" s="929"/>
      <c r="AX163" s="972"/>
      <c r="AY163" s="972"/>
      <c r="BD163" s="972"/>
      <c r="BE163" s="972"/>
      <c r="BJ163" s="972"/>
      <c r="BK163" s="972"/>
      <c r="BP163" s="972"/>
      <c r="BQ163" s="972"/>
      <c r="BV163" s="972"/>
      <c r="BW163" s="972"/>
    </row>
    <row r="164" spans="2:81">
      <c r="B164" s="989">
        <v>37</v>
      </c>
      <c r="C164" s="926">
        <v>1E-3</v>
      </c>
      <c r="D164" s="926">
        <v>0.04</v>
      </c>
      <c r="E164" s="990">
        <v>-1.5E-3</v>
      </c>
      <c r="F164" s="926">
        <v>7</v>
      </c>
      <c r="G164" s="926">
        <v>1E-3</v>
      </c>
      <c r="H164" s="926">
        <v>0.72</v>
      </c>
      <c r="I164" s="926">
        <v>1E-3</v>
      </c>
      <c r="J164" s="926">
        <v>1E-3</v>
      </c>
      <c r="K164" s="926">
        <v>0.38</v>
      </c>
      <c r="L164" s="926">
        <v>1E-3</v>
      </c>
      <c r="M164" s="993">
        <v>0.38</v>
      </c>
      <c r="N164" s="926">
        <v>1E-3</v>
      </c>
      <c r="O164" s="926">
        <v>8</v>
      </c>
      <c r="P164" s="926">
        <v>-0.6</v>
      </c>
      <c r="Q164" s="926">
        <v>0.23</v>
      </c>
      <c r="R164" s="926">
        <v>0.42</v>
      </c>
      <c r="S164" s="929"/>
      <c r="T164" s="989">
        <v>37</v>
      </c>
      <c r="U164" s="926">
        <v>1.1000000000000001E-3</v>
      </c>
      <c r="V164" s="926">
        <v>1.1999999999999999E-3</v>
      </c>
      <c r="W164" s="926">
        <v>-1.6999999999999999E-3</v>
      </c>
      <c r="X164" s="926">
        <v>1E-3</v>
      </c>
      <c r="Y164" s="926">
        <v>1E-3</v>
      </c>
      <c r="Z164" s="926">
        <v>0.69</v>
      </c>
      <c r="AA164" s="926">
        <v>1E-3</v>
      </c>
      <c r="AB164" s="926">
        <v>1E-3</v>
      </c>
      <c r="AC164" s="926">
        <v>0.43</v>
      </c>
      <c r="AD164" s="926">
        <v>1E-3</v>
      </c>
      <c r="AE164" s="926">
        <v>0.43</v>
      </c>
      <c r="AF164" s="926">
        <v>1E-3</v>
      </c>
      <c r="AG164" s="991">
        <v>22</v>
      </c>
      <c r="AH164" s="926">
        <v>-0.6</v>
      </c>
      <c r="AI164" s="926">
        <v>0.23</v>
      </c>
      <c r="AJ164" s="926">
        <v>0.42</v>
      </c>
      <c r="AK164" s="929"/>
      <c r="AX164" s="972"/>
      <c r="AY164" s="972"/>
      <c r="BD164" s="972"/>
      <c r="BE164" s="972"/>
      <c r="BJ164" s="972"/>
      <c r="BK164" s="972"/>
      <c r="BP164" s="972"/>
      <c r="BQ164" s="972"/>
      <c r="BV164" s="972"/>
      <c r="BW164" s="972"/>
    </row>
    <row r="165" spans="2:81">
      <c r="B165" s="989">
        <v>44</v>
      </c>
      <c r="C165" s="926">
        <v>0.02</v>
      </c>
      <c r="D165" s="926">
        <v>0.06</v>
      </c>
      <c r="E165" s="990">
        <v>-1.8E-3</v>
      </c>
      <c r="F165" s="926">
        <v>8</v>
      </c>
      <c r="G165" s="926">
        <v>1E-3</v>
      </c>
      <c r="H165" s="926">
        <v>0.75</v>
      </c>
      <c r="I165" s="926">
        <v>1E-3</v>
      </c>
      <c r="J165" s="926">
        <v>1E-3</v>
      </c>
      <c r="K165" s="926">
        <v>0.36</v>
      </c>
      <c r="L165" s="926">
        <v>1E-3</v>
      </c>
      <c r="M165" s="926">
        <v>0.36</v>
      </c>
      <c r="N165" s="926">
        <v>1E-3</v>
      </c>
      <c r="O165" s="926">
        <v>9</v>
      </c>
      <c r="P165" s="926">
        <v>-0.7</v>
      </c>
      <c r="Q165" s="926">
        <v>0.25</v>
      </c>
      <c r="R165" s="926">
        <v>0.56999999999999995</v>
      </c>
      <c r="S165" s="929"/>
      <c r="T165" s="989">
        <v>44</v>
      </c>
      <c r="U165" s="926">
        <v>1.4E-3</v>
      </c>
      <c r="V165" s="926">
        <v>1.5E-3</v>
      </c>
      <c r="W165" s="926">
        <v>-0.2</v>
      </c>
      <c r="X165" s="926">
        <v>1E-3</v>
      </c>
      <c r="Y165" s="926">
        <v>1E-3</v>
      </c>
      <c r="Z165" s="926">
        <v>0.72</v>
      </c>
      <c r="AA165" s="926">
        <v>1E-3</v>
      </c>
      <c r="AB165" s="926">
        <v>1E-3</v>
      </c>
      <c r="AC165" s="926">
        <v>0.41</v>
      </c>
      <c r="AD165" s="926">
        <v>1E-3</v>
      </c>
      <c r="AE165" s="926">
        <v>0.41</v>
      </c>
      <c r="AF165" s="926">
        <v>1E-3</v>
      </c>
      <c r="AG165" s="991">
        <v>23</v>
      </c>
      <c r="AH165" s="926">
        <v>-0.7</v>
      </c>
      <c r="AI165" s="926">
        <v>0.25</v>
      </c>
      <c r="AJ165" s="926">
        <v>0.56999999999999995</v>
      </c>
      <c r="AK165" s="929"/>
      <c r="AX165" s="972"/>
      <c r="AY165" s="972"/>
      <c r="BD165" s="972"/>
      <c r="BE165" s="972"/>
      <c r="BJ165" s="972"/>
      <c r="BK165" s="972"/>
      <c r="BP165" s="972"/>
      <c r="BQ165" s="972"/>
      <c r="BV165" s="972"/>
      <c r="BW165" s="972"/>
    </row>
    <row r="166" spans="2:81">
      <c r="B166" s="989">
        <v>50</v>
      </c>
      <c r="C166" s="926">
        <v>0.04</v>
      </c>
      <c r="D166" s="926">
        <v>0.06</v>
      </c>
      <c r="E166" s="990">
        <v>0.36</v>
      </c>
      <c r="F166" s="926">
        <v>9</v>
      </c>
      <c r="G166" s="926">
        <v>1E-3</v>
      </c>
      <c r="H166" s="926">
        <v>0.76</v>
      </c>
      <c r="I166" s="926">
        <v>1E-3</v>
      </c>
      <c r="J166" s="926">
        <v>1E-3</v>
      </c>
      <c r="K166" s="926">
        <v>0.34</v>
      </c>
      <c r="L166" s="926">
        <v>1E-3</v>
      </c>
      <c r="M166" s="926">
        <v>0.34</v>
      </c>
      <c r="N166" s="926">
        <v>1E-3</v>
      </c>
      <c r="O166" s="926">
        <v>10</v>
      </c>
      <c r="P166" s="926">
        <v>-0.7</v>
      </c>
      <c r="Q166" s="926">
        <v>0.27</v>
      </c>
      <c r="R166" s="926">
        <v>0.67</v>
      </c>
      <c r="S166" s="929"/>
      <c r="T166" s="989">
        <v>50</v>
      </c>
      <c r="U166" s="926">
        <v>1.6000000000000001E-3</v>
      </c>
      <c r="V166" s="926">
        <v>1.6000000000000001E-3</v>
      </c>
      <c r="W166" s="926">
        <v>1.6000000000000001E-3</v>
      </c>
      <c r="X166" s="926">
        <v>1E-3</v>
      </c>
      <c r="Y166" s="926">
        <v>1E-3</v>
      </c>
      <c r="Z166" s="926">
        <v>0.73</v>
      </c>
      <c r="AA166" s="926">
        <v>1E-3</v>
      </c>
      <c r="AB166" s="926">
        <v>1E-3</v>
      </c>
      <c r="AC166" s="926">
        <v>0.39</v>
      </c>
      <c r="AD166" s="926">
        <v>1E-3</v>
      </c>
      <c r="AE166" s="926">
        <v>0.39</v>
      </c>
      <c r="AF166" s="926">
        <v>1E-3</v>
      </c>
      <c r="AG166" s="991">
        <v>24</v>
      </c>
      <c r="AH166" s="926">
        <v>-0.7</v>
      </c>
      <c r="AI166" s="926">
        <v>0.27</v>
      </c>
      <c r="AJ166" s="926">
        <v>0.67</v>
      </c>
      <c r="AK166" s="929"/>
      <c r="AX166" s="972"/>
      <c r="AY166" s="972"/>
      <c r="BD166" s="972"/>
      <c r="BE166" s="972"/>
      <c r="BJ166" s="972"/>
      <c r="BK166" s="972"/>
      <c r="BP166" s="972"/>
      <c r="BQ166" s="972"/>
      <c r="BV166" s="972"/>
      <c r="BW166" s="972"/>
    </row>
    <row r="167" spans="2:81">
      <c r="B167" s="989">
        <v>100</v>
      </c>
      <c r="C167" s="926">
        <v>0.08</v>
      </c>
      <c r="D167" s="926">
        <v>-1E-3</v>
      </c>
      <c r="E167" s="990">
        <v>1.5E-3</v>
      </c>
      <c r="F167" s="926">
        <v>8</v>
      </c>
      <c r="G167" s="926">
        <v>1E-3</v>
      </c>
      <c r="H167" s="926">
        <v>0.56999999999999995</v>
      </c>
      <c r="I167" s="926">
        <v>1E-3</v>
      </c>
      <c r="J167" s="926">
        <v>1E-3</v>
      </c>
      <c r="K167" s="926">
        <v>1.6999999999999999E-3</v>
      </c>
      <c r="L167" s="926">
        <v>1E-3</v>
      </c>
      <c r="M167" s="926">
        <v>1.6999999999999999E-3</v>
      </c>
      <c r="N167" s="926">
        <v>1E-3</v>
      </c>
      <c r="O167" s="926">
        <v>11</v>
      </c>
      <c r="P167" s="926">
        <v>-0.7</v>
      </c>
      <c r="Q167" s="926">
        <v>0.31</v>
      </c>
      <c r="R167" s="926">
        <v>0.95</v>
      </c>
      <c r="S167" s="929"/>
      <c r="T167" s="989">
        <v>100</v>
      </c>
      <c r="U167" s="926">
        <v>0.23</v>
      </c>
      <c r="V167" s="926">
        <v>0.03</v>
      </c>
      <c r="W167" s="926">
        <v>-1.1000000000000001E-3</v>
      </c>
      <c r="X167" s="926">
        <v>1E-3</v>
      </c>
      <c r="Y167" s="926">
        <v>1E-3</v>
      </c>
      <c r="Z167" s="926">
        <v>0.52</v>
      </c>
      <c r="AA167" s="926">
        <v>1E-3</v>
      </c>
      <c r="AB167" s="926">
        <v>1E-3</v>
      </c>
      <c r="AC167" s="926">
        <v>1.9E-3</v>
      </c>
      <c r="AD167" s="926">
        <v>1E-3</v>
      </c>
      <c r="AE167" s="926">
        <v>1.9E-3</v>
      </c>
      <c r="AF167" s="926">
        <v>1E-3</v>
      </c>
      <c r="AG167" s="991">
        <v>25</v>
      </c>
      <c r="AH167" s="926">
        <v>-0.7</v>
      </c>
      <c r="AI167" s="926">
        <v>0.31</v>
      </c>
      <c r="AJ167" s="926">
        <v>0.95</v>
      </c>
      <c r="AK167" s="929"/>
      <c r="AX167" s="972"/>
      <c r="AY167" s="972"/>
      <c r="BD167" s="972"/>
      <c r="BE167" s="972"/>
      <c r="BJ167" s="972"/>
      <c r="BK167" s="972"/>
      <c r="BP167" s="972"/>
      <c r="BQ167" s="972"/>
      <c r="BV167" s="972"/>
      <c r="BW167" s="972"/>
      <c r="CC167" s="994"/>
    </row>
    <row r="168" spans="2:81">
      <c r="B168" s="989">
        <v>150</v>
      </c>
      <c r="C168" s="926">
        <v>0.08</v>
      </c>
      <c r="D168" s="926">
        <v>-1.6000000000000001E-3</v>
      </c>
      <c r="E168" s="990">
        <v>-1E-3</v>
      </c>
      <c r="F168" s="926">
        <v>7</v>
      </c>
      <c r="G168" s="926">
        <v>1E-3</v>
      </c>
      <c r="H168" s="926">
        <v>0.08</v>
      </c>
      <c r="I168" s="926">
        <v>1E-3</v>
      </c>
      <c r="J168" s="926">
        <v>1E-3</v>
      </c>
      <c r="K168" s="926">
        <v>-0.04</v>
      </c>
      <c r="L168" s="926">
        <v>1E-3</v>
      </c>
      <c r="M168" s="926">
        <v>-0.04</v>
      </c>
      <c r="N168" s="926">
        <v>1E-3</v>
      </c>
      <c r="O168" s="926">
        <v>12</v>
      </c>
      <c r="P168" s="926">
        <v>-0.7</v>
      </c>
      <c r="Q168" s="926">
        <v>0.3</v>
      </c>
      <c r="R168" s="926">
        <v>0.49</v>
      </c>
      <c r="S168" s="929"/>
      <c r="T168" s="989">
        <v>150</v>
      </c>
      <c r="U168" s="926">
        <v>0.28000000000000003</v>
      </c>
      <c r="V168" s="926">
        <v>-0.06</v>
      </c>
      <c r="W168" s="926">
        <v>-0.44</v>
      </c>
      <c r="X168" s="926">
        <v>1E-3</v>
      </c>
      <c r="Y168" s="926">
        <v>1E-3</v>
      </c>
      <c r="Z168" s="926">
        <v>1E-3</v>
      </c>
      <c r="AA168" s="926">
        <v>1E-3</v>
      </c>
      <c r="AB168" s="926">
        <v>1E-3</v>
      </c>
      <c r="AC168" s="926">
        <v>-0.03</v>
      </c>
      <c r="AD168" s="926">
        <v>1E-3</v>
      </c>
      <c r="AE168" s="926">
        <v>-0.03</v>
      </c>
      <c r="AF168" s="926">
        <v>1E-3</v>
      </c>
      <c r="AG168" s="991">
        <v>26</v>
      </c>
      <c r="AH168" s="926">
        <v>-0.7</v>
      </c>
      <c r="AI168" s="926">
        <v>0.3</v>
      </c>
      <c r="AJ168" s="926">
        <v>0.49</v>
      </c>
      <c r="AK168" s="929"/>
      <c r="AX168" s="972"/>
      <c r="AY168" s="972"/>
      <c r="BD168" s="972"/>
      <c r="BE168" s="972"/>
      <c r="BJ168" s="972"/>
      <c r="BK168" s="972"/>
      <c r="BP168" s="972"/>
      <c r="BQ168" s="972"/>
      <c r="BV168" s="972"/>
      <c r="BW168" s="972"/>
      <c r="CC168" s="994"/>
    </row>
    <row r="169" spans="2:81">
      <c r="B169" s="989">
        <v>200</v>
      </c>
      <c r="C169" s="926">
        <v>0.22</v>
      </c>
      <c r="D169" s="926">
        <v>0.47</v>
      </c>
      <c r="E169" s="990">
        <v>0.31</v>
      </c>
      <c r="F169" s="926">
        <v>6</v>
      </c>
      <c r="G169" s="926">
        <v>1E-3</v>
      </c>
      <c r="H169" s="926">
        <v>-0.38</v>
      </c>
      <c r="I169" s="926">
        <v>1E-3</v>
      </c>
      <c r="J169" s="926">
        <v>1E-3</v>
      </c>
      <c r="K169" s="926">
        <v>-0.28000000000000003</v>
      </c>
      <c r="L169" s="926">
        <v>1E-3</v>
      </c>
      <c r="M169" s="926">
        <v>-0.28000000000000003</v>
      </c>
      <c r="N169" s="926">
        <v>1E-3</v>
      </c>
      <c r="O169" s="926">
        <v>13</v>
      </c>
      <c r="P169" s="926">
        <v>-0.6</v>
      </c>
      <c r="Q169" s="926">
        <v>0.34</v>
      </c>
      <c r="R169" s="926">
        <v>-0.26</v>
      </c>
      <c r="S169" s="929"/>
      <c r="T169" s="989">
        <v>200</v>
      </c>
      <c r="U169" s="926">
        <v>0.56000000000000005</v>
      </c>
      <c r="V169" s="926">
        <v>0.45</v>
      </c>
      <c r="W169" s="926">
        <v>-1E-3</v>
      </c>
      <c r="X169" s="926">
        <v>1E-3</v>
      </c>
      <c r="Y169" s="926">
        <v>1E-3</v>
      </c>
      <c r="Z169" s="926">
        <v>-0.47</v>
      </c>
      <c r="AA169" s="926">
        <v>1E-3</v>
      </c>
      <c r="AB169" s="926">
        <v>1E-3</v>
      </c>
      <c r="AC169" s="926">
        <v>-0.28000000000000003</v>
      </c>
      <c r="AD169" s="926">
        <v>1E-3</v>
      </c>
      <c r="AE169" s="926">
        <v>-0.28000000000000003</v>
      </c>
      <c r="AF169" s="926">
        <v>1E-3</v>
      </c>
      <c r="AG169" s="991">
        <v>27</v>
      </c>
      <c r="AH169" s="926">
        <v>-0.6</v>
      </c>
      <c r="AI169" s="926">
        <v>0.34</v>
      </c>
      <c r="AJ169" s="926">
        <v>-0.26</v>
      </c>
      <c r="AK169" s="929"/>
      <c r="AX169" s="972"/>
      <c r="AY169" s="972"/>
      <c r="BD169" s="972"/>
      <c r="BE169" s="972"/>
      <c r="BJ169" s="972"/>
      <c r="BK169" s="972"/>
      <c r="BP169" s="972"/>
      <c r="BQ169" s="972"/>
      <c r="BV169" s="972"/>
      <c r="BW169" s="972"/>
      <c r="CC169" s="973"/>
    </row>
    <row r="170" spans="2:81">
      <c r="B170" s="989" t="s">
        <v>237</v>
      </c>
      <c r="C170" s="989">
        <v>0.34</v>
      </c>
      <c r="D170" s="989">
        <v>0.36</v>
      </c>
      <c r="E170" s="989">
        <v>0.39</v>
      </c>
      <c r="F170" s="921">
        <v>1E-3</v>
      </c>
      <c r="G170" s="921">
        <v>1E-3</v>
      </c>
      <c r="H170" s="921">
        <v>0.92</v>
      </c>
      <c r="I170" s="921">
        <v>1E-3</v>
      </c>
      <c r="J170" s="921">
        <v>1E-3</v>
      </c>
      <c r="K170" s="921">
        <v>0.79</v>
      </c>
      <c r="L170" s="921">
        <v>1E-3</v>
      </c>
      <c r="M170" s="921">
        <v>0.79</v>
      </c>
      <c r="N170" s="921">
        <v>1E-3</v>
      </c>
      <c r="O170" s="921">
        <v>14</v>
      </c>
      <c r="P170" s="995">
        <v>0.4</v>
      </c>
      <c r="Q170" s="995">
        <v>0.22</v>
      </c>
      <c r="R170" s="995">
        <v>0.77</v>
      </c>
      <c r="S170" s="929"/>
      <c r="T170" s="989" t="s">
        <v>237</v>
      </c>
      <c r="U170" s="989">
        <v>0.34</v>
      </c>
      <c r="V170" s="989">
        <v>0.36</v>
      </c>
      <c r="W170" s="989">
        <v>0.39</v>
      </c>
      <c r="X170" s="989">
        <v>1E-3</v>
      </c>
      <c r="Y170" s="921">
        <v>1E-3</v>
      </c>
      <c r="Z170" s="989">
        <v>0.92</v>
      </c>
      <c r="AA170" s="921">
        <v>1E-3</v>
      </c>
      <c r="AB170" s="921">
        <v>1E-3</v>
      </c>
      <c r="AC170" s="989">
        <v>0.79</v>
      </c>
      <c r="AD170" s="921">
        <v>1E-3</v>
      </c>
      <c r="AE170" s="921">
        <v>0.79</v>
      </c>
      <c r="AF170" s="921">
        <v>1E-3</v>
      </c>
      <c r="AG170" s="989">
        <v>28</v>
      </c>
      <c r="AH170" s="995">
        <v>0.4</v>
      </c>
      <c r="AI170" s="995">
        <v>0.22</v>
      </c>
      <c r="AJ170" s="995">
        <v>0.77</v>
      </c>
      <c r="AK170" s="929"/>
      <c r="AX170" s="996"/>
      <c r="AY170" s="996"/>
      <c r="AZ170" s="996"/>
      <c r="BD170" s="996"/>
      <c r="BE170" s="996"/>
      <c r="BF170" s="996"/>
      <c r="BJ170" s="996"/>
      <c r="BK170" s="996"/>
      <c r="BL170" s="996"/>
      <c r="BP170" s="996"/>
      <c r="BQ170" s="996"/>
      <c r="BR170" s="996"/>
      <c r="BV170" s="996"/>
      <c r="BW170" s="996"/>
      <c r="BX170" s="996"/>
    </row>
    <row r="171" spans="2:81" s="929" customFormat="1">
      <c r="F171" s="997"/>
      <c r="V171" s="944"/>
      <c r="W171" s="944"/>
      <c r="X171" s="944"/>
      <c r="Y171" s="944"/>
      <c r="Z171" s="944"/>
      <c r="AA171" s="944"/>
      <c r="AB171" s="944"/>
      <c r="AC171" s="944"/>
      <c r="AD171" s="944"/>
      <c r="AF171" s="998"/>
      <c r="AG171" s="998"/>
      <c r="AI171" s="931"/>
      <c r="AZ171" s="930"/>
      <c r="BB171" s="931"/>
      <c r="BF171" s="930"/>
      <c r="BH171" s="931"/>
      <c r="BL171" s="930"/>
      <c r="BN171" s="931"/>
      <c r="BR171" s="930"/>
      <c r="BT171" s="931"/>
      <c r="BX171" s="930"/>
      <c r="BZ171" s="931"/>
    </row>
    <row r="172" spans="2:81" s="929" customFormat="1">
      <c r="V172" s="930"/>
      <c r="W172" s="930"/>
      <c r="X172" s="930"/>
      <c r="Y172" s="930"/>
      <c r="Z172" s="930"/>
      <c r="AA172" s="930"/>
      <c r="AB172" s="930"/>
      <c r="AC172" s="930"/>
      <c r="AD172" s="930"/>
      <c r="AI172" s="931"/>
      <c r="AZ172" s="930"/>
      <c r="BB172" s="931"/>
      <c r="BF172" s="930"/>
      <c r="BH172" s="931"/>
      <c r="BL172" s="930"/>
      <c r="BN172" s="931"/>
      <c r="BR172" s="930"/>
      <c r="BT172" s="931"/>
      <c r="BX172" s="930"/>
      <c r="BZ172" s="931"/>
    </row>
    <row r="173" spans="2:81" ht="97.8" customHeight="1">
      <c r="B173" s="999" t="s">
        <v>217</v>
      </c>
      <c r="C173" s="1000" t="str">
        <f>U156</f>
        <v>Thermocouple Data Logger, Merek : MADGETECH, Model : OctTemp 2000, SN : P40270</v>
      </c>
      <c r="D173" s="971" t="str">
        <f>V156</f>
        <v>Thermocouple Data Logger, Merek : MADGETECH, Model : OctTemp 2000, SN : P41878</v>
      </c>
      <c r="E173" s="1001" t="str">
        <f>W156</f>
        <v>Mobile Corder, Merek : Yokogawa, Model : GP 10, SN : S5T810599</v>
      </c>
      <c r="F173" s="1002" t="str">
        <f t="shared" ref="F173:O173" si="309">F156</f>
        <v>Wireless Temperature Recorder : Merek : HIOKI, Model : LR 8510, SN : 200936000</v>
      </c>
      <c r="G173" s="1002" t="str">
        <f t="shared" si="309"/>
        <v>Wireless Temperature Recorder : Merek : HIOKI, Model : LR 8510, SN : 200936001</v>
      </c>
      <c r="H173" s="1002" t="str">
        <f t="shared" si="309"/>
        <v>Wireless Temperature Recorder : Merek : HIOKI, Model : LR 8510, SN : 200821397</v>
      </c>
      <c r="I173" s="1002" t="str">
        <f t="shared" si="309"/>
        <v>Wireless Temperature Recorder : Merek : HIOKI, Model : LR 8510, SN : 210411983</v>
      </c>
      <c r="J173" s="1002" t="str">
        <f t="shared" si="309"/>
        <v>Wireless Temperature Recorder : Merek : HIOKI, Model : LR 8510, SN : 210411984</v>
      </c>
      <c r="K173" s="1002" t="str">
        <f t="shared" si="309"/>
        <v>Wireless Temperature Recorder : Merek : HIOKI, Model : LR 8510, SN : 210411985</v>
      </c>
      <c r="L173" s="1002" t="str">
        <f t="shared" si="309"/>
        <v>Wireless Temperature Recorder : Merek : HIOKI, Model : LR 8510, SN : 210746054</v>
      </c>
      <c r="M173" s="1002" t="str">
        <f t="shared" si="309"/>
        <v>Wireless Temperature Recorder : Merek : HIOKI, Model : LR 8510, SN : 210746055</v>
      </c>
      <c r="N173" s="1002" t="str">
        <f t="shared" si="309"/>
        <v>Wireless Temperature Recorder : Merek : HIOKI, Model : LR 8510, SN : 210746056</v>
      </c>
      <c r="O173" s="1003" t="str">
        <f t="shared" si="309"/>
        <v>Wireless Temperature Recorder : Merek : HIOKI, Model : LR 8510, SN : x x x</v>
      </c>
      <c r="P173" s="969" t="s">
        <v>457</v>
      </c>
      <c r="Q173" s="969" t="s">
        <v>458</v>
      </c>
      <c r="R173" s="969" t="s">
        <v>456</v>
      </c>
      <c r="S173" s="929"/>
      <c r="T173" s="999" t="s">
        <v>218</v>
      </c>
      <c r="U173" s="1000" t="str">
        <f>C173</f>
        <v>Thermocouple Data Logger, Merek : MADGETECH, Model : OctTemp 2000, SN : P40270</v>
      </c>
      <c r="V173" s="971" t="str">
        <f>D173</f>
        <v>Thermocouple Data Logger, Merek : MADGETECH, Model : OctTemp 2000, SN : P41878</v>
      </c>
      <c r="W173" s="1004" t="str">
        <f>E173</f>
        <v>Mobile Corder, Merek : Yokogawa, Model : GP 10, SN : S5T810599</v>
      </c>
      <c r="X173" s="971" t="str">
        <f t="shared" ref="X173:AG173" si="310">X156</f>
        <v>Wireless Temperature Recorder : Merek : HIOKI, Model : LR 8510, SN : 200936000</v>
      </c>
      <c r="Y173" s="971" t="str">
        <f t="shared" si="310"/>
        <v>Wireless Temperature Recorder : Merek : HIOKI, Model : LR 8510, SN : 200936001</v>
      </c>
      <c r="Z173" s="971" t="str">
        <f t="shared" si="310"/>
        <v>Wireless Temperature Recorder : Merek : HIOKI, Model : LR 8510, SN : 200821397</v>
      </c>
      <c r="AA173" s="971" t="str">
        <f t="shared" si="310"/>
        <v>Wireless Temperature Recorder : Merek : HIOKI, Model : LR 8510, SN : 210411983</v>
      </c>
      <c r="AB173" s="971" t="str">
        <f t="shared" si="310"/>
        <v>Wireless Temperature Recorder : Merek : HIOKI, Model : LR 8510, SN : 210411984</v>
      </c>
      <c r="AC173" s="971" t="str">
        <f t="shared" si="310"/>
        <v>Wireless Temperature Recorder : Merek : HIOKI, Model : LR 8510, SN : 210411985</v>
      </c>
      <c r="AD173" s="971" t="str">
        <f t="shared" si="310"/>
        <v>Wireless Temperature Recorder : Merek : HIOKI, Model : LR 8510, SN : 210746054</v>
      </c>
      <c r="AE173" s="971" t="str">
        <f t="shared" si="310"/>
        <v>Wireless Temperature Recorder : Merek : HIOKI, Model : LR 8510, SN : 210746055</v>
      </c>
      <c r="AF173" s="971" t="str">
        <f t="shared" si="310"/>
        <v>Wireless Temperature Recorder : Merek : HIOKI, Model : LR 8510, SN : 210746056</v>
      </c>
      <c r="AG173" s="971" t="str">
        <f t="shared" si="310"/>
        <v>Wireless Temperature Recorder : Merek : HIOKI, Model : LR 8510, SN : x x x</v>
      </c>
      <c r="AH173" s="969" t="s">
        <v>457</v>
      </c>
      <c r="AI173" s="969" t="s">
        <v>458</v>
      </c>
      <c r="AJ173" s="969" t="s">
        <v>456</v>
      </c>
      <c r="AK173" s="929"/>
      <c r="AX173" s="974"/>
      <c r="AY173" s="975"/>
      <c r="AZ173" s="976"/>
      <c r="BD173" s="974"/>
      <c r="BE173" s="975"/>
      <c r="BF173" s="976"/>
      <c r="BJ173" s="974"/>
      <c r="BK173" s="975"/>
      <c r="BL173" s="976"/>
      <c r="BP173" s="974"/>
      <c r="BQ173" s="975"/>
      <c r="BR173" s="976"/>
      <c r="BV173" s="974"/>
      <c r="BW173" s="975"/>
      <c r="BX173" s="976"/>
    </row>
    <row r="174" spans="2:81" s="977" customFormat="1" ht="6" customHeight="1">
      <c r="B174" s="1005"/>
      <c r="C174" s="1006"/>
      <c r="D174" s="983"/>
      <c r="E174" s="1007"/>
      <c r="F174" s="1008"/>
      <c r="G174" s="1008"/>
      <c r="H174" s="1008"/>
      <c r="I174" s="1008"/>
      <c r="J174" s="1008"/>
      <c r="K174" s="1008"/>
      <c r="L174" s="1008"/>
      <c r="M174" s="1008"/>
      <c r="N174" s="1008"/>
      <c r="O174" s="1009"/>
      <c r="P174" s="981"/>
      <c r="Q174" s="981"/>
      <c r="R174" s="981"/>
      <c r="T174" s="1005"/>
      <c r="U174" s="1006"/>
      <c r="V174" s="983"/>
      <c r="W174" s="1010"/>
      <c r="X174" s="983"/>
      <c r="Y174" s="983"/>
      <c r="Z174" s="983"/>
      <c r="AA174" s="983"/>
      <c r="AB174" s="983"/>
      <c r="AC174" s="983"/>
      <c r="AD174" s="983"/>
      <c r="AE174" s="983"/>
      <c r="AF174" s="983"/>
      <c r="AG174" s="983"/>
      <c r="AH174" s="981"/>
      <c r="AI174" s="981"/>
      <c r="AJ174" s="981"/>
      <c r="AN174" s="984"/>
      <c r="AP174" s="985"/>
      <c r="AT174" s="984"/>
      <c r="AV174" s="985"/>
      <c r="AX174" s="986"/>
      <c r="AY174" s="987"/>
      <c r="AZ174" s="988"/>
      <c r="BB174" s="985"/>
      <c r="BD174" s="986"/>
      <c r="BE174" s="987"/>
      <c r="BF174" s="988"/>
      <c r="BH174" s="985"/>
      <c r="BJ174" s="986"/>
      <c r="BK174" s="987"/>
      <c r="BL174" s="988"/>
      <c r="BN174" s="985"/>
      <c r="BP174" s="986"/>
      <c r="BQ174" s="987"/>
      <c r="BR174" s="988"/>
      <c r="BT174" s="985"/>
      <c r="BV174" s="986"/>
      <c r="BW174" s="987"/>
      <c r="BX174" s="988"/>
      <c r="BZ174" s="985"/>
    </row>
    <row r="175" spans="2:81">
      <c r="B175" s="989">
        <v>-20</v>
      </c>
      <c r="C175" s="926">
        <v>-0.43</v>
      </c>
      <c r="D175" s="926">
        <v>-0.77</v>
      </c>
      <c r="E175" s="926">
        <v>1E-3</v>
      </c>
      <c r="F175" s="926">
        <v>1E-3</v>
      </c>
      <c r="G175" s="926">
        <v>1E-3</v>
      </c>
      <c r="H175" s="926">
        <v>0.01</v>
      </c>
      <c r="I175" s="926">
        <v>1E-3</v>
      </c>
      <c r="J175" s="926">
        <v>1E-3</v>
      </c>
      <c r="K175" s="926">
        <v>0.57999999999999996</v>
      </c>
      <c r="L175" s="926">
        <v>1E-3</v>
      </c>
      <c r="M175" s="926">
        <v>0.57999999999999996</v>
      </c>
      <c r="N175" s="926">
        <v>1E-3</v>
      </c>
      <c r="O175" s="926">
        <v>2</v>
      </c>
      <c r="P175" s="926">
        <v>-0.7</v>
      </c>
      <c r="Q175" s="926">
        <v>-1.5E-3</v>
      </c>
      <c r="R175" s="926">
        <v>-1.8</v>
      </c>
      <c r="S175" s="929"/>
      <c r="T175" s="989">
        <v>-20</v>
      </c>
      <c r="U175" s="926">
        <v>-0.37</v>
      </c>
      <c r="V175" s="926">
        <v>-0.63</v>
      </c>
      <c r="W175" s="926">
        <v>1E-3</v>
      </c>
      <c r="X175" s="926">
        <v>1E-3</v>
      </c>
      <c r="Y175" s="926">
        <v>1E-3</v>
      </c>
      <c r="Z175" s="926">
        <v>0.04</v>
      </c>
      <c r="AA175" s="926">
        <v>1E-3</v>
      </c>
      <c r="AB175" s="926">
        <v>1E-3</v>
      </c>
      <c r="AC175" s="926">
        <v>0.64</v>
      </c>
      <c r="AD175" s="926">
        <v>1E-3</v>
      </c>
      <c r="AE175" s="926">
        <v>0.64</v>
      </c>
      <c r="AF175" s="926">
        <v>1E-3</v>
      </c>
      <c r="AG175" s="991">
        <v>16</v>
      </c>
      <c r="AH175" s="926">
        <v>-0.7</v>
      </c>
      <c r="AI175" s="926">
        <v>-1.5E-3</v>
      </c>
      <c r="AJ175" s="926">
        <v>-1.8</v>
      </c>
      <c r="AK175" s="929"/>
      <c r="AX175" s="972"/>
      <c r="AY175" s="972"/>
      <c r="BD175" s="972"/>
      <c r="BE175" s="972"/>
      <c r="BJ175" s="972"/>
      <c r="BK175" s="972"/>
      <c r="BP175" s="972"/>
      <c r="BQ175" s="972"/>
      <c r="BV175" s="972"/>
      <c r="BW175" s="972"/>
    </row>
    <row r="176" spans="2:81">
      <c r="B176" s="989">
        <v>-15</v>
      </c>
      <c r="C176" s="926">
        <v>-0.34</v>
      </c>
      <c r="D176" s="926">
        <v>-0.63</v>
      </c>
      <c r="E176" s="926">
        <v>-0.56000000000000005</v>
      </c>
      <c r="F176" s="926">
        <v>1E-3</v>
      </c>
      <c r="G176" s="926">
        <v>1E-3</v>
      </c>
      <c r="H176" s="926">
        <v>1E-3</v>
      </c>
      <c r="I176" s="926">
        <v>1E-3</v>
      </c>
      <c r="J176" s="926">
        <v>1E-3</v>
      </c>
      <c r="K176" s="926">
        <v>1E-3</v>
      </c>
      <c r="L176" s="926">
        <v>1E-3</v>
      </c>
      <c r="M176" s="926">
        <v>1E-3</v>
      </c>
      <c r="N176" s="926">
        <v>1E-3</v>
      </c>
      <c r="O176" s="926">
        <v>3</v>
      </c>
      <c r="P176" s="926">
        <v>-0.7</v>
      </c>
      <c r="Q176" s="926">
        <v>1E-3</v>
      </c>
      <c r="R176" s="926">
        <v>-1.52</v>
      </c>
      <c r="S176" s="929"/>
      <c r="T176" s="989">
        <v>-15</v>
      </c>
      <c r="U176" s="926">
        <v>-0.31</v>
      </c>
      <c r="V176" s="926">
        <v>-0.51</v>
      </c>
      <c r="W176" s="926">
        <v>-0.52</v>
      </c>
      <c r="X176" s="926">
        <v>1E-3</v>
      </c>
      <c r="Y176" s="926">
        <v>1E-3</v>
      </c>
      <c r="Z176" s="926">
        <v>1E-3</v>
      </c>
      <c r="AA176" s="926">
        <v>1E-3</v>
      </c>
      <c r="AB176" s="926">
        <v>1E-3</v>
      </c>
      <c r="AC176" s="926">
        <v>1E-3</v>
      </c>
      <c r="AD176" s="926">
        <v>1E-3</v>
      </c>
      <c r="AE176" s="926">
        <v>1E-3</v>
      </c>
      <c r="AF176" s="926">
        <v>1E-3</v>
      </c>
      <c r="AG176" s="991">
        <v>17</v>
      </c>
      <c r="AH176" s="926">
        <v>-0.7</v>
      </c>
      <c r="AI176" s="926">
        <v>1E-3</v>
      </c>
      <c r="AJ176" s="926">
        <v>-1.52</v>
      </c>
      <c r="AK176" s="929"/>
      <c r="AX176" s="972"/>
      <c r="AY176" s="972"/>
      <c r="BD176" s="972"/>
      <c r="BE176" s="972"/>
      <c r="BJ176" s="972"/>
      <c r="BK176" s="972"/>
      <c r="BP176" s="972"/>
      <c r="BQ176" s="972"/>
      <c r="BV176" s="972"/>
      <c r="BW176" s="972"/>
    </row>
    <row r="177" spans="2:78">
      <c r="B177" s="989">
        <v>-10</v>
      </c>
      <c r="C177" s="926">
        <v>-0.27</v>
      </c>
      <c r="D177" s="926">
        <v>1E-3</v>
      </c>
      <c r="E177" s="926">
        <v>-0.46</v>
      </c>
      <c r="F177" s="926">
        <v>1E-3</v>
      </c>
      <c r="G177" s="926">
        <v>1E-3</v>
      </c>
      <c r="H177" s="926">
        <v>1.9E-3</v>
      </c>
      <c r="I177" s="926">
        <v>1E-3</v>
      </c>
      <c r="J177" s="926">
        <v>1E-3</v>
      </c>
      <c r="K177" s="926">
        <v>0.55000000000000004</v>
      </c>
      <c r="L177" s="926">
        <v>1E-3</v>
      </c>
      <c r="M177" s="926">
        <v>0.55000000000000004</v>
      </c>
      <c r="N177" s="926">
        <v>1E-3</v>
      </c>
      <c r="O177" s="926">
        <v>4</v>
      </c>
      <c r="P177" s="926">
        <v>-0.7</v>
      </c>
      <c r="Q177" s="926">
        <v>-0.05</v>
      </c>
      <c r="R177" s="926">
        <v>-1.26</v>
      </c>
      <c r="S177" s="929"/>
      <c r="T177" s="989">
        <v>-10</v>
      </c>
      <c r="U177" s="926">
        <v>-0.25</v>
      </c>
      <c r="V177" s="926">
        <v>1E-3</v>
      </c>
      <c r="W177" s="926">
        <v>-0.43</v>
      </c>
      <c r="X177" s="926">
        <v>1E-3</v>
      </c>
      <c r="Y177" s="926">
        <v>1E-3</v>
      </c>
      <c r="Z177" s="926">
        <v>0.21</v>
      </c>
      <c r="AA177" s="926">
        <v>1E-3</v>
      </c>
      <c r="AB177" s="926">
        <v>1E-3</v>
      </c>
      <c r="AC177" s="926">
        <v>0.6</v>
      </c>
      <c r="AD177" s="926">
        <v>1E-3</v>
      </c>
      <c r="AE177" s="926">
        <v>0.6</v>
      </c>
      <c r="AF177" s="926">
        <v>1E-3</v>
      </c>
      <c r="AG177" s="991">
        <v>18</v>
      </c>
      <c r="AH177" s="926">
        <v>-0.7</v>
      </c>
      <c r="AI177" s="926">
        <v>-0.05</v>
      </c>
      <c r="AJ177" s="926">
        <v>-1.26</v>
      </c>
      <c r="AK177" s="929"/>
      <c r="AX177" s="972"/>
      <c r="AY177" s="972"/>
      <c r="BD177" s="972"/>
      <c r="BE177" s="972"/>
      <c r="BJ177" s="972"/>
      <c r="BK177" s="972"/>
      <c r="BP177" s="972"/>
      <c r="BQ177" s="972"/>
      <c r="BV177" s="972"/>
      <c r="BW177" s="972"/>
    </row>
    <row r="178" spans="2:78">
      <c r="B178" s="989">
        <v>1E-3</v>
      </c>
      <c r="C178" s="926">
        <v>-1.2999999999999999E-3</v>
      </c>
      <c r="D178" s="926">
        <v>-0.28999999999999998</v>
      </c>
      <c r="E178" s="926">
        <v>-0.38</v>
      </c>
      <c r="F178" s="926">
        <v>1E-3</v>
      </c>
      <c r="G178" s="926">
        <v>1E-3</v>
      </c>
      <c r="H178" s="926">
        <v>0.34</v>
      </c>
      <c r="I178" s="926">
        <v>1E-3</v>
      </c>
      <c r="J178" s="926">
        <v>1E-3</v>
      </c>
      <c r="K178" s="926">
        <v>0.52</v>
      </c>
      <c r="L178" s="926">
        <v>1E-3</v>
      </c>
      <c r="M178" s="926">
        <v>0.52</v>
      </c>
      <c r="N178" s="926">
        <v>1E-3</v>
      </c>
      <c r="O178" s="926">
        <v>5</v>
      </c>
      <c r="P178" s="926">
        <v>-0.7</v>
      </c>
      <c r="Q178" s="926">
        <v>0.03</v>
      </c>
      <c r="R178" s="926">
        <v>-0.79</v>
      </c>
      <c r="S178" s="929"/>
      <c r="T178" s="989">
        <v>1E-3</v>
      </c>
      <c r="U178" s="926">
        <v>-1.6000000000000001E-3</v>
      </c>
      <c r="V178" s="926">
        <v>-0.22</v>
      </c>
      <c r="W178" s="926">
        <v>-0.36</v>
      </c>
      <c r="X178" s="926">
        <v>1E-3</v>
      </c>
      <c r="Y178" s="926">
        <v>1E-3</v>
      </c>
      <c r="Z178" s="926">
        <v>0.35</v>
      </c>
      <c r="AA178" s="926">
        <v>1E-3</v>
      </c>
      <c r="AB178" s="926">
        <v>1E-3</v>
      </c>
      <c r="AC178" s="926">
        <v>0.56999999999999995</v>
      </c>
      <c r="AD178" s="926">
        <v>1E-3</v>
      </c>
      <c r="AE178" s="926">
        <v>0.56999999999999995</v>
      </c>
      <c r="AF178" s="926">
        <v>1E-3</v>
      </c>
      <c r="AG178" s="991">
        <v>19</v>
      </c>
      <c r="AH178" s="926">
        <v>-0.7</v>
      </c>
      <c r="AI178" s="926">
        <v>0.03</v>
      </c>
      <c r="AJ178" s="926">
        <v>-0.79</v>
      </c>
      <c r="AK178" s="929"/>
      <c r="AX178" s="972"/>
      <c r="AY178" s="972"/>
      <c r="BD178" s="972"/>
      <c r="BE178" s="972"/>
      <c r="BJ178" s="972"/>
      <c r="BK178" s="972"/>
      <c r="BP178" s="972"/>
      <c r="BQ178" s="972"/>
      <c r="BV178" s="972"/>
      <c r="BW178" s="972"/>
    </row>
    <row r="179" spans="2:78">
      <c r="B179" s="989">
        <v>2</v>
      </c>
      <c r="C179" s="926">
        <v>-1.1000000000000001E-3</v>
      </c>
      <c r="D179" s="926">
        <v>-0.25</v>
      </c>
      <c r="E179" s="926">
        <v>-0.37</v>
      </c>
      <c r="F179" s="926">
        <v>1E-3</v>
      </c>
      <c r="G179" s="926">
        <v>1E-3</v>
      </c>
      <c r="H179" s="926">
        <v>0.37</v>
      </c>
      <c r="I179" s="926">
        <v>1E-3</v>
      </c>
      <c r="J179" s="926">
        <v>1E-3</v>
      </c>
      <c r="K179" s="926">
        <v>0.52</v>
      </c>
      <c r="L179" s="926">
        <v>1E-3</v>
      </c>
      <c r="M179" s="926">
        <v>0.52</v>
      </c>
      <c r="N179" s="926">
        <v>1E-3</v>
      </c>
      <c r="O179" s="926">
        <v>6</v>
      </c>
      <c r="P179" s="926">
        <v>-0.7</v>
      </c>
      <c r="Q179" s="926">
        <v>0.04</v>
      </c>
      <c r="R179" s="926">
        <v>-2.7</v>
      </c>
      <c r="S179" s="929"/>
      <c r="T179" s="989">
        <v>2</v>
      </c>
      <c r="U179" s="926">
        <v>-1.4E-3</v>
      </c>
      <c r="V179" s="926">
        <v>-1.9E-3</v>
      </c>
      <c r="W179" s="926">
        <v>-0.35</v>
      </c>
      <c r="X179" s="926">
        <v>1E-3</v>
      </c>
      <c r="Y179" s="926">
        <v>1E-3</v>
      </c>
      <c r="Z179" s="926">
        <v>0.37</v>
      </c>
      <c r="AA179" s="926">
        <v>1E-3</v>
      </c>
      <c r="AB179" s="926">
        <v>1E-3</v>
      </c>
      <c r="AC179" s="926">
        <v>0.56000000000000005</v>
      </c>
      <c r="AD179" s="926">
        <v>1E-3</v>
      </c>
      <c r="AE179" s="926">
        <v>0.56000000000000005</v>
      </c>
      <c r="AF179" s="926">
        <v>1E-3</v>
      </c>
      <c r="AG179" s="991">
        <v>20</v>
      </c>
      <c r="AH179" s="926">
        <v>-0.7</v>
      </c>
      <c r="AI179" s="926">
        <v>0.04</v>
      </c>
      <c r="AJ179" s="926">
        <v>-2.7</v>
      </c>
      <c r="AK179" s="929"/>
      <c r="AX179" s="972"/>
      <c r="AY179" s="972"/>
      <c r="BD179" s="972"/>
      <c r="BE179" s="972"/>
      <c r="BJ179" s="972"/>
      <c r="BK179" s="972"/>
      <c r="BP179" s="972"/>
      <c r="BQ179" s="972"/>
      <c r="BV179" s="972"/>
      <c r="BW179" s="972"/>
    </row>
    <row r="180" spans="2:78">
      <c r="B180" s="989">
        <v>8</v>
      </c>
      <c r="C180" s="926">
        <v>-0.04</v>
      </c>
      <c r="D180" s="926">
        <v>-1.5E-3</v>
      </c>
      <c r="E180" s="926">
        <v>-0.22</v>
      </c>
      <c r="F180" s="926">
        <v>1E-3</v>
      </c>
      <c r="G180" s="926">
        <v>1E-3</v>
      </c>
      <c r="H180" s="926">
        <v>0.44</v>
      </c>
      <c r="I180" s="926">
        <v>1E-3</v>
      </c>
      <c r="J180" s="926">
        <v>1E-3</v>
      </c>
      <c r="K180" s="926">
        <v>0.5</v>
      </c>
      <c r="L180" s="926">
        <v>1E-3</v>
      </c>
      <c r="M180" s="926">
        <v>0.5</v>
      </c>
      <c r="N180" s="926">
        <v>1E-3</v>
      </c>
      <c r="O180" s="926">
        <v>7</v>
      </c>
      <c r="P180" s="926">
        <v>-0.7</v>
      </c>
      <c r="Q180" s="926">
        <v>0.08</v>
      </c>
      <c r="R180" s="926">
        <v>-0.46</v>
      </c>
      <c r="S180" s="929"/>
      <c r="T180" s="989">
        <v>8</v>
      </c>
      <c r="U180" s="1011">
        <v>-0.09</v>
      </c>
      <c r="V180" s="926">
        <v>-1E-3</v>
      </c>
      <c r="W180" s="926">
        <v>-0.22</v>
      </c>
      <c r="X180" s="926">
        <v>1E-3</v>
      </c>
      <c r="Y180" s="926">
        <v>1E-3</v>
      </c>
      <c r="Z180" s="926">
        <v>0.44</v>
      </c>
      <c r="AA180" s="926">
        <v>1E-3</v>
      </c>
      <c r="AB180" s="926">
        <v>1E-3</v>
      </c>
      <c r="AC180" s="926">
        <v>0.54</v>
      </c>
      <c r="AD180" s="926">
        <v>1E-3</v>
      </c>
      <c r="AE180" s="926">
        <v>0.54</v>
      </c>
      <c r="AF180" s="926">
        <v>1E-3</v>
      </c>
      <c r="AG180" s="991">
        <v>21</v>
      </c>
      <c r="AH180" s="926">
        <v>-0.7</v>
      </c>
      <c r="AI180" s="926">
        <v>0.08</v>
      </c>
      <c r="AJ180" s="926">
        <v>-0.46</v>
      </c>
      <c r="AK180" s="929"/>
      <c r="AX180" s="1012"/>
      <c r="AY180" s="972"/>
      <c r="BD180" s="1012"/>
      <c r="BE180" s="972"/>
      <c r="BJ180" s="1012"/>
      <c r="BK180" s="972"/>
      <c r="BP180" s="1012"/>
      <c r="BQ180" s="972"/>
      <c r="BV180" s="1012"/>
      <c r="BW180" s="972"/>
    </row>
    <row r="181" spans="2:78">
      <c r="B181" s="989">
        <v>37</v>
      </c>
      <c r="C181" s="926">
        <v>1.9E-3</v>
      </c>
      <c r="D181" s="926">
        <v>1.6999999999999999E-3</v>
      </c>
      <c r="E181" s="926">
        <v>-1.2999999999999999E-3</v>
      </c>
      <c r="F181" s="926">
        <v>1E-3</v>
      </c>
      <c r="G181" s="926">
        <v>1E-3</v>
      </c>
      <c r="H181" s="926">
        <v>0.64</v>
      </c>
      <c r="I181" s="926">
        <v>1E-3</v>
      </c>
      <c r="J181" s="926">
        <v>1E-3</v>
      </c>
      <c r="K181" s="926">
        <v>0.41</v>
      </c>
      <c r="L181" s="926">
        <v>1E-3</v>
      </c>
      <c r="M181" s="926">
        <v>0.41</v>
      </c>
      <c r="N181" s="926">
        <v>1E-3</v>
      </c>
      <c r="O181" s="926">
        <v>8</v>
      </c>
      <c r="P181" s="926">
        <v>-0.6</v>
      </c>
      <c r="Q181" s="926">
        <v>0.23</v>
      </c>
      <c r="R181" s="926">
        <v>0.42</v>
      </c>
      <c r="S181" s="929"/>
      <c r="T181" s="989">
        <v>37</v>
      </c>
      <c r="U181" s="926">
        <v>0.06</v>
      </c>
      <c r="V181" s="926">
        <v>1.6000000000000001E-3</v>
      </c>
      <c r="W181" s="926">
        <v>-1.1000000000000001E-3</v>
      </c>
      <c r="X181" s="926">
        <v>1E-3</v>
      </c>
      <c r="Y181" s="926">
        <v>1E-3</v>
      </c>
      <c r="Z181" s="926">
        <v>0.64</v>
      </c>
      <c r="AA181" s="926">
        <v>1E-3</v>
      </c>
      <c r="AB181" s="926">
        <v>1E-3</v>
      </c>
      <c r="AC181" s="926">
        <v>0.43</v>
      </c>
      <c r="AD181" s="926">
        <v>1E-3</v>
      </c>
      <c r="AE181" s="926">
        <v>0.43</v>
      </c>
      <c r="AF181" s="926">
        <v>1E-3</v>
      </c>
      <c r="AG181" s="991">
        <v>22</v>
      </c>
      <c r="AH181" s="926">
        <v>-0.6</v>
      </c>
      <c r="AI181" s="926">
        <v>0.23</v>
      </c>
      <c r="AJ181" s="926">
        <v>0.42</v>
      </c>
      <c r="AK181" s="929"/>
      <c r="AX181" s="972"/>
      <c r="AY181" s="972"/>
      <c r="BD181" s="972"/>
      <c r="BE181" s="972"/>
      <c r="BJ181" s="972"/>
      <c r="BK181" s="972"/>
      <c r="BP181" s="972"/>
      <c r="BQ181" s="972"/>
      <c r="BV181" s="972"/>
      <c r="BW181" s="972"/>
    </row>
    <row r="182" spans="2:78">
      <c r="B182" s="989">
        <v>44</v>
      </c>
      <c r="C182" s="926">
        <v>0.22</v>
      </c>
      <c r="D182" s="926">
        <v>0.21</v>
      </c>
      <c r="E182" s="926">
        <v>-1.5E-3</v>
      </c>
      <c r="F182" s="926">
        <v>1E-3</v>
      </c>
      <c r="G182" s="926">
        <v>1E-3</v>
      </c>
      <c r="H182" s="926">
        <v>0.65</v>
      </c>
      <c r="I182" s="926">
        <v>1E-3</v>
      </c>
      <c r="J182" s="926">
        <v>1E-3</v>
      </c>
      <c r="K182" s="926">
        <v>0.39</v>
      </c>
      <c r="L182" s="926">
        <v>1E-3</v>
      </c>
      <c r="M182" s="926">
        <v>0.39</v>
      </c>
      <c r="N182" s="926">
        <v>1E-3</v>
      </c>
      <c r="O182" s="926">
        <v>9</v>
      </c>
      <c r="P182" s="926">
        <v>-0.7</v>
      </c>
      <c r="Q182" s="926">
        <v>0.25</v>
      </c>
      <c r="R182" s="926">
        <v>0.56999999999999995</v>
      </c>
      <c r="S182" s="929"/>
      <c r="T182" s="989">
        <v>44</v>
      </c>
      <c r="U182" s="926">
        <v>0.08</v>
      </c>
      <c r="V182" s="926">
        <v>1.9E-3</v>
      </c>
      <c r="W182" s="926">
        <v>-1.2999999999999999E-3</v>
      </c>
      <c r="X182" s="926">
        <v>1E-3</v>
      </c>
      <c r="Y182" s="926">
        <v>1E-3</v>
      </c>
      <c r="Z182" s="926">
        <v>0.66</v>
      </c>
      <c r="AA182" s="926">
        <v>1E-3</v>
      </c>
      <c r="AB182" s="926">
        <v>1E-3</v>
      </c>
      <c r="AC182" s="926">
        <v>0.4</v>
      </c>
      <c r="AD182" s="926">
        <v>1E-3</v>
      </c>
      <c r="AE182" s="926">
        <v>0.4</v>
      </c>
      <c r="AF182" s="926">
        <v>1E-3</v>
      </c>
      <c r="AG182" s="991">
        <v>23</v>
      </c>
      <c r="AH182" s="926">
        <v>-0.7</v>
      </c>
      <c r="AI182" s="926">
        <v>0.25</v>
      </c>
      <c r="AJ182" s="926">
        <v>0.56999999999999995</v>
      </c>
      <c r="AK182" s="929"/>
      <c r="AX182" s="972"/>
      <c r="AY182" s="972"/>
      <c r="BD182" s="972"/>
      <c r="BE182" s="972"/>
      <c r="BJ182" s="972"/>
      <c r="BK182" s="972"/>
      <c r="BP182" s="972"/>
      <c r="BQ182" s="972"/>
      <c r="BV182" s="972"/>
      <c r="BW182" s="972"/>
    </row>
    <row r="183" spans="2:78">
      <c r="B183" s="989">
        <v>50</v>
      </c>
      <c r="C183" s="926">
        <v>0.25</v>
      </c>
      <c r="D183" s="926">
        <v>0.23</v>
      </c>
      <c r="E183" s="926">
        <v>0.2</v>
      </c>
      <c r="F183" s="926">
        <v>1E-3</v>
      </c>
      <c r="G183" s="926">
        <v>1E-3</v>
      </c>
      <c r="H183" s="926">
        <v>0.66</v>
      </c>
      <c r="I183" s="926">
        <v>1E-3</v>
      </c>
      <c r="J183" s="926">
        <v>1E-3</v>
      </c>
      <c r="K183" s="926">
        <v>0.37</v>
      </c>
      <c r="L183" s="926">
        <v>1E-3</v>
      </c>
      <c r="M183" s="926">
        <v>0.37</v>
      </c>
      <c r="N183" s="926">
        <v>1E-3</v>
      </c>
      <c r="O183" s="926">
        <v>10</v>
      </c>
      <c r="P183" s="926">
        <v>-0.7</v>
      </c>
      <c r="Q183" s="926">
        <v>0.27</v>
      </c>
      <c r="R183" s="926">
        <v>0.67</v>
      </c>
      <c r="S183" s="929"/>
      <c r="T183" s="989">
        <v>50</v>
      </c>
      <c r="U183" s="993">
        <v>0.09</v>
      </c>
      <c r="V183" s="926">
        <v>0.21</v>
      </c>
      <c r="W183" s="926">
        <v>0.22</v>
      </c>
      <c r="X183" s="926">
        <v>1E-3</v>
      </c>
      <c r="Y183" s="926">
        <v>1E-3</v>
      </c>
      <c r="Z183" s="926">
        <v>0.67</v>
      </c>
      <c r="AA183" s="926">
        <v>1E-3</v>
      </c>
      <c r="AB183" s="926">
        <v>1E-3</v>
      </c>
      <c r="AC183" s="926">
        <v>0.38</v>
      </c>
      <c r="AD183" s="926">
        <v>1E-3</v>
      </c>
      <c r="AE183" s="926">
        <v>0.38</v>
      </c>
      <c r="AF183" s="926">
        <v>1E-3</v>
      </c>
      <c r="AG183" s="991">
        <v>24</v>
      </c>
      <c r="AH183" s="926">
        <v>-0.7</v>
      </c>
      <c r="AI183" s="926">
        <v>0.27</v>
      </c>
      <c r="AJ183" s="926">
        <v>0.67</v>
      </c>
      <c r="AK183" s="929"/>
      <c r="AX183" s="1013"/>
      <c r="AY183" s="972"/>
      <c r="BD183" s="1013"/>
      <c r="BE183" s="972"/>
      <c r="BJ183" s="1013"/>
      <c r="BK183" s="972"/>
      <c r="BP183" s="1013"/>
      <c r="BQ183" s="972"/>
      <c r="BV183" s="1013"/>
      <c r="BW183" s="972"/>
    </row>
    <row r="184" spans="2:78">
      <c r="B184" s="989">
        <v>100</v>
      </c>
      <c r="C184" s="993">
        <v>0.3</v>
      </c>
      <c r="D184" s="926">
        <v>1.6000000000000001E-3</v>
      </c>
      <c r="E184" s="926">
        <v>-0.01</v>
      </c>
      <c r="F184" s="926">
        <v>1E-3</v>
      </c>
      <c r="G184" s="926">
        <v>1E-3</v>
      </c>
      <c r="H184" s="926">
        <v>0.45</v>
      </c>
      <c r="I184" s="926">
        <v>1E-3</v>
      </c>
      <c r="J184" s="926">
        <v>1E-3</v>
      </c>
      <c r="K184" s="926">
        <v>1.9E-3</v>
      </c>
      <c r="L184" s="926">
        <v>1E-3</v>
      </c>
      <c r="M184" s="926">
        <v>1.9E-3</v>
      </c>
      <c r="N184" s="926">
        <v>1E-3</v>
      </c>
      <c r="O184" s="926">
        <v>11</v>
      </c>
      <c r="P184" s="926">
        <v>-0.7</v>
      </c>
      <c r="Q184" s="926">
        <v>0.31</v>
      </c>
      <c r="R184" s="926">
        <v>0.95</v>
      </c>
      <c r="S184" s="929"/>
      <c r="T184" s="989">
        <v>100</v>
      </c>
      <c r="U184" s="926">
        <v>1.1999999999999999E-3</v>
      </c>
      <c r="V184" s="926">
        <v>1.4E-3</v>
      </c>
      <c r="W184" s="926">
        <v>1.1999999999999999E-3</v>
      </c>
      <c r="X184" s="926">
        <v>1E-3</v>
      </c>
      <c r="Y184" s="926">
        <v>1E-3</v>
      </c>
      <c r="Z184" s="926">
        <v>0.55000000000000004</v>
      </c>
      <c r="AA184" s="926">
        <v>1E-3</v>
      </c>
      <c r="AB184" s="926">
        <v>1E-3</v>
      </c>
      <c r="AC184" s="926">
        <v>1.8E-3</v>
      </c>
      <c r="AD184" s="926">
        <v>1E-3</v>
      </c>
      <c r="AE184" s="926">
        <v>1.8E-3</v>
      </c>
      <c r="AF184" s="926">
        <v>1E-3</v>
      </c>
      <c r="AG184" s="991">
        <v>25</v>
      </c>
      <c r="AH184" s="926">
        <v>-0.7</v>
      </c>
      <c r="AI184" s="926">
        <v>0.31</v>
      </c>
      <c r="AJ184" s="926">
        <v>0.95</v>
      </c>
      <c r="AK184" s="929"/>
      <c r="AX184" s="972"/>
      <c r="AY184" s="972"/>
      <c r="BD184" s="972"/>
      <c r="BE184" s="972"/>
      <c r="BJ184" s="972"/>
      <c r="BK184" s="972"/>
      <c r="BP184" s="972"/>
      <c r="BQ184" s="972"/>
      <c r="BV184" s="972"/>
      <c r="BW184" s="972"/>
    </row>
    <row r="185" spans="2:78">
      <c r="B185" s="989">
        <v>150</v>
      </c>
      <c r="C185" s="926">
        <v>0.28000000000000003</v>
      </c>
      <c r="D185" s="926">
        <v>-0.02</v>
      </c>
      <c r="E185" s="926">
        <v>-0.3</v>
      </c>
      <c r="F185" s="926">
        <v>1E-3</v>
      </c>
      <c r="G185" s="926">
        <v>1E-3</v>
      </c>
      <c r="H185" s="926">
        <v>0.01</v>
      </c>
      <c r="I185" s="926">
        <v>1E-3</v>
      </c>
      <c r="J185" s="926">
        <v>1E-3</v>
      </c>
      <c r="K185" s="926">
        <v>1E-3</v>
      </c>
      <c r="L185" s="926">
        <v>1E-3</v>
      </c>
      <c r="M185" s="926">
        <v>1E-3</v>
      </c>
      <c r="N185" s="926">
        <v>1E-3</v>
      </c>
      <c r="O185" s="926">
        <v>12</v>
      </c>
      <c r="P185" s="926">
        <v>-0.7</v>
      </c>
      <c r="Q185" s="926">
        <v>0.3</v>
      </c>
      <c r="R185" s="926">
        <v>0.49</v>
      </c>
      <c r="S185" s="929"/>
      <c r="T185" s="989">
        <v>150</v>
      </c>
      <c r="U185" s="926">
        <v>1.4E-3</v>
      </c>
      <c r="V185" s="926">
        <v>0.03</v>
      </c>
      <c r="W185" s="926">
        <v>-0.06</v>
      </c>
      <c r="X185" s="926">
        <v>1E-3</v>
      </c>
      <c r="Y185" s="926">
        <v>1E-3</v>
      </c>
      <c r="Z185" s="926">
        <v>0.21</v>
      </c>
      <c r="AA185" s="926">
        <v>1E-3</v>
      </c>
      <c r="AB185" s="926">
        <v>1E-3</v>
      </c>
      <c r="AC185" s="926">
        <v>-0.03</v>
      </c>
      <c r="AD185" s="926">
        <v>1E-3</v>
      </c>
      <c r="AE185" s="926">
        <v>-0.03</v>
      </c>
      <c r="AF185" s="926">
        <v>1E-3</v>
      </c>
      <c r="AG185" s="991">
        <v>26</v>
      </c>
      <c r="AH185" s="926">
        <v>-0.7</v>
      </c>
      <c r="AI185" s="926">
        <v>0.3</v>
      </c>
      <c r="AJ185" s="926">
        <v>0.49</v>
      </c>
      <c r="AK185" s="929"/>
      <c r="AX185" s="972"/>
      <c r="AY185" s="972"/>
      <c r="BB185" s="934"/>
      <c r="BD185" s="972"/>
      <c r="BE185" s="972"/>
      <c r="BH185" s="934"/>
      <c r="BJ185" s="972"/>
      <c r="BK185" s="972"/>
      <c r="BN185" s="934"/>
      <c r="BP185" s="972"/>
      <c r="BQ185" s="972"/>
      <c r="BT185" s="934"/>
      <c r="BV185" s="972"/>
      <c r="BW185" s="972"/>
    </row>
    <row r="186" spans="2:78">
      <c r="B186" s="989">
        <v>200</v>
      </c>
      <c r="C186" s="926">
        <v>0.56000000000000005</v>
      </c>
      <c r="D186" s="926">
        <v>1.6000000000000001E-3</v>
      </c>
      <c r="E186" s="926">
        <v>0.09</v>
      </c>
      <c r="F186" s="926">
        <v>1E-3</v>
      </c>
      <c r="G186" s="926">
        <v>1E-3</v>
      </c>
      <c r="H186" s="926">
        <v>-0.4</v>
      </c>
      <c r="I186" s="926">
        <v>1E-3</v>
      </c>
      <c r="J186" s="926">
        <v>1E-3</v>
      </c>
      <c r="K186" s="926">
        <v>-0.22</v>
      </c>
      <c r="L186" s="926">
        <v>1E-3</v>
      </c>
      <c r="M186" s="926">
        <v>-0.22</v>
      </c>
      <c r="N186" s="926">
        <v>1E-3</v>
      </c>
      <c r="O186" s="926">
        <v>13</v>
      </c>
      <c r="P186" s="926">
        <v>-0.6</v>
      </c>
      <c r="Q186" s="926">
        <v>0.34</v>
      </c>
      <c r="R186" s="926">
        <v>-0.26</v>
      </c>
      <c r="S186" s="929"/>
      <c r="T186" s="989">
        <v>200</v>
      </c>
      <c r="U186" s="926">
        <v>0.38</v>
      </c>
      <c r="V186" s="926">
        <v>0.32</v>
      </c>
      <c r="W186" s="926">
        <v>0.36</v>
      </c>
      <c r="X186" s="926">
        <v>1E-3</v>
      </c>
      <c r="Y186" s="926">
        <v>1E-3</v>
      </c>
      <c r="Z186" s="926">
        <v>-0.08</v>
      </c>
      <c r="AA186" s="926">
        <v>1E-3</v>
      </c>
      <c r="AB186" s="926">
        <v>1E-3</v>
      </c>
      <c r="AC186" s="926">
        <v>-0.26</v>
      </c>
      <c r="AD186" s="926">
        <v>1E-3</v>
      </c>
      <c r="AE186" s="926">
        <v>-0.26</v>
      </c>
      <c r="AF186" s="926">
        <v>1E-3</v>
      </c>
      <c r="AG186" s="991">
        <v>27</v>
      </c>
      <c r="AH186" s="926">
        <v>-0.6</v>
      </c>
      <c r="AI186" s="926">
        <v>0.34</v>
      </c>
      <c r="AJ186" s="926">
        <v>-0.26</v>
      </c>
      <c r="AK186" s="929"/>
      <c r="AX186" s="972"/>
      <c r="AY186" s="972"/>
      <c r="BB186" s="934"/>
      <c r="BD186" s="972"/>
      <c r="BE186" s="972"/>
      <c r="BH186" s="934"/>
      <c r="BJ186" s="972"/>
      <c r="BK186" s="972"/>
      <c r="BN186" s="934"/>
      <c r="BP186" s="972"/>
      <c r="BQ186" s="972"/>
      <c r="BT186" s="934"/>
      <c r="BV186" s="972"/>
      <c r="BW186" s="972"/>
    </row>
    <row r="187" spans="2:78">
      <c r="B187" s="989" t="s">
        <v>237</v>
      </c>
      <c r="C187" s="989">
        <v>0.34</v>
      </c>
      <c r="D187" s="989">
        <v>0.36</v>
      </c>
      <c r="E187" s="921">
        <v>0.39</v>
      </c>
      <c r="F187" s="921">
        <v>1E-3</v>
      </c>
      <c r="G187" s="921">
        <v>1E-3</v>
      </c>
      <c r="H187" s="921">
        <v>0.92</v>
      </c>
      <c r="I187" s="921">
        <v>1E-3</v>
      </c>
      <c r="J187" s="921">
        <v>1E-3</v>
      </c>
      <c r="K187" s="921">
        <v>0.79</v>
      </c>
      <c r="L187" s="921">
        <v>1E-3</v>
      </c>
      <c r="M187" s="921">
        <v>0.79</v>
      </c>
      <c r="N187" s="921">
        <v>1E-3</v>
      </c>
      <c r="O187" s="921">
        <v>1E-3</v>
      </c>
      <c r="P187" s="995">
        <v>0.4</v>
      </c>
      <c r="Q187" s="995">
        <v>0.22</v>
      </c>
      <c r="R187" s="995">
        <v>0.77</v>
      </c>
      <c r="S187" s="929"/>
      <c r="T187" s="989" t="s">
        <v>237</v>
      </c>
      <c r="U187" s="989">
        <v>0.34</v>
      </c>
      <c r="V187" s="989">
        <v>0.36</v>
      </c>
      <c r="W187" s="921">
        <v>0.39</v>
      </c>
      <c r="X187" s="989">
        <v>1E-3</v>
      </c>
      <c r="Y187" s="921">
        <v>1E-3</v>
      </c>
      <c r="Z187" s="989">
        <v>0.92</v>
      </c>
      <c r="AA187" s="921">
        <v>1E-3</v>
      </c>
      <c r="AB187" s="921">
        <v>1E-3</v>
      </c>
      <c r="AC187" s="989">
        <v>0.79</v>
      </c>
      <c r="AD187" s="921">
        <v>1E-3</v>
      </c>
      <c r="AE187" s="921">
        <v>0.79</v>
      </c>
      <c r="AF187" s="921">
        <v>1E-3</v>
      </c>
      <c r="AG187" s="989">
        <v>28</v>
      </c>
      <c r="AH187" s="995">
        <v>0.4</v>
      </c>
      <c r="AI187" s="995">
        <v>0.22</v>
      </c>
      <c r="AJ187" s="995">
        <v>0.77</v>
      </c>
      <c r="AK187" s="929"/>
      <c r="AX187" s="996"/>
      <c r="AY187" s="996"/>
      <c r="BB187" s="934"/>
      <c r="BD187" s="996"/>
      <c r="BE187" s="996"/>
      <c r="BH187" s="934"/>
      <c r="BJ187" s="996"/>
      <c r="BK187" s="996"/>
      <c r="BN187" s="934"/>
      <c r="BP187" s="996"/>
      <c r="BQ187" s="996"/>
      <c r="BT187" s="934"/>
      <c r="BV187" s="996"/>
      <c r="BW187" s="996"/>
    </row>
    <row r="188" spans="2:78" s="929" customFormat="1">
      <c r="V188" s="930"/>
      <c r="W188" s="930"/>
      <c r="X188" s="930"/>
      <c r="Y188" s="930"/>
      <c r="Z188" s="930"/>
      <c r="AA188" s="930"/>
      <c r="AB188" s="930"/>
      <c r="AC188" s="930"/>
      <c r="AD188" s="930"/>
      <c r="AZ188" s="930"/>
      <c r="BF188" s="930"/>
      <c r="BL188" s="930"/>
      <c r="BR188" s="930"/>
      <c r="BX188" s="930"/>
    </row>
    <row r="189" spans="2:78" s="929" customFormat="1">
      <c r="V189" s="930"/>
      <c r="W189" s="930"/>
      <c r="X189" s="930"/>
      <c r="Y189" s="930"/>
      <c r="Z189" s="930"/>
      <c r="AA189" s="930"/>
      <c r="AB189" s="930"/>
      <c r="AC189" s="930"/>
      <c r="AD189" s="930"/>
      <c r="AZ189" s="930"/>
      <c r="BF189" s="930"/>
      <c r="BL189" s="930"/>
      <c r="BR189" s="930"/>
      <c r="BX189" s="930"/>
    </row>
    <row r="190" spans="2:78" ht="92.25" customHeight="1">
      <c r="B190" s="999" t="s">
        <v>219</v>
      </c>
      <c r="C190" s="1000" t="str">
        <f>U173</f>
        <v>Thermocouple Data Logger, Merek : MADGETECH, Model : OctTemp 2000, SN : P40270</v>
      </c>
      <c r="D190" s="971" t="str">
        <f>V173</f>
        <v>Thermocouple Data Logger, Merek : MADGETECH, Model : OctTemp 2000, SN : P41878</v>
      </c>
      <c r="E190" s="1001" t="str">
        <f>W173</f>
        <v>Mobile Corder, Merek : Yokogawa, Model : GP 10, SN : S5T810599</v>
      </c>
      <c r="F190" s="1002" t="str">
        <f t="shared" ref="F190:O190" si="311">F173</f>
        <v>Wireless Temperature Recorder : Merek : HIOKI, Model : LR 8510, SN : 200936000</v>
      </c>
      <c r="G190" s="1002" t="str">
        <f t="shared" si="311"/>
        <v>Wireless Temperature Recorder : Merek : HIOKI, Model : LR 8510, SN : 200936001</v>
      </c>
      <c r="H190" s="1002" t="str">
        <f t="shared" si="311"/>
        <v>Wireless Temperature Recorder : Merek : HIOKI, Model : LR 8510, SN : 200821397</v>
      </c>
      <c r="I190" s="1002" t="str">
        <f t="shared" si="311"/>
        <v>Wireless Temperature Recorder : Merek : HIOKI, Model : LR 8510, SN : 210411983</v>
      </c>
      <c r="J190" s="1002" t="str">
        <f t="shared" si="311"/>
        <v>Wireless Temperature Recorder : Merek : HIOKI, Model : LR 8510, SN : 210411984</v>
      </c>
      <c r="K190" s="1002" t="str">
        <f t="shared" si="311"/>
        <v>Wireless Temperature Recorder : Merek : HIOKI, Model : LR 8510, SN : 210411985</v>
      </c>
      <c r="L190" s="1002" t="str">
        <f t="shared" si="311"/>
        <v>Wireless Temperature Recorder : Merek : HIOKI, Model : LR 8510, SN : 210746054</v>
      </c>
      <c r="M190" s="1002" t="str">
        <f t="shared" si="311"/>
        <v>Wireless Temperature Recorder : Merek : HIOKI, Model : LR 8510, SN : 210746055</v>
      </c>
      <c r="N190" s="1002" t="str">
        <f t="shared" si="311"/>
        <v>Wireless Temperature Recorder : Merek : HIOKI, Model : LR 8510, SN : 210746056</v>
      </c>
      <c r="O190" s="1003" t="str">
        <f t="shared" si="311"/>
        <v>Wireless Temperature Recorder : Merek : HIOKI, Model : LR 8510, SN : x x x</v>
      </c>
      <c r="P190" s="969" t="s">
        <v>457</v>
      </c>
      <c r="Q190" s="969" t="s">
        <v>458</v>
      </c>
      <c r="R190" s="969" t="s">
        <v>456</v>
      </c>
      <c r="S190" s="929"/>
      <c r="T190" s="999" t="s">
        <v>220</v>
      </c>
      <c r="U190" s="1014" t="str">
        <f>C190</f>
        <v>Thermocouple Data Logger, Merek : MADGETECH, Model : OctTemp 2000, SN : P40270</v>
      </c>
      <c r="V190" s="1014" t="str">
        <f>D190</f>
        <v>Thermocouple Data Logger, Merek : MADGETECH, Model : OctTemp 2000, SN : P41878</v>
      </c>
      <c r="W190" s="1014" t="str">
        <f>E190</f>
        <v>Mobile Corder, Merek : Yokogawa, Model : GP 10, SN : S5T810599</v>
      </c>
      <c r="X190" s="1014" t="str">
        <f t="shared" ref="X190:AG190" si="312">X173</f>
        <v>Wireless Temperature Recorder : Merek : HIOKI, Model : LR 8510, SN : 200936000</v>
      </c>
      <c r="Y190" s="1014" t="str">
        <f t="shared" si="312"/>
        <v>Wireless Temperature Recorder : Merek : HIOKI, Model : LR 8510, SN : 200936001</v>
      </c>
      <c r="Z190" s="1014" t="str">
        <f t="shared" si="312"/>
        <v>Wireless Temperature Recorder : Merek : HIOKI, Model : LR 8510, SN : 200821397</v>
      </c>
      <c r="AA190" s="1014" t="str">
        <f t="shared" si="312"/>
        <v>Wireless Temperature Recorder : Merek : HIOKI, Model : LR 8510, SN : 210411983</v>
      </c>
      <c r="AB190" s="1014" t="str">
        <f t="shared" si="312"/>
        <v>Wireless Temperature Recorder : Merek : HIOKI, Model : LR 8510, SN : 210411984</v>
      </c>
      <c r="AC190" s="1014" t="str">
        <f t="shared" si="312"/>
        <v>Wireless Temperature Recorder : Merek : HIOKI, Model : LR 8510, SN : 210411985</v>
      </c>
      <c r="AD190" s="1014" t="str">
        <f t="shared" si="312"/>
        <v>Wireless Temperature Recorder : Merek : HIOKI, Model : LR 8510, SN : 210746054</v>
      </c>
      <c r="AE190" s="1014" t="str">
        <f t="shared" si="312"/>
        <v>Wireless Temperature Recorder : Merek : HIOKI, Model : LR 8510, SN : 210746055</v>
      </c>
      <c r="AF190" s="1014" t="str">
        <f t="shared" si="312"/>
        <v>Wireless Temperature Recorder : Merek : HIOKI, Model : LR 8510, SN : 210746056</v>
      </c>
      <c r="AG190" s="971" t="str">
        <f t="shared" si="312"/>
        <v>Wireless Temperature Recorder : Merek : HIOKI, Model : LR 8510, SN : x x x</v>
      </c>
      <c r="AH190" s="969" t="s">
        <v>457</v>
      </c>
      <c r="AI190" s="969" t="s">
        <v>458</v>
      </c>
      <c r="AJ190" s="969" t="s">
        <v>456</v>
      </c>
      <c r="AK190" s="929"/>
      <c r="AX190" s="974"/>
      <c r="AY190" s="975"/>
      <c r="AZ190" s="976"/>
      <c r="BB190" s="934"/>
      <c r="BD190" s="974"/>
      <c r="BE190" s="975"/>
      <c r="BF190" s="976"/>
      <c r="BH190" s="934"/>
      <c r="BJ190" s="974"/>
      <c r="BK190" s="975"/>
      <c r="BL190" s="976"/>
      <c r="BN190" s="934"/>
      <c r="BP190" s="974"/>
      <c r="BQ190" s="975"/>
      <c r="BR190" s="976"/>
      <c r="BT190" s="934"/>
      <c r="BV190" s="974"/>
      <c r="BW190" s="975"/>
      <c r="BX190" s="976"/>
    </row>
    <row r="191" spans="2:78" s="977" customFormat="1" ht="6.6" customHeight="1">
      <c r="B191" s="1005"/>
      <c r="C191" s="1006"/>
      <c r="D191" s="983"/>
      <c r="E191" s="1007"/>
      <c r="F191" s="1008"/>
      <c r="G191" s="1008"/>
      <c r="H191" s="1008"/>
      <c r="I191" s="1008"/>
      <c r="J191" s="1008"/>
      <c r="K191" s="1008"/>
      <c r="L191" s="1008"/>
      <c r="M191" s="1008"/>
      <c r="N191" s="1008"/>
      <c r="O191" s="1009"/>
      <c r="P191" s="981"/>
      <c r="Q191" s="981"/>
      <c r="R191" s="981"/>
      <c r="T191" s="1005"/>
      <c r="U191" s="1015"/>
      <c r="V191" s="1015"/>
      <c r="W191" s="1015"/>
      <c r="X191" s="1015"/>
      <c r="Y191" s="1015"/>
      <c r="Z191" s="1015"/>
      <c r="AA191" s="1015"/>
      <c r="AB191" s="1015"/>
      <c r="AC191" s="1015"/>
      <c r="AD191" s="1015"/>
      <c r="AE191" s="1015"/>
      <c r="AF191" s="1015"/>
      <c r="AG191" s="983"/>
      <c r="AH191" s="981"/>
      <c r="AI191" s="981"/>
      <c r="AJ191" s="981"/>
      <c r="AN191" s="984"/>
      <c r="AP191" s="985"/>
      <c r="AT191" s="984"/>
      <c r="AV191" s="985"/>
      <c r="AX191" s="986"/>
      <c r="AY191" s="987"/>
      <c r="AZ191" s="988"/>
      <c r="BD191" s="986"/>
      <c r="BE191" s="987"/>
      <c r="BF191" s="988"/>
      <c r="BJ191" s="986"/>
      <c r="BK191" s="987"/>
      <c r="BL191" s="988"/>
      <c r="BP191" s="986"/>
      <c r="BQ191" s="987"/>
      <c r="BR191" s="988"/>
      <c r="BV191" s="986"/>
      <c r="BW191" s="987"/>
      <c r="BX191" s="988"/>
      <c r="BZ191" s="985"/>
    </row>
    <row r="192" spans="2:78">
      <c r="B192" s="989">
        <v>-20</v>
      </c>
      <c r="C192" s="1016">
        <v>-0.42</v>
      </c>
      <c r="D192" s="926">
        <v>-0.6</v>
      </c>
      <c r="E192" s="1016">
        <v>1E-3</v>
      </c>
      <c r="F192" s="926">
        <v>1E-3</v>
      </c>
      <c r="G192" s="926">
        <v>1E-3</v>
      </c>
      <c r="H192" s="926">
        <v>-0.04</v>
      </c>
      <c r="I192" s="926">
        <v>1E-3</v>
      </c>
      <c r="J192" s="926">
        <v>1E-3</v>
      </c>
      <c r="K192" s="926">
        <v>0.54</v>
      </c>
      <c r="L192" s="926">
        <v>1E-3</v>
      </c>
      <c r="M192" s="926">
        <v>0.54</v>
      </c>
      <c r="N192" s="926">
        <v>1E-3</v>
      </c>
      <c r="O192" s="926">
        <v>2</v>
      </c>
      <c r="P192" s="926">
        <v>-0.7</v>
      </c>
      <c r="Q192" s="926">
        <v>-1.5E-3</v>
      </c>
      <c r="R192" s="926">
        <v>-1.8</v>
      </c>
      <c r="S192" s="929"/>
      <c r="T192" s="989">
        <v>-20</v>
      </c>
      <c r="U192" s="926">
        <v>-0.32</v>
      </c>
      <c r="V192" s="926">
        <v>-0.77</v>
      </c>
      <c r="W192" s="926">
        <v>1E-3</v>
      </c>
      <c r="X192" s="926">
        <v>1E-3</v>
      </c>
      <c r="Y192" s="926">
        <v>1E-3</v>
      </c>
      <c r="Z192" s="926">
        <v>-7.0000000000000007E-2</v>
      </c>
      <c r="AA192" s="926">
        <v>1E-3</v>
      </c>
      <c r="AB192" s="926">
        <v>1E-3</v>
      </c>
      <c r="AC192" s="926">
        <v>0.57999999999999996</v>
      </c>
      <c r="AD192" s="926">
        <v>1E-3</v>
      </c>
      <c r="AE192" s="926">
        <v>0.57999999999999996</v>
      </c>
      <c r="AF192" s="926">
        <v>1E-3</v>
      </c>
      <c r="AG192" s="991">
        <v>16</v>
      </c>
      <c r="AH192" s="926">
        <v>-0.7</v>
      </c>
      <c r="AI192" s="926">
        <v>-1.5E-3</v>
      </c>
      <c r="AJ192" s="926">
        <v>-1.8</v>
      </c>
      <c r="AK192" s="929"/>
      <c r="AX192" s="972"/>
      <c r="AY192" s="972"/>
      <c r="BB192" s="934"/>
      <c r="BD192" s="972"/>
      <c r="BE192" s="972"/>
      <c r="BH192" s="934"/>
      <c r="BJ192" s="972"/>
      <c r="BK192" s="972"/>
      <c r="BN192" s="934"/>
      <c r="BP192" s="972"/>
      <c r="BQ192" s="972"/>
      <c r="BT192" s="934"/>
      <c r="BV192" s="972"/>
      <c r="BW192" s="972"/>
    </row>
    <row r="193" spans="2:78">
      <c r="B193" s="989">
        <v>-15</v>
      </c>
      <c r="C193" s="1016">
        <v>-0.36</v>
      </c>
      <c r="D193" s="926">
        <v>-0.49</v>
      </c>
      <c r="E193" s="1016">
        <v>-0.41</v>
      </c>
      <c r="F193" s="926">
        <v>1E-3</v>
      </c>
      <c r="G193" s="926">
        <v>1E-3</v>
      </c>
      <c r="H193" s="926">
        <v>1E-3</v>
      </c>
      <c r="I193" s="926">
        <v>1E-3</v>
      </c>
      <c r="J193" s="926">
        <v>1E-3</v>
      </c>
      <c r="K193" s="926">
        <v>1E-3</v>
      </c>
      <c r="L193" s="926">
        <v>1E-3</v>
      </c>
      <c r="M193" s="926">
        <v>1E-3</v>
      </c>
      <c r="N193" s="926">
        <v>1E-3</v>
      </c>
      <c r="O193" s="926">
        <v>3</v>
      </c>
      <c r="P193" s="926">
        <v>-0.7</v>
      </c>
      <c r="Q193" s="926">
        <v>1E-3</v>
      </c>
      <c r="R193" s="926">
        <v>-1.52</v>
      </c>
      <c r="S193" s="929"/>
      <c r="T193" s="989">
        <v>-15</v>
      </c>
      <c r="U193" s="926">
        <v>-0.24</v>
      </c>
      <c r="V193" s="926">
        <v>-0.63</v>
      </c>
      <c r="W193" s="926">
        <v>-0.5</v>
      </c>
      <c r="X193" s="926">
        <v>1E-3</v>
      </c>
      <c r="Y193" s="926">
        <v>1E-3</v>
      </c>
      <c r="Z193" s="926">
        <v>1E-3</v>
      </c>
      <c r="AA193" s="926">
        <v>1E-3</v>
      </c>
      <c r="AB193" s="926">
        <v>1E-3</v>
      </c>
      <c r="AC193" s="926">
        <v>1E-3</v>
      </c>
      <c r="AD193" s="926">
        <v>1E-3</v>
      </c>
      <c r="AE193" s="926">
        <v>1E-3</v>
      </c>
      <c r="AF193" s="926">
        <v>1E-3</v>
      </c>
      <c r="AG193" s="991">
        <v>17</v>
      </c>
      <c r="AH193" s="926">
        <v>-0.7</v>
      </c>
      <c r="AI193" s="926">
        <v>1E-3</v>
      </c>
      <c r="AJ193" s="926">
        <v>-1.52</v>
      </c>
      <c r="AK193" s="929"/>
      <c r="AX193" s="972"/>
      <c r="AY193" s="972"/>
      <c r="BB193" s="934"/>
      <c r="BD193" s="972"/>
      <c r="BE193" s="972"/>
      <c r="BH193" s="934"/>
      <c r="BJ193" s="972"/>
      <c r="BK193" s="972"/>
      <c r="BN193" s="934"/>
      <c r="BP193" s="972"/>
      <c r="BQ193" s="972"/>
      <c r="BT193" s="934"/>
      <c r="BV193" s="972"/>
      <c r="BW193" s="972"/>
    </row>
    <row r="194" spans="2:78">
      <c r="B194" s="989">
        <v>-10</v>
      </c>
      <c r="C194" s="1016">
        <v>-0.3</v>
      </c>
      <c r="D194" s="926">
        <v>1E-3</v>
      </c>
      <c r="E194" s="1016">
        <v>-0.32</v>
      </c>
      <c r="F194" s="926">
        <v>1E-3</v>
      </c>
      <c r="G194" s="926">
        <v>1E-3</v>
      </c>
      <c r="H194" s="926">
        <v>1.6999999999999999E-3</v>
      </c>
      <c r="I194" s="926">
        <v>1E-3</v>
      </c>
      <c r="J194" s="926">
        <v>1E-3</v>
      </c>
      <c r="K194" s="926">
        <v>0.53</v>
      </c>
      <c r="L194" s="926">
        <v>1E-3</v>
      </c>
      <c r="M194" s="926">
        <v>0.53</v>
      </c>
      <c r="N194" s="926">
        <v>1E-3</v>
      </c>
      <c r="O194" s="926">
        <v>4</v>
      </c>
      <c r="P194" s="926">
        <v>-0.7</v>
      </c>
      <c r="Q194" s="926">
        <v>-0.05</v>
      </c>
      <c r="R194" s="926">
        <v>-1.26</v>
      </c>
      <c r="S194" s="929"/>
      <c r="T194" s="989">
        <v>-10</v>
      </c>
      <c r="U194" s="926">
        <v>-1.8E-3</v>
      </c>
      <c r="V194" s="926">
        <v>1E-3</v>
      </c>
      <c r="W194" s="926">
        <v>-0.41</v>
      </c>
      <c r="X194" s="926">
        <v>1E-3</v>
      </c>
      <c r="Y194" s="926">
        <v>1E-3</v>
      </c>
      <c r="Z194" s="926">
        <v>1.6000000000000001E-3</v>
      </c>
      <c r="AA194" s="926">
        <v>1E-3</v>
      </c>
      <c r="AB194" s="926">
        <v>1E-3</v>
      </c>
      <c r="AC194" s="926">
        <v>0.55000000000000004</v>
      </c>
      <c r="AD194" s="926">
        <v>1E-3</v>
      </c>
      <c r="AE194" s="926">
        <v>0.55000000000000004</v>
      </c>
      <c r="AF194" s="926">
        <v>1E-3</v>
      </c>
      <c r="AG194" s="991">
        <v>18</v>
      </c>
      <c r="AH194" s="926">
        <v>-0.7</v>
      </c>
      <c r="AI194" s="926">
        <v>-0.05</v>
      </c>
      <c r="AJ194" s="926">
        <v>-1.26</v>
      </c>
      <c r="AK194" s="929"/>
      <c r="AX194" s="972"/>
      <c r="AY194" s="972"/>
      <c r="BB194" s="934"/>
      <c r="BD194" s="972"/>
      <c r="BE194" s="972"/>
      <c r="BH194" s="934"/>
      <c r="BJ194" s="972"/>
      <c r="BK194" s="972"/>
      <c r="BN194" s="934"/>
      <c r="BP194" s="972"/>
      <c r="BQ194" s="972"/>
      <c r="BT194" s="934"/>
      <c r="BV194" s="972"/>
      <c r="BW194" s="972"/>
    </row>
    <row r="195" spans="2:78">
      <c r="B195" s="989">
        <v>1E-3</v>
      </c>
      <c r="C195" s="1016">
        <v>-1.9E-3</v>
      </c>
      <c r="D195" s="926">
        <v>-0.2</v>
      </c>
      <c r="E195" s="1016">
        <v>-0.28999999999999998</v>
      </c>
      <c r="F195" s="926">
        <v>1E-3</v>
      </c>
      <c r="G195" s="926">
        <v>1E-3</v>
      </c>
      <c r="H195" s="926">
        <v>0.34</v>
      </c>
      <c r="I195" s="926">
        <v>1E-3</v>
      </c>
      <c r="J195" s="926">
        <v>1E-3</v>
      </c>
      <c r="K195" s="926">
        <v>0.51</v>
      </c>
      <c r="L195" s="926">
        <v>1E-3</v>
      </c>
      <c r="M195" s="926">
        <v>0.51</v>
      </c>
      <c r="N195" s="926">
        <v>1E-3</v>
      </c>
      <c r="O195" s="926">
        <v>5</v>
      </c>
      <c r="P195" s="926">
        <v>-0.7</v>
      </c>
      <c r="Q195" s="926">
        <v>0.03</v>
      </c>
      <c r="R195" s="926">
        <v>-0.79</v>
      </c>
      <c r="S195" s="929"/>
      <c r="T195" s="989">
        <v>1E-3</v>
      </c>
      <c r="U195" s="926">
        <v>-0.06</v>
      </c>
      <c r="V195" s="926">
        <v>-0.28000000000000003</v>
      </c>
      <c r="W195" s="926">
        <v>-0.34</v>
      </c>
      <c r="X195" s="926">
        <v>1E-3</v>
      </c>
      <c r="Y195" s="926">
        <v>1E-3</v>
      </c>
      <c r="Z195" s="926">
        <v>0.34</v>
      </c>
      <c r="AA195" s="926">
        <v>1E-3</v>
      </c>
      <c r="AB195" s="926">
        <v>1E-3</v>
      </c>
      <c r="AC195" s="926">
        <v>0.52</v>
      </c>
      <c r="AD195" s="926">
        <v>1E-3</v>
      </c>
      <c r="AE195" s="926">
        <v>0.52</v>
      </c>
      <c r="AF195" s="926">
        <v>1E-3</v>
      </c>
      <c r="AG195" s="991">
        <v>19</v>
      </c>
      <c r="AH195" s="926">
        <v>-0.7</v>
      </c>
      <c r="AI195" s="926">
        <v>0.03</v>
      </c>
      <c r="AJ195" s="926">
        <v>-0.79</v>
      </c>
      <c r="AK195" s="929"/>
      <c r="AX195" s="972"/>
      <c r="AY195" s="972"/>
      <c r="BB195" s="934"/>
      <c r="BD195" s="972"/>
      <c r="BE195" s="972"/>
      <c r="BH195" s="934"/>
      <c r="BJ195" s="972"/>
      <c r="BK195" s="972"/>
      <c r="BN195" s="934"/>
      <c r="BP195" s="972"/>
      <c r="BQ195" s="972"/>
      <c r="BT195" s="934"/>
      <c r="BV195" s="972"/>
      <c r="BW195" s="972"/>
    </row>
    <row r="196" spans="2:78">
      <c r="B196" s="989">
        <v>2</v>
      </c>
      <c r="C196" s="1016">
        <v>-1.6999999999999999E-3</v>
      </c>
      <c r="D196" s="926">
        <v>-1.6999999999999999E-3</v>
      </c>
      <c r="E196" s="1016">
        <v>-0.27</v>
      </c>
      <c r="F196" s="926">
        <v>1E-3</v>
      </c>
      <c r="G196" s="926">
        <v>1E-3</v>
      </c>
      <c r="H196" s="926">
        <v>0.37</v>
      </c>
      <c r="I196" s="926">
        <v>1E-3</v>
      </c>
      <c r="J196" s="926">
        <v>1E-3</v>
      </c>
      <c r="K196" s="926">
        <v>0.5</v>
      </c>
      <c r="L196" s="926">
        <v>1E-3</v>
      </c>
      <c r="M196" s="926">
        <v>0.5</v>
      </c>
      <c r="N196" s="926">
        <v>1E-3</v>
      </c>
      <c r="O196" s="926">
        <v>6</v>
      </c>
      <c r="P196" s="926">
        <v>-0.7</v>
      </c>
      <c r="Q196" s="926">
        <v>0.04</v>
      </c>
      <c r="R196" s="926">
        <v>-2.7</v>
      </c>
      <c r="S196" s="929"/>
      <c r="T196" s="989">
        <v>2</v>
      </c>
      <c r="U196" s="926">
        <v>-0.04</v>
      </c>
      <c r="V196" s="926">
        <v>-0.25</v>
      </c>
      <c r="W196" s="926">
        <v>-0.33</v>
      </c>
      <c r="X196" s="926">
        <v>1E-3</v>
      </c>
      <c r="Y196" s="926">
        <v>1E-3</v>
      </c>
      <c r="Z196" s="926">
        <v>0.38</v>
      </c>
      <c r="AA196" s="926">
        <v>1E-3</v>
      </c>
      <c r="AB196" s="926">
        <v>1E-3</v>
      </c>
      <c r="AC196" s="926">
        <v>0.51</v>
      </c>
      <c r="AD196" s="926">
        <v>1E-3</v>
      </c>
      <c r="AE196" s="926">
        <v>0.51</v>
      </c>
      <c r="AF196" s="926">
        <v>1E-3</v>
      </c>
      <c r="AG196" s="991">
        <v>20</v>
      </c>
      <c r="AH196" s="926">
        <v>-0.7</v>
      </c>
      <c r="AI196" s="926">
        <v>0.04</v>
      </c>
      <c r="AJ196" s="926">
        <v>-2.7</v>
      </c>
      <c r="AK196" s="929"/>
      <c r="AX196" s="972"/>
      <c r="AY196" s="972"/>
      <c r="BB196" s="934"/>
      <c r="BD196" s="972"/>
      <c r="BE196" s="972"/>
      <c r="BH196" s="934"/>
      <c r="BJ196" s="972"/>
      <c r="BK196" s="972"/>
      <c r="BN196" s="934"/>
      <c r="BP196" s="972"/>
      <c r="BQ196" s="972"/>
      <c r="BT196" s="934"/>
      <c r="BV196" s="972"/>
      <c r="BW196" s="972"/>
    </row>
    <row r="197" spans="2:78">
      <c r="B197" s="989">
        <v>8</v>
      </c>
      <c r="C197" s="1016">
        <v>-1.1000000000000001E-3</v>
      </c>
      <c r="D197" s="926">
        <v>-0.08</v>
      </c>
      <c r="E197" s="1016">
        <v>-1.6000000000000001E-3</v>
      </c>
      <c r="F197" s="926">
        <v>1E-3</v>
      </c>
      <c r="G197" s="926">
        <v>1E-3</v>
      </c>
      <c r="H197" s="926">
        <v>0.45</v>
      </c>
      <c r="I197" s="926">
        <v>1E-3</v>
      </c>
      <c r="J197" s="926">
        <v>1E-3</v>
      </c>
      <c r="K197" s="926">
        <v>0.49</v>
      </c>
      <c r="L197" s="926">
        <v>1E-3</v>
      </c>
      <c r="M197" s="926">
        <v>0.49</v>
      </c>
      <c r="N197" s="926">
        <v>1E-3</v>
      </c>
      <c r="O197" s="926">
        <v>7</v>
      </c>
      <c r="P197" s="926">
        <v>-0.7</v>
      </c>
      <c r="Q197" s="926">
        <v>0.08</v>
      </c>
      <c r="R197" s="926">
        <v>-0.46</v>
      </c>
      <c r="S197" s="929"/>
      <c r="T197" s="989">
        <v>8</v>
      </c>
      <c r="U197" s="926">
        <v>0.01</v>
      </c>
      <c r="V197" s="926">
        <v>-1.4E-3</v>
      </c>
      <c r="W197" s="926">
        <v>-0.21</v>
      </c>
      <c r="X197" s="926">
        <v>1E-3</v>
      </c>
      <c r="Y197" s="926">
        <v>1E-3</v>
      </c>
      <c r="Z197" s="926">
        <v>0.47</v>
      </c>
      <c r="AA197" s="926">
        <v>1E-3</v>
      </c>
      <c r="AB197" s="926">
        <v>1E-3</v>
      </c>
      <c r="AC197" s="926">
        <v>0.5</v>
      </c>
      <c r="AD197" s="926">
        <v>1E-3</v>
      </c>
      <c r="AE197" s="926">
        <v>0.5</v>
      </c>
      <c r="AF197" s="926">
        <v>1E-3</v>
      </c>
      <c r="AG197" s="991">
        <v>21</v>
      </c>
      <c r="AH197" s="926">
        <v>-0.7</v>
      </c>
      <c r="AI197" s="926">
        <v>0.08</v>
      </c>
      <c r="AJ197" s="926">
        <v>-0.46</v>
      </c>
      <c r="AK197" s="929"/>
      <c r="AX197" s="972"/>
      <c r="AY197" s="972"/>
      <c r="BB197" s="934"/>
      <c r="BD197" s="972"/>
      <c r="BE197" s="972"/>
      <c r="BH197" s="934"/>
      <c r="BJ197" s="972"/>
      <c r="BK197" s="972"/>
      <c r="BN197" s="934"/>
      <c r="BP197" s="972"/>
      <c r="BQ197" s="972"/>
      <c r="BT197" s="934"/>
      <c r="BV197" s="972"/>
      <c r="BW197" s="972"/>
    </row>
    <row r="198" spans="2:78">
      <c r="B198" s="989">
        <v>37</v>
      </c>
      <c r="C198" s="1016">
        <v>0.09</v>
      </c>
      <c r="D198" s="926">
        <v>1.6999999999999999E-3</v>
      </c>
      <c r="E198" s="1016">
        <v>-1.2999999999999999E-3</v>
      </c>
      <c r="F198" s="926">
        <v>1E-3</v>
      </c>
      <c r="G198" s="926">
        <v>1E-3</v>
      </c>
      <c r="H198" s="926">
        <v>0.68</v>
      </c>
      <c r="I198" s="926">
        <v>1E-3</v>
      </c>
      <c r="J198" s="926">
        <v>1E-3</v>
      </c>
      <c r="K198" s="926">
        <v>0.42</v>
      </c>
      <c r="L198" s="926">
        <v>1E-3</v>
      </c>
      <c r="M198" s="926">
        <v>0.42</v>
      </c>
      <c r="N198" s="926">
        <v>1E-3</v>
      </c>
      <c r="O198" s="926">
        <v>8</v>
      </c>
      <c r="P198" s="926">
        <v>-0.6</v>
      </c>
      <c r="Q198" s="926">
        <v>0.23</v>
      </c>
      <c r="R198" s="926">
        <v>0.42</v>
      </c>
      <c r="S198" s="929"/>
      <c r="T198" s="989">
        <v>37</v>
      </c>
      <c r="U198" s="926">
        <v>1.9E-3</v>
      </c>
      <c r="V198" s="926">
        <v>1.8E-3</v>
      </c>
      <c r="W198" s="926">
        <v>-0.31</v>
      </c>
      <c r="X198" s="926">
        <v>1E-3</v>
      </c>
      <c r="Y198" s="926">
        <v>1E-3</v>
      </c>
      <c r="Z198" s="926">
        <v>0.74</v>
      </c>
      <c r="AA198" s="926">
        <v>1E-3</v>
      </c>
      <c r="AB198" s="926">
        <v>1E-3</v>
      </c>
      <c r="AC198" s="926">
        <v>0.4</v>
      </c>
      <c r="AD198" s="926">
        <v>1E-3</v>
      </c>
      <c r="AE198" s="926">
        <v>0.4</v>
      </c>
      <c r="AF198" s="926">
        <v>1E-3</v>
      </c>
      <c r="AG198" s="991">
        <v>22</v>
      </c>
      <c r="AH198" s="926">
        <v>-0.6</v>
      </c>
      <c r="AI198" s="926">
        <v>0.23</v>
      </c>
      <c r="AJ198" s="926">
        <v>0.42</v>
      </c>
      <c r="AK198" s="929"/>
      <c r="AX198" s="972"/>
      <c r="AY198" s="972"/>
      <c r="BB198" s="934"/>
      <c r="BD198" s="972"/>
      <c r="BE198" s="972"/>
      <c r="BH198" s="934"/>
      <c r="BJ198" s="972"/>
      <c r="BK198" s="972"/>
      <c r="BN198" s="934"/>
      <c r="BP198" s="972"/>
      <c r="BQ198" s="972"/>
      <c r="BT198" s="934"/>
      <c r="BV198" s="972"/>
      <c r="BW198" s="972"/>
    </row>
    <row r="199" spans="2:78">
      <c r="B199" s="989">
        <v>44</v>
      </c>
      <c r="C199" s="1016">
        <v>1.1999999999999999E-3</v>
      </c>
      <c r="D199" s="926">
        <v>1.9E-3</v>
      </c>
      <c r="E199" s="1016">
        <v>-1.8E-3</v>
      </c>
      <c r="F199" s="926">
        <v>1E-3</v>
      </c>
      <c r="G199" s="926">
        <v>1E-3</v>
      </c>
      <c r="H199" s="926">
        <v>0.71</v>
      </c>
      <c r="I199" s="926">
        <v>1E-3</v>
      </c>
      <c r="J199" s="926">
        <v>1E-3</v>
      </c>
      <c r="K199" s="926">
        <v>0.4</v>
      </c>
      <c r="L199" s="926">
        <v>1E-3</v>
      </c>
      <c r="M199" s="926">
        <v>0.4</v>
      </c>
      <c r="N199" s="926">
        <v>1E-3</v>
      </c>
      <c r="O199" s="926">
        <v>9</v>
      </c>
      <c r="P199" s="926">
        <v>-0.7</v>
      </c>
      <c r="Q199" s="926">
        <v>0.25</v>
      </c>
      <c r="R199" s="926">
        <v>0.56999999999999995</v>
      </c>
      <c r="S199" s="929"/>
      <c r="T199" s="989">
        <v>44</v>
      </c>
      <c r="U199" s="926">
        <v>0.21</v>
      </c>
      <c r="V199" s="926">
        <v>0.21</v>
      </c>
      <c r="W199" s="926">
        <v>-1.5E-3</v>
      </c>
      <c r="X199" s="926">
        <v>1E-3</v>
      </c>
      <c r="Y199" s="926">
        <v>1E-3</v>
      </c>
      <c r="Z199" s="926">
        <v>0.77</v>
      </c>
      <c r="AA199" s="926">
        <v>1E-3</v>
      </c>
      <c r="AB199" s="926">
        <v>1E-3</v>
      </c>
      <c r="AC199" s="926">
        <v>0.38</v>
      </c>
      <c r="AD199" s="926">
        <v>1E-3</v>
      </c>
      <c r="AE199" s="926">
        <v>0.38</v>
      </c>
      <c r="AF199" s="926">
        <v>1E-3</v>
      </c>
      <c r="AG199" s="991">
        <v>23</v>
      </c>
      <c r="AH199" s="926">
        <v>-0.7</v>
      </c>
      <c r="AI199" s="926">
        <v>0.25</v>
      </c>
      <c r="AJ199" s="926">
        <v>0.56999999999999995</v>
      </c>
      <c r="AK199" s="929"/>
      <c r="AX199" s="972"/>
      <c r="AY199" s="972"/>
      <c r="BB199" s="934"/>
      <c r="BD199" s="972"/>
      <c r="BE199" s="972"/>
      <c r="BH199" s="934"/>
      <c r="BJ199" s="972"/>
      <c r="BK199" s="972"/>
      <c r="BN199" s="934"/>
      <c r="BP199" s="972"/>
      <c r="BQ199" s="972"/>
      <c r="BT199" s="934"/>
      <c r="BV199" s="972"/>
      <c r="BW199" s="972"/>
    </row>
    <row r="200" spans="2:78">
      <c r="B200" s="989">
        <v>50</v>
      </c>
      <c r="C200" s="1016">
        <v>1.5E-3</v>
      </c>
      <c r="D200" s="926">
        <v>0.2</v>
      </c>
      <c r="E200" s="1016">
        <v>1.5E-3</v>
      </c>
      <c r="F200" s="926">
        <v>1E-3</v>
      </c>
      <c r="G200" s="926">
        <v>1E-3</v>
      </c>
      <c r="H200" s="926">
        <v>0.72</v>
      </c>
      <c r="I200" s="926">
        <v>1E-3</v>
      </c>
      <c r="J200" s="926">
        <v>1E-3</v>
      </c>
      <c r="K200" s="926">
        <v>0.38</v>
      </c>
      <c r="L200" s="926">
        <v>1E-3</v>
      </c>
      <c r="M200" s="926">
        <v>0.38</v>
      </c>
      <c r="N200" s="926">
        <v>1E-3</v>
      </c>
      <c r="O200" s="926">
        <v>10</v>
      </c>
      <c r="P200" s="926">
        <v>-0.7</v>
      </c>
      <c r="Q200" s="926">
        <v>0.27</v>
      </c>
      <c r="R200" s="926">
        <v>0.67</v>
      </c>
      <c r="S200" s="929"/>
      <c r="T200" s="989">
        <v>50</v>
      </c>
      <c r="U200" s="926">
        <v>0.22</v>
      </c>
      <c r="V200" s="926">
        <v>0.24</v>
      </c>
      <c r="W200" s="926">
        <v>0.2</v>
      </c>
      <c r="X200" s="926">
        <v>1E-3</v>
      </c>
      <c r="Y200" s="926">
        <v>1E-3</v>
      </c>
      <c r="Z200" s="926">
        <v>0.78</v>
      </c>
      <c r="AA200" s="926">
        <v>1E-3</v>
      </c>
      <c r="AB200" s="926">
        <v>1E-3</v>
      </c>
      <c r="AC200" s="926">
        <v>0.36</v>
      </c>
      <c r="AD200" s="926">
        <v>1E-3</v>
      </c>
      <c r="AE200" s="926">
        <v>0.36</v>
      </c>
      <c r="AF200" s="926">
        <v>1E-3</v>
      </c>
      <c r="AG200" s="991">
        <v>24</v>
      </c>
      <c r="AH200" s="926">
        <v>-0.7</v>
      </c>
      <c r="AI200" s="926">
        <v>0.27</v>
      </c>
      <c r="AJ200" s="926">
        <v>0.67</v>
      </c>
      <c r="AK200" s="929"/>
      <c r="AX200" s="972"/>
      <c r="AY200" s="972"/>
      <c r="BB200" s="934"/>
      <c r="BD200" s="972"/>
      <c r="BE200" s="972"/>
      <c r="BH200" s="934"/>
      <c r="BJ200" s="972"/>
      <c r="BK200" s="972"/>
      <c r="BN200" s="934"/>
      <c r="BP200" s="972"/>
      <c r="BQ200" s="972"/>
      <c r="BT200" s="934"/>
      <c r="BV200" s="972"/>
      <c r="BW200" s="972"/>
    </row>
    <row r="201" spans="2:78">
      <c r="B201" s="989">
        <v>100</v>
      </c>
      <c r="C201" s="1016">
        <v>0.25</v>
      </c>
      <c r="D201" s="926">
        <v>1.2999999999999999E-3</v>
      </c>
      <c r="E201" s="1016">
        <v>-1.1999999999999999E-3</v>
      </c>
      <c r="F201" s="926">
        <v>1E-3</v>
      </c>
      <c r="G201" s="926">
        <v>1E-3</v>
      </c>
      <c r="H201" s="926">
        <v>0.54</v>
      </c>
      <c r="I201" s="926">
        <v>1E-3</v>
      </c>
      <c r="J201" s="926">
        <v>1E-3</v>
      </c>
      <c r="K201" s="926">
        <v>0.21</v>
      </c>
      <c r="L201" s="926">
        <v>1E-3</v>
      </c>
      <c r="M201" s="926">
        <v>0.21</v>
      </c>
      <c r="N201" s="926">
        <v>1E-3</v>
      </c>
      <c r="O201" s="926">
        <v>11</v>
      </c>
      <c r="P201" s="926">
        <v>-0.7</v>
      </c>
      <c r="Q201" s="926">
        <v>0.31</v>
      </c>
      <c r="R201" s="926">
        <v>0.95</v>
      </c>
      <c r="S201" s="929"/>
      <c r="T201" s="989">
        <v>100</v>
      </c>
      <c r="U201" s="926">
        <v>0.23</v>
      </c>
      <c r="V201" s="926">
        <v>1.6999999999999999E-3</v>
      </c>
      <c r="W201" s="926">
        <v>0.05</v>
      </c>
      <c r="X201" s="926">
        <v>1E-3</v>
      </c>
      <c r="Y201" s="926">
        <v>1E-3</v>
      </c>
      <c r="Z201" s="926">
        <v>0.62</v>
      </c>
      <c r="AA201" s="926">
        <v>1E-3</v>
      </c>
      <c r="AB201" s="926">
        <v>1E-3</v>
      </c>
      <c r="AC201" s="926">
        <v>1.6999999999999999E-3</v>
      </c>
      <c r="AD201" s="926">
        <v>1E-3</v>
      </c>
      <c r="AE201" s="926">
        <v>1.6999999999999999E-3</v>
      </c>
      <c r="AF201" s="926">
        <v>1E-3</v>
      </c>
      <c r="AG201" s="991">
        <v>25</v>
      </c>
      <c r="AH201" s="926">
        <v>-0.7</v>
      </c>
      <c r="AI201" s="926">
        <v>0.31</v>
      </c>
      <c r="AJ201" s="926">
        <v>0.95</v>
      </c>
      <c r="AK201" s="929"/>
      <c r="AX201" s="972"/>
      <c r="AY201" s="972"/>
      <c r="BB201" s="934"/>
      <c r="BD201" s="972"/>
      <c r="BE201" s="972"/>
      <c r="BH201" s="934"/>
      <c r="BJ201" s="972"/>
      <c r="BK201" s="972"/>
      <c r="BN201" s="934"/>
      <c r="BP201" s="972"/>
      <c r="BQ201" s="972"/>
      <c r="BT201" s="934"/>
      <c r="BV201" s="972"/>
      <c r="BW201" s="972"/>
    </row>
    <row r="202" spans="2:78">
      <c r="B202" s="989">
        <v>150</v>
      </c>
      <c r="C202" s="1016">
        <v>0.28000000000000003</v>
      </c>
      <c r="D202" s="926">
        <v>0.04</v>
      </c>
      <c r="E202" s="1016">
        <v>-0.42</v>
      </c>
      <c r="F202" s="926">
        <v>1E-3</v>
      </c>
      <c r="G202" s="926">
        <v>1E-3</v>
      </c>
      <c r="H202" s="926">
        <v>1E-3</v>
      </c>
      <c r="I202" s="926">
        <v>1E-3</v>
      </c>
      <c r="J202" s="926">
        <v>1E-3</v>
      </c>
      <c r="K202" s="926">
        <v>1E-3</v>
      </c>
      <c r="L202" s="926">
        <v>1E-3</v>
      </c>
      <c r="M202" s="926">
        <v>1E-3</v>
      </c>
      <c r="N202" s="926">
        <v>1E-3</v>
      </c>
      <c r="O202" s="926">
        <v>12</v>
      </c>
      <c r="P202" s="926">
        <v>-0.7</v>
      </c>
      <c r="Q202" s="926">
        <v>0.3</v>
      </c>
      <c r="R202" s="926">
        <v>0.49</v>
      </c>
      <c r="S202" s="929"/>
      <c r="T202" s="989">
        <v>150</v>
      </c>
      <c r="U202" s="926">
        <v>0.22</v>
      </c>
      <c r="V202" s="926">
        <v>0.02</v>
      </c>
      <c r="W202" s="926">
        <v>-1.6999999999999999E-3</v>
      </c>
      <c r="X202" s="926">
        <v>1E-3</v>
      </c>
      <c r="Y202" s="926">
        <v>1E-3</v>
      </c>
      <c r="Z202" s="926">
        <v>1.6999999999999999E-3</v>
      </c>
      <c r="AA202" s="926">
        <v>1E-3</v>
      </c>
      <c r="AB202" s="926">
        <v>1E-3</v>
      </c>
      <c r="AC202" s="926">
        <v>-0.05</v>
      </c>
      <c r="AD202" s="926">
        <v>1E-3</v>
      </c>
      <c r="AE202" s="926">
        <v>-0.05</v>
      </c>
      <c r="AF202" s="926">
        <v>1E-3</v>
      </c>
      <c r="AG202" s="991">
        <v>26</v>
      </c>
      <c r="AH202" s="926">
        <v>-0.7</v>
      </c>
      <c r="AI202" s="926">
        <v>0.3</v>
      </c>
      <c r="AJ202" s="926">
        <v>0.49</v>
      </c>
      <c r="AK202" s="929"/>
      <c r="AX202" s="972"/>
      <c r="AY202" s="972"/>
      <c r="BB202" s="934"/>
      <c r="BD202" s="972"/>
      <c r="BE202" s="972"/>
      <c r="BH202" s="934"/>
      <c r="BJ202" s="972"/>
      <c r="BK202" s="972"/>
      <c r="BN202" s="934"/>
      <c r="BP202" s="972"/>
      <c r="BQ202" s="972"/>
      <c r="BT202" s="934"/>
      <c r="BV202" s="972"/>
      <c r="BW202" s="972"/>
    </row>
    <row r="203" spans="2:78">
      <c r="B203" s="989">
        <v>200</v>
      </c>
      <c r="C203" s="1016">
        <v>0.42</v>
      </c>
      <c r="D203" s="926">
        <v>0.43</v>
      </c>
      <c r="E203" s="1016">
        <v>-0.09</v>
      </c>
      <c r="F203" s="926">
        <v>1E-3</v>
      </c>
      <c r="G203" s="926">
        <v>1E-3</v>
      </c>
      <c r="H203" s="926">
        <v>-0.28999999999999998</v>
      </c>
      <c r="I203" s="926">
        <v>1E-3</v>
      </c>
      <c r="J203" s="926">
        <v>1E-3</v>
      </c>
      <c r="K203" s="926">
        <v>-0.26</v>
      </c>
      <c r="L203" s="926">
        <v>1E-3</v>
      </c>
      <c r="M203" s="926">
        <v>-0.26</v>
      </c>
      <c r="N203" s="926">
        <v>1E-3</v>
      </c>
      <c r="O203" s="926">
        <v>13</v>
      </c>
      <c r="P203" s="926">
        <v>-0.6</v>
      </c>
      <c r="Q203" s="926">
        <v>0.34</v>
      </c>
      <c r="R203" s="926">
        <v>-0.26</v>
      </c>
      <c r="S203" s="929"/>
      <c r="T203" s="989">
        <v>200</v>
      </c>
      <c r="U203" s="926">
        <v>0.47</v>
      </c>
      <c r="V203" s="926">
        <v>0.3</v>
      </c>
      <c r="W203" s="926">
        <v>0.21</v>
      </c>
      <c r="X203" s="926">
        <v>1E-3</v>
      </c>
      <c r="Y203" s="926">
        <v>1E-3</v>
      </c>
      <c r="Z203" s="926">
        <v>-0.24</v>
      </c>
      <c r="AA203" s="926">
        <v>1E-3</v>
      </c>
      <c r="AB203" s="926">
        <v>1E-3</v>
      </c>
      <c r="AC203" s="926">
        <v>-0.28999999999999998</v>
      </c>
      <c r="AD203" s="926">
        <v>1E-3</v>
      </c>
      <c r="AE203" s="926">
        <v>-0.28999999999999998</v>
      </c>
      <c r="AF203" s="926">
        <v>1E-3</v>
      </c>
      <c r="AG203" s="991">
        <v>27</v>
      </c>
      <c r="AH203" s="926">
        <v>-0.6</v>
      </c>
      <c r="AI203" s="926">
        <v>0.34</v>
      </c>
      <c r="AJ203" s="926">
        <v>-0.26</v>
      </c>
      <c r="AK203" s="929"/>
      <c r="AX203" s="972"/>
      <c r="AY203" s="972"/>
      <c r="BB203" s="934"/>
      <c r="BD203" s="972"/>
      <c r="BE203" s="972"/>
      <c r="BH203" s="934"/>
      <c r="BJ203" s="972"/>
      <c r="BK203" s="972"/>
      <c r="BN203" s="934"/>
      <c r="BP203" s="972"/>
      <c r="BQ203" s="972"/>
      <c r="BT203" s="934"/>
      <c r="BV203" s="972"/>
      <c r="BW203" s="972"/>
    </row>
    <row r="204" spans="2:78">
      <c r="B204" s="989" t="s">
        <v>237</v>
      </c>
      <c r="C204" s="1017">
        <v>0.34</v>
      </c>
      <c r="D204" s="1017">
        <v>0.36</v>
      </c>
      <c r="E204" s="921">
        <v>0.39</v>
      </c>
      <c r="F204" s="921">
        <v>1E-3</v>
      </c>
      <c r="G204" s="921">
        <v>1E-3</v>
      </c>
      <c r="H204" s="921">
        <v>0.92</v>
      </c>
      <c r="I204" s="921">
        <v>1E-3</v>
      </c>
      <c r="J204" s="921">
        <v>1E-3</v>
      </c>
      <c r="K204" s="921">
        <v>0.79</v>
      </c>
      <c r="L204" s="921">
        <v>1E-3</v>
      </c>
      <c r="M204" s="921">
        <v>0.79</v>
      </c>
      <c r="N204" s="921">
        <v>1E-3</v>
      </c>
      <c r="O204" s="921">
        <v>14</v>
      </c>
      <c r="P204" s="995">
        <v>0.4</v>
      </c>
      <c r="Q204" s="995">
        <v>0.22</v>
      </c>
      <c r="R204" s="995">
        <v>0.77</v>
      </c>
      <c r="S204" s="929"/>
      <c r="T204" s="989" t="s">
        <v>237</v>
      </c>
      <c r="U204" s="989">
        <v>0.34</v>
      </c>
      <c r="V204" s="989">
        <v>0.36</v>
      </c>
      <c r="W204" s="921">
        <v>0.39</v>
      </c>
      <c r="X204" s="921">
        <v>1E-3</v>
      </c>
      <c r="Y204" s="921">
        <v>1E-3</v>
      </c>
      <c r="Z204" s="989">
        <v>0.92</v>
      </c>
      <c r="AA204" s="921">
        <v>1E-3</v>
      </c>
      <c r="AB204" s="921">
        <v>1E-3</v>
      </c>
      <c r="AC204" s="989">
        <v>0.79</v>
      </c>
      <c r="AD204" s="921">
        <v>1E-3</v>
      </c>
      <c r="AE204" s="921">
        <v>0.79</v>
      </c>
      <c r="AF204" s="921">
        <v>1E-3</v>
      </c>
      <c r="AG204" s="989">
        <v>28</v>
      </c>
      <c r="AH204" s="995">
        <v>0.4</v>
      </c>
      <c r="AI204" s="995">
        <v>0.22</v>
      </c>
      <c r="AJ204" s="995">
        <v>0.77</v>
      </c>
      <c r="AK204" s="929"/>
      <c r="AX204" s="996"/>
      <c r="AY204" s="996"/>
      <c r="BB204" s="934"/>
      <c r="BD204" s="996"/>
      <c r="BE204" s="996"/>
      <c r="BH204" s="934"/>
      <c r="BJ204" s="996"/>
      <c r="BK204" s="996"/>
      <c r="BN204" s="934"/>
      <c r="BP204" s="996"/>
      <c r="BQ204" s="996"/>
      <c r="BT204" s="934"/>
      <c r="BV204" s="996"/>
      <c r="BW204" s="996"/>
    </row>
    <row r="205" spans="2:78" s="929" customFormat="1">
      <c r="V205" s="930"/>
      <c r="W205" s="930"/>
      <c r="X205" s="930"/>
      <c r="Y205" s="930"/>
      <c r="Z205" s="930"/>
      <c r="AA205" s="930"/>
      <c r="AB205" s="930"/>
      <c r="AC205" s="930"/>
      <c r="AD205" s="930"/>
      <c r="AZ205" s="930"/>
      <c r="BF205" s="930"/>
      <c r="BL205" s="930"/>
      <c r="BR205" s="930"/>
      <c r="BX205" s="930"/>
    </row>
    <row r="206" spans="2:78" s="929" customFormat="1">
      <c r="V206" s="930"/>
      <c r="W206" s="930"/>
      <c r="X206" s="930"/>
      <c r="Y206" s="930"/>
      <c r="Z206" s="930"/>
      <c r="AA206" s="930"/>
      <c r="AB206" s="930"/>
      <c r="AC206" s="930"/>
      <c r="AD206" s="930"/>
      <c r="AZ206" s="930"/>
      <c r="BF206" s="930"/>
      <c r="BL206" s="930"/>
      <c r="BR206" s="930"/>
      <c r="BX206" s="930"/>
    </row>
    <row r="207" spans="2:78" ht="97.5" customHeight="1">
      <c r="B207" s="999" t="s">
        <v>221</v>
      </c>
      <c r="C207" s="1001" t="str">
        <f>U190</f>
        <v>Thermocouple Data Logger, Merek : MADGETECH, Model : OctTemp 2000, SN : P40270</v>
      </c>
      <c r="D207" s="1014" t="str">
        <f>V190</f>
        <v>Thermocouple Data Logger, Merek : MADGETECH, Model : OctTemp 2000, SN : P41878</v>
      </c>
      <c r="E207" s="1001" t="str">
        <f>W190</f>
        <v>Mobile Corder, Merek : Yokogawa, Model : GP 10, SN : S5T810599</v>
      </c>
      <c r="F207" s="1002" t="str">
        <f t="shared" ref="F207:O207" si="313">F190</f>
        <v>Wireless Temperature Recorder : Merek : HIOKI, Model : LR 8510, SN : 200936000</v>
      </c>
      <c r="G207" s="1002" t="str">
        <f t="shared" si="313"/>
        <v>Wireless Temperature Recorder : Merek : HIOKI, Model : LR 8510, SN : 200936001</v>
      </c>
      <c r="H207" s="1002" t="str">
        <f t="shared" si="313"/>
        <v>Wireless Temperature Recorder : Merek : HIOKI, Model : LR 8510, SN : 200821397</v>
      </c>
      <c r="I207" s="1002" t="str">
        <f t="shared" si="313"/>
        <v>Wireless Temperature Recorder : Merek : HIOKI, Model : LR 8510, SN : 210411983</v>
      </c>
      <c r="J207" s="1002" t="str">
        <f t="shared" si="313"/>
        <v>Wireless Temperature Recorder : Merek : HIOKI, Model : LR 8510, SN : 210411984</v>
      </c>
      <c r="K207" s="1002" t="str">
        <f t="shared" si="313"/>
        <v>Wireless Temperature Recorder : Merek : HIOKI, Model : LR 8510, SN : 210411985</v>
      </c>
      <c r="L207" s="1002" t="str">
        <f t="shared" si="313"/>
        <v>Wireless Temperature Recorder : Merek : HIOKI, Model : LR 8510, SN : 210746054</v>
      </c>
      <c r="M207" s="1002" t="str">
        <f t="shared" si="313"/>
        <v>Wireless Temperature Recorder : Merek : HIOKI, Model : LR 8510, SN : 210746055</v>
      </c>
      <c r="N207" s="1002" t="str">
        <f t="shared" si="313"/>
        <v>Wireless Temperature Recorder : Merek : HIOKI, Model : LR 8510, SN : 210746056</v>
      </c>
      <c r="O207" s="1002" t="str">
        <f t="shared" si="313"/>
        <v>Wireless Temperature Recorder : Merek : HIOKI, Model : LR 8510, SN : x x x</v>
      </c>
      <c r="P207" s="969" t="s">
        <v>457</v>
      </c>
      <c r="Q207" s="969" t="s">
        <v>458</v>
      </c>
      <c r="R207" s="969" t="s">
        <v>456</v>
      </c>
      <c r="S207" s="929"/>
      <c r="T207" s="999" t="s">
        <v>230</v>
      </c>
      <c r="U207" s="1014" t="str">
        <f>C207</f>
        <v>Thermocouple Data Logger, Merek : MADGETECH, Model : OctTemp 2000, SN : P40270</v>
      </c>
      <c r="V207" s="1014" t="str">
        <f>D207</f>
        <v>Thermocouple Data Logger, Merek : MADGETECH, Model : OctTemp 2000, SN : P41878</v>
      </c>
      <c r="W207" s="1018" t="str">
        <f>E207</f>
        <v>Mobile Corder, Merek : Yokogawa, Model : GP 10, SN : S5T810599</v>
      </c>
      <c r="X207" s="1014" t="str">
        <f t="shared" ref="X207:AG207" si="314">X190</f>
        <v>Wireless Temperature Recorder : Merek : HIOKI, Model : LR 8510, SN : 200936000</v>
      </c>
      <c r="Y207" s="1014" t="str">
        <f t="shared" si="314"/>
        <v>Wireless Temperature Recorder : Merek : HIOKI, Model : LR 8510, SN : 200936001</v>
      </c>
      <c r="Z207" s="1014" t="str">
        <f t="shared" si="314"/>
        <v>Wireless Temperature Recorder : Merek : HIOKI, Model : LR 8510, SN : 200821397</v>
      </c>
      <c r="AA207" s="1014" t="str">
        <f t="shared" si="314"/>
        <v>Wireless Temperature Recorder : Merek : HIOKI, Model : LR 8510, SN : 210411983</v>
      </c>
      <c r="AB207" s="1014" t="str">
        <f t="shared" si="314"/>
        <v>Wireless Temperature Recorder : Merek : HIOKI, Model : LR 8510, SN : 210411984</v>
      </c>
      <c r="AC207" s="1014" t="str">
        <f t="shared" si="314"/>
        <v>Wireless Temperature Recorder : Merek : HIOKI, Model : LR 8510, SN : 210411985</v>
      </c>
      <c r="AD207" s="1014" t="str">
        <f t="shared" si="314"/>
        <v>Wireless Temperature Recorder : Merek : HIOKI, Model : LR 8510, SN : 210746054</v>
      </c>
      <c r="AE207" s="1014" t="str">
        <f t="shared" si="314"/>
        <v>Wireless Temperature Recorder : Merek : HIOKI, Model : LR 8510, SN : 210746055</v>
      </c>
      <c r="AF207" s="1014" t="str">
        <f t="shared" si="314"/>
        <v>Wireless Temperature Recorder : Merek : HIOKI, Model : LR 8510, SN : 210746056</v>
      </c>
      <c r="AG207" s="971" t="str">
        <f t="shared" si="314"/>
        <v>Wireless Temperature Recorder : Merek : HIOKI, Model : LR 8510, SN : x x x</v>
      </c>
      <c r="AH207" s="969" t="s">
        <v>457</v>
      </c>
      <c r="AI207" s="969" t="s">
        <v>458</v>
      </c>
      <c r="AJ207" s="969" t="s">
        <v>456</v>
      </c>
      <c r="AK207" s="929"/>
      <c r="AX207" s="974"/>
      <c r="AY207" s="975"/>
      <c r="AZ207" s="976"/>
      <c r="BB207" s="934"/>
      <c r="BD207" s="974"/>
      <c r="BE207" s="975"/>
      <c r="BF207" s="976"/>
      <c r="BH207" s="934"/>
      <c r="BJ207" s="974"/>
      <c r="BK207" s="975"/>
      <c r="BL207" s="976"/>
      <c r="BN207" s="934"/>
      <c r="BP207" s="974"/>
      <c r="BQ207" s="975"/>
      <c r="BR207" s="976"/>
      <c r="BT207" s="934"/>
      <c r="BV207" s="974"/>
      <c r="BW207" s="975"/>
      <c r="BX207" s="976"/>
    </row>
    <row r="208" spans="2:78" s="977" customFormat="1" ht="6" customHeight="1">
      <c r="B208" s="1005"/>
      <c r="C208" s="1007"/>
      <c r="D208" s="1015"/>
      <c r="E208" s="1007"/>
      <c r="F208" s="1008"/>
      <c r="G208" s="1008"/>
      <c r="H208" s="1008"/>
      <c r="I208" s="1008"/>
      <c r="J208" s="1008"/>
      <c r="K208" s="1008"/>
      <c r="L208" s="1008"/>
      <c r="M208" s="1008"/>
      <c r="N208" s="1008"/>
      <c r="O208" s="1008"/>
      <c r="P208" s="981"/>
      <c r="Q208" s="981"/>
      <c r="R208" s="981"/>
      <c r="T208" s="1005"/>
      <c r="U208" s="1015"/>
      <c r="V208" s="1015"/>
      <c r="W208" s="1019"/>
      <c r="X208" s="1015"/>
      <c r="Y208" s="1015"/>
      <c r="Z208" s="1015"/>
      <c r="AA208" s="1015"/>
      <c r="AB208" s="1015"/>
      <c r="AC208" s="1015"/>
      <c r="AD208" s="1015"/>
      <c r="AE208" s="1015"/>
      <c r="AF208" s="1015"/>
      <c r="AG208" s="983"/>
      <c r="AH208" s="981"/>
      <c r="AI208" s="981"/>
      <c r="AJ208" s="981"/>
      <c r="AN208" s="984"/>
      <c r="AP208" s="985"/>
      <c r="AT208" s="984"/>
      <c r="AV208" s="985"/>
      <c r="AX208" s="986"/>
      <c r="AY208" s="987"/>
      <c r="AZ208" s="988"/>
      <c r="BD208" s="986"/>
      <c r="BE208" s="987"/>
      <c r="BF208" s="988"/>
      <c r="BJ208" s="986"/>
      <c r="BK208" s="987"/>
      <c r="BL208" s="988"/>
      <c r="BP208" s="986"/>
      <c r="BQ208" s="987"/>
      <c r="BR208" s="988"/>
      <c r="BV208" s="986"/>
      <c r="BW208" s="987"/>
      <c r="BX208" s="988"/>
      <c r="BZ208" s="985"/>
    </row>
    <row r="209" spans="2:78">
      <c r="B209" s="989">
        <v>-20</v>
      </c>
      <c r="C209" s="926">
        <v>-0.41</v>
      </c>
      <c r="D209" s="926">
        <v>-0.75</v>
      </c>
      <c r="E209" s="926">
        <v>1E-3</v>
      </c>
      <c r="F209" s="926">
        <v>1E-3</v>
      </c>
      <c r="G209" s="926">
        <v>1E-3</v>
      </c>
      <c r="H209" s="926">
        <v>-0.09</v>
      </c>
      <c r="I209" s="926">
        <v>1E-3</v>
      </c>
      <c r="J209" s="926">
        <v>1E-3</v>
      </c>
      <c r="K209" s="926">
        <v>0.54</v>
      </c>
      <c r="L209" s="926">
        <v>1E-3</v>
      </c>
      <c r="M209" s="926">
        <v>0.54</v>
      </c>
      <c r="N209" s="926">
        <v>1E-3</v>
      </c>
      <c r="O209" s="926">
        <v>2</v>
      </c>
      <c r="P209" s="926">
        <v>-0.7</v>
      </c>
      <c r="Q209" s="926">
        <v>-1.5E-3</v>
      </c>
      <c r="R209" s="926">
        <v>-1.8</v>
      </c>
      <c r="S209" s="929"/>
      <c r="T209" s="989">
        <v>-20</v>
      </c>
      <c r="U209" s="926">
        <v>-0.48</v>
      </c>
      <c r="V209" s="926">
        <v>-0.74</v>
      </c>
      <c r="W209" s="1020">
        <v>1E-3</v>
      </c>
      <c r="X209" s="926">
        <v>1E-3</v>
      </c>
      <c r="Y209" s="926">
        <v>1E-3</v>
      </c>
      <c r="Z209" s="926">
        <v>-1E-3</v>
      </c>
      <c r="AA209" s="926">
        <v>1E-3</v>
      </c>
      <c r="AB209" s="926">
        <v>1E-3</v>
      </c>
      <c r="AC209" s="926">
        <v>0.52</v>
      </c>
      <c r="AD209" s="926">
        <v>1E-3</v>
      </c>
      <c r="AE209" s="926">
        <v>0.52</v>
      </c>
      <c r="AF209" s="926">
        <v>1E-3</v>
      </c>
      <c r="AG209" s="991">
        <v>16</v>
      </c>
      <c r="AH209" s="926">
        <v>-0.7</v>
      </c>
      <c r="AI209" s="926">
        <v>-1.5E-3</v>
      </c>
      <c r="AJ209" s="926">
        <v>-1.8</v>
      </c>
      <c r="AK209" s="929"/>
      <c r="AX209" s="972"/>
      <c r="AY209" s="972"/>
      <c r="BB209" s="934"/>
      <c r="BD209" s="972"/>
      <c r="BE209" s="972"/>
      <c r="BH209" s="934"/>
      <c r="BJ209" s="972"/>
      <c r="BK209" s="972"/>
      <c r="BN209" s="934"/>
      <c r="BP209" s="972"/>
      <c r="BQ209" s="972"/>
      <c r="BT209" s="934"/>
      <c r="BV209" s="972"/>
      <c r="BW209" s="972"/>
    </row>
    <row r="210" spans="2:78">
      <c r="B210" s="989">
        <v>-15</v>
      </c>
      <c r="C210" s="926">
        <v>-0.36</v>
      </c>
      <c r="D210" s="926">
        <v>-0.62</v>
      </c>
      <c r="E210" s="926">
        <v>-0.53</v>
      </c>
      <c r="F210" s="926">
        <v>1E-3</v>
      </c>
      <c r="G210" s="926">
        <v>1E-3</v>
      </c>
      <c r="H210" s="926">
        <v>1E-3</v>
      </c>
      <c r="I210" s="926">
        <v>1E-3</v>
      </c>
      <c r="J210" s="926">
        <v>1E-3</v>
      </c>
      <c r="K210" s="926">
        <v>1E-3</v>
      </c>
      <c r="L210" s="926">
        <v>1E-3</v>
      </c>
      <c r="M210" s="926">
        <v>1E-3</v>
      </c>
      <c r="N210" s="926">
        <v>1E-3</v>
      </c>
      <c r="O210" s="926">
        <v>3</v>
      </c>
      <c r="P210" s="926">
        <v>-0.7</v>
      </c>
      <c r="Q210" s="926">
        <v>1E-3</v>
      </c>
      <c r="R210" s="926">
        <v>-1.52</v>
      </c>
      <c r="S210" s="929"/>
      <c r="T210" s="989">
        <v>-15</v>
      </c>
      <c r="U210" s="926">
        <v>-0.4</v>
      </c>
      <c r="V210" s="926">
        <v>-0.61</v>
      </c>
      <c r="W210" s="1020">
        <v>-0.47</v>
      </c>
      <c r="X210" s="926">
        <v>1E-3</v>
      </c>
      <c r="Y210" s="926">
        <v>1E-3</v>
      </c>
      <c r="Z210" s="926">
        <v>1E-3</v>
      </c>
      <c r="AA210" s="926">
        <v>1E-3</v>
      </c>
      <c r="AB210" s="926">
        <v>1E-3</v>
      </c>
      <c r="AC210" s="926">
        <v>1E-3</v>
      </c>
      <c r="AD210" s="926">
        <v>1E-3</v>
      </c>
      <c r="AE210" s="926">
        <v>1E-3</v>
      </c>
      <c r="AF210" s="926">
        <v>1E-3</v>
      </c>
      <c r="AG210" s="991">
        <v>17</v>
      </c>
      <c r="AH210" s="926">
        <v>-0.7</v>
      </c>
      <c r="AI210" s="926">
        <v>1E-3</v>
      </c>
      <c r="AJ210" s="926">
        <v>-1.52</v>
      </c>
      <c r="AK210" s="929"/>
      <c r="AX210" s="972"/>
      <c r="AY210" s="972"/>
      <c r="BB210" s="934"/>
      <c r="BD210" s="972"/>
      <c r="BE210" s="972"/>
      <c r="BH210" s="934"/>
      <c r="BJ210" s="972"/>
      <c r="BK210" s="972"/>
      <c r="BN210" s="934"/>
      <c r="BP210" s="972"/>
      <c r="BQ210" s="972"/>
      <c r="BT210" s="934"/>
      <c r="BV210" s="972"/>
      <c r="BW210" s="972"/>
    </row>
    <row r="211" spans="2:78">
      <c r="B211" s="989">
        <v>-10</v>
      </c>
      <c r="C211" s="926">
        <v>-0.31</v>
      </c>
      <c r="D211" s="926">
        <v>1E-3</v>
      </c>
      <c r="E211" s="926">
        <v>-0.44</v>
      </c>
      <c r="F211" s="926">
        <v>1E-3</v>
      </c>
      <c r="G211" s="926">
        <v>1E-3</v>
      </c>
      <c r="H211" s="926">
        <v>1.1999999999999999E-3</v>
      </c>
      <c r="I211" s="926">
        <v>1E-3</v>
      </c>
      <c r="J211" s="926">
        <v>1E-3</v>
      </c>
      <c r="K211" s="926">
        <v>0.52</v>
      </c>
      <c r="L211" s="926">
        <v>1E-3</v>
      </c>
      <c r="M211" s="926">
        <v>0.52</v>
      </c>
      <c r="N211" s="926">
        <v>1E-3</v>
      </c>
      <c r="O211" s="926">
        <v>4</v>
      </c>
      <c r="P211" s="926">
        <v>-0.7</v>
      </c>
      <c r="Q211" s="926">
        <v>-0.05</v>
      </c>
      <c r="R211" s="926">
        <v>-1.26</v>
      </c>
      <c r="S211" s="929"/>
      <c r="T211" s="989">
        <v>-10</v>
      </c>
      <c r="U211" s="926">
        <v>-0.33</v>
      </c>
      <c r="V211" s="926">
        <v>1E-3</v>
      </c>
      <c r="W211" s="1020">
        <v>-0.39</v>
      </c>
      <c r="X211" s="926">
        <v>1E-3</v>
      </c>
      <c r="Y211" s="926">
        <v>1E-3</v>
      </c>
      <c r="Z211" s="926">
        <v>1.2999999999999999E-3</v>
      </c>
      <c r="AA211" s="926">
        <v>1E-3</v>
      </c>
      <c r="AB211" s="926">
        <v>1E-3</v>
      </c>
      <c r="AC211" s="993">
        <v>0.5</v>
      </c>
      <c r="AD211" s="926">
        <v>1E-3</v>
      </c>
      <c r="AE211" s="926">
        <v>0.5</v>
      </c>
      <c r="AF211" s="926">
        <v>1E-3</v>
      </c>
      <c r="AG211" s="991">
        <v>18</v>
      </c>
      <c r="AH211" s="926">
        <v>-0.7</v>
      </c>
      <c r="AI211" s="926">
        <v>-0.05</v>
      </c>
      <c r="AJ211" s="926">
        <v>-1.26</v>
      </c>
      <c r="AK211" s="929"/>
      <c r="AX211" s="972"/>
      <c r="AY211" s="972"/>
      <c r="BB211" s="934"/>
      <c r="BD211" s="972"/>
      <c r="BE211" s="972"/>
      <c r="BH211" s="934"/>
      <c r="BJ211" s="972"/>
      <c r="BK211" s="972"/>
      <c r="BN211" s="934"/>
      <c r="BP211" s="972"/>
      <c r="BQ211" s="972"/>
      <c r="BT211" s="934"/>
      <c r="BV211" s="972"/>
      <c r="BW211" s="972"/>
    </row>
    <row r="212" spans="2:78">
      <c r="B212" s="989">
        <v>1E-3</v>
      </c>
      <c r="C212" s="926">
        <v>-0.22</v>
      </c>
      <c r="D212" s="926">
        <v>-0.28000000000000003</v>
      </c>
      <c r="E212" s="926">
        <v>-0.36</v>
      </c>
      <c r="F212" s="926">
        <v>1E-3</v>
      </c>
      <c r="G212" s="926">
        <v>1E-3</v>
      </c>
      <c r="H212" s="926">
        <v>0.28999999999999998</v>
      </c>
      <c r="I212" s="926">
        <v>1E-3</v>
      </c>
      <c r="J212" s="926">
        <v>1E-3</v>
      </c>
      <c r="K212" s="926">
        <v>0.5</v>
      </c>
      <c r="L212" s="926">
        <v>1E-3</v>
      </c>
      <c r="M212" s="926">
        <v>0.5</v>
      </c>
      <c r="N212" s="926">
        <v>1E-3</v>
      </c>
      <c r="O212" s="926">
        <v>5</v>
      </c>
      <c r="P212" s="926">
        <v>-0.7</v>
      </c>
      <c r="Q212" s="926">
        <v>0.03</v>
      </c>
      <c r="R212" s="926">
        <v>-0.79</v>
      </c>
      <c r="S212" s="929"/>
      <c r="T212" s="989">
        <v>1E-3</v>
      </c>
      <c r="U212" s="926">
        <v>-0.2</v>
      </c>
      <c r="V212" s="926">
        <v>-0.28999999999999998</v>
      </c>
      <c r="W212" s="1020">
        <v>-0.33</v>
      </c>
      <c r="X212" s="926">
        <v>1E-3</v>
      </c>
      <c r="Y212" s="926">
        <v>1E-3</v>
      </c>
      <c r="Z212" s="926">
        <v>0.32</v>
      </c>
      <c r="AA212" s="926">
        <v>1E-3</v>
      </c>
      <c r="AB212" s="926">
        <v>1E-3</v>
      </c>
      <c r="AC212" s="926">
        <v>0.48</v>
      </c>
      <c r="AD212" s="926">
        <v>1E-3</v>
      </c>
      <c r="AE212" s="926">
        <v>0.48</v>
      </c>
      <c r="AF212" s="926">
        <v>1E-3</v>
      </c>
      <c r="AG212" s="991">
        <v>19</v>
      </c>
      <c r="AH212" s="926">
        <v>-0.7</v>
      </c>
      <c r="AI212" s="926">
        <v>0.03</v>
      </c>
      <c r="AJ212" s="926">
        <v>-0.79</v>
      </c>
      <c r="AK212" s="929"/>
      <c r="AX212" s="972"/>
      <c r="AY212" s="972"/>
      <c r="BB212" s="934"/>
      <c r="BD212" s="972"/>
      <c r="BE212" s="972"/>
      <c r="BH212" s="934"/>
      <c r="BJ212" s="972"/>
      <c r="BK212" s="972"/>
      <c r="BN212" s="934"/>
      <c r="BP212" s="972"/>
      <c r="BQ212" s="972"/>
      <c r="BT212" s="934"/>
      <c r="BV212" s="972"/>
      <c r="BW212" s="972"/>
    </row>
    <row r="213" spans="2:78">
      <c r="B213" s="989">
        <v>2</v>
      </c>
      <c r="C213" s="926">
        <v>-0.21</v>
      </c>
      <c r="D213" s="926">
        <v>-0.24</v>
      </c>
      <c r="E213" s="926">
        <v>-0.33</v>
      </c>
      <c r="F213" s="926">
        <v>1E-3</v>
      </c>
      <c r="G213" s="926">
        <v>1E-3</v>
      </c>
      <c r="H213" s="926">
        <v>0.33</v>
      </c>
      <c r="I213" s="926">
        <v>1E-3</v>
      </c>
      <c r="J213" s="926">
        <v>1E-3</v>
      </c>
      <c r="K213" s="926">
        <v>0.5</v>
      </c>
      <c r="L213" s="926">
        <v>1E-3</v>
      </c>
      <c r="M213" s="926">
        <v>0.5</v>
      </c>
      <c r="N213" s="926">
        <v>1E-3</v>
      </c>
      <c r="O213" s="926">
        <v>6</v>
      </c>
      <c r="P213" s="926">
        <v>-0.7</v>
      </c>
      <c r="Q213" s="926">
        <v>0.04</v>
      </c>
      <c r="R213" s="926">
        <v>-2.7</v>
      </c>
      <c r="S213" s="929"/>
      <c r="T213" s="989">
        <v>2</v>
      </c>
      <c r="U213" s="926">
        <v>-1.8E-3</v>
      </c>
      <c r="V213" s="926">
        <v>-0.26</v>
      </c>
      <c r="W213" s="1020">
        <v>-0.31</v>
      </c>
      <c r="X213" s="926">
        <v>1E-3</v>
      </c>
      <c r="Y213" s="926">
        <v>1E-3</v>
      </c>
      <c r="Z213" s="926">
        <v>0.35</v>
      </c>
      <c r="AA213" s="926">
        <v>1E-3</v>
      </c>
      <c r="AB213" s="926">
        <v>1E-3</v>
      </c>
      <c r="AC213" s="926">
        <v>0.48</v>
      </c>
      <c r="AD213" s="926">
        <v>1E-3</v>
      </c>
      <c r="AE213" s="926">
        <v>0.48</v>
      </c>
      <c r="AF213" s="926">
        <v>1E-3</v>
      </c>
      <c r="AG213" s="991">
        <v>20</v>
      </c>
      <c r="AH213" s="926">
        <v>-0.7</v>
      </c>
      <c r="AI213" s="926">
        <v>0.04</v>
      </c>
      <c r="AJ213" s="926">
        <v>-2.7</v>
      </c>
      <c r="AK213" s="929"/>
      <c r="AX213" s="972"/>
      <c r="AY213" s="972"/>
      <c r="BB213" s="934"/>
      <c r="BD213" s="972"/>
      <c r="BE213" s="972"/>
      <c r="BH213" s="934"/>
      <c r="BJ213" s="972"/>
      <c r="BK213" s="972"/>
      <c r="BN213" s="934"/>
      <c r="BP213" s="972"/>
      <c r="BQ213" s="972"/>
      <c r="BT213" s="934"/>
      <c r="BV213" s="972"/>
      <c r="BW213" s="972"/>
    </row>
    <row r="214" spans="2:78">
      <c r="B214" s="989">
        <v>8</v>
      </c>
      <c r="C214" s="926">
        <v>-1.6000000000000001E-3</v>
      </c>
      <c r="D214" s="926">
        <v>-1.4E-3</v>
      </c>
      <c r="E214" s="926">
        <v>-0.21</v>
      </c>
      <c r="F214" s="926">
        <v>1E-3</v>
      </c>
      <c r="G214" s="926">
        <v>1E-3</v>
      </c>
      <c r="H214" s="926">
        <v>0.41</v>
      </c>
      <c r="I214" s="926">
        <v>1E-3</v>
      </c>
      <c r="J214" s="926">
        <v>1E-3</v>
      </c>
      <c r="K214" s="926">
        <v>0.48</v>
      </c>
      <c r="L214" s="926">
        <v>1E-3</v>
      </c>
      <c r="M214" s="926">
        <v>0.48</v>
      </c>
      <c r="N214" s="926">
        <v>1E-3</v>
      </c>
      <c r="O214" s="926">
        <v>7</v>
      </c>
      <c r="P214" s="926">
        <v>-0.7</v>
      </c>
      <c r="Q214" s="926">
        <v>0.08</v>
      </c>
      <c r="R214" s="926">
        <v>-0.46</v>
      </c>
      <c r="S214" s="929"/>
      <c r="T214" s="989">
        <v>8</v>
      </c>
      <c r="U214" s="926">
        <v>-1.1000000000000001E-3</v>
      </c>
      <c r="V214" s="926">
        <v>-1.6000000000000001E-3</v>
      </c>
      <c r="W214" s="1020">
        <v>-1.8E-3</v>
      </c>
      <c r="X214" s="926">
        <v>1E-3</v>
      </c>
      <c r="Y214" s="926">
        <v>1E-3</v>
      </c>
      <c r="Z214" s="926">
        <v>0.44</v>
      </c>
      <c r="AA214" s="926">
        <v>1E-3</v>
      </c>
      <c r="AB214" s="926">
        <v>1E-3</v>
      </c>
      <c r="AC214" s="993">
        <v>0.46</v>
      </c>
      <c r="AD214" s="926">
        <v>1E-3</v>
      </c>
      <c r="AE214" s="926">
        <v>0.46</v>
      </c>
      <c r="AF214" s="926">
        <v>1E-3</v>
      </c>
      <c r="AG214" s="991">
        <v>21</v>
      </c>
      <c r="AH214" s="926">
        <v>-0.7</v>
      </c>
      <c r="AI214" s="926">
        <v>0.08</v>
      </c>
      <c r="AJ214" s="926">
        <v>-0.46</v>
      </c>
      <c r="AK214" s="929"/>
      <c r="AX214" s="972"/>
      <c r="AY214" s="972"/>
      <c r="BB214" s="934"/>
      <c r="BD214" s="972"/>
      <c r="BE214" s="972"/>
      <c r="BH214" s="934"/>
      <c r="BJ214" s="972"/>
      <c r="BK214" s="972"/>
      <c r="BN214" s="934"/>
      <c r="BP214" s="972"/>
      <c r="BQ214" s="972"/>
      <c r="BT214" s="934"/>
      <c r="BV214" s="972"/>
      <c r="BW214" s="972"/>
    </row>
    <row r="215" spans="2:78">
      <c r="B215" s="989">
        <v>37</v>
      </c>
      <c r="C215" s="926">
        <v>0.01</v>
      </c>
      <c r="D215" s="926">
        <v>1.6000000000000001E-3</v>
      </c>
      <c r="E215" s="926">
        <v>-0.09</v>
      </c>
      <c r="F215" s="926">
        <v>1E-3</v>
      </c>
      <c r="G215" s="926">
        <v>1E-3</v>
      </c>
      <c r="H215" s="926">
        <v>0.67</v>
      </c>
      <c r="I215" s="926">
        <v>1E-3</v>
      </c>
      <c r="J215" s="926">
        <v>1E-3</v>
      </c>
      <c r="K215" s="926">
        <v>0.41</v>
      </c>
      <c r="L215" s="926">
        <v>1E-3</v>
      </c>
      <c r="M215" s="926">
        <v>0.41</v>
      </c>
      <c r="N215" s="926">
        <v>1E-3</v>
      </c>
      <c r="O215" s="926">
        <v>8</v>
      </c>
      <c r="P215" s="926">
        <v>-0.6</v>
      </c>
      <c r="Q215" s="926">
        <v>0.23</v>
      </c>
      <c r="R215" s="926">
        <v>0.42</v>
      </c>
      <c r="S215" s="929"/>
      <c r="T215" s="989">
        <v>37</v>
      </c>
      <c r="U215" s="926">
        <v>1.1000000000000001E-3</v>
      </c>
      <c r="V215" s="926">
        <v>1.4E-3</v>
      </c>
      <c r="W215" s="1020">
        <v>-1.4E-3</v>
      </c>
      <c r="X215" s="926">
        <v>1E-3</v>
      </c>
      <c r="Y215" s="926">
        <v>1E-3</v>
      </c>
      <c r="Z215" s="926">
        <v>0.72</v>
      </c>
      <c r="AA215" s="926">
        <v>1E-3</v>
      </c>
      <c r="AB215" s="926">
        <v>1E-3</v>
      </c>
      <c r="AC215" s="926">
        <v>0.39</v>
      </c>
      <c r="AD215" s="926">
        <v>1E-3</v>
      </c>
      <c r="AE215" s="926">
        <v>0.39</v>
      </c>
      <c r="AF215" s="926">
        <v>1E-3</v>
      </c>
      <c r="AG215" s="991">
        <v>22</v>
      </c>
      <c r="AH215" s="926">
        <v>-0.6</v>
      </c>
      <c r="AI215" s="926">
        <v>0.23</v>
      </c>
      <c r="AJ215" s="926">
        <v>0.42</v>
      </c>
      <c r="AK215" s="929"/>
      <c r="AX215" s="972"/>
      <c r="AY215" s="972"/>
      <c r="BB215" s="934"/>
      <c r="BD215" s="972"/>
      <c r="BE215" s="972"/>
      <c r="BH215" s="934"/>
      <c r="BJ215" s="972"/>
      <c r="BK215" s="972"/>
      <c r="BN215" s="934"/>
      <c r="BP215" s="972"/>
      <c r="BQ215" s="972"/>
      <c r="BT215" s="934"/>
      <c r="BV215" s="972"/>
      <c r="BW215" s="972"/>
    </row>
    <row r="216" spans="2:78">
      <c r="B216" s="989">
        <v>44</v>
      </c>
      <c r="C216" s="926">
        <v>0.04</v>
      </c>
      <c r="D216" s="926">
        <v>1.9E-3</v>
      </c>
      <c r="E216" s="926">
        <v>-1.1000000000000001E-3</v>
      </c>
      <c r="F216" s="926">
        <v>1E-3</v>
      </c>
      <c r="G216" s="926">
        <v>1E-3</v>
      </c>
      <c r="H216" s="926">
        <v>0.7</v>
      </c>
      <c r="I216" s="926">
        <v>1E-3</v>
      </c>
      <c r="J216" s="926">
        <v>1E-3</v>
      </c>
      <c r="K216" s="926">
        <v>0.39</v>
      </c>
      <c r="L216" s="926">
        <v>1E-3</v>
      </c>
      <c r="M216" s="926">
        <v>0.39</v>
      </c>
      <c r="N216" s="926">
        <v>1E-3</v>
      </c>
      <c r="O216" s="926">
        <v>9</v>
      </c>
      <c r="P216" s="926">
        <v>-0.7</v>
      </c>
      <c r="Q216" s="926">
        <v>0.25</v>
      </c>
      <c r="R216" s="926">
        <v>0.56999999999999995</v>
      </c>
      <c r="S216" s="929"/>
      <c r="T216" s="989">
        <v>44</v>
      </c>
      <c r="U216" s="926">
        <v>1.5E-3</v>
      </c>
      <c r="V216" s="926">
        <v>1.8E-3</v>
      </c>
      <c r="W216" s="1020">
        <v>-1.8E-3</v>
      </c>
      <c r="X216" s="926">
        <v>1E-3</v>
      </c>
      <c r="Y216" s="926">
        <v>1E-3</v>
      </c>
      <c r="Z216" s="926">
        <v>0.75</v>
      </c>
      <c r="AA216" s="926">
        <v>1E-3</v>
      </c>
      <c r="AB216" s="926">
        <v>1E-3</v>
      </c>
      <c r="AC216" s="926">
        <v>0.37</v>
      </c>
      <c r="AD216" s="926">
        <v>1E-3</v>
      </c>
      <c r="AE216" s="926">
        <v>0.37</v>
      </c>
      <c r="AF216" s="926">
        <v>1E-3</v>
      </c>
      <c r="AG216" s="991">
        <v>23</v>
      </c>
      <c r="AH216" s="926">
        <v>-0.7</v>
      </c>
      <c r="AI216" s="926">
        <v>0.25</v>
      </c>
      <c r="AJ216" s="926">
        <v>0.56999999999999995</v>
      </c>
      <c r="AK216" s="929"/>
      <c r="AX216" s="972"/>
      <c r="AY216" s="972"/>
      <c r="BB216" s="934"/>
      <c r="BD216" s="972"/>
      <c r="BE216" s="972"/>
      <c r="BH216" s="934"/>
      <c r="BJ216" s="972"/>
      <c r="BK216" s="972"/>
      <c r="BN216" s="934"/>
      <c r="BP216" s="972"/>
      <c r="BQ216" s="972"/>
      <c r="BT216" s="934"/>
      <c r="BV216" s="972"/>
      <c r="BW216" s="972"/>
    </row>
    <row r="217" spans="2:78">
      <c r="B217" s="989">
        <v>50</v>
      </c>
      <c r="C217" s="926">
        <v>7.0000000000000007E-2</v>
      </c>
      <c r="D217" s="926">
        <v>0.21</v>
      </c>
      <c r="E217" s="926">
        <v>0.25</v>
      </c>
      <c r="F217" s="926">
        <v>1E-3</v>
      </c>
      <c r="G217" s="926">
        <v>1E-3</v>
      </c>
      <c r="H217" s="926">
        <v>0.71</v>
      </c>
      <c r="I217" s="926">
        <v>1E-3</v>
      </c>
      <c r="J217" s="926">
        <v>1E-3</v>
      </c>
      <c r="K217" s="926">
        <v>0.37</v>
      </c>
      <c r="L217" s="926">
        <v>1E-3</v>
      </c>
      <c r="M217" s="926">
        <v>0.37</v>
      </c>
      <c r="N217" s="926">
        <v>1E-3</v>
      </c>
      <c r="O217" s="926">
        <v>10</v>
      </c>
      <c r="P217" s="926">
        <v>-0.7</v>
      </c>
      <c r="Q217" s="926">
        <v>0.27</v>
      </c>
      <c r="R217" s="926">
        <v>0.67</v>
      </c>
      <c r="S217" s="929"/>
      <c r="T217" s="989">
        <v>50</v>
      </c>
      <c r="U217" s="926">
        <v>1.8E-3</v>
      </c>
      <c r="V217" s="926">
        <v>0.2</v>
      </c>
      <c r="W217" s="1020">
        <v>0.2</v>
      </c>
      <c r="X217" s="926">
        <v>1E-3</v>
      </c>
      <c r="Y217" s="926">
        <v>1E-3</v>
      </c>
      <c r="Z217" s="926">
        <v>0.77</v>
      </c>
      <c r="AA217" s="926">
        <v>1E-3</v>
      </c>
      <c r="AB217" s="926">
        <v>1E-3</v>
      </c>
      <c r="AC217" s="926">
        <v>0.35</v>
      </c>
      <c r="AD217" s="926">
        <v>1E-3</v>
      </c>
      <c r="AE217" s="926">
        <v>0.35</v>
      </c>
      <c r="AF217" s="926">
        <v>1E-3</v>
      </c>
      <c r="AG217" s="991">
        <v>24</v>
      </c>
      <c r="AH217" s="926">
        <v>-0.7</v>
      </c>
      <c r="AI217" s="926">
        <v>0.27</v>
      </c>
      <c r="AJ217" s="926">
        <v>0.67</v>
      </c>
      <c r="AK217" s="929"/>
      <c r="AX217" s="972"/>
      <c r="AY217" s="972"/>
      <c r="BB217" s="934"/>
      <c r="BD217" s="972"/>
      <c r="BE217" s="972"/>
      <c r="BH217" s="934"/>
      <c r="BJ217" s="972"/>
      <c r="BK217" s="972"/>
      <c r="BN217" s="934"/>
      <c r="BP217" s="972"/>
      <c r="BQ217" s="972"/>
      <c r="BT217" s="934"/>
      <c r="BV217" s="972"/>
      <c r="BW217" s="972"/>
    </row>
    <row r="218" spans="2:78">
      <c r="B218" s="989">
        <v>100</v>
      </c>
      <c r="C218" s="926">
        <v>0.2</v>
      </c>
      <c r="D218" s="926">
        <v>1.4E-3</v>
      </c>
      <c r="E218" s="926">
        <v>1.8E-3</v>
      </c>
      <c r="F218" s="926">
        <v>1E-3</v>
      </c>
      <c r="G218" s="926">
        <v>1E-3</v>
      </c>
      <c r="H218" s="926">
        <v>0.57999999999999996</v>
      </c>
      <c r="I218" s="926">
        <v>1E-3</v>
      </c>
      <c r="J218" s="926">
        <v>1E-3</v>
      </c>
      <c r="K218" s="926">
        <v>0.2</v>
      </c>
      <c r="L218" s="926">
        <v>1E-3</v>
      </c>
      <c r="M218" s="926">
        <v>0.2</v>
      </c>
      <c r="N218" s="926">
        <v>1E-3</v>
      </c>
      <c r="O218" s="926">
        <v>11</v>
      </c>
      <c r="P218" s="926">
        <v>-0.7</v>
      </c>
      <c r="Q218" s="926">
        <v>0.31</v>
      </c>
      <c r="R218" s="926">
        <v>0.95</v>
      </c>
      <c r="S218" s="929"/>
      <c r="T218" s="989">
        <v>100</v>
      </c>
      <c r="U218" s="926">
        <v>0.26</v>
      </c>
      <c r="V218" s="926">
        <v>1.2999999999999999E-3</v>
      </c>
      <c r="W218" s="1020">
        <v>-1.2999999999999999E-3</v>
      </c>
      <c r="X218" s="926">
        <v>1E-3</v>
      </c>
      <c r="Y218" s="926">
        <v>1E-3</v>
      </c>
      <c r="Z218" s="926">
        <v>0.61</v>
      </c>
      <c r="AA218" s="926">
        <v>1E-3</v>
      </c>
      <c r="AB218" s="926">
        <v>1E-3</v>
      </c>
      <c r="AC218" s="926">
        <v>1.9E-3</v>
      </c>
      <c r="AD218" s="926">
        <v>1E-3</v>
      </c>
      <c r="AE218" s="926">
        <v>1.9E-3</v>
      </c>
      <c r="AF218" s="926">
        <v>1E-3</v>
      </c>
      <c r="AG218" s="991">
        <v>25</v>
      </c>
      <c r="AH218" s="926">
        <v>-0.7</v>
      </c>
      <c r="AI218" s="926">
        <v>0.31</v>
      </c>
      <c r="AJ218" s="926">
        <v>0.95</v>
      </c>
      <c r="AK218" s="929"/>
      <c r="AX218" s="972"/>
      <c r="AY218" s="972"/>
      <c r="BB218" s="934"/>
      <c r="BD218" s="972"/>
      <c r="BE218" s="972"/>
      <c r="BH218" s="934"/>
      <c r="BJ218" s="972"/>
      <c r="BK218" s="972"/>
      <c r="BN218" s="934"/>
      <c r="BP218" s="972"/>
      <c r="BQ218" s="972"/>
      <c r="BT218" s="934"/>
      <c r="BV218" s="972"/>
      <c r="BW218" s="972"/>
    </row>
    <row r="219" spans="2:78">
      <c r="B219" s="989">
        <v>150</v>
      </c>
      <c r="C219" s="926">
        <v>0.28000000000000003</v>
      </c>
      <c r="D219" s="926">
        <v>0.02</v>
      </c>
      <c r="E219" s="926">
        <v>0.05</v>
      </c>
      <c r="F219" s="926">
        <v>1E-3</v>
      </c>
      <c r="G219" s="926">
        <v>1E-3</v>
      </c>
      <c r="H219" s="926">
        <v>1.9E-3</v>
      </c>
      <c r="I219" s="926">
        <v>1E-3</v>
      </c>
      <c r="J219" s="926">
        <v>1E-3</v>
      </c>
      <c r="K219" s="926">
        <v>-0.02</v>
      </c>
      <c r="L219" s="926">
        <v>1E-3</v>
      </c>
      <c r="M219" s="926">
        <v>-0.02</v>
      </c>
      <c r="N219" s="926">
        <v>1E-3</v>
      </c>
      <c r="O219" s="926">
        <v>12</v>
      </c>
      <c r="P219" s="926">
        <v>-0.7</v>
      </c>
      <c r="Q219" s="926">
        <v>0.3</v>
      </c>
      <c r="R219" s="926">
        <v>0.49</v>
      </c>
      <c r="S219" s="929"/>
      <c r="T219" s="989">
        <v>150</v>
      </c>
      <c r="U219" s="926">
        <v>0.28000000000000003</v>
      </c>
      <c r="V219" s="926">
        <v>-0.02</v>
      </c>
      <c r="W219" s="1020">
        <v>-0.68</v>
      </c>
      <c r="X219" s="926">
        <v>1E-3</v>
      </c>
      <c r="Y219" s="926">
        <v>1E-3</v>
      </c>
      <c r="Z219" s="926">
        <v>1.6000000000000001E-3</v>
      </c>
      <c r="AA219" s="926">
        <v>1E-3</v>
      </c>
      <c r="AB219" s="926">
        <v>1E-3</v>
      </c>
      <c r="AC219" s="926">
        <v>-0.02</v>
      </c>
      <c r="AD219" s="926">
        <v>1E-3</v>
      </c>
      <c r="AE219" s="926">
        <v>-0.02</v>
      </c>
      <c r="AF219" s="926">
        <v>1E-3</v>
      </c>
      <c r="AG219" s="991">
        <v>26</v>
      </c>
      <c r="AH219" s="926">
        <v>-0.7</v>
      </c>
      <c r="AI219" s="926">
        <v>0.3</v>
      </c>
      <c r="AJ219" s="926">
        <v>0.49</v>
      </c>
      <c r="AK219" s="929"/>
      <c r="AX219" s="972"/>
      <c r="AY219" s="972"/>
      <c r="BB219" s="934"/>
      <c r="BD219" s="972"/>
      <c r="BE219" s="972"/>
      <c r="BH219" s="934"/>
      <c r="BJ219" s="972"/>
      <c r="BK219" s="972"/>
      <c r="BN219" s="934"/>
      <c r="BP219" s="972"/>
      <c r="BQ219" s="972"/>
      <c r="BT219" s="934"/>
      <c r="BV219" s="972"/>
      <c r="BW219" s="972"/>
    </row>
    <row r="220" spans="2:78">
      <c r="B220" s="989">
        <v>200</v>
      </c>
      <c r="C220" s="926">
        <v>0.44</v>
      </c>
      <c r="D220" s="926">
        <v>0.38</v>
      </c>
      <c r="E220" s="926">
        <v>0.51</v>
      </c>
      <c r="F220" s="926">
        <v>1E-3</v>
      </c>
      <c r="G220" s="926">
        <v>1E-3</v>
      </c>
      <c r="H220" s="926">
        <v>-1.6000000000000001E-3</v>
      </c>
      <c r="I220" s="926">
        <v>1E-3</v>
      </c>
      <c r="J220" s="926">
        <v>1E-3</v>
      </c>
      <c r="K220" s="926">
        <v>-0.28000000000000003</v>
      </c>
      <c r="L220" s="926">
        <v>1E-3</v>
      </c>
      <c r="M220" s="926">
        <v>-0.28000000000000003</v>
      </c>
      <c r="N220" s="926">
        <v>1E-3</v>
      </c>
      <c r="O220" s="926">
        <v>13</v>
      </c>
      <c r="P220" s="926">
        <v>-0.6</v>
      </c>
      <c r="Q220" s="926">
        <v>0.34</v>
      </c>
      <c r="R220" s="926">
        <v>-0.26</v>
      </c>
      <c r="S220" s="929"/>
      <c r="T220" s="989">
        <v>200</v>
      </c>
      <c r="U220" s="926">
        <v>0.45</v>
      </c>
      <c r="V220" s="926">
        <v>0.21</v>
      </c>
      <c r="W220" s="1020">
        <v>-0.38</v>
      </c>
      <c r="X220" s="926">
        <v>1E-3</v>
      </c>
      <c r="Y220" s="926">
        <v>1E-3</v>
      </c>
      <c r="Z220" s="926">
        <v>-0.25</v>
      </c>
      <c r="AA220" s="926">
        <v>1E-3</v>
      </c>
      <c r="AB220" s="926">
        <v>1E-3</v>
      </c>
      <c r="AC220" s="926">
        <v>-0.26</v>
      </c>
      <c r="AD220" s="926">
        <v>1E-3</v>
      </c>
      <c r="AE220" s="926">
        <v>-0.26</v>
      </c>
      <c r="AF220" s="926">
        <v>1E-3</v>
      </c>
      <c r="AG220" s="991">
        <v>27</v>
      </c>
      <c r="AH220" s="926">
        <v>-0.6</v>
      </c>
      <c r="AI220" s="926">
        <v>0.34</v>
      </c>
      <c r="AJ220" s="926">
        <v>-0.26</v>
      </c>
      <c r="AK220" s="929"/>
      <c r="AX220" s="972"/>
      <c r="AY220" s="972"/>
      <c r="BB220" s="934"/>
      <c r="BD220" s="972"/>
      <c r="BE220" s="972"/>
      <c r="BH220" s="934"/>
      <c r="BJ220" s="972"/>
      <c r="BK220" s="972"/>
      <c r="BN220" s="934"/>
      <c r="BP220" s="972"/>
      <c r="BQ220" s="972"/>
      <c r="BT220" s="934"/>
      <c r="BV220" s="972"/>
      <c r="BW220" s="972"/>
    </row>
    <row r="221" spans="2:78">
      <c r="B221" s="989" t="s">
        <v>237</v>
      </c>
      <c r="C221" s="989">
        <v>0.34</v>
      </c>
      <c r="D221" s="989">
        <v>0.36</v>
      </c>
      <c r="E221" s="921">
        <v>0.39</v>
      </c>
      <c r="F221" s="921">
        <v>1E-3</v>
      </c>
      <c r="G221" s="921">
        <v>1E-3</v>
      </c>
      <c r="H221" s="921">
        <v>0.92</v>
      </c>
      <c r="I221" s="921">
        <v>1E-3</v>
      </c>
      <c r="J221" s="921">
        <v>1E-3</v>
      </c>
      <c r="K221" s="921">
        <v>0.79</v>
      </c>
      <c r="L221" s="921">
        <v>1E-3</v>
      </c>
      <c r="M221" s="921">
        <v>0.79</v>
      </c>
      <c r="N221" s="921">
        <v>1E-3</v>
      </c>
      <c r="O221" s="921">
        <v>14</v>
      </c>
      <c r="P221" s="995">
        <v>0.4</v>
      </c>
      <c r="Q221" s="995">
        <v>0.22</v>
      </c>
      <c r="R221" s="995">
        <v>0.77</v>
      </c>
      <c r="S221" s="929"/>
      <c r="T221" s="989" t="s">
        <v>237</v>
      </c>
      <c r="U221" s="989">
        <v>0.34</v>
      </c>
      <c r="V221" s="989">
        <v>0.36</v>
      </c>
      <c r="W221" s="1021">
        <v>0.39</v>
      </c>
      <c r="X221" s="921">
        <v>1E-3</v>
      </c>
      <c r="Y221" s="921">
        <v>1E-3</v>
      </c>
      <c r="Z221" s="989">
        <v>0.92</v>
      </c>
      <c r="AA221" s="921">
        <v>1E-3</v>
      </c>
      <c r="AB221" s="921">
        <v>1E-3</v>
      </c>
      <c r="AC221" s="989">
        <v>0.79</v>
      </c>
      <c r="AD221" s="921">
        <v>1E-3</v>
      </c>
      <c r="AE221" s="921">
        <v>0.79</v>
      </c>
      <c r="AF221" s="921">
        <v>1E-3</v>
      </c>
      <c r="AG221" s="989">
        <v>28</v>
      </c>
      <c r="AH221" s="995">
        <v>0.4</v>
      </c>
      <c r="AI221" s="995">
        <v>0.22</v>
      </c>
      <c r="AJ221" s="995">
        <v>0.77</v>
      </c>
      <c r="AK221" s="929"/>
      <c r="AX221" s="996"/>
      <c r="AY221" s="996"/>
      <c r="BB221" s="934"/>
      <c r="BD221" s="996"/>
      <c r="BE221" s="996"/>
      <c r="BH221" s="934"/>
      <c r="BJ221" s="996"/>
      <c r="BK221" s="996"/>
      <c r="BN221" s="934"/>
      <c r="BP221" s="996"/>
      <c r="BQ221" s="996"/>
      <c r="BT221" s="934"/>
      <c r="BV221" s="996"/>
      <c r="BW221" s="996"/>
    </row>
    <row r="222" spans="2:78" s="929" customFormat="1">
      <c r="B222" s="930"/>
      <c r="C222" s="930"/>
      <c r="D222" s="930"/>
      <c r="E222" s="930"/>
      <c r="F222" s="930"/>
      <c r="G222" s="930"/>
      <c r="H222" s="930"/>
      <c r="I222" s="930"/>
      <c r="J222" s="930"/>
      <c r="K222" s="930"/>
      <c r="L222" s="930"/>
      <c r="M222" s="930"/>
      <c r="N222" s="930"/>
      <c r="O222" s="930"/>
      <c r="P222" s="930"/>
      <c r="Q222" s="930"/>
      <c r="T222" s="930"/>
      <c r="U222" s="930"/>
      <c r="V222" s="930"/>
      <c r="W222" s="930"/>
      <c r="X222" s="930"/>
      <c r="Y222" s="930"/>
      <c r="Z222" s="930"/>
      <c r="AA222" s="930"/>
      <c r="AB222" s="930"/>
      <c r="AC222" s="930"/>
      <c r="AD222" s="930"/>
      <c r="AE222" s="930"/>
      <c r="AF222" s="930"/>
      <c r="AG222" s="930"/>
      <c r="AI222" s="931"/>
      <c r="AZ222" s="930"/>
      <c r="BB222" s="931"/>
      <c r="BF222" s="930"/>
      <c r="BH222" s="931"/>
      <c r="BL222" s="930"/>
      <c r="BN222" s="931"/>
      <c r="BR222" s="930"/>
      <c r="BT222" s="931"/>
      <c r="BX222" s="930"/>
      <c r="BZ222" s="931"/>
    </row>
    <row r="223" spans="2:78" ht="97.5" customHeight="1">
      <c r="B223" s="1022" t="s">
        <v>425</v>
      </c>
      <c r="C223" s="1000" t="str">
        <f t="shared" ref="C223:O223" si="315">C207</f>
        <v>Thermocouple Data Logger, Merek : MADGETECH, Model : OctTemp 2000, SN : P40270</v>
      </c>
      <c r="D223" s="1000" t="str">
        <f t="shared" si="315"/>
        <v>Thermocouple Data Logger, Merek : MADGETECH, Model : OctTemp 2000, SN : P41878</v>
      </c>
      <c r="E223" s="1000" t="str">
        <f t="shared" si="315"/>
        <v>Mobile Corder, Merek : Yokogawa, Model : GP 10, SN : S5T810599</v>
      </c>
      <c r="F223" s="1000" t="str">
        <f t="shared" si="315"/>
        <v>Wireless Temperature Recorder : Merek : HIOKI, Model : LR 8510, SN : 200936000</v>
      </c>
      <c r="G223" s="1000" t="str">
        <f t="shared" si="315"/>
        <v>Wireless Temperature Recorder : Merek : HIOKI, Model : LR 8510, SN : 200936001</v>
      </c>
      <c r="H223" s="1000" t="str">
        <f t="shared" si="315"/>
        <v>Wireless Temperature Recorder : Merek : HIOKI, Model : LR 8510, SN : 200821397</v>
      </c>
      <c r="I223" s="1000" t="str">
        <f t="shared" si="315"/>
        <v>Wireless Temperature Recorder : Merek : HIOKI, Model : LR 8510, SN : 210411983</v>
      </c>
      <c r="J223" s="1000" t="str">
        <f t="shared" si="315"/>
        <v>Wireless Temperature Recorder : Merek : HIOKI, Model : LR 8510, SN : 210411984</v>
      </c>
      <c r="K223" s="1000" t="str">
        <f t="shared" si="315"/>
        <v>Wireless Temperature Recorder : Merek : HIOKI, Model : LR 8510, SN : 210411985</v>
      </c>
      <c r="L223" s="1000" t="str">
        <f t="shared" si="315"/>
        <v>Wireless Temperature Recorder : Merek : HIOKI, Model : LR 8510, SN : 210746054</v>
      </c>
      <c r="M223" s="1000" t="str">
        <f t="shared" si="315"/>
        <v>Wireless Temperature Recorder : Merek : HIOKI, Model : LR 8510, SN : 210746055</v>
      </c>
      <c r="N223" s="1000" t="str">
        <f t="shared" si="315"/>
        <v>Wireless Temperature Recorder : Merek : HIOKI, Model : LR 8510, SN : 210746056</v>
      </c>
      <c r="O223" s="971" t="str">
        <f t="shared" si="315"/>
        <v>Wireless Temperature Recorder : Merek : HIOKI, Model : LR 8510, SN : x x x</v>
      </c>
      <c r="P223" s="969" t="s">
        <v>457</v>
      </c>
      <c r="Q223" s="969" t="s">
        <v>458</v>
      </c>
      <c r="R223" s="969" t="s">
        <v>456</v>
      </c>
      <c r="S223" s="929"/>
      <c r="T223" s="1022" t="s">
        <v>426</v>
      </c>
      <c r="U223" s="1014" t="str">
        <f t="shared" ref="U223:AG223" si="316">U207</f>
        <v>Thermocouple Data Logger, Merek : MADGETECH, Model : OctTemp 2000, SN : P40270</v>
      </c>
      <c r="V223" s="1014" t="str">
        <f t="shared" si="316"/>
        <v>Thermocouple Data Logger, Merek : MADGETECH, Model : OctTemp 2000, SN : P41878</v>
      </c>
      <c r="W223" s="1014" t="str">
        <f t="shared" si="316"/>
        <v>Mobile Corder, Merek : Yokogawa, Model : GP 10, SN : S5T810599</v>
      </c>
      <c r="X223" s="1014" t="str">
        <f t="shared" si="316"/>
        <v>Wireless Temperature Recorder : Merek : HIOKI, Model : LR 8510, SN : 200936000</v>
      </c>
      <c r="Y223" s="1014" t="str">
        <f t="shared" si="316"/>
        <v>Wireless Temperature Recorder : Merek : HIOKI, Model : LR 8510, SN : 200936001</v>
      </c>
      <c r="Z223" s="1014" t="str">
        <f t="shared" si="316"/>
        <v>Wireless Temperature Recorder : Merek : HIOKI, Model : LR 8510, SN : 200821397</v>
      </c>
      <c r="AA223" s="1014" t="str">
        <f t="shared" si="316"/>
        <v>Wireless Temperature Recorder : Merek : HIOKI, Model : LR 8510, SN : 210411983</v>
      </c>
      <c r="AB223" s="1014" t="str">
        <f t="shared" si="316"/>
        <v>Wireless Temperature Recorder : Merek : HIOKI, Model : LR 8510, SN : 210411984</v>
      </c>
      <c r="AC223" s="1014" t="str">
        <f t="shared" si="316"/>
        <v>Wireless Temperature Recorder : Merek : HIOKI, Model : LR 8510, SN : 210411985</v>
      </c>
      <c r="AD223" s="1014" t="str">
        <f t="shared" si="316"/>
        <v>Wireless Temperature Recorder : Merek : HIOKI, Model : LR 8510, SN : 210746054</v>
      </c>
      <c r="AE223" s="1014" t="str">
        <f t="shared" si="316"/>
        <v>Wireless Temperature Recorder : Merek : HIOKI, Model : LR 8510, SN : 210746055</v>
      </c>
      <c r="AF223" s="1014" t="str">
        <f t="shared" si="316"/>
        <v>Wireless Temperature Recorder : Merek : HIOKI, Model : LR 8510, SN : 210746056</v>
      </c>
      <c r="AG223" s="971" t="str">
        <f t="shared" si="316"/>
        <v>Wireless Temperature Recorder : Merek : HIOKI, Model : LR 8510, SN : x x x</v>
      </c>
      <c r="AH223" s="969" t="s">
        <v>457</v>
      </c>
      <c r="AI223" s="969" t="s">
        <v>458</v>
      </c>
      <c r="AJ223" s="969" t="s">
        <v>456</v>
      </c>
      <c r="AK223" s="929"/>
      <c r="AX223" s="974"/>
      <c r="AY223" s="975"/>
      <c r="AZ223" s="976"/>
      <c r="BB223" s="934"/>
      <c r="BD223" s="974"/>
      <c r="BE223" s="975"/>
      <c r="BF223" s="976"/>
      <c r="BH223" s="934"/>
      <c r="BJ223" s="974"/>
      <c r="BK223" s="975"/>
      <c r="BL223" s="976"/>
      <c r="BN223" s="934"/>
      <c r="BP223" s="974"/>
      <c r="BQ223" s="975"/>
      <c r="BR223" s="976"/>
      <c r="BT223" s="934"/>
      <c r="BV223" s="974"/>
      <c r="BW223" s="975"/>
      <c r="BX223" s="976"/>
      <c r="BZ223" s="934"/>
    </row>
    <row r="224" spans="2:78" s="977" customFormat="1" ht="5.4" customHeight="1">
      <c r="B224" s="1023"/>
      <c r="C224" s="1006"/>
      <c r="D224" s="1006"/>
      <c r="E224" s="1006"/>
      <c r="F224" s="1006"/>
      <c r="G224" s="1006"/>
      <c r="H224" s="1006"/>
      <c r="I224" s="1006"/>
      <c r="J224" s="1006"/>
      <c r="K224" s="1006"/>
      <c r="L224" s="1006"/>
      <c r="M224" s="1006"/>
      <c r="N224" s="1006"/>
      <c r="O224" s="983"/>
      <c r="P224" s="981"/>
      <c r="Q224" s="981"/>
      <c r="R224" s="981"/>
      <c r="T224" s="1023"/>
      <c r="U224" s="1015"/>
      <c r="V224" s="1015"/>
      <c r="W224" s="1015"/>
      <c r="X224" s="1015"/>
      <c r="Y224" s="1015"/>
      <c r="Z224" s="1015"/>
      <c r="AA224" s="1015"/>
      <c r="AB224" s="1015"/>
      <c r="AC224" s="1015"/>
      <c r="AD224" s="1015"/>
      <c r="AE224" s="1015"/>
      <c r="AF224" s="1015"/>
      <c r="AG224" s="983"/>
      <c r="AH224" s="981"/>
      <c r="AI224" s="981"/>
      <c r="AJ224" s="981"/>
      <c r="AN224" s="984"/>
      <c r="AP224" s="985"/>
      <c r="AT224" s="984"/>
      <c r="AV224" s="985"/>
      <c r="AX224" s="986"/>
      <c r="AY224" s="987"/>
      <c r="AZ224" s="988"/>
      <c r="BD224" s="986"/>
      <c r="BE224" s="987"/>
      <c r="BF224" s="988"/>
      <c r="BJ224" s="986"/>
      <c r="BK224" s="987"/>
      <c r="BL224" s="988"/>
      <c r="BP224" s="986"/>
      <c r="BQ224" s="987"/>
      <c r="BR224" s="988"/>
      <c r="BV224" s="986"/>
      <c r="BW224" s="987"/>
      <c r="BX224" s="988"/>
    </row>
    <row r="225" spans="2:78">
      <c r="B225" s="989">
        <v>-20</v>
      </c>
      <c r="C225" s="926">
        <v>1E-3</v>
      </c>
      <c r="D225" s="926">
        <v>1E-3</v>
      </c>
      <c r="E225" s="926">
        <v>1E-3</v>
      </c>
      <c r="F225" s="926">
        <v>1E-3</v>
      </c>
      <c r="G225" s="926">
        <v>1E-3</v>
      </c>
      <c r="H225" s="926">
        <v>1E-3</v>
      </c>
      <c r="I225" s="926">
        <v>1E-3</v>
      </c>
      <c r="J225" s="926">
        <v>1E-3</v>
      </c>
      <c r="K225" s="926">
        <v>0.5</v>
      </c>
      <c r="L225" s="926">
        <v>1E-3</v>
      </c>
      <c r="M225" s="926">
        <v>0.5</v>
      </c>
      <c r="N225" s="926">
        <v>1E-3</v>
      </c>
      <c r="O225" s="926">
        <v>2</v>
      </c>
      <c r="P225" s="926">
        <v>-0.7</v>
      </c>
      <c r="Q225" s="926">
        <v>-1.5E-3</v>
      </c>
      <c r="R225" s="926">
        <v>-1.8</v>
      </c>
      <c r="S225" s="929"/>
      <c r="T225" s="989">
        <v>-20</v>
      </c>
      <c r="U225" s="926">
        <v>1E-3</v>
      </c>
      <c r="V225" s="926">
        <v>1E-3</v>
      </c>
      <c r="W225" s="926">
        <v>1E-3</v>
      </c>
      <c r="X225" s="926">
        <v>1E-3</v>
      </c>
      <c r="Y225" s="926">
        <v>1E-3</v>
      </c>
      <c r="Z225" s="926">
        <v>1E-3</v>
      </c>
      <c r="AA225" s="926">
        <v>1E-3</v>
      </c>
      <c r="AB225" s="926">
        <v>1E-3</v>
      </c>
      <c r="AC225" s="926">
        <v>0.47</v>
      </c>
      <c r="AD225" s="926">
        <v>1E-3</v>
      </c>
      <c r="AE225" s="926">
        <v>0.47</v>
      </c>
      <c r="AF225" s="926">
        <v>1E-3</v>
      </c>
      <c r="AG225" s="991">
        <v>16</v>
      </c>
      <c r="AH225" s="926">
        <v>-0.7</v>
      </c>
      <c r="AI225" s="926">
        <v>-1.5E-3</v>
      </c>
      <c r="AJ225" s="926">
        <v>-1.8</v>
      </c>
      <c r="AK225" s="929"/>
      <c r="AX225" s="972"/>
      <c r="AY225" s="972"/>
      <c r="BB225" s="934"/>
      <c r="BD225" s="972"/>
      <c r="BE225" s="972"/>
      <c r="BH225" s="934"/>
      <c r="BJ225" s="972"/>
      <c r="BK225" s="972"/>
      <c r="BN225" s="934"/>
      <c r="BP225" s="972"/>
      <c r="BQ225" s="972"/>
      <c r="BT225" s="934"/>
      <c r="BV225" s="972"/>
      <c r="BW225" s="972"/>
      <c r="BZ225" s="934"/>
    </row>
    <row r="226" spans="2:78">
      <c r="B226" s="989">
        <v>-15</v>
      </c>
      <c r="C226" s="926">
        <v>1E-3</v>
      </c>
      <c r="D226" s="926">
        <v>1E-3</v>
      </c>
      <c r="E226" s="926">
        <v>1E-3</v>
      </c>
      <c r="F226" s="926">
        <v>1E-3</v>
      </c>
      <c r="G226" s="926">
        <v>1E-3</v>
      </c>
      <c r="H226" s="926">
        <v>1E-3</v>
      </c>
      <c r="I226" s="926">
        <v>1E-3</v>
      </c>
      <c r="J226" s="926">
        <v>1E-3</v>
      </c>
      <c r="K226" s="926">
        <v>1E-3</v>
      </c>
      <c r="L226" s="926">
        <v>1E-3</v>
      </c>
      <c r="M226" s="926">
        <v>1E-3</v>
      </c>
      <c r="N226" s="926">
        <v>1E-3</v>
      </c>
      <c r="O226" s="926">
        <v>3</v>
      </c>
      <c r="P226" s="926">
        <v>-0.7</v>
      </c>
      <c r="Q226" s="926">
        <v>1E-3</v>
      </c>
      <c r="R226" s="926">
        <v>-1.52</v>
      </c>
      <c r="S226" s="929"/>
      <c r="T226" s="989">
        <v>-15</v>
      </c>
      <c r="U226" s="926">
        <v>1E-3</v>
      </c>
      <c r="V226" s="926">
        <v>1E-3</v>
      </c>
      <c r="W226" s="926">
        <v>1E-3</v>
      </c>
      <c r="X226" s="926">
        <v>1E-3</v>
      </c>
      <c r="Y226" s="926">
        <v>1E-3</v>
      </c>
      <c r="Z226" s="926">
        <v>1E-3</v>
      </c>
      <c r="AA226" s="926">
        <v>1E-3</v>
      </c>
      <c r="AB226" s="926">
        <v>1E-3</v>
      </c>
      <c r="AC226" s="926">
        <v>1E-3</v>
      </c>
      <c r="AD226" s="926">
        <v>1E-3</v>
      </c>
      <c r="AE226" s="926">
        <v>1E-3</v>
      </c>
      <c r="AF226" s="926">
        <v>1E-3</v>
      </c>
      <c r="AG226" s="991">
        <v>17</v>
      </c>
      <c r="AH226" s="926">
        <v>-0.7</v>
      </c>
      <c r="AI226" s="926">
        <v>1E-3</v>
      </c>
      <c r="AJ226" s="926">
        <v>-1.52</v>
      </c>
      <c r="AK226" s="929"/>
      <c r="AX226" s="972"/>
      <c r="AY226" s="972"/>
      <c r="BB226" s="934"/>
      <c r="BD226" s="972"/>
      <c r="BE226" s="972"/>
      <c r="BH226" s="934"/>
      <c r="BJ226" s="972"/>
      <c r="BK226" s="972"/>
      <c r="BN226" s="934"/>
      <c r="BP226" s="972"/>
      <c r="BQ226" s="972"/>
      <c r="BT226" s="934"/>
      <c r="BV226" s="972"/>
      <c r="BW226" s="972"/>
      <c r="BZ226" s="934"/>
    </row>
    <row r="227" spans="2:78">
      <c r="B227" s="989">
        <v>-10</v>
      </c>
      <c r="C227" s="926">
        <v>1E-3</v>
      </c>
      <c r="D227" s="926">
        <v>1E-3</v>
      </c>
      <c r="E227" s="926">
        <v>1E-3</v>
      </c>
      <c r="F227" s="926">
        <v>1E-3</v>
      </c>
      <c r="G227" s="926">
        <v>1E-3</v>
      </c>
      <c r="H227" s="926">
        <v>1E-3</v>
      </c>
      <c r="I227" s="926">
        <v>1E-3</v>
      </c>
      <c r="J227" s="926">
        <v>1E-3</v>
      </c>
      <c r="K227" s="926">
        <v>0.48</v>
      </c>
      <c r="L227" s="926">
        <v>1E-3</v>
      </c>
      <c r="M227" s="926">
        <v>0.48</v>
      </c>
      <c r="N227" s="926">
        <v>1E-3</v>
      </c>
      <c r="O227" s="926">
        <v>4</v>
      </c>
      <c r="P227" s="926">
        <v>-0.7</v>
      </c>
      <c r="Q227" s="926">
        <v>-0.05</v>
      </c>
      <c r="R227" s="926">
        <v>-1.26</v>
      </c>
      <c r="S227" s="929"/>
      <c r="T227" s="989">
        <v>-10</v>
      </c>
      <c r="U227" s="926">
        <v>1E-3</v>
      </c>
      <c r="V227" s="926">
        <v>1E-3</v>
      </c>
      <c r="W227" s="926">
        <v>1E-3</v>
      </c>
      <c r="X227" s="926">
        <v>1E-3</v>
      </c>
      <c r="Y227" s="926">
        <v>1E-3</v>
      </c>
      <c r="Z227" s="926">
        <v>1E-3</v>
      </c>
      <c r="AA227" s="926">
        <v>1E-3</v>
      </c>
      <c r="AB227" s="926">
        <v>1E-3</v>
      </c>
      <c r="AC227" s="926">
        <v>0.46</v>
      </c>
      <c r="AD227" s="926">
        <v>1E-3</v>
      </c>
      <c r="AE227" s="926">
        <v>0.46</v>
      </c>
      <c r="AF227" s="926">
        <v>1E-3</v>
      </c>
      <c r="AG227" s="991">
        <v>18</v>
      </c>
      <c r="AH227" s="926">
        <v>-0.7</v>
      </c>
      <c r="AI227" s="926">
        <v>-0.05</v>
      </c>
      <c r="AJ227" s="926">
        <v>-1.26</v>
      </c>
      <c r="AK227" s="929"/>
      <c r="AX227" s="972"/>
      <c r="AY227" s="972"/>
      <c r="BB227" s="934"/>
      <c r="BD227" s="972"/>
      <c r="BE227" s="972"/>
      <c r="BH227" s="934"/>
      <c r="BJ227" s="972"/>
      <c r="BK227" s="972"/>
      <c r="BN227" s="934"/>
      <c r="BP227" s="972"/>
      <c r="BQ227" s="972"/>
      <c r="BT227" s="934"/>
      <c r="BV227" s="972"/>
      <c r="BW227" s="972"/>
      <c r="BZ227" s="934"/>
    </row>
    <row r="228" spans="2:78">
      <c r="B228" s="989">
        <v>1E-3</v>
      </c>
      <c r="C228" s="926">
        <v>1E-3</v>
      </c>
      <c r="D228" s="926">
        <v>1E-3</v>
      </c>
      <c r="E228" s="926">
        <v>1E-3</v>
      </c>
      <c r="F228" s="926">
        <v>1E-3</v>
      </c>
      <c r="G228" s="926">
        <v>1E-3</v>
      </c>
      <c r="H228" s="926">
        <v>1E-3</v>
      </c>
      <c r="I228" s="926">
        <v>1E-3</v>
      </c>
      <c r="J228" s="926">
        <v>1E-3</v>
      </c>
      <c r="K228" s="926">
        <v>0.47</v>
      </c>
      <c r="L228" s="926">
        <v>1E-3</v>
      </c>
      <c r="M228" s="926">
        <v>0.47</v>
      </c>
      <c r="N228" s="926">
        <v>1E-3</v>
      </c>
      <c r="O228" s="926">
        <v>5</v>
      </c>
      <c r="P228" s="926">
        <v>-0.7</v>
      </c>
      <c r="Q228" s="926">
        <v>0.03</v>
      </c>
      <c r="R228" s="926">
        <v>-0.79</v>
      </c>
      <c r="S228" s="929"/>
      <c r="T228" s="989">
        <v>1E-3</v>
      </c>
      <c r="U228" s="926">
        <v>1E-3</v>
      </c>
      <c r="V228" s="926">
        <v>1E-3</v>
      </c>
      <c r="W228" s="926">
        <v>1E-3</v>
      </c>
      <c r="X228" s="926">
        <v>1E-3</v>
      </c>
      <c r="Y228" s="926">
        <v>1E-3</v>
      </c>
      <c r="Z228" s="926">
        <v>1E-3</v>
      </c>
      <c r="AA228" s="926">
        <v>1E-3</v>
      </c>
      <c r="AB228" s="926">
        <v>1E-3</v>
      </c>
      <c r="AC228" s="926">
        <v>0.45</v>
      </c>
      <c r="AD228" s="926">
        <v>1E-3</v>
      </c>
      <c r="AE228" s="926">
        <v>0.45</v>
      </c>
      <c r="AF228" s="926">
        <v>1E-3</v>
      </c>
      <c r="AG228" s="991">
        <v>19</v>
      </c>
      <c r="AH228" s="926">
        <v>-0.7</v>
      </c>
      <c r="AI228" s="926">
        <v>0.03</v>
      </c>
      <c r="AJ228" s="926">
        <v>-0.79</v>
      </c>
      <c r="AK228" s="929"/>
      <c r="AX228" s="972"/>
      <c r="AY228" s="972"/>
      <c r="BB228" s="934"/>
      <c r="BD228" s="972"/>
      <c r="BE228" s="972"/>
      <c r="BH228" s="934"/>
      <c r="BJ228" s="972"/>
      <c r="BK228" s="972"/>
      <c r="BN228" s="934"/>
      <c r="BP228" s="972"/>
      <c r="BQ228" s="972"/>
      <c r="BT228" s="934"/>
      <c r="BV228" s="972"/>
      <c r="BW228" s="972"/>
      <c r="BZ228" s="934"/>
    </row>
    <row r="229" spans="2:78">
      <c r="B229" s="989">
        <v>2</v>
      </c>
      <c r="C229" s="926">
        <v>1E-3</v>
      </c>
      <c r="D229" s="926">
        <v>1E-3</v>
      </c>
      <c r="E229" s="926">
        <v>1E-3</v>
      </c>
      <c r="F229" s="926">
        <v>1E-3</v>
      </c>
      <c r="G229" s="926">
        <v>1E-3</v>
      </c>
      <c r="H229" s="926">
        <v>1E-3</v>
      </c>
      <c r="I229" s="926">
        <v>1E-3</v>
      </c>
      <c r="J229" s="926">
        <v>1E-3</v>
      </c>
      <c r="K229" s="926">
        <v>0.47</v>
      </c>
      <c r="L229" s="926">
        <v>1E-3</v>
      </c>
      <c r="M229" s="926">
        <v>0.47</v>
      </c>
      <c r="N229" s="926">
        <v>1E-3</v>
      </c>
      <c r="O229" s="926">
        <v>6</v>
      </c>
      <c r="P229" s="926">
        <v>-0.7</v>
      </c>
      <c r="Q229" s="926">
        <v>0.04</v>
      </c>
      <c r="R229" s="926">
        <v>-2.7</v>
      </c>
      <c r="S229" s="929"/>
      <c r="T229" s="989">
        <v>2</v>
      </c>
      <c r="U229" s="926">
        <v>1E-3</v>
      </c>
      <c r="V229" s="926">
        <v>1E-3</v>
      </c>
      <c r="W229" s="926">
        <v>1E-3</v>
      </c>
      <c r="X229" s="926">
        <v>1E-3</v>
      </c>
      <c r="Y229" s="926">
        <v>1E-3</v>
      </c>
      <c r="Z229" s="926">
        <v>1E-3</v>
      </c>
      <c r="AA229" s="926">
        <v>1E-3</v>
      </c>
      <c r="AB229" s="926">
        <v>1E-3</v>
      </c>
      <c r="AC229" s="926">
        <v>0.44</v>
      </c>
      <c r="AD229" s="926">
        <v>1E-3</v>
      </c>
      <c r="AE229" s="926">
        <v>0.44</v>
      </c>
      <c r="AF229" s="926">
        <v>1E-3</v>
      </c>
      <c r="AG229" s="991">
        <v>20</v>
      </c>
      <c r="AH229" s="926">
        <v>-0.7</v>
      </c>
      <c r="AI229" s="926">
        <v>0.04</v>
      </c>
      <c r="AJ229" s="926">
        <v>-2.7</v>
      </c>
      <c r="AK229" s="929"/>
      <c r="AX229" s="972"/>
      <c r="AY229" s="972"/>
      <c r="BB229" s="934"/>
      <c r="BD229" s="972"/>
      <c r="BE229" s="972"/>
      <c r="BH229" s="934"/>
      <c r="BJ229" s="972"/>
      <c r="BK229" s="972"/>
      <c r="BN229" s="934"/>
      <c r="BP229" s="972"/>
      <c r="BQ229" s="972"/>
      <c r="BT229" s="934"/>
      <c r="BV229" s="972"/>
      <c r="BW229" s="972"/>
      <c r="BZ229" s="934"/>
    </row>
    <row r="230" spans="2:78">
      <c r="B230" s="989">
        <v>8</v>
      </c>
      <c r="C230" s="926">
        <v>1E-3</v>
      </c>
      <c r="D230" s="926">
        <v>1E-3</v>
      </c>
      <c r="E230" s="926">
        <v>1E-3</v>
      </c>
      <c r="F230" s="926">
        <v>1E-3</v>
      </c>
      <c r="G230" s="926">
        <v>1E-3</v>
      </c>
      <c r="H230" s="926">
        <v>1E-3</v>
      </c>
      <c r="I230" s="926">
        <v>1E-3</v>
      </c>
      <c r="J230" s="926">
        <v>1E-3</v>
      </c>
      <c r="K230" s="926">
        <v>0.46</v>
      </c>
      <c r="L230" s="926">
        <v>1E-3</v>
      </c>
      <c r="M230" s="926">
        <v>0.46</v>
      </c>
      <c r="N230" s="926">
        <v>1E-3</v>
      </c>
      <c r="O230" s="926">
        <v>7</v>
      </c>
      <c r="P230" s="926">
        <v>-0.7</v>
      </c>
      <c r="Q230" s="926">
        <v>0.08</v>
      </c>
      <c r="R230" s="926">
        <v>-0.46</v>
      </c>
      <c r="S230" s="929"/>
      <c r="T230" s="989">
        <v>8</v>
      </c>
      <c r="U230" s="926">
        <v>1E-3</v>
      </c>
      <c r="V230" s="926">
        <v>1E-3</v>
      </c>
      <c r="W230" s="926">
        <v>1E-3</v>
      </c>
      <c r="X230" s="926">
        <v>1E-3</v>
      </c>
      <c r="Y230" s="926">
        <v>1E-3</v>
      </c>
      <c r="Z230" s="926">
        <v>1E-3</v>
      </c>
      <c r="AA230" s="926">
        <v>1E-3</v>
      </c>
      <c r="AB230" s="926">
        <v>1E-3</v>
      </c>
      <c r="AC230" s="926">
        <v>0.43</v>
      </c>
      <c r="AD230" s="926">
        <v>1E-3</v>
      </c>
      <c r="AE230" s="926">
        <v>0.43</v>
      </c>
      <c r="AF230" s="926">
        <v>1E-3</v>
      </c>
      <c r="AG230" s="991">
        <v>21</v>
      </c>
      <c r="AH230" s="926">
        <v>-0.7</v>
      </c>
      <c r="AI230" s="926">
        <v>0.08</v>
      </c>
      <c r="AJ230" s="926">
        <v>-0.46</v>
      </c>
      <c r="AK230" s="929"/>
      <c r="AX230" s="972"/>
      <c r="AY230" s="972"/>
      <c r="BB230" s="934"/>
      <c r="BD230" s="972"/>
      <c r="BE230" s="972"/>
      <c r="BH230" s="934"/>
      <c r="BJ230" s="972"/>
      <c r="BK230" s="972"/>
      <c r="BN230" s="934"/>
      <c r="BP230" s="972"/>
      <c r="BQ230" s="972"/>
      <c r="BT230" s="934"/>
      <c r="BV230" s="972"/>
      <c r="BW230" s="972"/>
      <c r="BZ230" s="934"/>
    </row>
    <row r="231" spans="2:78">
      <c r="B231" s="989">
        <v>37</v>
      </c>
      <c r="C231" s="926">
        <v>1E-3</v>
      </c>
      <c r="D231" s="926">
        <v>1E-3</v>
      </c>
      <c r="E231" s="926">
        <v>1E-3</v>
      </c>
      <c r="F231" s="926">
        <v>1E-3</v>
      </c>
      <c r="G231" s="926">
        <v>1E-3</v>
      </c>
      <c r="H231" s="926">
        <v>1E-3</v>
      </c>
      <c r="I231" s="926">
        <v>1E-3</v>
      </c>
      <c r="J231" s="926">
        <v>1E-3</v>
      </c>
      <c r="K231" s="926">
        <v>0.4</v>
      </c>
      <c r="L231" s="926">
        <v>1E-3</v>
      </c>
      <c r="M231" s="926">
        <v>0.4</v>
      </c>
      <c r="N231" s="926">
        <v>1E-3</v>
      </c>
      <c r="O231" s="926">
        <v>8</v>
      </c>
      <c r="P231" s="926">
        <v>-0.6</v>
      </c>
      <c r="Q231" s="926">
        <v>0.23</v>
      </c>
      <c r="R231" s="926">
        <v>0.42</v>
      </c>
      <c r="S231" s="929"/>
      <c r="T231" s="989">
        <v>37</v>
      </c>
      <c r="U231" s="926">
        <v>1E-3</v>
      </c>
      <c r="V231" s="926">
        <v>1E-3</v>
      </c>
      <c r="W231" s="926">
        <v>1E-3</v>
      </c>
      <c r="X231" s="926">
        <v>3</v>
      </c>
      <c r="Y231" s="926">
        <v>1E-3</v>
      </c>
      <c r="Z231" s="926">
        <v>1E-3</v>
      </c>
      <c r="AA231" s="926">
        <v>1E-3</v>
      </c>
      <c r="AB231" s="926">
        <v>1E-3</v>
      </c>
      <c r="AC231" s="926">
        <v>0.37</v>
      </c>
      <c r="AD231" s="926">
        <v>1E-3</v>
      </c>
      <c r="AE231" s="926">
        <v>0.37</v>
      </c>
      <c r="AF231" s="926">
        <v>1E-3</v>
      </c>
      <c r="AG231" s="991">
        <v>22</v>
      </c>
      <c r="AH231" s="926">
        <v>-0.6</v>
      </c>
      <c r="AI231" s="926">
        <v>0.23</v>
      </c>
      <c r="AJ231" s="926">
        <v>0.42</v>
      </c>
      <c r="AK231" s="929"/>
      <c r="AX231" s="972"/>
      <c r="AY231" s="972"/>
      <c r="BB231" s="934"/>
      <c r="BD231" s="972"/>
      <c r="BE231" s="972"/>
      <c r="BH231" s="934"/>
      <c r="BJ231" s="972"/>
      <c r="BK231" s="972"/>
      <c r="BN231" s="934"/>
      <c r="BP231" s="972"/>
      <c r="BQ231" s="972"/>
      <c r="BT231" s="934"/>
      <c r="BV231" s="972"/>
      <c r="BW231" s="972"/>
      <c r="BZ231" s="934"/>
    </row>
    <row r="232" spans="2:78">
      <c r="B232" s="989">
        <v>44</v>
      </c>
      <c r="C232" s="926">
        <v>1E-3</v>
      </c>
      <c r="D232" s="926">
        <v>1E-3</v>
      </c>
      <c r="E232" s="926">
        <v>1E-3</v>
      </c>
      <c r="F232" s="926">
        <v>1E-3</v>
      </c>
      <c r="G232" s="926">
        <v>1E-3</v>
      </c>
      <c r="H232" s="926">
        <v>1E-3</v>
      </c>
      <c r="I232" s="926">
        <v>1E-3</v>
      </c>
      <c r="J232" s="926">
        <v>1E-3</v>
      </c>
      <c r="K232" s="926">
        <v>0.38</v>
      </c>
      <c r="L232" s="926">
        <v>1E-3</v>
      </c>
      <c r="M232" s="926">
        <v>0.38</v>
      </c>
      <c r="N232" s="926">
        <v>1E-3</v>
      </c>
      <c r="O232" s="926">
        <v>9</v>
      </c>
      <c r="P232" s="926">
        <v>-0.7</v>
      </c>
      <c r="Q232" s="926">
        <v>0.25</v>
      </c>
      <c r="R232" s="926">
        <v>0.56999999999999995</v>
      </c>
      <c r="S232" s="929"/>
      <c r="T232" s="989">
        <v>44</v>
      </c>
      <c r="U232" s="926">
        <v>1E-3</v>
      </c>
      <c r="V232" s="926">
        <v>1E-3</v>
      </c>
      <c r="W232" s="926">
        <v>1E-3</v>
      </c>
      <c r="X232" s="926">
        <v>1E-3</v>
      </c>
      <c r="Y232" s="926">
        <v>1E-3</v>
      </c>
      <c r="Z232" s="926">
        <v>1E-3</v>
      </c>
      <c r="AA232" s="926">
        <v>1E-3</v>
      </c>
      <c r="AB232" s="926">
        <v>1E-3</v>
      </c>
      <c r="AC232" s="926">
        <v>0.36</v>
      </c>
      <c r="AD232" s="926">
        <v>1E-3</v>
      </c>
      <c r="AE232" s="926">
        <v>0.36</v>
      </c>
      <c r="AF232" s="926">
        <v>1E-3</v>
      </c>
      <c r="AG232" s="991">
        <v>23</v>
      </c>
      <c r="AH232" s="926">
        <v>-0.7</v>
      </c>
      <c r="AI232" s="926">
        <v>0.25</v>
      </c>
      <c r="AJ232" s="926">
        <v>0.56999999999999995</v>
      </c>
      <c r="AK232" s="929"/>
      <c r="AX232" s="972"/>
      <c r="AY232" s="972"/>
      <c r="BB232" s="934"/>
      <c r="BD232" s="972"/>
      <c r="BE232" s="972"/>
      <c r="BH232" s="934"/>
      <c r="BJ232" s="972"/>
      <c r="BK232" s="972"/>
      <c r="BN232" s="934"/>
      <c r="BP232" s="972"/>
      <c r="BQ232" s="972"/>
      <c r="BT232" s="934"/>
      <c r="BV232" s="972"/>
      <c r="BW232" s="972"/>
      <c r="BZ232" s="934"/>
    </row>
    <row r="233" spans="2:78">
      <c r="B233" s="989">
        <v>50</v>
      </c>
      <c r="C233" s="926">
        <v>1E-3</v>
      </c>
      <c r="D233" s="926">
        <v>1E-3</v>
      </c>
      <c r="E233" s="926">
        <v>1E-3</v>
      </c>
      <c r="F233" s="926">
        <v>1E-3</v>
      </c>
      <c r="G233" s="926">
        <v>1E-3</v>
      </c>
      <c r="H233" s="926">
        <v>1E-3</v>
      </c>
      <c r="I233" s="926">
        <v>1E-3</v>
      </c>
      <c r="J233" s="926">
        <v>1E-3</v>
      </c>
      <c r="K233" s="926">
        <v>0.37</v>
      </c>
      <c r="L233" s="926">
        <v>1E-3</v>
      </c>
      <c r="M233" s="926">
        <v>0.37</v>
      </c>
      <c r="N233" s="926">
        <v>1E-3</v>
      </c>
      <c r="O233" s="926">
        <v>10</v>
      </c>
      <c r="P233" s="926">
        <v>-0.7</v>
      </c>
      <c r="Q233" s="926">
        <v>0.27</v>
      </c>
      <c r="R233" s="926">
        <v>0.67</v>
      </c>
      <c r="S233" s="929"/>
      <c r="T233" s="989">
        <v>50</v>
      </c>
      <c r="U233" s="926">
        <v>1E-3</v>
      </c>
      <c r="V233" s="926">
        <v>1E-3</v>
      </c>
      <c r="W233" s="926">
        <v>1E-3</v>
      </c>
      <c r="X233" s="926">
        <v>1E-3</v>
      </c>
      <c r="Y233" s="926">
        <v>1E-3</v>
      </c>
      <c r="Z233" s="926">
        <v>1E-3</v>
      </c>
      <c r="AA233" s="926">
        <v>1E-3</v>
      </c>
      <c r="AB233" s="926">
        <v>1E-3</v>
      </c>
      <c r="AC233" s="926">
        <v>0.34</v>
      </c>
      <c r="AD233" s="926">
        <v>1E-3</v>
      </c>
      <c r="AE233" s="926">
        <v>0.34</v>
      </c>
      <c r="AF233" s="926">
        <v>1E-3</v>
      </c>
      <c r="AG233" s="991">
        <v>24</v>
      </c>
      <c r="AH233" s="926">
        <v>-0.7</v>
      </c>
      <c r="AI233" s="926">
        <v>0.27</v>
      </c>
      <c r="AJ233" s="926">
        <v>0.67</v>
      </c>
      <c r="AK233" s="929"/>
      <c r="AX233" s="972"/>
      <c r="AY233" s="972"/>
      <c r="BB233" s="934"/>
      <c r="BD233" s="972"/>
      <c r="BE233" s="972"/>
      <c r="BH233" s="934"/>
      <c r="BJ233" s="972"/>
      <c r="BK233" s="972"/>
      <c r="BN233" s="934"/>
      <c r="BP233" s="972"/>
      <c r="BQ233" s="972"/>
      <c r="BT233" s="934"/>
      <c r="BV233" s="972"/>
      <c r="BW233" s="972"/>
      <c r="BZ233" s="934"/>
    </row>
    <row r="234" spans="2:78">
      <c r="B234" s="989">
        <v>100</v>
      </c>
      <c r="C234" s="926">
        <v>1E-3</v>
      </c>
      <c r="D234" s="926">
        <v>1E-3</v>
      </c>
      <c r="E234" s="926">
        <v>1E-3</v>
      </c>
      <c r="F234" s="926">
        <v>1E-3</v>
      </c>
      <c r="G234" s="926">
        <v>1E-3</v>
      </c>
      <c r="H234" s="926">
        <v>1E-3</v>
      </c>
      <c r="I234" s="926">
        <v>1E-3</v>
      </c>
      <c r="J234" s="926">
        <v>1E-3</v>
      </c>
      <c r="K234" s="926">
        <v>0.2</v>
      </c>
      <c r="L234" s="926">
        <v>1E-3</v>
      </c>
      <c r="M234" s="926">
        <v>0.2</v>
      </c>
      <c r="N234" s="926">
        <v>1E-3</v>
      </c>
      <c r="O234" s="926">
        <v>11</v>
      </c>
      <c r="P234" s="926">
        <v>-0.7</v>
      </c>
      <c r="Q234" s="926">
        <v>0.31</v>
      </c>
      <c r="R234" s="926">
        <v>0.95</v>
      </c>
      <c r="S234" s="929"/>
      <c r="T234" s="989">
        <v>100</v>
      </c>
      <c r="U234" s="926">
        <v>1E-3</v>
      </c>
      <c r="V234" s="926">
        <v>1E-3</v>
      </c>
      <c r="W234" s="926">
        <v>1E-3</v>
      </c>
      <c r="X234" s="926">
        <v>1E-3</v>
      </c>
      <c r="Y234" s="926">
        <v>1E-3</v>
      </c>
      <c r="Z234" s="926">
        <v>1E-3</v>
      </c>
      <c r="AA234" s="926">
        <v>1E-3</v>
      </c>
      <c r="AB234" s="926">
        <v>1E-3</v>
      </c>
      <c r="AC234" s="926">
        <v>1.8E-3</v>
      </c>
      <c r="AD234" s="926">
        <v>1E-3</v>
      </c>
      <c r="AE234" s="926">
        <v>1.8E-3</v>
      </c>
      <c r="AF234" s="926">
        <v>1E-3</v>
      </c>
      <c r="AG234" s="991">
        <v>25</v>
      </c>
      <c r="AH234" s="926">
        <v>-0.7</v>
      </c>
      <c r="AI234" s="926">
        <v>0.31</v>
      </c>
      <c r="AJ234" s="926">
        <v>0.95</v>
      </c>
      <c r="AK234" s="929"/>
      <c r="AX234" s="972"/>
      <c r="AY234" s="972"/>
      <c r="BB234" s="934"/>
      <c r="BD234" s="972"/>
      <c r="BE234" s="972"/>
      <c r="BH234" s="934"/>
      <c r="BJ234" s="972"/>
      <c r="BK234" s="972"/>
      <c r="BN234" s="934"/>
      <c r="BP234" s="972"/>
      <c r="BQ234" s="972"/>
      <c r="BT234" s="934"/>
      <c r="BV234" s="972"/>
      <c r="BW234" s="972"/>
      <c r="BZ234" s="934"/>
    </row>
    <row r="235" spans="2:78">
      <c r="B235" s="989">
        <v>150</v>
      </c>
      <c r="C235" s="926">
        <v>1E-3</v>
      </c>
      <c r="D235" s="926">
        <v>1E-3</v>
      </c>
      <c r="E235" s="926">
        <v>1E-3</v>
      </c>
      <c r="F235" s="926">
        <v>1E-3</v>
      </c>
      <c r="G235" s="926">
        <v>1E-3</v>
      </c>
      <c r="H235" s="926">
        <v>1E-3</v>
      </c>
      <c r="I235" s="926">
        <v>1E-3</v>
      </c>
      <c r="J235" s="926">
        <v>1E-3</v>
      </c>
      <c r="K235" s="926">
        <v>-0.01</v>
      </c>
      <c r="L235" s="926">
        <v>1E-3</v>
      </c>
      <c r="M235" s="926">
        <v>-0.01</v>
      </c>
      <c r="N235" s="926">
        <v>1E-3</v>
      </c>
      <c r="O235" s="926">
        <v>12</v>
      </c>
      <c r="P235" s="926">
        <v>-0.7</v>
      </c>
      <c r="Q235" s="926">
        <v>0.3</v>
      </c>
      <c r="R235" s="926">
        <v>0.49</v>
      </c>
      <c r="S235" s="929"/>
      <c r="T235" s="989">
        <v>150</v>
      </c>
      <c r="U235" s="926">
        <v>1E-3</v>
      </c>
      <c r="V235" s="926">
        <v>1E-3</v>
      </c>
      <c r="W235" s="926">
        <v>1E-3</v>
      </c>
      <c r="X235" s="926">
        <v>1E-3</v>
      </c>
      <c r="Y235" s="926">
        <v>1E-3</v>
      </c>
      <c r="Z235" s="926">
        <v>1E-3</v>
      </c>
      <c r="AA235" s="926">
        <v>1E-3</v>
      </c>
      <c r="AB235" s="926">
        <v>1E-3</v>
      </c>
      <c r="AC235" s="926">
        <v>-0.02</v>
      </c>
      <c r="AD235" s="926">
        <v>1E-3</v>
      </c>
      <c r="AE235" s="926">
        <v>-0.02</v>
      </c>
      <c r="AF235" s="926">
        <v>1E-3</v>
      </c>
      <c r="AG235" s="991">
        <v>26</v>
      </c>
      <c r="AH235" s="926">
        <v>-0.7</v>
      </c>
      <c r="AI235" s="926">
        <v>0.3</v>
      </c>
      <c r="AJ235" s="926">
        <v>0.49</v>
      </c>
      <c r="AK235" s="929"/>
      <c r="AX235" s="972"/>
      <c r="AY235" s="972"/>
      <c r="BB235" s="934"/>
      <c r="BD235" s="972"/>
      <c r="BE235" s="972"/>
      <c r="BH235" s="934"/>
      <c r="BJ235" s="972"/>
      <c r="BK235" s="972"/>
      <c r="BN235" s="934"/>
      <c r="BP235" s="972"/>
      <c r="BQ235" s="972"/>
      <c r="BT235" s="934"/>
      <c r="BV235" s="972"/>
      <c r="BW235" s="972"/>
      <c r="BZ235" s="934"/>
    </row>
    <row r="236" spans="2:78">
      <c r="B236" s="989">
        <v>200</v>
      </c>
      <c r="C236" s="926">
        <v>1E-3</v>
      </c>
      <c r="D236" s="926">
        <v>1E-3</v>
      </c>
      <c r="E236" s="926">
        <v>1E-3</v>
      </c>
      <c r="F236" s="926">
        <v>1E-3</v>
      </c>
      <c r="G236" s="926">
        <v>1E-3</v>
      </c>
      <c r="H236" s="926">
        <v>1E-3</v>
      </c>
      <c r="I236" s="926">
        <v>1E-3</v>
      </c>
      <c r="J236" s="926">
        <v>1E-3</v>
      </c>
      <c r="K236" s="926">
        <v>-0.28999999999999998</v>
      </c>
      <c r="L236" s="926">
        <v>1E-3</v>
      </c>
      <c r="M236" s="926">
        <v>-0.28999999999999998</v>
      </c>
      <c r="N236" s="926">
        <v>1E-3</v>
      </c>
      <c r="O236" s="926">
        <v>13</v>
      </c>
      <c r="P236" s="926">
        <v>-0.6</v>
      </c>
      <c r="Q236" s="926">
        <v>0.34</v>
      </c>
      <c r="R236" s="926">
        <v>-0.26</v>
      </c>
      <c r="S236" s="929"/>
      <c r="T236" s="989">
        <v>200</v>
      </c>
      <c r="U236" s="926">
        <v>1E-3</v>
      </c>
      <c r="V236" s="926">
        <v>1E-3</v>
      </c>
      <c r="W236" s="926">
        <v>1E-3</v>
      </c>
      <c r="X236" s="926">
        <v>1E-3</v>
      </c>
      <c r="Y236" s="926">
        <v>1E-3</v>
      </c>
      <c r="Z236" s="926">
        <v>1E-3</v>
      </c>
      <c r="AA236" s="926">
        <v>1E-3</v>
      </c>
      <c r="AB236" s="926">
        <v>1E-3</v>
      </c>
      <c r="AC236" s="926">
        <v>-0.28000000000000003</v>
      </c>
      <c r="AD236" s="926">
        <v>1E-3</v>
      </c>
      <c r="AE236" s="926">
        <v>-0.28000000000000003</v>
      </c>
      <c r="AF236" s="926">
        <v>1E-3</v>
      </c>
      <c r="AG236" s="991">
        <v>27</v>
      </c>
      <c r="AH236" s="926">
        <v>-0.6</v>
      </c>
      <c r="AI236" s="926">
        <v>0.34</v>
      </c>
      <c r="AJ236" s="926">
        <v>-0.26</v>
      </c>
      <c r="AK236" s="929"/>
      <c r="AX236" s="972"/>
      <c r="AY236" s="972"/>
      <c r="BB236" s="934"/>
      <c r="BD236" s="972"/>
      <c r="BE236" s="972"/>
      <c r="BH236" s="934"/>
      <c r="BJ236" s="972"/>
      <c r="BK236" s="972"/>
      <c r="BN236" s="934"/>
      <c r="BP236" s="972"/>
      <c r="BQ236" s="972"/>
      <c r="BT236" s="934"/>
      <c r="BV236" s="972"/>
      <c r="BW236" s="972"/>
      <c r="BZ236" s="934"/>
    </row>
    <row r="237" spans="2:78">
      <c r="B237" s="989" t="s">
        <v>237</v>
      </c>
      <c r="C237" s="921">
        <v>1E-3</v>
      </c>
      <c r="D237" s="921">
        <v>1E-3</v>
      </c>
      <c r="E237" s="921">
        <v>1E-3</v>
      </c>
      <c r="F237" s="921">
        <v>1E-3</v>
      </c>
      <c r="G237" s="921">
        <v>1E-3</v>
      </c>
      <c r="H237" s="921">
        <v>1E-3</v>
      </c>
      <c r="I237" s="921">
        <v>1E-3</v>
      </c>
      <c r="J237" s="921">
        <v>1E-3</v>
      </c>
      <c r="K237" s="921">
        <v>0.79</v>
      </c>
      <c r="L237" s="921">
        <v>1E-3</v>
      </c>
      <c r="M237" s="921">
        <v>0.79</v>
      </c>
      <c r="N237" s="921">
        <v>1E-3</v>
      </c>
      <c r="O237" s="921">
        <v>14</v>
      </c>
      <c r="P237" s="995">
        <v>0.4</v>
      </c>
      <c r="Q237" s="995">
        <v>0.22</v>
      </c>
      <c r="R237" s="995">
        <v>0.77</v>
      </c>
      <c r="S237" s="929"/>
      <c r="T237" s="989" t="s">
        <v>237</v>
      </c>
      <c r="U237" s="921">
        <v>1E-3</v>
      </c>
      <c r="V237" s="921">
        <v>1E-3</v>
      </c>
      <c r="W237" s="921">
        <v>1E-3</v>
      </c>
      <c r="X237" s="921">
        <v>1E-3</v>
      </c>
      <c r="Y237" s="921">
        <v>1E-3</v>
      </c>
      <c r="Z237" s="921">
        <v>1E-3</v>
      </c>
      <c r="AA237" s="921">
        <v>1E-3</v>
      </c>
      <c r="AB237" s="921">
        <v>1E-3</v>
      </c>
      <c r="AC237" s="989">
        <v>0.79</v>
      </c>
      <c r="AD237" s="921">
        <v>1E-3</v>
      </c>
      <c r="AE237" s="921">
        <v>0.79</v>
      </c>
      <c r="AF237" s="921">
        <v>1E-3</v>
      </c>
      <c r="AG237" s="989">
        <v>28</v>
      </c>
      <c r="AH237" s="995">
        <v>0.4</v>
      </c>
      <c r="AI237" s="995">
        <v>0.22</v>
      </c>
      <c r="AJ237" s="995">
        <v>0.77</v>
      </c>
      <c r="AK237" s="929"/>
      <c r="AX237" s="996"/>
      <c r="AY237" s="996"/>
      <c r="BB237" s="934"/>
      <c r="BD237" s="996"/>
      <c r="BE237" s="996"/>
      <c r="BH237" s="934"/>
      <c r="BJ237" s="996"/>
      <c r="BK237" s="996"/>
      <c r="BN237" s="934"/>
      <c r="BP237" s="996"/>
      <c r="BQ237" s="996"/>
      <c r="BT237" s="934"/>
      <c r="BV237" s="996"/>
      <c r="BW237" s="996"/>
      <c r="BZ237" s="934"/>
    </row>
    <row r="238" spans="2:78" s="929" customFormat="1">
      <c r="V238" s="930"/>
      <c r="W238" s="930"/>
      <c r="X238" s="930"/>
      <c r="Y238" s="930"/>
      <c r="Z238" s="930"/>
      <c r="AA238" s="930"/>
      <c r="AB238" s="930"/>
      <c r="AC238" s="930"/>
      <c r="AD238" s="930"/>
      <c r="AI238" s="931"/>
      <c r="AZ238" s="930"/>
      <c r="BB238" s="931"/>
      <c r="BF238" s="930"/>
      <c r="BH238" s="931"/>
      <c r="BL238" s="930"/>
      <c r="BN238" s="931"/>
      <c r="BR238" s="930"/>
      <c r="BT238" s="931"/>
      <c r="BX238" s="930"/>
      <c r="BZ238" s="931"/>
    </row>
    <row r="239" spans="2:78" ht="97.5" customHeight="1">
      <c r="B239" s="1022" t="s">
        <v>428</v>
      </c>
      <c r="C239" s="1000" t="str">
        <f t="shared" ref="C239:O239" si="317">C223</f>
        <v>Thermocouple Data Logger, Merek : MADGETECH, Model : OctTemp 2000, SN : P40270</v>
      </c>
      <c r="D239" s="1000" t="str">
        <f t="shared" si="317"/>
        <v>Thermocouple Data Logger, Merek : MADGETECH, Model : OctTemp 2000, SN : P41878</v>
      </c>
      <c r="E239" s="1000" t="str">
        <f t="shared" si="317"/>
        <v>Mobile Corder, Merek : Yokogawa, Model : GP 10, SN : S5T810599</v>
      </c>
      <c r="F239" s="1000" t="str">
        <f t="shared" si="317"/>
        <v>Wireless Temperature Recorder : Merek : HIOKI, Model : LR 8510, SN : 200936000</v>
      </c>
      <c r="G239" s="1000" t="str">
        <f t="shared" si="317"/>
        <v>Wireless Temperature Recorder : Merek : HIOKI, Model : LR 8510, SN : 200936001</v>
      </c>
      <c r="H239" s="1000" t="str">
        <f t="shared" si="317"/>
        <v>Wireless Temperature Recorder : Merek : HIOKI, Model : LR 8510, SN : 200821397</v>
      </c>
      <c r="I239" s="1000" t="str">
        <f t="shared" si="317"/>
        <v>Wireless Temperature Recorder : Merek : HIOKI, Model : LR 8510, SN : 210411983</v>
      </c>
      <c r="J239" s="1000" t="str">
        <f t="shared" si="317"/>
        <v>Wireless Temperature Recorder : Merek : HIOKI, Model : LR 8510, SN : 210411984</v>
      </c>
      <c r="K239" s="1000" t="str">
        <f t="shared" si="317"/>
        <v>Wireless Temperature Recorder : Merek : HIOKI, Model : LR 8510, SN : 210411985</v>
      </c>
      <c r="L239" s="1000" t="str">
        <f t="shared" si="317"/>
        <v>Wireless Temperature Recorder : Merek : HIOKI, Model : LR 8510, SN : 210746054</v>
      </c>
      <c r="M239" s="1000" t="str">
        <f t="shared" si="317"/>
        <v>Wireless Temperature Recorder : Merek : HIOKI, Model : LR 8510, SN : 210746055</v>
      </c>
      <c r="N239" s="1000" t="str">
        <f t="shared" si="317"/>
        <v>Wireless Temperature Recorder : Merek : HIOKI, Model : LR 8510, SN : 210746056</v>
      </c>
      <c r="O239" s="971" t="str">
        <f t="shared" si="317"/>
        <v>Wireless Temperature Recorder : Merek : HIOKI, Model : LR 8510, SN : x x x</v>
      </c>
      <c r="P239" s="969" t="s">
        <v>457</v>
      </c>
      <c r="Q239" s="969" t="s">
        <v>458</v>
      </c>
      <c r="R239" s="969" t="s">
        <v>456</v>
      </c>
      <c r="S239" s="929"/>
      <c r="T239" s="1022" t="s">
        <v>429</v>
      </c>
      <c r="U239" s="1014" t="str">
        <f t="shared" ref="U239:AG239" si="318">U223</f>
        <v>Thermocouple Data Logger, Merek : MADGETECH, Model : OctTemp 2000, SN : P40270</v>
      </c>
      <c r="V239" s="1014" t="str">
        <f t="shared" si="318"/>
        <v>Thermocouple Data Logger, Merek : MADGETECH, Model : OctTemp 2000, SN : P41878</v>
      </c>
      <c r="W239" s="1014" t="str">
        <f t="shared" si="318"/>
        <v>Mobile Corder, Merek : Yokogawa, Model : GP 10, SN : S5T810599</v>
      </c>
      <c r="X239" s="1014" t="str">
        <f t="shared" si="318"/>
        <v>Wireless Temperature Recorder : Merek : HIOKI, Model : LR 8510, SN : 200936000</v>
      </c>
      <c r="Y239" s="1014" t="str">
        <f t="shared" si="318"/>
        <v>Wireless Temperature Recorder : Merek : HIOKI, Model : LR 8510, SN : 200936001</v>
      </c>
      <c r="Z239" s="1014" t="str">
        <f t="shared" si="318"/>
        <v>Wireless Temperature Recorder : Merek : HIOKI, Model : LR 8510, SN : 200821397</v>
      </c>
      <c r="AA239" s="1014" t="str">
        <f t="shared" si="318"/>
        <v>Wireless Temperature Recorder : Merek : HIOKI, Model : LR 8510, SN : 210411983</v>
      </c>
      <c r="AB239" s="1014" t="str">
        <f t="shared" si="318"/>
        <v>Wireless Temperature Recorder : Merek : HIOKI, Model : LR 8510, SN : 210411984</v>
      </c>
      <c r="AC239" s="1014" t="str">
        <f t="shared" si="318"/>
        <v>Wireless Temperature Recorder : Merek : HIOKI, Model : LR 8510, SN : 210411985</v>
      </c>
      <c r="AD239" s="1014" t="str">
        <f t="shared" si="318"/>
        <v>Wireless Temperature Recorder : Merek : HIOKI, Model : LR 8510, SN : 210746054</v>
      </c>
      <c r="AE239" s="1014" t="str">
        <f t="shared" si="318"/>
        <v>Wireless Temperature Recorder : Merek : HIOKI, Model : LR 8510, SN : 210746055</v>
      </c>
      <c r="AF239" s="1014" t="str">
        <f t="shared" si="318"/>
        <v>Wireless Temperature Recorder : Merek : HIOKI, Model : LR 8510, SN : 210746056</v>
      </c>
      <c r="AG239" s="971" t="str">
        <f t="shared" si="318"/>
        <v>Wireless Temperature Recorder : Merek : HIOKI, Model : LR 8510, SN : x x x</v>
      </c>
      <c r="AH239" s="969" t="s">
        <v>457</v>
      </c>
      <c r="AI239" s="969" t="s">
        <v>458</v>
      </c>
      <c r="AJ239" s="969" t="s">
        <v>456</v>
      </c>
      <c r="AK239" s="929"/>
      <c r="AX239" s="974"/>
      <c r="AY239" s="975"/>
      <c r="AZ239" s="976"/>
      <c r="BB239" s="934"/>
      <c r="BD239" s="974"/>
      <c r="BE239" s="975"/>
      <c r="BF239" s="976"/>
      <c r="BH239" s="934"/>
      <c r="BJ239" s="974"/>
      <c r="BK239" s="975"/>
      <c r="BL239" s="976"/>
      <c r="BN239" s="934"/>
      <c r="BP239" s="974"/>
      <c r="BQ239" s="975"/>
      <c r="BR239" s="976"/>
      <c r="BT239" s="934"/>
      <c r="BV239" s="974"/>
      <c r="BW239" s="975"/>
      <c r="BX239" s="976"/>
      <c r="BZ239" s="934"/>
    </row>
    <row r="240" spans="2:78" s="977" customFormat="1" ht="4.2" customHeight="1">
      <c r="B240" s="1023"/>
      <c r="C240" s="1006"/>
      <c r="D240" s="1006"/>
      <c r="E240" s="1006"/>
      <c r="F240" s="1006"/>
      <c r="G240" s="1006"/>
      <c r="H240" s="1006"/>
      <c r="I240" s="1006"/>
      <c r="J240" s="1006"/>
      <c r="K240" s="1006"/>
      <c r="L240" s="1006"/>
      <c r="M240" s="1006"/>
      <c r="N240" s="1006"/>
      <c r="O240" s="983"/>
      <c r="P240" s="981"/>
      <c r="Q240" s="981"/>
      <c r="R240" s="981"/>
      <c r="T240" s="1023"/>
      <c r="U240" s="1015"/>
      <c r="V240" s="1015"/>
      <c r="W240" s="1015"/>
      <c r="X240" s="1015"/>
      <c r="Y240" s="1015"/>
      <c r="Z240" s="1015"/>
      <c r="AA240" s="1015"/>
      <c r="AB240" s="1015"/>
      <c r="AC240" s="1015"/>
      <c r="AD240" s="1015"/>
      <c r="AE240" s="1015"/>
      <c r="AF240" s="1015"/>
      <c r="AG240" s="983"/>
      <c r="AH240" s="981"/>
      <c r="AI240" s="981"/>
      <c r="AJ240" s="981"/>
      <c r="AN240" s="984"/>
      <c r="AP240" s="985"/>
      <c r="AT240" s="984"/>
      <c r="AV240" s="985"/>
      <c r="AX240" s="986"/>
      <c r="AY240" s="987"/>
      <c r="AZ240" s="988"/>
      <c r="BD240" s="986"/>
      <c r="BE240" s="987"/>
      <c r="BF240" s="988"/>
      <c r="BJ240" s="986"/>
      <c r="BK240" s="987"/>
      <c r="BL240" s="988"/>
      <c r="BP240" s="986"/>
      <c r="BQ240" s="987"/>
      <c r="BR240" s="988"/>
      <c r="BV240" s="986"/>
      <c r="BW240" s="987"/>
      <c r="BX240" s="988"/>
    </row>
    <row r="241" spans="2:78">
      <c r="B241" s="989">
        <v>-20</v>
      </c>
      <c r="C241" s="926">
        <v>1E-3</v>
      </c>
      <c r="D241" s="926">
        <v>1E-3</v>
      </c>
      <c r="E241" s="926">
        <v>1E-3</v>
      </c>
      <c r="F241" s="926">
        <v>1E-3</v>
      </c>
      <c r="G241" s="926">
        <v>1E-3</v>
      </c>
      <c r="H241" s="926">
        <v>1E-3</v>
      </c>
      <c r="I241" s="926">
        <v>1E-3</v>
      </c>
      <c r="J241" s="926">
        <v>1E-3</v>
      </c>
      <c r="K241" s="926">
        <v>1E-3</v>
      </c>
      <c r="L241" s="926">
        <v>1E-3</v>
      </c>
      <c r="M241" s="926">
        <v>1E-3</v>
      </c>
      <c r="N241" s="926">
        <v>1E-3</v>
      </c>
      <c r="O241" s="926">
        <v>2</v>
      </c>
      <c r="P241" s="926">
        <v>-0.7</v>
      </c>
      <c r="Q241" s="926">
        <v>-1.5E-3</v>
      </c>
      <c r="R241" s="926">
        <v>-1.8</v>
      </c>
      <c r="S241" s="929"/>
      <c r="T241" s="989">
        <v>-20</v>
      </c>
      <c r="U241" s="926">
        <v>1E-3</v>
      </c>
      <c r="V241" s="926">
        <v>1E-3</v>
      </c>
      <c r="W241" s="926">
        <v>1E-3</v>
      </c>
      <c r="X241" s="926">
        <v>1E-3</v>
      </c>
      <c r="Y241" s="926">
        <v>1E-3</v>
      </c>
      <c r="Z241" s="926">
        <v>1E-3</v>
      </c>
      <c r="AA241" s="926">
        <v>1E-3</v>
      </c>
      <c r="AB241" s="926">
        <v>1E-3</v>
      </c>
      <c r="AC241" s="926">
        <v>1E-3</v>
      </c>
      <c r="AD241" s="926">
        <v>1E-3</v>
      </c>
      <c r="AE241" s="926">
        <v>1E-3</v>
      </c>
      <c r="AF241" s="926">
        <v>1E-3</v>
      </c>
      <c r="AG241" s="991">
        <v>16</v>
      </c>
      <c r="AH241" s="926">
        <v>-0.7</v>
      </c>
      <c r="AI241" s="926">
        <v>-1.5E-3</v>
      </c>
      <c r="AJ241" s="926">
        <v>-1.8</v>
      </c>
      <c r="AK241" s="929"/>
      <c r="AX241" s="972"/>
      <c r="AY241" s="972"/>
      <c r="BB241" s="934"/>
      <c r="BD241" s="972"/>
      <c r="BE241" s="972"/>
      <c r="BH241" s="934"/>
      <c r="BJ241" s="972"/>
      <c r="BK241" s="972"/>
      <c r="BN241" s="934"/>
      <c r="BP241" s="972"/>
      <c r="BQ241" s="972"/>
      <c r="BT241" s="934"/>
      <c r="BV241" s="972"/>
      <c r="BW241" s="972"/>
      <c r="BZ241" s="934"/>
    </row>
    <row r="242" spans="2:78">
      <c r="B242" s="989">
        <v>-15</v>
      </c>
      <c r="C242" s="926">
        <v>1E-3</v>
      </c>
      <c r="D242" s="926">
        <v>1E-3</v>
      </c>
      <c r="E242" s="926">
        <v>1E-3</v>
      </c>
      <c r="F242" s="926">
        <v>1E-3</v>
      </c>
      <c r="G242" s="926">
        <v>1E-3</v>
      </c>
      <c r="H242" s="926">
        <v>1E-3</v>
      </c>
      <c r="I242" s="926">
        <v>1E-3</v>
      </c>
      <c r="J242" s="926">
        <v>1E-3</v>
      </c>
      <c r="K242" s="926">
        <v>1E-3</v>
      </c>
      <c r="L242" s="926">
        <v>1E-3</v>
      </c>
      <c r="M242" s="926">
        <v>1E-3</v>
      </c>
      <c r="N242" s="926">
        <v>1E-3</v>
      </c>
      <c r="O242" s="926">
        <v>3</v>
      </c>
      <c r="P242" s="926">
        <v>-0.7</v>
      </c>
      <c r="Q242" s="926">
        <v>1E-3</v>
      </c>
      <c r="R242" s="926">
        <v>-1.52</v>
      </c>
      <c r="S242" s="929"/>
      <c r="T242" s="989">
        <v>-15</v>
      </c>
      <c r="U242" s="926">
        <v>1E-3</v>
      </c>
      <c r="V242" s="926">
        <v>1E-3</v>
      </c>
      <c r="W242" s="926">
        <v>1E-3</v>
      </c>
      <c r="X242" s="926">
        <v>1E-3</v>
      </c>
      <c r="Y242" s="926">
        <v>1E-3</v>
      </c>
      <c r="Z242" s="926">
        <v>1E-3</v>
      </c>
      <c r="AA242" s="926">
        <v>1E-3</v>
      </c>
      <c r="AB242" s="926">
        <v>1E-3</v>
      </c>
      <c r="AC242" s="926">
        <v>1E-3</v>
      </c>
      <c r="AD242" s="926">
        <v>1E-3</v>
      </c>
      <c r="AE242" s="926">
        <v>1E-3</v>
      </c>
      <c r="AF242" s="926">
        <v>1E-3</v>
      </c>
      <c r="AG242" s="991">
        <v>17</v>
      </c>
      <c r="AH242" s="926">
        <v>-0.7</v>
      </c>
      <c r="AI242" s="926">
        <v>1E-3</v>
      </c>
      <c r="AJ242" s="926">
        <v>-1.52</v>
      </c>
      <c r="AK242" s="929"/>
      <c r="AX242" s="972"/>
      <c r="AY242" s="972"/>
      <c r="BB242" s="934"/>
      <c r="BD242" s="972"/>
      <c r="BE242" s="972"/>
      <c r="BH242" s="934"/>
      <c r="BJ242" s="972"/>
      <c r="BK242" s="972"/>
      <c r="BN242" s="934"/>
      <c r="BP242" s="972"/>
      <c r="BQ242" s="972"/>
      <c r="BT242" s="934"/>
      <c r="BV242" s="972"/>
      <c r="BW242" s="972"/>
      <c r="BZ242" s="934"/>
    </row>
    <row r="243" spans="2:78">
      <c r="B243" s="989">
        <v>-10</v>
      </c>
      <c r="C243" s="926">
        <v>1E-3</v>
      </c>
      <c r="D243" s="926">
        <v>1E-3</v>
      </c>
      <c r="E243" s="926">
        <v>1E-3</v>
      </c>
      <c r="F243" s="926">
        <v>1E-3</v>
      </c>
      <c r="G243" s="926">
        <v>1E-3</v>
      </c>
      <c r="H243" s="926">
        <v>1E-3</v>
      </c>
      <c r="I243" s="926">
        <v>1E-3</v>
      </c>
      <c r="J243" s="926">
        <v>1E-3</v>
      </c>
      <c r="K243" s="926">
        <v>1E-3</v>
      </c>
      <c r="L243" s="926">
        <v>1E-3</v>
      </c>
      <c r="M243" s="926">
        <v>1E-3</v>
      </c>
      <c r="N243" s="926">
        <v>1E-3</v>
      </c>
      <c r="O243" s="926">
        <v>4</v>
      </c>
      <c r="P243" s="926">
        <v>-0.7</v>
      </c>
      <c r="Q243" s="926">
        <v>-0.05</v>
      </c>
      <c r="R243" s="926">
        <v>-1.26</v>
      </c>
      <c r="S243" s="929"/>
      <c r="T243" s="989">
        <v>-10</v>
      </c>
      <c r="U243" s="926">
        <v>1E-3</v>
      </c>
      <c r="V243" s="926">
        <v>1E-3</v>
      </c>
      <c r="W243" s="926">
        <v>1E-3</v>
      </c>
      <c r="X243" s="926">
        <v>1E-3</v>
      </c>
      <c r="Y243" s="926">
        <v>1E-3</v>
      </c>
      <c r="Z243" s="926">
        <v>1E-3</v>
      </c>
      <c r="AA243" s="926">
        <v>1E-3</v>
      </c>
      <c r="AB243" s="926">
        <v>1E-3</v>
      </c>
      <c r="AC243" s="926">
        <v>1E-3</v>
      </c>
      <c r="AD243" s="926">
        <v>1E-3</v>
      </c>
      <c r="AE243" s="926">
        <v>1E-3</v>
      </c>
      <c r="AF243" s="926">
        <v>1E-3</v>
      </c>
      <c r="AG243" s="991">
        <v>18</v>
      </c>
      <c r="AH243" s="926">
        <v>-0.7</v>
      </c>
      <c r="AI243" s="926">
        <v>-0.05</v>
      </c>
      <c r="AJ243" s="926">
        <v>-1.26</v>
      </c>
      <c r="AK243" s="929"/>
      <c r="AX243" s="972"/>
      <c r="AY243" s="972"/>
      <c r="BB243" s="934"/>
      <c r="BD243" s="972"/>
      <c r="BE243" s="972"/>
      <c r="BH243" s="934"/>
      <c r="BJ243" s="972"/>
      <c r="BK243" s="972"/>
      <c r="BN243" s="934"/>
      <c r="BP243" s="972"/>
      <c r="BQ243" s="972"/>
      <c r="BT243" s="934"/>
      <c r="BV243" s="972"/>
      <c r="BW243" s="972"/>
      <c r="BZ243" s="934"/>
    </row>
    <row r="244" spans="2:78">
      <c r="B244" s="989">
        <v>1E-3</v>
      </c>
      <c r="C244" s="926">
        <v>1E-3</v>
      </c>
      <c r="D244" s="926">
        <v>1E-3</v>
      </c>
      <c r="E244" s="926">
        <v>1E-3</v>
      </c>
      <c r="F244" s="926">
        <v>1E-3</v>
      </c>
      <c r="G244" s="926">
        <v>1E-3</v>
      </c>
      <c r="H244" s="926">
        <v>1E-3</v>
      </c>
      <c r="I244" s="926">
        <v>1E-3</v>
      </c>
      <c r="J244" s="926">
        <v>1E-3</v>
      </c>
      <c r="K244" s="926">
        <v>1E-3</v>
      </c>
      <c r="L244" s="926">
        <v>1E-3</v>
      </c>
      <c r="M244" s="926">
        <v>1E-3</v>
      </c>
      <c r="N244" s="926">
        <v>1E-3</v>
      </c>
      <c r="O244" s="926">
        <v>5</v>
      </c>
      <c r="P244" s="926">
        <v>-0.7</v>
      </c>
      <c r="Q244" s="926">
        <v>0.03</v>
      </c>
      <c r="R244" s="926">
        <v>-0.79</v>
      </c>
      <c r="S244" s="929"/>
      <c r="T244" s="989">
        <v>1E-3</v>
      </c>
      <c r="U244" s="926">
        <v>1E-3</v>
      </c>
      <c r="V244" s="926">
        <v>1E-3</v>
      </c>
      <c r="W244" s="926">
        <v>1E-3</v>
      </c>
      <c r="X244" s="926">
        <v>1E-3</v>
      </c>
      <c r="Y244" s="926">
        <v>1E-3</v>
      </c>
      <c r="Z244" s="926">
        <v>1E-3</v>
      </c>
      <c r="AA244" s="926">
        <v>1E-3</v>
      </c>
      <c r="AB244" s="926">
        <v>1E-3</v>
      </c>
      <c r="AC244" s="926">
        <v>1E-3</v>
      </c>
      <c r="AD244" s="926">
        <v>1E-3</v>
      </c>
      <c r="AE244" s="926">
        <v>1E-3</v>
      </c>
      <c r="AF244" s="926">
        <v>1E-3</v>
      </c>
      <c r="AG244" s="991">
        <v>19</v>
      </c>
      <c r="AH244" s="926">
        <v>-0.7</v>
      </c>
      <c r="AI244" s="926">
        <v>0.03</v>
      </c>
      <c r="AJ244" s="926">
        <v>-0.79</v>
      </c>
      <c r="AK244" s="929"/>
      <c r="AX244" s="972"/>
      <c r="AY244" s="972"/>
      <c r="BB244" s="934"/>
      <c r="BD244" s="972"/>
      <c r="BE244" s="972"/>
      <c r="BH244" s="934"/>
      <c r="BJ244" s="972"/>
      <c r="BK244" s="972"/>
      <c r="BN244" s="934"/>
      <c r="BP244" s="972"/>
      <c r="BQ244" s="972"/>
      <c r="BT244" s="934"/>
      <c r="BV244" s="972"/>
      <c r="BW244" s="972"/>
      <c r="BZ244" s="934"/>
    </row>
    <row r="245" spans="2:78">
      <c r="B245" s="989">
        <v>2</v>
      </c>
      <c r="C245" s="926">
        <v>1E-3</v>
      </c>
      <c r="D245" s="926">
        <v>1E-3</v>
      </c>
      <c r="E245" s="926">
        <v>1E-3</v>
      </c>
      <c r="F245" s="926">
        <v>1E-3</v>
      </c>
      <c r="G245" s="926">
        <v>1E-3</v>
      </c>
      <c r="H245" s="926">
        <v>1E-3</v>
      </c>
      <c r="I245" s="926">
        <v>1E-3</v>
      </c>
      <c r="J245" s="926">
        <v>1E-3</v>
      </c>
      <c r="K245" s="926">
        <v>1E-3</v>
      </c>
      <c r="L245" s="926">
        <v>1E-3</v>
      </c>
      <c r="M245" s="926">
        <v>1E-3</v>
      </c>
      <c r="N245" s="926">
        <v>1E-3</v>
      </c>
      <c r="O245" s="926">
        <v>6</v>
      </c>
      <c r="P245" s="926">
        <v>-0.7</v>
      </c>
      <c r="Q245" s="926">
        <v>0.04</v>
      </c>
      <c r="R245" s="926">
        <v>-2.7</v>
      </c>
      <c r="S245" s="929"/>
      <c r="T245" s="989">
        <v>2</v>
      </c>
      <c r="U245" s="926">
        <v>1E-3</v>
      </c>
      <c r="V245" s="926">
        <v>1E-3</v>
      </c>
      <c r="W245" s="926">
        <v>1E-3</v>
      </c>
      <c r="X245" s="926">
        <v>1E-3</v>
      </c>
      <c r="Y245" s="926">
        <v>1E-3</v>
      </c>
      <c r="Z245" s="926">
        <v>1E-3</v>
      </c>
      <c r="AA245" s="926">
        <v>1E-3</v>
      </c>
      <c r="AB245" s="926">
        <v>1E-3</v>
      </c>
      <c r="AC245" s="926">
        <v>1E-3</v>
      </c>
      <c r="AD245" s="926">
        <v>1E-3</v>
      </c>
      <c r="AE245" s="926">
        <v>1E-3</v>
      </c>
      <c r="AF245" s="926">
        <v>1E-3</v>
      </c>
      <c r="AG245" s="991">
        <v>20</v>
      </c>
      <c r="AH245" s="926">
        <v>-0.7</v>
      </c>
      <c r="AI245" s="926">
        <v>0.04</v>
      </c>
      <c r="AJ245" s="926">
        <v>-2.7</v>
      </c>
      <c r="AK245" s="929"/>
      <c r="AX245" s="972"/>
      <c r="AY245" s="972"/>
      <c r="BB245" s="934"/>
      <c r="BD245" s="972"/>
      <c r="BE245" s="972"/>
      <c r="BH245" s="934"/>
      <c r="BJ245" s="972"/>
      <c r="BK245" s="972"/>
      <c r="BN245" s="934"/>
      <c r="BP245" s="972"/>
      <c r="BQ245" s="972"/>
      <c r="BT245" s="934"/>
      <c r="BV245" s="972"/>
      <c r="BW245" s="972"/>
      <c r="BZ245" s="934"/>
    </row>
    <row r="246" spans="2:78">
      <c r="B246" s="989">
        <v>8</v>
      </c>
      <c r="C246" s="926">
        <v>1E-3</v>
      </c>
      <c r="D246" s="926">
        <v>1E-3</v>
      </c>
      <c r="E246" s="926">
        <v>1E-3</v>
      </c>
      <c r="F246" s="926">
        <v>1E-3</v>
      </c>
      <c r="G246" s="926">
        <v>1E-3</v>
      </c>
      <c r="H246" s="926">
        <v>1E-3</v>
      </c>
      <c r="I246" s="926">
        <v>1E-3</v>
      </c>
      <c r="J246" s="926">
        <v>1E-3</v>
      </c>
      <c r="K246" s="926">
        <v>1E-3</v>
      </c>
      <c r="L246" s="926">
        <v>1E-3</v>
      </c>
      <c r="M246" s="926">
        <v>1E-3</v>
      </c>
      <c r="N246" s="926">
        <v>1E-3</v>
      </c>
      <c r="O246" s="926">
        <v>7</v>
      </c>
      <c r="P246" s="926">
        <v>-0.7</v>
      </c>
      <c r="Q246" s="926">
        <v>0.08</v>
      </c>
      <c r="R246" s="926">
        <v>-0.46</v>
      </c>
      <c r="S246" s="929"/>
      <c r="T246" s="989">
        <v>8</v>
      </c>
      <c r="U246" s="926">
        <v>1E-3</v>
      </c>
      <c r="V246" s="926">
        <v>1E-3</v>
      </c>
      <c r="W246" s="926">
        <v>1E-3</v>
      </c>
      <c r="X246" s="926">
        <v>1E-3</v>
      </c>
      <c r="Y246" s="926">
        <v>1E-3</v>
      </c>
      <c r="Z246" s="926">
        <v>1E-3</v>
      </c>
      <c r="AA246" s="926">
        <v>1E-3</v>
      </c>
      <c r="AB246" s="926">
        <v>1E-3</v>
      </c>
      <c r="AC246" s="926">
        <v>1E-3</v>
      </c>
      <c r="AD246" s="926">
        <v>1E-3</v>
      </c>
      <c r="AE246" s="926">
        <v>1E-3</v>
      </c>
      <c r="AF246" s="926">
        <v>1E-3</v>
      </c>
      <c r="AG246" s="991">
        <v>21</v>
      </c>
      <c r="AH246" s="926">
        <v>-0.7</v>
      </c>
      <c r="AI246" s="926">
        <v>0.08</v>
      </c>
      <c r="AJ246" s="926">
        <v>-0.46</v>
      </c>
      <c r="AK246" s="929"/>
      <c r="AX246" s="972"/>
      <c r="AY246" s="972"/>
      <c r="BB246" s="934"/>
      <c r="BD246" s="972"/>
      <c r="BE246" s="972"/>
      <c r="BH246" s="934"/>
      <c r="BJ246" s="972"/>
      <c r="BK246" s="972"/>
      <c r="BN246" s="934"/>
      <c r="BP246" s="972"/>
      <c r="BQ246" s="972"/>
      <c r="BT246" s="934"/>
      <c r="BV246" s="972"/>
      <c r="BW246" s="972"/>
      <c r="BZ246" s="934"/>
    </row>
    <row r="247" spans="2:78">
      <c r="B247" s="989">
        <v>37</v>
      </c>
      <c r="C247" s="926">
        <v>1E-3</v>
      </c>
      <c r="D247" s="926">
        <v>1E-3</v>
      </c>
      <c r="E247" s="926">
        <v>1E-3</v>
      </c>
      <c r="F247" s="926">
        <v>1E-3</v>
      </c>
      <c r="G247" s="926">
        <v>1E-3</v>
      </c>
      <c r="H247" s="926">
        <v>1E-3</v>
      </c>
      <c r="I247" s="926">
        <v>1E-3</v>
      </c>
      <c r="J247" s="926">
        <v>1E-3</v>
      </c>
      <c r="K247" s="926">
        <v>1E-3</v>
      </c>
      <c r="L247" s="926">
        <v>1E-3</v>
      </c>
      <c r="M247" s="926">
        <v>1E-3</v>
      </c>
      <c r="N247" s="926">
        <v>1E-3</v>
      </c>
      <c r="O247" s="926">
        <v>8</v>
      </c>
      <c r="P247" s="926">
        <v>-0.6</v>
      </c>
      <c r="Q247" s="926">
        <v>0.23</v>
      </c>
      <c r="R247" s="926">
        <v>0.42</v>
      </c>
      <c r="S247" s="929"/>
      <c r="T247" s="989">
        <v>37</v>
      </c>
      <c r="U247" s="926">
        <v>1E-3</v>
      </c>
      <c r="V247" s="926">
        <v>1E-3</v>
      </c>
      <c r="W247" s="926">
        <v>1E-3</v>
      </c>
      <c r="X247" s="926">
        <v>1E-3</v>
      </c>
      <c r="Y247" s="926">
        <v>1E-3</v>
      </c>
      <c r="Z247" s="926">
        <v>1E-3</v>
      </c>
      <c r="AA247" s="926">
        <v>1E-3</v>
      </c>
      <c r="AB247" s="926">
        <v>1E-3</v>
      </c>
      <c r="AC247" s="926">
        <v>1E-3</v>
      </c>
      <c r="AD247" s="926">
        <v>1E-3</v>
      </c>
      <c r="AE247" s="926">
        <v>1E-3</v>
      </c>
      <c r="AF247" s="926">
        <v>1E-3</v>
      </c>
      <c r="AG247" s="991">
        <v>22</v>
      </c>
      <c r="AH247" s="926">
        <v>-0.6</v>
      </c>
      <c r="AI247" s="926">
        <v>0.23</v>
      </c>
      <c r="AJ247" s="926">
        <v>0.42</v>
      </c>
      <c r="AK247" s="929"/>
      <c r="AX247" s="972"/>
      <c r="AY247" s="972"/>
      <c r="BB247" s="934"/>
      <c r="BD247" s="972"/>
      <c r="BE247" s="972"/>
      <c r="BH247" s="934"/>
      <c r="BJ247" s="972"/>
      <c r="BK247" s="972"/>
      <c r="BN247" s="934"/>
      <c r="BP247" s="972"/>
      <c r="BQ247" s="972"/>
      <c r="BT247" s="934"/>
      <c r="BV247" s="972"/>
      <c r="BW247" s="972"/>
      <c r="BZ247" s="934"/>
    </row>
    <row r="248" spans="2:78">
      <c r="B248" s="989">
        <v>44</v>
      </c>
      <c r="C248" s="926">
        <v>1E-3</v>
      </c>
      <c r="D248" s="926">
        <v>1E-3</v>
      </c>
      <c r="E248" s="926">
        <v>1E-3</v>
      </c>
      <c r="F248" s="926">
        <v>1E-3</v>
      </c>
      <c r="G248" s="926">
        <v>1E-3</v>
      </c>
      <c r="H248" s="926">
        <v>1E-3</v>
      </c>
      <c r="I248" s="926">
        <v>1E-3</v>
      </c>
      <c r="J248" s="926">
        <v>1E-3</v>
      </c>
      <c r="K248" s="926">
        <v>1E-3</v>
      </c>
      <c r="L248" s="926">
        <v>1E-3</v>
      </c>
      <c r="M248" s="926">
        <v>1E-3</v>
      </c>
      <c r="N248" s="926">
        <v>1E-3</v>
      </c>
      <c r="O248" s="926">
        <v>9</v>
      </c>
      <c r="P248" s="926">
        <v>-0.7</v>
      </c>
      <c r="Q248" s="926">
        <v>0.25</v>
      </c>
      <c r="R248" s="926">
        <v>0.56999999999999995</v>
      </c>
      <c r="S248" s="929"/>
      <c r="T248" s="989">
        <v>44</v>
      </c>
      <c r="U248" s="926">
        <v>1E-3</v>
      </c>
      <c r="V248" s="926">
        <v>1E-3</v>
      </c>
      <c r="W248" s="926">
        <v>1E-3</v>
      </c>
      <c r="X248" s="926">
        <v>1E-3</v>
      </c>
      <c r="Y248" s="926">
        <v>1E-3</v>
      </c>
      <c r="Z248" s="926">
        <v>1E-3</v>
      </c>
      <c r="AA248" s="926">
        <v>1E-3</v>
      </c>
      <c r="AB248" s="926">
        <v>1E-3</v>
      </c>
      <c r="AC248" s="926">
        <v>1E-3</v>
      </c>
      <c r="AD248" s="926">
        <v>1E-3</v>
      </c>
      <c r="AE248" s="926">
        <v>1E-3</v>
      </c>
      <c r="AF248" s="926">
        <v>1E-3</v>
      </c>
      <c r="AG248" s="991">
        <v>23</v>
      </c>
      <c r="AH248" s="926">
        <v>-0.7</v>
      </c>
      <c r="AI248" s="926">
        <v>0.25</v>
      </c>
      <c r="AJ248" s="926">
        <v>0.56999999999999995</v>
      </c>
      <c r="AK248" s="929"/>
      <c r="AX248" s="972"/>
      <c r="AY248" s="972"/>
      <c r="BB248" s="934"/>
      <c r="BD248" s="972"/>
      <c r="BE248" s="972"/>
      <c r="BH248" s="934"/>
      <c r="BJ248" s="972"/>
      <c r="BK248" s="972"/>
      <c r="BN248" s="934"/>
      <c r="BP248" s="972"/>
      <c r="BQ248" s="972"/>
      <c r="BT248" s="934"/>
      <c r="BV248" s="972"/>
      <c r="BW248" s="972"/>
      <c r="BZ248" s="934"/>
    </row>
    <row r="249" spans="2:78">
      <c r="B249" s="989">
        <v>50</v>
      </c>
      <c r="C249" s="926">
        <v>1E-3</v>
      </c>
      <c r="D249" s="926">
        <v>1E-3</v>
      </c>
      <c r="E249" s="926">
        <v>1E-3</v>
      </c>
      <c r="F249" s="926">
        <v>1E-3</v>
      </c>
      <c r="G249" s="926">
        <v>1E-3</v>
      </c>
      <c r="H249" s="926">
        <v>1E-3</v>
      </c>
      <c r="I249" s="926">
        <v>1E-3</v>
      </c>
      <c r="J249" s="926">
        <v>1E-3</v>
      </c>
      <c r="K249" s="926">
        <v>1E-3</v>
      </c>
      <c r="L249" s="926">
        <v>1E-3</v>
      </c>
      <c r="M249" s="926">
        <v>1E-3</v>
      </c>
      <c r="N249" s="926">
        <v>1E-3</v>
      </c>
      <c r="O249" s="926">
        <v>10</v>
      </c>
      <c r="P249" s="926">
        <v>-0.7</v>
      </c>
      <c r="Q249" s="926">
        <v>0.27</v>
      </c>
      <c r="R249" s="926">
        <v>0.67</v>
      </c>
      <c r="S249" s="929"/>
      <c r="T249" s="989">
        <v>50</v>
      </c>
      <c r="U249" s="926">
        <v>1E-3</v>
      </c>
      <c r="V249" s="926">
        <v>1E-3</v>
      </c>
      <c r="W249" s="926">
        <v>1E-3</v>
      </c>
      <c r="X249" s="926">
        <v>1E-3</v>
      </c>
      <c r="Y249" s="926">
        <v>1E-3</v>
      </c>
      <c r="Z249" s="926">
        <v>1E-3</v>
      </c>
      <c r="AA249" s="926">
        <v>1E-3</v>
      </c>
      <c r="AB249" s="926">
        <v>1E-3</v>
      </c>
      <c r="AC249" s="926">
        <v>1E-3</v>
      </c>
      <c r="AD249" s="926">
        <v>1E-3</v>
      </c>
      <c r="AE249" s="926">
        <v>1E-3</v>
      </c>
      <c r="AF249" s="926">
        <v>1E-3</v>
      </c>
      <c r="AG249" s="991">
        <v>24</v>
      </c>
      <c r="AH249" s="926">
        <v>-0.7</v>
      </c>
      <c r="AI249" s="926">
        <v>0.27</v>
      </c>
      <c r="AJ249" s="926">
        <v>0.67</v>
      </c>
      <c r="AK249" s="929"/>
      <c r="AX249" s="972"/>
      <c r="AY249" s="972"/>
      <c r="BB249" s="934"/>
      <c r="BD249" s="972"/>
      <c r="BE249" s="972"/>
      <c r="BH249" s="934"/>
      <c r="BJ249" s="972"/>
      <c r="BK249" s="972"/>
      <c r="BN249" s="934"/>
      <c r="BP249" s="972"/>
      <c r="BQ249" s="972"/>
      <c r="BT249" s="934"/>
      <c r="BV249" s="972"/>
      <c r="BW249" s="972"/>
      <c r="BZ249" s="934"/>
    </row>
    <row r="250" spans="2:78">
      <c r="B250" s="989">
        <v>100</v>
      </c>
      <c r="C250" s="926">
        <v>1E-3</v>
      </c>
      <c r="D250" s="926">
        <v>1E-3</v>
      </c>
      <c r="E250" s="926">
        <v>1E-3</v>
      </c>
      <c r="F250" s="926">
        <v>1E-3</v>
      </c>
      <c r="G250" s="926">
        <v>1E-3</v>
      </c>
      <c r="H250" s="926">
        <v>1E-3</v>
      </c>
      <c r="I250" s="926">
        <v>1E-3</v>
      </c>
      <c r="J250" s="926">
        <v>1E-3</v>
      </c>
      <c r="K250" s="926">
        <v>1E-3</v>
      </c>
      <c r="L250" s="926">
        <v>1E-3</v>
      </c>
      <c r="M250" s="926">
        <v>1E-3</v>
      </c>
      <c r="N250" s="926">
        <v>1E-3</v>
      </c>
      <c r="O250" s="926">
        <v>11</v>
      </c>
      <c r="P250" s="926">
        <v>-0.7</v>
      </c>
      <c r="Q250" s="926">
        <v>0.31</v>
      </c>
      <c r="R250" s="926">
        <v>0.95</v>
      </c>
      <c r="S250" s="929"/>
      <c r="T250" s="989">
        <v>100</v>
      </c>
      <c r="U250" s="926">
        <v>1E-3</v>
      </c>
      <c r="V250" s="926">
        <v>1E-3</v>
      </c>
      <c r="W250" s="926">
        <v>1E-3</v>
      </c>
      <c r="X250" s="926">
        <v>1E-3</v>
      </c>
      <c r="Y250" s="926">
        <v>1E-3</v>
      </c>
      <c r="Z250" s="926">
        <v>1E-3</v>
      </c>
      <c r="AA250" s="926">
        <v>1E-3</v>
      </c>
      <c r="AB250" s="926">
        <v>1E-3</v>
      </c>
      <c r="AC250" s="926">
        <v>1E-3</v>
      </c>
      <c r="AD250" s="926">
        <v>1E-3</v>
      </c>
      <c r="AE250" s="926">
        <v>1E-3</v>
      </c>
      <c r="AF250" s="926">
        <v>1E-3</v>
      </c>
      <c r="AG250" s="991">
        <v>25</v>
      </c>
      <c r="AH250" s="926">
        <v>-0.7</v>
      </c>
      <c r="AI250" s="926">
        <v>0.31</v>
      </c>
      <c r="AJ250" s="926">
        <v>0.95</v>
      </c>
      <c r="AK250" s="929"/>
      <c r="AX250" s="972"/>
      <c r="AY250" s="972"/>
      <c r="BB250" s="934"/>
      <c r="BD250" s="972"/>
      <c r="BE250" s="972"/>
      <c r="BH250" s="934"/>
      <c r="BJ250" s="972"/>
      <c r="BK250" s="972"/>
      <c r="BN250" s="934"/>
      <c r="BP250" s="972"/>
      <c r="BQ250" s="972"/>
      <c r="BT250" s="934"/>
      <c r="BV250" s="972"/>
      <c r="BW250" s="972"/>
      <c r="BZ250" s="934"/>
    </row>
    <row r="251" spans="2:78">
      <c r="B251" s="989">
        <v>150</v>
      </c>
      <c r="C251" s="926">
        <v>1E-3</v>
      </c>
      <c r="D251" s="926">
        <v>1E-3</v>
      </c>
      <c r="E251" s="926">
        <v>1E-3</v>
      </c>
      <c r="F251" s="926">
        <v>1E-3</v>
      </c>
      <c r="G251" s="926">
        <v>1E-3</v>
      </c>
      <c r="H251" s="926">
        <v>1E-3</v>
      </c>
      <c r="I251" s="926">
        <v>1E-3</v>
      </c>
      <c r="J251" s="926">
        <v>1E-3</v>
      </c>
      <c r="K251" s="926">
        <v>1E-3</v>
      </c>
      <c r="L251" s="926">
        <v>1E-3</v>
      </c>
      <c r="M251" s="926">
        <v>1E-3</v>
      </c>
      <c r="N251" s="926">
        <v>1E-3</v>
      </c>
      <c r="O251" s="926">
        <v>12</v>
      </c>
      <c r="P251" s="926">
        <v>-0.7</v>
      </c>
      <c r="Q251" s="926">
        <v>0.3</v>
      </c>
      <c r="R251" s="926">
        <v>0.49</v>
      </c>
      <c r="S251" s="929"/>
      <c r="T251" s="989">
        <v>150</v>
      </c>
      <c r="U251" s="926">
        <v>1E-3</v>
      </c>
      <c r="V251" s="926">
        <v>1E-3</v>
      </c>
      <c r="W251" s="926">
        <v>1E-3</v>
      </c>
      <c r="X251" s="926">
        <v>1E-3</v>
      </c>
      <c r="Y251" s="926">
        <v>1E-3</v>
      </c>
      <c r="Z251" s="926">
        <v>1E-3</v>
      </c>
      <c r="AA251" s="926">
        <v>1E-3</v>
      </c>
      <c r="AB251" s="926">
        <v>1E-3</v>
      </c>
      <c r="AC251" s="926">
        <v>1E-3</v>
      </c>
      <c r="AD251" s="926">
        <v>1E-3</v>
      </c>
      <c r="AE251" s="926">
        <v>1E-3</v>
      </c>
      <c r="AF251" s="926">
        <v>1E-3</v>
      </c>
      <c r="AG251" s="991">
        <v>26</v>
      </c>
      <c r="AH251" s="926">
        <v>-0.7</v>
      </c>
      <c r="AI251" s="926">
        <v>0.3</v>
      </c>
      <c r="AJ251" s="926">
        <v>0.49</v>
      </c>
      <c r="AK251" s="929"/>
      <c r="AX251" s="972"/>
      <c r="AY251" s="972"/>
      <c r="BB251" s="934"/>
      <c r="BD251" s="972"/>
      <c r="BE251" s="972"/>
      <c r="BH251" s="934"/>
      <c r="BJ251" s="972"/>
      <c r="BK251" s="972"/>
      <c r="BN251" s="934"/>
      <c r="BP251" s="972"/>
      <c r="BQ251" s="972"/>
      <c r="BT251" s="934"/>
      <c r="BV251" s="972"/>
      <c r="BW251" s="972"/>
      <c r="BZ251" s="934"/>
    </row>
    <row r="252" spans="2:78">
      <c r="B252" s="989">
        <v>200</v>
      </c>
      <c r="C252" s="926">
        <v>1E-3</v>
      </c>
      <c r="D252" s="926">
        <v>1E-3</v>
      </c>
      <c r="E252" s="926">
        <v>1E-3</v>
      </c>
      <c r="F252" s="926">
        <v>1E-3</v>
      </c>
      <c r="G252" s="926">
        <v>1E-3</v>
      </c>
      <c r="H252" s="926">
        <v>1E-3</v>
      </c>
      <c r="I252" s="926">
        <v>1E-3</v>
      </c>
      <c r="J252" s="926">
        <v>1E-3</v>
      </c>
      <c r="K252" s="926">
        <v>1E-3</v>
      </c>
      <c r="L252" s="926">
        <v>1E-3</v>
      </c>
      <c r="M252" s="926">
        <v>1E-3</v>
      </c>
      <c r="N252" s="926">
        <v>1E-3</v>
      </c>
      <c r="O252" s="926">
        <v>13</v>
      </c>
      <c r="P252" s="926">
        <v>-0.6</v>
      </c>
      <c r="Q252" s="926">
        <v>0.34</v>
      </c>
      <c r="R252" s="926">
        <v>-0.26</v>
      </c>
      <c r="S252" s="929"/>
      <c r="T252" s="989">
        <v>200</v>
      </c>
      <c r="U252" s="926">
        <v>1E-3</v>
      </c>
      <c r="V252" s="926">
        <v>1E-3</v>
      </c>
      <c r="W252" s="926">
        <v>1E-3</v>
      </c>
      <c r="X252" s="926">
        <v>1E-3</v>
      </c>
      <c r="Y252" s="926">
        <v>1E-3</v>
      </c>
      <c r="Z252" s="926">
        <v>1E-3</v>
      </c>
      <c r="AA252" s="926">
        <v>1E-3</v>
      </c>
      <c r="AB252" s="926">
        <v>1E-3</v>
      </c>
      <c r="AC252" s="926">
        <v>1E-3</v>
      </c>
      <c r="AD252" s="926">
        <v>1E-3</v>
      </c>
      <c r="AE252" s="926">
        <v>1E-3</v>
      </c>
      <c r="AF252" s="926">
        <v>1E-3</v>
      </c>
      <c r="AG252" s="991">
        <v>27</v>
      </c>
      <c r="AH252" s="926">
        <v>-0.6</v>
      </c>
      <c r="AI252" s="926">
        <v>0.34</v>
      </c>
      <c r="AJ252" s="926">
        <v>-0.26</v>
      </c>
      <c r="AK252" s="929"/>
      <c r="AX252" s="972"/>
      <c r="AY252" s="972"/>
      <c r="BB252" s="934"/>
      <c r="BD252" s="972"/>
      <c r="BE252" s="972"/>
      <c r="BH252" s="934"/>
      <c r="BJ252" s="972"/>
      <c r="BK252" s="972"/>
      <c r="BN252" s="934"/>
      <c r="BP252" s="972"/>
      <c r="BQ252" s="972"/>
      <c r="BT252" s="934"/>
      <c r="BV252" s="972"/>
      <c r="BW252" s="972"/>
      <c r="BZ252" s="934"/>
    </row>
    <row r="253" spans="2:78">
      <c r="B253" s="989" t="s">
        <v>237</v>
      </c>
      <c r="C253" s="921">
        <v>1E-3</v>
      </c>
      <c r="D253" s="921">
        <v>1E-3</v>
      </c>
      <c r="E253" s="921">
        <v>1E-3</v>
      </c>
      <c r="F253" s="921">
        <v>1E-3</v>
      </c>
      <c r="G253" s="921">
        <v>1E-3</v>
      </c>
      <c r="H253" s="921">
        <v>1E-3</v>
      </c>
      <c r="I253" s="921">
        <v>1E-3</v>
      </c>
      <c r="J253" s="921">
        <v>1E-3</v>
      </c>
      <c r="K253" s="921">
        <v>1E-3</v>
      </c>
      <c r="L253" s="921">
        <v>1E-3</v>
      </c>
      <c r="M253" s="921">
        <v>1E-3</v>
      </c>
      <c r="N253" s="921">
        <v>1E-3</v>
      </c>
      <c r="O253" s="921">
        <v>1E-3</v>
      </c>
      <c r="P253" s="995">
        <v>0.4</v>
      </c>
      <c r="Q253" s="995">
        <v>0.22</v>
      </c>
      <c r="R253" s="995">
        <v>0.77</v>
      </c>
      <c r="S253" s="929"/>
      <c r="T253" s="989" t="s">
        <v>237</v>
      </c>
      <c r="U253" s="921">
        <v>1E-3</v>
      </c>
      <c r="V253" s="921">
        <v>1E-3</v>
      </c>
      <c r="W253" s="921">
        <v>1E-3</v>
      </c>
      <c r="X253" s="921">
        <v>1E-3</v>
      </c>
      <c r="Y253" s="921">
        <v>1E-3</v>
      </c>
      <c r="Z253" s="921">
        <v>1E-3</v>
      </c>
      <c r="AA253" s="921">
        <v>1E-3</v>
      </c>
      <c r="AB253" s="921">
        <v>1E-3</v>
      </c>
      <c r="AC253" s="921">
        <v>1E-3</v>
      </c>
      <c r="AD253" s="921">
        <v>1E-3</v>
      </c>
      <c r="AE253" s="921">
        <v>1E-3</v>
      </c>
      <c r="AF253" s="921">
        <v>1E-3</v>
      </c>
      <c r="AG253" s="989">
        <v>28</v>
      </c>
      <c r="AH253" s="995">
        <v>0.4</v>
      </c>
      <c r="AI253" s="995">
        <v>0.22</v>
      </c>
      <c r="AJ253" s="995">
        <v>0.77</v>
      </c>
      <c r="AK253" s="929"/>
      <c r="AX253" s="996"/>
      <c r="AY253" s="996"/>
      <c r="BB253" s="934"/>
      <c r="BD253" s="996"/>
      <c r="BE253" s="996"/>
      <c r="BH253" s="934"/>
      <c r="BJ253" s="996"/>
      <c r="BK253" s="996"/>
      <c r="BN253" s="934"/>
      <c r="BP253" s="996"/>
      <c r="BQ253" s="996"/>
      <c r="BT253" s="934"/>
      <c r="BV253" s="996"/>
      <c r="BW253" s="996"/>
      <c r="BZ253" s="934"/>
    </row>
    <row r="254" spans="2:78" s="929" customFormat="1">
      <c r="B254" s="947"/>
      <c r="C254" s="947"/>
      <c r="D254" s="947"/>
      <c r="E254" s="930"/>
      <c r="F254" s="930"/>
      <c r="G254" s="930"/>
      <c r="H254" s="930"/>
      <c r="I254" s="930"/>
      <c r="J254" s="930"/>
      <c r="K254" s="930"/>
      <c r="L254" s="930"/>
      <c r="M254" s="930"/>
      <c r="N254" s="930"/>
      <c r="O254" s="930"/>
      <c r="R254" s="947"/>
      <c r="S254" s="947"/>
      <c r="T254" s="947"/>
      <c r="U254" s="930"/>
      <c r="V254" s="947"/>
      <c r="W254" s="947"/>
      <c r="X254" s="947"/>
      <c r="Y254" s="947"/>
      <c r="Z254" s="947"/>
      <c r="AA254" s="947"/>
      <c r="AB254" s="947"/>
      <c r="AD254" s="930"/>
      <c r="AE254" s="947"/>
      <c r="AF254" s="947"/>
      <c r="AG254" s="947"/>
      <c r="AH254" s="930"/>
      <c r="AJ254" s="931"/>
      <c r="AK254" s="947"/>
      <c r="AL254" s="947"/>
      <c r="AM254" s="947"/>
      <c r="AN254" s="930"/>
      <c r="AR254" s="947"/>
      <c r="AS254" s="947"/>
      <c r="AT254" s="930"/>
      <c r="AX254" s="947"/>
      <c r="AY254" s="947"/>
      <c r="AZ254" s="930"/>
      <c r="BD254" s="947"/>
      <c r="BE254" s="947"/>
      <c r="BF254" s="930"/>
      <c r="BJ254" s="947"/>
      <c r="BK254" s="947"/>
      <c r="BL254" s="930"/>
      <c r="BP254" s="947"/>
      <c r="BQ254" s="947"/>
      <c r="BR254" s="930"/>
      <c r="BV254" s="947"/>
      <c r="BW254" s="947"/>
      <c r="BX254" s="930"/>
    </row>
    <row r="255" spans="2:78" s="929" customFormat="1">
      <c r="B255" s="947"/>
      <c r="C255" s="947"/>
      <c r="D255" s="947"/>
      <c r="E255" s="930"/>
      <c r="F255" s="930"/>
      <c r="G255" s="930"/>
      <c r="H255" s="930"/>
      <c r="I255" s="930"/>
      <c r="J255" s="930"/>
      <c r="K255" s="930"/>
      <c r="L255" s="930"/>
      <c r="M255" s="930"/>
      <c r="N255" s="930"/>
      <c r="O255" s="930"/>
      <c r="R255" s="947"/>
      <c r="S255" s="947"/>
      <c r="T255" s="947"/>
      <c r="U255" s="930"/>
      <c r="V255" s="947"/>
      <c r="W255" s="947"/>
      <c r="X255" s="947"/>
      <c r="Y255" s="947"/>
      <c r="Z255" s="947"/>
      <c r="AA255" s="947"/>
      <c r="AB255" s="947"/>
      <c r="AD255" s="930"/>
      <c r="AE255" s="947"/>
      <c r="AF255" s="947"/>
      <c r="AG255" s="947"/>
      <c r="AH255" s="930"/>
      <c r="AJ255" s="931"/>
      <c r="AK255" s="947"/>
      <c r="AL255" s="947"/>
      <c r="AM255" s="947"/>
      <c r="AN255" s="930"/>
      <c r="AR255" s="947"/>
      <c r="AS255" s="947"/>
      <c r="AT255" s="930"/>
      <c r="AX255" s="947"/>
      <c r="AY255" s="947"/>
      <c r="AZ255" s="930"/>
      <c r="BD255" s="947"/>
      <c r="BE255" s="947"/>
      <c r="BF255" s="930"/>
      <c r="BJ255" s="947"/>
      <c r="BK255" s="947"/>
      <c r="BL255" s="930"/>
      <c r="BP255" s="947"/>
      <c r="BQ255" s="947"/>
      <c r="BR255" s="930"/>
      <c r="BV255" s="947"/>
      <c r="BW255" s="947"/>
      <c r="BX255" s="930"/>
    </row>
    <row r="256" spans="2:78" s="929" customFormat="1" ht="20.100000000000001" customHeight="1">
      <c r="T256" s="930"/>
      <c r="U256" s="930"/>
      <c r="V256" s="930"/>
      <c r="W256" s="930"/>
      <c r="X256" s="930"/>
      <c r="Y256" s="930"/>
      <c r="Z256" s="930"/>
      <c r="AA256" s="930"/>
      <c r="AB256" s="930"/>
      <c r="AH256" s="930"/>
      <c r="AJ256" s="931"/>
      <c r="AN256" s="930"/>
      <c r="AT256" s="930"/>
      <c r="AZ256" s="930"/>
      <c r="BF256" s="930"/>
      <c r="BL256" s="930"/>
      <c r="BR256" s="930"/>
      <c r="BX256" s="930"/>
    </row>
    <row r="257" spans="2:78" ht="69.900000000000006" customHeight="1">
      <c r="B257" s="1319" t="s">
        <v>430</v>
      </c>
      <c r="C257" s="1319"/>
      <c r="D257" s="1319"/>
      <c r="E257" s="1319"/>
      <c r="F257" s="1319"/>
      <c r="G257" s="1319"/>
      <c r="H257" s="1319"/>
      <c r="I257" s="1319"/>
      <c r="J257" s="1319"/>
      <c r="K257" s="1319"/>
      <c r="L257" s="1319"/>
      <c r="M257" s="929"/>
      <c r="N257" s="929"/>
      <c r="O257" s="929"/>
      <c r="P257" s="929"/>
      <c r="Q257" s="929"/>
      <c r="R257" s="929"/>
      <c r="AP257" s="934"/>
      <c r="AV257" s="934"/>
      <c r="BB257" s="934"/>
      <c r="BH257" s="934"/>
      <c r="BN257" s="934"/>
      <c r="BT257" s="934"/>
      <c r="BZ257" s="934"/>
    </row>
    <row r="258" spans="2:78" ht="20.100000000000001" customHeight="1">
      <c r="B258" s="1320"/>
      <c r="C258" s="1320"/>
      <c r="D258" s="1320"/>
      <c r="E258" s="1320"/>
      <c r="F258" s="1320"/>
      <c r="G258" s="1320"/>
      <c r="H258" s="1320"/>
      <c r="I258" s="1320"/>
      <c r="J258" s="1320"/>
      <c r="K258" s="1320"/>
      <c r="L258" s="1320"/>
      <c r="M258" s="929"/>
      <c r="N258" s="929"/>
      <c r="O258" s="929"/>
      <c r="P258" s="929"/>
      <c r="Q258" s="929"/>
      <c r="R258" s="929"/>
      <c r="AP258" s="934"/>
      <c r="AV258" s="934"/>
      <c r="BB258" s="934"/>
      <c r="BH258" s="934"/>
      <c r="BN258" s="934"/>
      <c r="BT258" s="934"/>
      <c r="BZ258" s="934"/>
    </row>
    <row r="259" spans="2:78" ht="84" customHeight="1">
      <c r="B259" s="1024" t="str">
        <f>ID!A112</f>
        <v>Thermocouple Data Logger, Merek : MADGETECH, Model : OctTemp 2000, SN : P41878</v>
      </c>
      <c r="C259" s="1025" t="s">
        <v>214</v>
      </c>
      <c r="D259" s="1025" t="s">
        <v>216</v>
      </c>
      <c r="E259" s="1025" t="s">
        <v>217</v>
      </c>
      <c r="F259" s="1025" t="s">
        <v>218</v>
      </c>
      <c r="G259" s="1025" t="s">
        <v>219</v>
      </c>
      <c r="H259" s="1025" t="s">
        <v>220</v>
      </c>
      <c r="I259" s="1025" t="s">
        <v>221</v>
      </c>
      <c r="J259" s="1025" t="s">
        <v>230</v>
      </c>
      <c r="K259" s="1025" t="s">
        <v>425</v>
      </c>
      <c r="L259" s="1025" t="s">
        <v>426</v>
      </c>
      <c r="M259" s="930"/>
      <c r="N259" s="930"/>
      <c r="O259" s="930"/>
      <c r="P259" s="930"/>
      <c r="Q259" s="930"/>
      <c r="R259" s="930"/>
      <c r="AP259" s="934"/>
      <c r="AV259" s="934"/>
      <c r="BB259" s="934"/>
      <c r="BH259" s="934"/>
      <c r="BN259" s="934"/>
      <c r="BT259" s="934"/>
      <c r="BZ259" s="934"/>
    </row>
    <row r="260" spans="2:78" ht="13.8" hidden="1">
      <c r="B260" s="1026">
        <v>-25</v>
      </c>
      <c r="C260" s="922">
        <v>1E-3</v>
      </c>
      <c r="D260" s="922">
        <v>1E-3</v>
      </c>
      <c r="E260" s="922">
        <v>1E-3</v>
      </c>
      <c r="F260" s="922">
        <v>1E-3</v>
      </c>
      <c r="G260" s="922">
        <v>1E-3</v>
      </c>
      <c r="H260" s="922">
        <v>1E-3</v>
      </c>
      <c r="I260" s="922">
        <v>1E-3</v>
      </c>
      <c r="J260" s="922">
        <v>1E-3</v>
      </c>
      <c r="K260" s="922">
        <v>1E-3</v>
      </c>
      <c r="L260" s="922">
        <v>1E-3</v>
      </c>
      <c r="M260" s="944"/>
      <c r="N260" s="944"/>
      <c r="O260" s="944"/>
      <c r="P260" s="944"/>
      <c r="Q260" s="944"/>
      <c r="R260" s="944"/>
      <c r="AP260" s="934"/>
      <c r="AV260" s="934"/>
      <c r="BB260" s="934"/>
      <c r="BH260" s="934"/>
      <c r="BN260" s="934"/>
      <c r="BT260" s="934"/>
      <c r="BZ260" s="934"/>
    </row>
    <row r="261" spans="2:78" ht="15">
      <c r="B261" s="1026">
        <v>-20</v>
      </c>
      <c r="C261" s="922">
        <f>HLOOKUP($B$259,$B$156:$R$170,3,0)</f>
        <v>-0.69</v>
      </c>
      <c r="D261" s="922">
        <f>HLOOKUP($B$259,$T$156:$AJ$170,3,0)</f>
        <v>-0.69</v>
      </c>
      <c r="E261" s="922">
        <f>HLOOKUP($B$259,$B$173:$R$187,3,0)</f>
        <v>-0.77</v>
      </c>
      <c r="F261" s="922">
        <f>HLOOKUP($B$259,$T$173:$AJ$187,3,0)</f>
        <v>-0.63</v>
      </c>
      <c r="G261" s="922">
        <f>HLOOKUP($B$259,$B$190:$R$204,3,0)</f>
        <v>-0.6</v>
      </c>
      <c r="H261" s="922">
        <f>HLOOKUP($B$259,$T$190:$AJ$204,3,0)</f>
        <v>-0.77</v>
      </c>
      <c r="I261" s="922">
        <f>HLOOKUP($B$259,$B$207:$R$221,3,0)</f>
        <v>-0.75</v>
      </c>
      <c r="J261" s="922">
        <f>HLOOKUP($B$259,$T$207:$AJ$221,3,0)</f>
        <v>-0.74</v>
      </c>
      <c r="K261" s="922">
        <f>HLOOKUP($B$259,$B$223:$R$237,3,0)</f>
        <v>1E-3</v>
      </c>
      <c r="L261" s="922">
        <v>1E-3</v>
      </c>
      <c r="M261" s="944"/>
      <c r="N261" s="944"/>
      <c r="O261" s="944"/>
      <c r="P261" s="944"/>
      <c r="Q261" s="944"/>
      <c r="R261" s="944"/>
      <c r="V261" s="1027"/>
      <c r="W261" s="1027"/>
      <c r="X261" s="1027"/>
      <c r="Y261" s="1027"/>
      <c r="Z261" s="1027"/>
      <c r="AA261" s="1027"/>
      <c r="AB261" s="1027"/>
      <c r="AP261" s="934"/>
      <c r="AV261" s="934"/>
      <c r="BB261" s="934"/>
      <c r="BH261" s="934"/>
      <c r="BN261" s="934"/>
      <c r="BT261" s="934"/>
      <c r="BZ261" s="934"/>
    </row>
    <row r="262" spans="2:78" ht="15">
      <c r="B262" s="1026">
        <v>-15</v>
      </c>
      <c r="C262" s="922">
        <f>HLOOKUP($B$259,$B$156:$R$170,4,0)</f>
        <v>-0.56999999999999995</v>
      </c>
      <c r="D262" s="922">
        <f>HLOOKUP($B$259,$T$156:$AJ$170,4,0)</f>
        <v>-0.56000000000000005</v>
      </c>
      <c r="E262" s="922">
        <f>HLOOKUP($B$259,$B$173:$R$187,4,0)</f>
        <v>-0.63</v>
      </c>
      <c r="F262" s="922">
        <f>HLOOKUP($B$259,$T$173:$AJ$187,4,0)</f>
        <v>-0.51</v>
      </c>
      <c r="G262" s="922">
        <f>HLOOKUP($B$259,$B$190:$R$204,4,0)</f>
        <v>-0.49</v>
      </c>
      <c r="H262" s="922">
        <f>HLOOKUP($B$259,$T$190:$AJ$204,4,0)</f>
        <v>-0.63</v>
      </c>
      <c r="I262" s="922">
        <f>HLOOKUP($B$259,$B$207:$R$221,4,0)</f>
        <v>-0.62</v>
      </c>
      <c r="J262" s="922">
        <f>HLOOKUP($B$259,$T$207:$AJ$221,4,0)</f>
        <v>-0.61</v>
      </c>
      <c r="K262" s="922">
        <f>HLOOKUP($B$259,$B$223:$R$237,4,0)</f>
        <v>1E-3</v>
      </c>
      <c r="L262" s="922">
        <v>1E-3</v>
      </c>
      <c r="M262" s="1028"/>
      <c r="N262" s="944"/>
      <c r="O262" s="944"/>
      <c r="P262" s="944"/>
      <c r="Q262" s="944"/>
      <c r="R262" s="944"/>
      <c r="V262" s="1027"/>
      <c r="W262" s="1027"/>
      <c r="X262" s="1027"/>
      <c r="Y262" s="1027"/>
      <c r="Z262" s="1027"/>
      <c r="AA262" s="1027"/>
      <c r="AB262" s="1027"/>
      <c r="AP262" s="934"/>
      <c r="AV262" s="934"/>
      <c r="BB262" s="934"/>
      <c r="BH262" s="934"/>
      <c r="BN262" s="934"/>
      <c r="BT262" s="934"/>
      <c r="BZ262" s="934"/>
    </row>
    <row r="263" spans="2:78" ht="15">
      <c r="B263" s="1026">
        <v>-10</v>
      </c>
      <c r="C263" s="922">
        <f>HLOOKUP($B$259,$B$156:$R$170,5,0)</f>
        <v>1E-3</v>
      </c>
      <c r="D263" s="922">
        <f>HLOOKUP($B$259,$T$156:$AJ$170,5,0)</f>
        <v>-0.25</v>
      </c>
      <c r="E263" s="922">
        <f>HLOOKUP($B$259,$B$173:$R$187,5,0)</f>
        <v>1E-3</v>
      </c>
      <c r="F263" s="922">
        <f>HLOOKUP($B$259,$T$173:$AJ$187,5,0)</f>
        <v>1E-3</v>
      </c>
      <c r="G263" s="922">
        <f>HLOOKUP($B$259,$B$190:$R$204,5,0)</f>
        <v>1E-3</v>
      </c>
      <c r="H263" s="922">
        <f>HLOOKUP($B$259,$T$190:$AJ$204,5,0)</f>
        <v>1E-3</v>
      </c>
      <c r="I263" s="922">
        <f>HLOOKUP($B$259,$B$207:$R$221,5,0)</f>
        <v>1E-3</v>
      </c>
      <c r="J263" s="922">
        <f>HLOOKUP($B$259,$T$207:$AJ$221,5,0)</f>
        <v>1E-3</v>
      </c>
      <c r="K263" s="922">
        <f>HLOOKUP($B$259,$B$223:$R$237,5,0)</f>
        <v>1E-3</v>
      </c>
      <c r="L263" s="922">
        <v>1E-3</v>
      </c>
      <c r="M263" s="944"/>
      <c r="N263" s="944"/>
      <c r="O263" s="944"/>
      <c r="P263" s="944"/>
      <c r="Q263" s="944"/>
      <c r="R263" s="944"/>
      <c r="V263" s="1027"/>
      <c r="W263" s="1027"/>
      <c r="X263" s="1027"/>
      <c r="Y263" s="1027"/>
      <c r="Z263" s="1027"/>
      <c r="AA263" s="1027"/>
      <c r="AB263" s="1027"/>
      <c r="AP263" s="934"/>
      <c r="AV263" s="934"/>
      <c r="BB263" s="934"/>
      <c r="BH263" s="934"/>
      <c r="BN263" s="934"/>
      <c r="BT263" s="934"/>
      <c r="BZ263" s="934"/>
    </row>
    <row r="264" spans="2:78" ht="15">
      <c r="B264" s="1026">
        <v>1E-3</v>
      </c>
      <c r="C264" s="922">
        <f>HLOOKUP($B$259,$B$156:$R$170,6,0)</f>
        <v>-0.28000000000000003</v>
      </c>
      <c r="D264" s="922">
        <f>HLOOKUP($B$259,$T$156:$AJ$170,6,0)</f>
        <v>1E-3</v>
      </c>
      <c r="E264" s="922">
        <f>HLOOKUP($B$259,$B$173:$R$187,6,0)</f>
        <v>-0.28999999999999998</v>
      </c>
      <c r="F264" s="922">
        <f>HLOOKUP($B$259,$T$173:$AJ$187,6,0)</f>
        <v>-0.22</v>
      </c>
      <c r="G264" s="922">
        <f>HLOOKUP($B$259,$B$190:$R$204,6,0)</f>
        <v>-0.2</v>
      </c>
      <c r="H264" s="922">
        <f>HLOOKUP($B$259,$T$190:$AJ$204,6,0)</f>
        <v>-0.28000000000000003</v>
      </c>
      <c r="I264" s="922">
        <f>HLOOKUP($B$259,$B$207:$R$221,6,0)</f>
        <v>-0.28000000000000003</v>
      </c>
      <c r="J264" s="922">
        <f>HLOOKUP($B$259,$T$207:$AJ$221,6,0)</f>
        <v>-0.28999999999999998</v>
      </c>
      <c r="K264" s="922">
        <f>HLOOKUP($B$259,$B$223:$R$237,6,0)</f>
        <v>1E-3</v>
      </c>
      <c r="L264" s="922">
        <v>1E-3</v>
      </c>
      <c r="M264" s="944"/>
      <c r="N264" s="944"/>
      <c r="O264" s="944"/>
      <c r="P264" s="944"/>
      <c r="Q264" s="944"/>
      <c r="R264" s="944"/>
      <c r="V264" s="1029"/>
      <c r="W264" s="1029"/>
      <c r="X264" s="1029"/>
      <c r="Y264" s="1029"/>
      <c r="Z264" s="1029"/>
      <c r="AA264" s="1029"/>
      <c r="AB264" s="1029"/>
      <c r="AP264" s="934"/>
      <c r="AV264" s="934"/>
      <c r="BB264" s="934"/>
      <c r="BH264" s="934"/>
      <c r="BN264" s="934"/>
      <c r="BT264" s="934"/>
      <c r="BZ264" s="934"/>
    </row>
    <row r="265" spans="2:78" ht="15">
      <c r="B265" s="1026">
        <v>2</v>
      </c>
      <c r="C265" s="922">
        <f>HLOOKUP($B$259,$B$156:$R$170,7,0)</f>
        <v>-0.25</v>
      </c>
      <c r="D265" s="922">
        <f>HLOOKUP($B$259,$T$156:$AJ$170,7,0)</f>
        <v>-0.22</v>
      </c>
      <c r="E265" s="922">
        <f>HLOOKUP($B$259,$B$173:$R$187,7,0)</f>
        <v>-0.25</v>
      </c>
      <c r="F265" s="922">
        <f>HLOOKUP($B$259,$T$173:$AJ$187,7,0)</f>
        <v>-1.9E-3</v>
      </c>
      <c r="G265" s="922">
        <f>HLOOKUP($B$259,$B$190:$R$204,7,0)</f>
        <v>-1.6999999999999999E-3</v>
      </c>
      <c r="H265" s="922">
        <f>HLOOKUP($B$259,$T$190:$AJ$204,7,0)</f>
        <v>-0.25</v>
      </c>
      <c r="I265" s="922">
        <f>HLOOKUP($B$259,$B$207:$R$221,7,0)</f>
        <v>-0.24</v>
      </c>
      <c r="J265" s="922">
        <f>HLOOKUP($B$259,$T$207:$AJ$221,7,0)</f>
        <v>-0.26</v>
      </c>
      <c r="K265" s="922">
        <f>HLOOKUP($B$259,$B$223:$R$237,7,0)</f>
        <v>1E-3</v>
      </c>
      <c r="L265" s="922">
        <v>0.01</v>
      </c>
      <c r="M265" s="944"/>
      <c r="N265" s="944"/>
      <c r="O265" s="944"/>
      <c r="P265" s="944"/>
      <c r="Q265" s="944"/>
      <c r="R265" s="944"/>
      <c r="V265" s="1029"/>
      <c r="W265" s="1029"/>
      <c r="X265" s="1029"/>
      <c r="Y265" s="1029"/>
      <c r="Z265" s="1029"/>
      <c r="AA265" s="1029"/>
      <c r="AB265" s="1029"/>
    </row>
    <row r="266" spans="2:78" ht="15">
      <c r="B266" s="1026">
        <v>8</v>
      </c>
      <c r="C266" s="922">
        <f>HLOOKUP($B$259,$B$156:$R$170,8,0)</f>
        <v>-1.6999999999999999E-3</v>
      </c>
      <c r="D266" s="922">
        <f>HLOOKUP($B$259,$T$156:$AJ$170,8,0)</f>
        <v>-1.2999999999999999E-3</v>
      </c>
      <c r="E266" s="922">
        <f>HLOOKUP($B$259,$B$173:$R$187,8,0)</f>
        <v>-1.5E-3</v>
      </c>
      <c r="F266" s="922">
        <f>HLOOKUP($B$259,$T$173:$AJ$187,8,0)</f>
        <v>-1E-3</v>
      </c>
      <c r="G266" s="922">
        <f>HLOOKUP($B$259,$B$190:$R$204,8,0)</f>
        <v>-0.08</v>
      </c>
      <c r="H266" s="922">
        <f>HLOOKUP($B$259,$T$190:$AJ$204,8,0)</f>
        <v>-1.4E-3</v>
      </c>
      <c r="I266" s="922">
        <f>HLOOKUP($B$259,$B$207:$R$221,8,0)</f>
        <v>-1.4E-3</v>
      </c>
      <c r="J266" s="922">
        <f>HLOOKUP($B$259,$T$207:$AJ$221,8,0)</f>
        <v>-1.6000000000000001E-3</v>
      </c>
      <c r="K266" s="922">
        <f>HLOOKUP($B$259,$B$223:$R$237,8,0)</f>
        <v>1E-3</v>
      </c>
      <c r="L266" s="922">
        <v>1E-3</v>
      </c>
      <c r="M266" s="944"/>
      <c r="N266" s="944"/>
      <c r="O266" s="944"/>
      <c r="P266" s="944"/>
      <c r="Q266" s="944"/>
      <c r="R266" s="944"/>
      <c r="V266" s="1029"/>
      <c r="W266" s="1029"/>
      <c r="X266" s="1029"/>
      <c r="Y266" s="1029"/>
      <c r="Z266" s="1029"/>
      <c r="AA266" s="1029"/>
      <c r="AB266" s="1029"/>
    </row>
    <row r="267" spans="2:78" ht="15">
      <c r="B267" s="1026">
        <v>37</v>
      </c>
      <c r="C267" s="922">
        <f>HLOOKUP($B$259,$B$156:$R$170,9,0)</f>
        <v>0.04</v>
      </c>
      <c r="D267" s="922">
        <f>HLOOKUP($B$259,$T$156:$AJ$170,9,0)</f>
        <v>1.1999999999999999E-3</v>
      </c>
      <c r="E267" s="922">
        <f>HLOOKUP($B$259,$B$173:$R$187,9,0)</f>
        <v>1.6999999999999999E-3</v>
      </c>
      <c r="F267" s="922">
        <f>HLOOKUP($B$259,$T$173:$AJ$187,9,0)</f>
        <v>1.6000000000000001E-3</v>
      </c>
      <c r="G267" s="922">
        <f>HLOOKUP($B$259,$B$190:$R$204,9,0)</f>
        <v>1.6999999999999999E-3</v>
      </c>
      <c r="H267" s="922">
        <f>HLOOKUP($B$259,$T$190:$AJ$204,9,0)</f>
        <v>1.8E-3</v>
      </c>
      <c r="I267" s="922">
        <f>HLOOKUP($B$259,$B$207:$R$221,9,0)</f>
        <v>1.6000000000000001E-3</v>
      </c>
      <c r="J267" s="922">
        <f>HLOOKUP($B$259,$T$207:$AJ$221,9,0)</f>
        <v>1.4E-3</v>
      </c>
      <c r="K267" s="922">
        <f>HLOOKUP($B$259,$B$223:$R$237,9,0)</f>
        <v>1E-3</v>
      </c>
      <c r="L267" s="922">
        <v>1E-3</v>
      </c>
      <c r="M267" s="944"/>
      <c r="N267" s="944"/>
      <c r="O267" s="944"/>
      <c r="P267" s="944"/>
      <c r="Q267" s="944"/>
      <c r="R267" s="944"/>
      <c r="V267" s="1029"/>
      <c r="W267" s="1029"/>
      <c r="X267" s="1029"/>
      <c r="Y267" s="1029"/>
      <c r="Z267" s="1029"/>
      <c r="AA267" s="1029"/>
      <c r="AB267" s="1029"/>
    </row>
    <row r="268" spans="2:78" ht="15">
      <c r="B268" s="1026">
        <v>44</v>
      </c>
      <c r="C268" s="922">
        <f>HLOOKUP($B$259,$B$156:$R$170,10,0)</f>
        <v>0.06</v>
      </c>
      <c r="D268" s="922">
        <f>HLOOKUP($B$259,$T$156:$AJ$170,10,0)</f>
        <v>1.5E-3</v>
      </c>
      <c r="E268" s="922">
        <f>HLOOKUP($B$259,$B$173:$R$187,10,0)</f>
        <v>0.21</v>
      </c>
      <c r="F268" s="922">
        <f>HLOOKUP($B$259,$T$173:$AJ$187,10,0)</f>
        <v>1.9E-3</v>
      </c>
      <c r="G268" s="922">
        <f>HLOOKUP($B$259,$B$190:$R$204,10,0)</f>
        <v>1.9E-3</v>
      </c>
      <c r="H268" s="922">
        <f>HLOOKUP($B$259,$T$190:$AJ$204,10,0)</f>
        <v>0.21</v>
      </c>
      <c r="I268" s="922">
        <f>HLOOKUP($B$259,$B$207:$R$221,10,0)</f>
        <v>1.9E-3</v>
      </c>
      <c r="J268" s="922">
        <f>HLOOKUP($B$259,$T$207:$AJ$221,10,0)</f>
        <v>1.8E-3</v>
      </c>
      <c r="K268" s="922">
        <f>HLOOKUP($B$259,$B$223:$R$237,10,0)</f>
        <v>1E-3</v>
      </c>
      <c r="L268" s="922">
        <v>1E-3</v>
      </c>
      <c r="M268" s="944"/>
      <c r="N268" s="944"/>
      <c r="O268" s="944"/>
      <c r="P268" s="944"/>
      <c r="Q268" s="944"/>
      <c r="R268" s="944"/>
      <c r="V268" s="1029"/>
      <c r="W268" s="1029"/>
      <c r="X268" s="1029"/>
      <c r="Y268" s="1029"/>
      <c r="Z268" s="1029"/>
      <c r="AA268" s="1029"/>
      <c r="AB268" s="1029"/>
    </row>
    <row r="269" spans="2:78" ht="15">
      <c r="B269" s="1026">
        <v>50</v>
      </c>
      <c r="C269" s="922">
        <f>HLOOKUP($B$259,$B$156:$R$170,11,0)</f>
        <v>0.06</v>
      </c>
      <c r="D269" s="922">
        <f>HLOOKUP($B$259,$T$156:$AJ$170,11,0)</f>
        <v>1.6000000000000001E-3</v>
      </c>
      <c r="E269" s="922">
        <f>HLOOKUP($B$259,$B$173:$R$187,11,0)</f>
        <v>0.23</v>
      </c>
      <c r="F269" s="922">
        <f>HLOOKUP($B$259,$T$173:$AJ$187,11,0)</f>
        <v>0.21</v>
      </c>
      <c r="G269" s="922">
        <f>HLOOKUP($B$259,$B$190:$R$204,11,0)</f>
        <v>0.2</v>
      </c>
      <c r="H269" s="922">
        <f>HLOOKUP($B$259,$T$190:$AJ$204,11,0)</f>
        <v>0.24</v>
      </c>
      <c r="I269" s="922">
        <f>HLOOKUP($B$259,$B$207:$R$221,11,0)</f>
        <v>0.21</v>
      </c>
      <c r="J269" s="922">
        <f>HLOOKUP($B$259,$T$207:$AJ$221,11,0)</f>
        <v>0.2</v>
      </c>
      <c r="K269" s="922">
        <f>HLOOKUP($B$259,$B$223:$R$237,11,0)</f>
        <v>1E-3</v>
      </c>
      <c r="L269" s="922">
        <v>1E-3</v>
      </c>
      <c r="M269" s="944"/>
      <c r="N269" s="944"/>
      <c r="O269" s="944"/>
      <c r="P269" s="944"/>
      <c r="Q269" s="944"/>
      <c r="R269" s="944"/>
      <c r="V269" s="1029"/>
      <c r="W269" s="1029"/>
      <c r="X269" s="1029"/>
      <c r="Y269" s="1029"/>
      <c r="Z269" s="1029"/>
      <c r="AA269" s="1029"/>
      <c r="AB269" s="1029"/>
    </row>
    <row r="270" spans="2:78" ht="15">
      <c r="B270" s="1026">
        <v>100</v>
      </c>
      <c r="C270" s="922">
        <f>HLOOKUP($B$259,$B$156:$R$170,12,0)</f>
        <v>-1E-3</v>
      </c>
      <c r="D270" s="922">
        <f>HLOOKUP($B$259,$T$156:$AJ$170,12,0)</f>
        <v>0.03</v>
      </c>
      <c r="E270" s="922">
        <f>HLOOKUP($B$259,$B$173:$R$187,12,0)</f>
        <v>1.6000000000000001E-3</v>
      </c>
      <c r="F270" s="922">
        <f>HLOOKUP($B$259,$T$173:$AJ$187,12,0)</f>
        <v>1.4E-3</v>
      </c>
      <c r="G270" s="922">
        <f>HLOOKUP($B$259,$B$190:$R$204,12,0)</f>
        <v>1.2999999999999999E-3</v>
      </c>
      <c r="H270" s="922">
        <f>HLOOKUP($B$259,$T$190:$AJ$204,12,0)</f>
        <v>1.6999999999999999E-3</v>
      </c>
      <c r="I270" s="922">
        <f>HLOOKUP($B$259,$B$207:$R$221,12,0)</f>
        <v>1.4E-3</v>
      </c>
      <c r="J270" s="922">
        <f>HLOOKUP($B$259,$T$207:$AJ$221,12,0)</f>
        <v>1.2999999999999999E-3</v>
      </c>
      <c r="K270" s="922">
        <f>HLOOKUP($B$259,$B$223:$R$237,12,0)</f>
        <v>1E-3</v>
      </c>
      <c r="L270" s="922">
        <v>1E-3</v>
      </c>
      <c r="M270" s="944"/>
      <c r="N270" s="944"/>
      <c r="O270" s="944"/>
      <c r="P270" s="944"/>
      <c r="Q270" s="944"/>
      <c r="R270" s="944"/>
      <c r="V270" s="1029"/>
      <c r="W270" s="1029"/>
      <c r="X270" s="1029"/>
      <c r="Y270" s="1029"/>
      <c r="Z270" s="1029"/>
      <c r="AA270" s="1029"/>
      <c r="AB270" s="1029"/>
    </row>
    <row r="271" spans="2:78" ht="15">
      <c r="B271" s="1026">
        <v>150</v>
      </c>
      <c r="C271" s="922">
        <f>HLOOKUP($B$259,$B$156:$R$170,13,0)</f>
        <v>-1.6000000000000001E-3</v>
      </c>
      <c r="D271" s="922">
        <f>HLOOKUP($B$259,$T$156:$AJ$170,13,0)</f>
        <v>-0.06</v>
      </c>
      <c r="E271" s="922">
        <f>HLOOKUP($B$259,$B$173:$R$187,13,0)</f>
        <v>-0.02</v>
      </c>
      <c r="F271" s="922">
        <f>HLOOKUP($B$259,$T$173:$AJ$187,13,0)</f>
        <v>0.03</v>
      </c>
      <c r="G271" s="922">
        <f>HLOOKUP($B$259,$B$190:$R$204,13,0)</f>
        <v>0.04</v>
      </c>
      <c r="H271" s="922">
        <f>HLOOKUP($B$259,$T$190:$AJ$204,13,0)</f>
        <v>0.02</v>
      </c>
      <c r="I271" s="922">
        <f>HLOOKUP($B$259,$B$207:$R$221,13,0)</f>
        <v>0.02</v>
      </c>
      <c r="J271" s="922">
        <f>HLOOKUP($B$259,$T$207:$AJ$221,13,0)</f>
        <v>-0.02</v>
      </c>
      <c r="K271" s="922">
        <f>HLOOKUP($B$259,$B$223:$R$237,13,0)</f>
        <v>1E-3</v>
      </c>
      <c r="L271" s="922">
        <v>1E-3</v>
      </c>
      <c r="M271" s="944"/>
      <c r="N271" s="944"/>
      <c r="O271" s="944"/>
      <c r="P271" s="944"/>
      <c r="Q271" s="944"/>
      <c r="R271" s="944"/>
      <c r="V271" s="1029"/>
      <c r="W271" s="1029"/>
      <c r="X271" s="1029"/>
      <c r="Y271" s="1029"/>
      <c r="Z271" s="1029"/>
      <c r="AA271" s="1029"/>
      <c r="AB271" s="1029"/>
    </row>
    <row r="272" spans="2:78" ht="15">
      <c r="B272" s="1026">
        <v>200</v>
      </c>
      <c r="C272" s="922">
        <f>HLOOKUP($B$259,$B$156:$R$170,14,0)</f>
        <v>0.47</v>
      </c>
      <c r="D272" s="922">
        <f>HLOOKUP($B$259,$T$156:$AJ$170,14,0)</f>
        <v>0.45</v>
      </c>
      <c r="E272" s="922">
        <f>HLOOKUP($B$259,$B$173:$R$187,14,0)</f>
        <v>1.6000000000000001E-3</v>
      </c>
      <c r="F272" s="922">
        <f>HLOOKUP($B$259,$T$173:$AJ$187,14,0)</f>
        <v>0.32</v>
      </c>
      <c r="G272" s="922">
        <f>HLOOKUP($B$259,$B$190:$R$204,14,0)</f>
        <v>0.43</v>
      </c>
      <c r="H272" s="922">
        <f>HLOOKUP($B$259,$T$190:$AJ$204,14,0)</f>
        <v>0.3</v>
      </c>
      <c r="I272" s="922">
        <f>HLOOKUP($B$259,$B$207:$R$221,14,0)</f>
        <v>0.38</v>
      </c>
      <c r="J272" s="922">
        <f>HLOOKUP($B$259,$T$207:$AJ$221,14,0)</f>
        <v>0.21</v>
      </c>
      <c r="K272" s="922">
        <f>HLOOKUP($B$259,$B$223:$R$237,14,0)</f>
        <v>1E-3</v>
      </c>
      <c r="L272" s="922">
        <v>1E-3</v>
      </c>
      <c r="M272" s="944"/>
      <c r="N272" s="944"/>
      <c r="O272" s="944"/>
      <c r="P272" s="944"/>
      <c r="Q272" s="944"/>
      <c r="R272" s="944"/>
      <c r="V272" s="1029"/>
      <c r="W272" s="1029"/>
      <c r="X272" s="1029"/>
      <c r="Y272" s="1029"/>
      <c r="Z272" s="1029"/>
      <c r="AA272" s="1029"/>
      <c r="AB272" s="1029"/>
    </row>
    <row r="273" spans="1:97" ht="15">
      <c r="B273" s="1026" t="s">
        <v>237</v>
      </c>
      <c r="C273" s="923">
        <f>HLOOKUP($B$259,$B$156:$R$170,14,0)</f>
        <v>0.47</v>
      </c>
      <c r="D273" s="923">
        <f>HLOOKUP($B$259,$T$156:$AJ$170,14,0)</f>
        <v>0.45</v>
      </c>
      <c r="E273" s="923">
        <f>HLOOKUP($B$259,$B$173:$R$187,14,0)</f>
        <v>1.6000000000000001E-3</v>
      </c>
      <c r="F273" s="923">
        <f>HLOOKUP($B$259,$T$173:$AJ$187,14,0)</f>
        <v>0.32</v>
      </c>
      <c r="G273" s="923">
        <f>HLOOKUP($B$259,$B$190:$R$204,14,0)</f>
        <v>0.43</v>
      </c>
      <c r="H273" s="923">
        <f>HLOOKUP($B$259,$T$190:$AJ$204,14,0)</f>
        <v>0.3</v>
      </c>
      <c r="I273" s="923">
        <f>HLOOKUP($B$259,$B$207:$R$221,14,0)</f>
        <v>0.38</v>
      </c>
      <c r="J273" s="923">
        <f>HLOOKUP($B$259,$T$207:$AJ$221,14,0)</f>
        <v>0.21</v>
      </c>
      <c r="K273" s="923">
        <f>HLOOKUP($B$259,$B$223:$R$237,14,0)</f>
        <v>1E-3</v>
      </c>
      <c r="L273" s="923">
        <f>HLOOKUP($B$259,$T$223:$AJ$237,14,0)</f>
        <v>1E-3</v>
      </c>
      <c r="M273" s="944"/>
      <c r="N273" s="944"/>
      <c r="O273" s="944"/>
      <c r="P273" s="944"/>
      <c r="Q273" s="944"/>
      <c r="R273" s="944"/>
      <c r="V273" s="1029"/>
      <c r="W273" s="1029"/>
      <c r="X273" s="1029"/>
      <c r="Y273" s="1029"/>
      <c r="Z273" s="1029"/>
      <c r="AA273" s="1029"/>
      <c r="AB273" s="1029"/>
    </row>
    <row r="274" spans="1:97" ht="15">
      <c r="B274" s="1030" t="s">
        <v>238</v>
      </c>
      <c r="C274" s="924">
        <f>HLOOKUP($B$259,$B$279:$R$289,2,0)</f>
        <v>0.12995449410100518</v>
      </c>
      <c r="D274" s="924">
        <f>HLOOKUP($B$259,$B$279:$R$289,3,0)</f>
        <v>5.700720848018459E-2</v>
      </c>
      <c r="E274" s="924">
        <f>HLOOKUP($B$259,$B$279:$R$289,4,0)</f>
        <v>0.12494524805301102</v>
      </c>
      <c r="F274" s="924">
        <f>HLOOKUP($B$259,$B$279:$R$289,5,0)</f>
        <v>6.1784258880136014E-3</v>
      </c>
      <c r="G274" s="924">
        <f>HLOOKUP($B$259,$B$279:$R$289,6,0)</f>
        <v>4.7344686498806521E-2</v>
      </c>
      <c r="H274" s="924">
        <f>HLOOKUP($B$259,$B$279:$R$289,7,0)</f>
        <v>7.0488070703440736E-2</v>
      </c>
      <c r="I274" s="924">
        <f>HLOOKUP($B$259,$B$279:$R$289,8,0)</f>
        <v>8.4916297207737843E-2</v>
      </c>
      <c r="J274" s="924">
        <f>HLOOKUP($B$259,$B$279:$R$289,9,0)</f>
        <v>0.11786633380468278</v>
      </c>
      <c r="K274" s="924">
        <f>HLOOKUP($B$259,$B$279:$R$289,10,0)</f>
        <v>0.1</v>
      </c>
      <c r="L274" s="924">
        <f>HLOOKUP($B$259,$B$279:$R$289,11,0)</f>
        <v>0.1</v>
      </c>
      <c r="M274" s="944"/>
      <c r="N274" s="944"/>
      <c r="O274" s="944"/>
      <c r="P274" s="944"/>
      <c r="Q274" s="944"/>
      <c r="R274" s="944"/>
      <c r="V274" s="1029"/>
      <c r="W274" s="1029"/>
      <c r="X274" s="1029"/>
      <c r="Y274" s="1029"/>
      <c r="Z274" s="1029"/>
      <c r="AA274" s="1029"/>
      <c r="AB274" s="1029"/>
    </row>
    <row r="275" spans="1:97" s="929" customFormat="1" ht="15">
      <c r="C275" s="930">
        <f t="shared" ref="C275:L275" si="319">IF(OR(C274&lt;0.001),0.001,HLOOKUP($B$259,$B$279:$R$289,2,0))</f>
        <v>0.12995449410100518</v>
      </c>
      <c r="D275" s="930">
        <f t="shared" si="319"/>
        <v>0.12995449410100518</v>
      </c>
      <c r="E275" s="930">
        <f t="shared" si="319"/>
        <v>0.12995449410100518</v>
      </c>
      <c r="F275" s="930">
        <f t="shared" si="319"/>
        <v>0.12995449410100518</v>
      </c>
      <c r="G275" s="930">
        <f t="shared" si="319"/>
        <v>0.12995449410100518</v>
      </c>
      <c r="H275" s="930">
        <f t="shared" si="319"/>
        <v>0.12995449410100518</v>
      </c>
      <c r="I275" s="930">
        <f t="shared" si="319"/>
        <v>0.12995449410100518</v>
      </c>
      <c r="J275" s="930">
        <f t="shared" si="319"/>
        <v>0.12995449410100518</v>
      </c>
      <c r="K275" s="930">
        <f t="shared" si="319"/>
        <v>0.12995449410100518</v>
      </c>
      <c r="L275" s="930">
        <f t="shared" si="319"/>
        <v>0.12995449410100518</v>
      </c>
      <c r="V275" s="1031"/>
      <c r="W275" s="1031"/>
      <c r="X275" s="1031"/>
      <c r="Y275" s="1031"/>
      <c r="Z275" s="1031"/>
      <c r="AA275" s="1031"/>
      <c r="AB275" s="1031"/>
      <c r="AH275" s="930"/>
      <c r="AJ275" s="931"/>
      <c r="AN275" s="930"/>
      <c r="AP275" s="931"/>
      <c r="AT275" s="930"/>
      <c r="AV275" s="931"/>
      <c r="AZ275" s="930"/>
      <c r="BB275" s="931"/>
      <c r="BF275" s="930"/>
      <c r="BH275" s="931"/>
      <c r="BL275" s="930"/>
      <c r="BN275" s="931"/>
      <c r="BR275" s="930"/>
      <c r="BT275" s="931"/>
      <c r="BX275" s="930"/>
      <c r="BZ275" s="931"/>
    </row>
    <row r="276" spans="1:97" s="929" customFormat="1" ht="15">
      <c r="V276" s="1031"/>
      <c r="W276" s="1031"/>
      <c r="X276" s="1031"/>
      <c r="Y276" s="1031"/>
      <c r="Z276" s="1031"/>
      <c r="AA276" s="1031"/>
      <c r="AB276" s="1031"/>
      <c r="AH276" s="930"/>
      <c r="AJ276" s="931"/>
      <c r="AN276" s="930"/>
      <c r="AP276" s="931"/>
      <c r="AT276" s="930"/>
      <c r="AV276" s="931"/>
      <c r="AZ276" s="930"/>
      <c r="BB276" s="931"/>
      <c r="BF276" s="930"/>
      <c r="BH276" s="931"/>
      <c r="BL276" s="930"/>
      <c r="BN276" s="931"/>
      <c r="BR276" s="930"/>
      <c r="BT276" s="931"/>
      <c r="BX276" s="930"/>
      <c r="BZ276" s="931"/>
    </row>
    <row r="277" spans="1:97" s="929" customFormat="1" ht="15">
      <c r="V277" s="1031"/>
      <c r="W277" s="1031"/>
      <c r="X277" s="1031"/>
      <c r="Y277" s="1031"/>
      <c r="Z277" s="1031"/>
      <c r="AA277" s="1031"/>
      <c r="AB277" s="1031"/>
      <c r="AH277" s="930"/>
      <c r="AJ277" s="931"/>
      <c r="AN277" s="930"/>
      <c r="AP277" s="931"/>
      <c r="AT277" s="930"/>
      <c r="AV277" s="931"/>
      <c r="AZ277" s="930"/>
      <c r="BB277" s="931"/>
      <c r="BF277" s="930"/>
      <c r="BH277" s="931"/>
      <c r="BL277" s="930"/>
      <c r="BN277" s="931"/>
      <c r="BR277" s="930"/>
      <c r="BT277" s="931"/>
      <c r="BX277" s="930"/>
      <c r="BZ277" s="931"/>
    </row>
    <row r="278" spans="1:97" s="929" customFormat="1" ht="30" customHeight="1">
      <c r="B278" s="1313" t="s">
        <v>431</v>
      </c>
      <c r="C278" s="1313"/>
      <c r="D278" s="1313"/>
      <c r="E278" s="1313"/>
      <c r="F278" s="1313"/>
      <c r="G278" s="1313"/>
      <c r="H278" s="1313"/>
      <c r="I278" s="1313"/>
      <c r="J278" s="1313"/>
      <c r="K278" s="1313"/>
      <c r="L278" s="1313"/>
      <c r="M278" s="1313"/>
      <c r="N278" s="1313"/>
      <c r="O278" s="1313"/>
      <c r="P278" s="1313"/>
      <c r="Q278" s="1313"/>
      <c r="R278" s="1313"/>
      <c r="V278" s="1031"/>
      <c r="W278" s="1031"/>
      <c r="X278" s="1031"/>
      <c r="Y278" s="1031"/>
      <c r="Z278" s="1031"/>
      <c r="AA278" s="1031"/>
      <c r="AB278" s="1031"/>
      <c r="AH278" s="930"/>
      <c r="AJ278" s="931"/>
      <c r="AN278" s="930"/>
      <c r="AP278" s="931"/>
      <c r="AT278" s="930"/>
      <c r="AV278" s="931"/>
      <c r="AZ278" s="930"/>
      <c r="BB278" s="931"/>
      <c r="BF278" s="930"/>
      <c r="BH278" s="931"/>
      <c r="BL278" s="930"/>
      <c r="BN278" s="931"/>
      <c r="BR278" s="930"/>
      <c r="BT278" s="931"/>
      <c r="BX278" s="930"/>
      <c r="BZ278" s="931"/>
    </row>
    <row r="279" spans="1:97" ht="93.6">
      <c r="B279" s="1032" t="s">
        <v>239</v>
      </c>
      <c r="C279" s="1033" t="str">
        <f t="shared" ref="C279:O279" si="320">C239</f>
        <v>Thermocouple Data Logger, Merek : MADGETECH, Model : OctTemp 2000, SN : P40270</v>
      </c>
      <c r="D279" s="1033" t="str">
        <f t="shared" si="320"/>
        <v>Thermocouple Data Logger, Merek : MADGETECH, Model : OctTemp 2000, SN : P41878</v>
      </c>
      <c r="E279" s="1033" t="str">
        <f t="shared" si="320"/>
        <v>Mobile Corder, Merek : Yokogawa, Model : GP 10, SN : S5T810599</v>
      </c>
      <c r="F279" s="1033" t="str">
        <f t="shared" si="320"/>
        <v>Wireless Temperature Recorder : Merek : HIOKI, Model : LR 8510, SN : 200936000</v>
      </c>
      <c r="G279" s="1033" t="str">
        <f t="shared" si="320"/>
        <v>Wireless Temperature Recorder : Merek : HIOKI, Model : LR 8510, SN : 200936001</v>
      </c>
      <c r="H279" s="1033" t="str">
        <f t="shared" si="320"/>
        <v>Wireless Temperature Recorder : Merek : HIOKI, Model : LR 8510, SN : 200821397</v>
      </c>
      <c r="I279" s="1033" t="str">
        <f t="shared" si="320"/>
        <v>Wireless Temperature Recorder : Merek : HIOKI, Model : LR 8510, SN : 210411983</v>
      </c>
      <c r="J279" s="1033" t="str">
        <f t="shared" si="320"/>
        <v>Wireless Temperature Recorder : Merek : HIOKI, Model : LR 8510, SN : 210411984</v>
      </c>
      <c r="K279" s="1033" t="str">
        <f t="shared" si="320"/>
        <v>Wireless Temperature Recorder : Merek : HIOKI, Model : LR 8510, SN : 210411985</v>
      </c>
      <c r="L279" s="1033" t="str">
        <f t="shared" si="320"/>
        <v>Wireless Temperature Recorder : Merek : HIOKI, Model : LR 8510, SN : 210746054</v>
      </c>
      <c r="M279" s="1033" t="str">
        <f t="shared" si="320"/>
        <v>Wireless Temperature Recorder : Merek : HIOKI, Model : LR 8510, SN : 210746055</v>
      </c>
      <c r="N279" s="1033" t="str">
        <f t="shared" si="320"/>
        <v>Wireless Temperature Recorder : Merek : HIOKI, Model : LR 8510, SN : 210746056</v>
      </c>
      <c r="O279" s="1033" t="str">
        <f t="shared" si="320"/>
        <v>Wireless Temperature Recorder : Merek : HIOKI, Model : LR 8510, SN : x x x</v>
      </c>
      <c r="P279" s="1034" t="s">
        <v>457</v>
      </c>
      <c r="Q279" s="1034" t="s">
        <v>458</v>
      </c>
      <c r="R279" s="1034" t="s">
        <v>456</v>
      </c>
      <c r="S279" s="929"/>
      <c r="T279" s="934"/>
      <c r="U279" s="934"/>
      <c r="V279" s="1029"/>
      <c r="W279" s="1029"/>
      <c r="X279" s="1029"/>
      <c r="Y279" s="1029"/>
      <c r="Z279" s="1029"/>
      <c r="AA279" s="1029"/>
      <c r="AB279" s="1029"/>
      <c r="AH279" s="934"/>
      <c r="AJ279" s="934"/>
      <c r="AN279" s="934"/>
      <c r="AP279" s="1035"/>
      <c r="AQ279" s="996"/>
      <c r="AR279" s="1035"/>
      <c r="AS279" s="972"/>
      <c r="AT279" s="973"/>
      <c r="AV279" s="1035"/>
      <c r="AW279" s="1035"/>
      <c r="AX279" s="1035"/>
      <c r="AY279" s="972"/>
      <c r="AZ279" s="973"/>
      <c r="BB279" s="1035"/>
      <c r="BC279" s="972"/>
      <c r="BD279" s="1035"/>
      <c r="BE279" s="972"/>
      <c r="BF279" s="973"/>
      <c r="BH279" s="1035"/>
      <c r="BI279" s="972"/>
      <c r="BJ279" s="1035"/>
      <c r="BK279" s="972"/>
      <c r="BL279" s="973"/>
      <c r="BN279" s="1035"/>
      <c r="BO279" s="972"/>
      <c r="BP279" s="1035"/>
      <c r="BQ279" s="972"/>
      <c r="BR279" s="973"/>
      <c r="BT279" s="1035"/>
      <c r="BU279" s="972"/>
      <c r="BV279" s="1035"/>
      <c r="BW279" s="972"/>
      <c r="BX279" s="973"/>
      <c r="BZ279" s="1035"/>
      <c r="CA279" s="972"/>
      <c r="CB279" s="973"/>
      <c r="CD279" s="1035"/>
      <c r="CE279" s="996"/>
      <c r="CF279" s="1035"/>
      <c r="CG279" s="930"/>
      <c r="CH279" s="973"/>
    </row>
    <row r="280" spans="1:97" s="972" customFormat="1" ht="13.95" customHeight="1">
      <c r="A280" s="930"/>
      <c r="B280" s="1036" t="s">
        <v>214</v>
      </c>
      <c r="C280" s="1067">
        <f>F13</f>
        <v>0.11964735881471041</v>
      </c>
      <c r="D280" s="1067">
        <f>L13</f>
        <v>0.12995449410100518</v>
      </c>
      <c r="E280" s="1067">
        <f>R13</f>
        <v>0.13</v>
      </c>
      <c r="F280" s="1067">
        <f>X13</f>
        <v>3.3333333333333332E-4</v>
      </c>
      <c r="G280" s="1067">
        <f>AD13</f>
        <v>3.3333333333333332E-4</v>
      </c>
      <c r="H280" s="1067">
        <f>AJ13</f>
        <v>0.3066666666666667</v>
      </c>
      <c r="I280" s="1067">
        <f>AP13</f>
        <v>3.3333333333333332E-4</v>
      </c>
      <c r="J280" s="1067">
        <f>AV13</f>
        <v>3.3333333333333332E-4</v>
      </c>
      <c r="K280" s="1067">
        <f>BB13</f>
        <v>0.26333333333333336</v>
      </c>
      <c r="L280" s="1067">
        <f>BH13</f>
        <v>3.3333333333333332E-4</v>
      </c>
      <c r="M280" s="1067">
        <f>BN13</f>
        <v>0.26333333333333336</v>
      </c>
      <c r="N280" s="1067">
        <f>BT13</f>
        <v>3.3333333333333332E-4</v>
      </c>
      <c r="O280" s="1067">
        <f>BZ13</f>
        <v>4.666666666666667</v>
      </c>
      <c r="P280" s="1067">
        <f>CF13</f>
        <v>0.13333333333333333</v>
      </c>
      <c r="Q280" s="1067">
        <f>CL13</f>
        <v>7.3333333333333334E-2</v>
      </c>
      <c r="R280" s="1067">
        <f>CR13</f>
        <v>0.25666666666666665</v>
      </c>
      <c r="S280" s="930"/>
      <c r="AP280" s="1037"/>
      <c r="AT280" s="973"/>
      <c r="AV280" s="1037"/>
      <c r="AZ280" s="973"/>
      <c r="BB280" s="1037"/>
      <c r="BF280" s="973"/>
      <c r="BH280" s="1037"/>
      <c r="BL280" s="973"/>
      <c r="BN280" s="1037"/>
      <c r="BR280" s="973"/>
      <c r="BT280" s="1037"/>
      <c r="BX280" s="973"/>
      <c r="BZ280" s="1037"/>
      <c r="CB280" s="973"/>
      <c r="CD280" s="1037"/>
      <c r="CG280" s="930"/>
      <c r="CH280" s="973"/>
      <c r="CM280" s="930"/>
      <c r="CS280" s="930"/>
    </row>
    <row r="281" spans="1:97" s="972" customFormat="1" ht="13.95" customHeight="1">
      <c r="A281" s="930"/>
      <c r="B281" s="1036" t="s">
        <v>216</v>
      </c>
      <c r="C281" s="1067">
        <f>F28</f>
        <v>9.5241172206861222E-2</v>
      </c>
      <c r="D281" s="1067">
        <f>L28</f>
        <v>5.700720848018459E-2</v>
      </c>
      <c r="E281" s="1067">
        <f>R28</f>
        <v>0.13</v>
      </c>
      <c r="F281" s="1067">
        <f>X28</f>
        <v>3.3333333333333332E-4</v>
      </c>
      <c r="G281" s="1067">
        <f>AD28</f>
        <v>3.3333333333333332E-4</v>
      </c>
      <c r="H281" s="1067">
        <f>AJ28</f>
        <v>0.3066666666666667</v>
      </c>
      <c r="I281" s="1067">
        <f>AP28</f>
        <v>3.3333333333333332E-4</v>
      </c>
      <c r="J281" s="1067">
        <f>AV28</f>
        <v>3.3333333333333332E-4</v>
      </c>
      <c r="K281" s="1067">
        <f>BB28</f>
        <v>0.26333333333333336</v>
      </c>
      <c r="L281" s="1067">
        <f>BH28</f>
        <v>3.3333333333333332E-4</v>
      </c>
      <c r="M281" s="1067">
        <f>BN28</f>
        <v>0.26333333333333336</v>
      </c>
      <c r="N281" s="1067">
        <f>BT28</f>
        <v>3.3333333333333332E-4</v>
      </c>
      <c r="O281" s="1067">
        <f>BZ28</f>
        <v>9.3333333333333339</v>
      </c>
      <c r="P281" s="1067">
        <f>CF28</f>
        <v>0.13333333333333333</v>
      </c>
      <c r="Q281" s="1067">
        <f>CL28</f>
        <v>7.3333333333333334E-2</v>
      </c>
      <c r="R281" s="1067">
        <f>CR28</f>
        <v>0.25666666666666665</v>
      </c>
      <c r="S281" s="930"/>
      <c r="AP281" s="1037"/>
      <c r="AT281" s="973"/>
      <c r="AV281" s="1037"/>
      <c r="AZ281" s="973"/>
      <c r="BB281" s="1037"/>
      <c r="BF281" s="973"/>
      <c r="BH281" s="1037"/>
      <c r="BL281" s="973"/>
      <c r="BN281" s="1037"/>
      <c r="BR281" s="973"/>
      <c r="BT281" s="1037"/>
      <c r="BX281" s="973"/>
      <c r="BZ281" s="1037"/>
      <c r="CB281" s="973"/>
      <c r="CD281" s="1037"/>
      <c r="CG281" s="930"/>
      <c r="CH281" s="973"/>
      <c r="CM281" s="930"/>
      <c r="CS281" s="930"/>
    </row>
    <row r="282" spans="1:97" s="972" customFormat="1" ht="13.95" customHeight="1">
      <c r="A282" s="930"/>
      <c r="B282" s="1036" t="s">
        <v>217</v>
      </c>
      <c r="C282" s="1067">
        <f>F43</f>
        <v>5.8217650119946951E-2</v>
      </c>
      <c r="D282" s="1067">
        <f>L43</f>
        <v>0.12494524805301102</v>
      </c>
      <c r="E282" s="1067">
        <f>R43</f>
        <v>0.13</v>
      </c>
      <c r="F282" s="1067">
        <f>X43</f>
        <v>3.3333333333333332E-4</v>
      </c>
      <c r="G282" s="1067">
        <f>AD43</f>
        <v>3.3333333333333332E-4</v>
      </c>
      <c r="H282" s="1067">
        <f>AJ43</f>
        <v>0.3066666666666667</v>
      </c>
      <c r="I282" s="1067">
        <f>AP43</f>
        <v>3.3333333333333332E-4</v>
      </c>
      <c r="J282" s="1067">
        <f>AV43</f>
        <v>3.3333333333333332E-4</v>
      </c>
      <c r="K282" s="1067">
        <f>BB43</f>
        <v>0.26333333333333336</v>
      </c>
      <c r="L282" s="1067">
        <f>BH43</f>
        <v>3.3333333333333332E-4</v>
      </c>
      <c r="M282" s="1067">
        <f>BN43</f>
        <v>0.26333333333333336</v>
      </c>
      <c r="N282" s="1067">
        <f>BT43</f>
        <v>3.3333333333333332E-4</v>
      </c>
      <c r="O282" s="1067">
        <f>BZ43</f>
        <v>3.3333333333333332E-4</v>
      </c>
      <c r="P282" s="1067">
        <f>CF43</f>
        <v>0.13333333333333333</v>
      </c>
      <c r="Q282" s="1067">
        <f>CL43</f>
        <v>7.3333333333333334E-2</v>
      </c>
      <c r="R282" s="1067">
        <f>CR43</f>
        <v>0.25666666666666665</v>
      </c>
      <c r="S282" s="930"/>
      <c r="AP282" s="1037"/>
      <c r="AT282" s="973"/>
      <c r="AV282" s="1037"/>
      <c r="AZ282" s="973"/>
      <c r="BB282" s="1037"/>
      <c r="BF282" s="973"/>
      <c r="BH282" s="1037"/>
      <c r="BL282" s="973"/>
      <c r="BN282" s="1037"/>
      <c r="BR282" s="973"/>
      <c r="BT282" s="1037"/>
      <c r="BX282" s="973"/>
      <c r="BZ282" s="1037"/>
      <c r="CB282" s="973"/>
      <c r="CD282" s="1037"/>
      <c r="CG282" s="930"/>
      <c r="CH282" s="973"/>
      <c r="CM282" s="930"/>
      <c r="CS282" s="930"/>
    </row>
    <row r="283" spans="1:97" s="972" customFormat="1" ht="13.95" customHeight="1">
      <c r="A283" s="930"/>
      <c r="B283" s="1036" t="s">
        <v>218</v>
      </c>
      <c r="C283" s="1067">
        <f>F58</f>
        <v>8.3997842264484215E-2</v>
      </c>
      <c r="D283" s="1067">
        <f>L58</f>
        <v>6.1784258880136014E-3</v>
      </c>
      <c r="E283" s="1067">
        <f>R58</f>
        <v>0.13</v>
      </c>
      <c r="F283" s="1067">
        <f>X58</f>
        <v>3.3333333333333332E-4</v>
      </c>
      <c r="G283" s="1067">
        <f>AD58</f>
        <v>3.3333333333333332E-4</v>
      </c>
      <c r="H283" s="1067">
        <f>AJ58</f>
        <v>0.3066666666666667</v>
      </c>
      <c r="I283" s="1067">
        <f>AP58</f>
        <v>3.3333333333333332E-4</v>
      </c>
      <c r="J283" s="1067">
        <f>AV58</f>
        <v>3.3333333333333332E-4</v>
      </c>
      <c r="K283" s="1067">
        <f>BB58</f>
        <v>0.26333333333333336</v>
      </c>
      <c r="L283" s="1067">
        <f>BH58</f>
        <v>3.3333333333333332E-4</v>
      </c>
      <c r="M283" s="1067">
        <f>BN58</f>
        <v>0.26333333333333336</v>
      </c>
      <c r="N283" s="1067">
        <f>BT58</f>
        <v>3.3333333333333332E-4</v>
      </c>
      <c r="O283" s="1067">
        <f>BZ58</f>
        <v>9.3333333333333339</v>
      </c>
      <c r="P283" s="1067">
        <f>CF58</f>
        <v>0.13333333333333333</v>
      </c>
      <c r="Q283" s="1067">
        <f>CL58</f>
        <v>7.3333333333333334E-2</v>
      </c>
      <c r="R283" s="1067">
        <f>CR58</f>
        <v>0.25666666666666665</v>
      </c>
      <c r="S283" s="930"/>
      <c r="AP283" s="1037"/>
      <c r="AT283" s="973"/>
      <c r="AV283" s="1037"/>
      <c r="AZ283" s="973"/>
      <c r="BB283" s="1037"/>
      <c r="BF283" s="973"/>
      <c r="BH283" s="1037"/>
      <c r="BL283" s="973"/>
      <c r="BN283" s="1037"/>
      <c r="BR283" s="973"/>
      <c r="BT283" s="1037"/>
      <c r="BX283" s="973"/>
      <c r="BZ283" s="1037"/>
      <c r="CB283" s="973"/>
      <c r="CD283" s="1037"/>
      <c r="CG283" s="930"/>
      <c r="CH283" s="973"/>
      <c r="CM283" s="930"/>
      <c r="CS283" s="930"/>
    </row>
    <row r="284" spans="1:97" s="972" customFormat="1" ht="13.95" customHeight="1">
      <c r="A284" s="930"/>
      <c r="B284" s="1036" t="s">
        <v>219</v>
      </c>
      <c r="C284" s="1067">
        <f>F73</f>
        <v>0.11333333333333334</v>
      </c>
      <c r="D284" s="1067">
        <f>L73</f>
        <v>4.7344686498806521E-2</v>
      </c>
      <c r="E284" s="1067">
        <f>R73</f>
        <v>0.13</v>
      </c>
      <c r="F284" s="1067">
        <f>X73</f>
        <v>3.3333333333333332E-4</v>
      </c>
      <c r="G284" s="1067">
        <f>AD73</f>
        <v>3.3333333333333332E-4</v>
      </c>
      <c r="H284" s="1067">
        <f>AJ73</f>
        <v>0.3066666666666667</v>
      </c>
      <c r="I284" s="1067">
        <f>AP73</f>
        <v>3.3333333333333332E-4</v>
      </c>
      <c r="J284" s="1067">
        <f>AV73</f>
        <v>3.3333333333333332E-4</v>
      </c>
      <c r="K284" s="1067">
        <f>BB73</f>
        <v>0.26333333333333336</v>
      </c>
      <c r="L284" s="1067">
        <f>BH73</f>
        <v>3.3333333333333332E-4</v>
      </c>
      <c r="M284" s="1067">
        <f>BN73</f>
        <v>0.26333333333333336</v>
      </c>
      <c r="N284" s="1067">
        <f>BT73</f>
        <v>3.3333333333333332E-4</v>
      </c>
      <c r="O284" s="1067">
        <f>BZ73</f>
        <v>4.666666666666667</v>
      </c>
      <c r="P284" s="1067">
        <f>CF73</f>
        <v>0.13333333333333333</v>
      </c>
      <c r="Q284" s="1067">
        <f>CL73</f>
        <v>7.3333333333333334E-2</v>
      </c>
      <c r="R284" s="1067">
        <f>CR73</f>
        <v>0.25666666666666665</v>
      </c>
      <c r="S284" s="930"/>
      <c r="AP284" s="1037"/>
      <c r="AT284" s="973"/>
      <c r="AV284" s="1037"/>
      <c r="AZ284" s="973"/>
      <c r="BB284" s="1037"/>
      <c r="BF284" s="973"/>
      <c r="BH284" s="1037"/>
      <c r="BL284" s="973"/>
      <c r="BN284" s="1037"/>
      <c r="BR284" s="973"/>
      <c r="BT284" s="1037"/>
      <c r="BX284" s="973"/>
      <c r="BZ284" s="1037"/>
      <c r="CB284" s="973"/>
      <c r="CD284" s="1037"/>
      <c r="CG284" s="930"/>
      <c r="CH284" s="973"/>
      <c r="CM284" s="930"/>
      <c r="CS284" s="930"/>
    </row>
    <row r="285" spans="1:97" s="972" customFormat="1" ht="13.95" customHeight="1">
      <c r="A285" s="930"/>
      <c r="B285" s="1036" t="s">
        <v>220</v>
      </c>
      <c r="C285" s="1067">
        <f>F88</f>
        <v>7.6738039572826391E-2</v>
      </c>
      <c r="D285" s="1067">
        <f>L88</f>
        <v>7.0488070703440736E-2</v>
      </c>
      <c r="E285" s="1067">
        <f>R88</f>
        <v>0.13</v>
      </c>
      <c r="F285" s="1067">
        <f>X88</f>
        <v>3.3333333333333332E-4</v>
      </c>
      <c r="G285" s="1067">
        <f>AD88</f>
        <v>3.3333333333333332E-4</v>
      </c>
      <c r="H285" s="1067">
        <f>AJ88</f>
        <v>0.3066666666666667</v>
      </c>
      <c r="I285" s="1067">
        <f>AP88</f>
        <v>3.3333333333333332E-4</v>
      </c>
      <c r="J285" s="1067">
        <f>AV88</f>
        <v>3.3333333333333332E-4</v>
      </c>
      <c r="K285" s="1067">
        <f>BB88</f>
        <v>0.26333333333333336</v>
      </c>
      <c r="L285" s="1067">
        <f>BH88</f>
        <v>3.3333333333333332E-4</v>
      </c>
      <c r="M285" s="1067">
        <f>BN88</f>
        <v>0.26333333333333336</v>
      </c>
      <c r="N285" s="1067">
        <f>BT88</f>
        <v>3.3333333333333332E-4</v>
      </c>
      <c r="O285" s="1067">
        <f>BZ88</f>
        <v>9.3333333333333339</v>
      </c>
      <c r="P285" s="1067">
        <f>CF88</f>
        <v>0.13333333333333333</v>
      </c>
      <c r="Q285" s="1067">
        <f>CL88</f>
        <v>7.3333333333333334E-2</v>
      </c>
      <c r="R285" s="1067">
        <f>CR88</f>
        <v>0.25666666666666665</v>
      </c>
      <c r="S285" s="930"/>
      <c r="AP285" s="1037"/>
      <c r="AT285" s="973"/>
      <c r="AV285" s="1037"/>
      <c r="AZ285" s="973"/>
      <c r="BB285" s="1037"/>
      <c r="BF285" s="973"/>
      <c r="BH285" s="1037"/>
      <c r="BL285" s="973"/>
      <c r="BN285" s="1037"/>
      <c r="BR285" s="973"/>
      <c r="BT285" s="1037"/>
      <c r="BX285" s="973"/>
      <c r="BZ285" s="1037"/>
      <c r="CB285" s="973"/>
      <c r="CD285" s="1037"/>
      <c r="CG285" s="930"/>
      <c r="CH285" s="973"/>
      <c r="CM285" s="930"/>
      <c r="CS285" s="930"/>
    </row>
    <row r="286" spans="1:97" s="972" customFormat="1" ht="13.95" customHeight="1">
      <c r="A286" s="930"/>
      <c r="B286" s="1036" t="s">
        <v>221</v>
      </c>
      <c r="C286" s="1067">
        <f>F103</f>
        <v>8.1791725206304469E-2</v>
      </c>
      <c r="D286" s="1067">
        <f>L103</f>
        <v>8.4916297207737843E-2</v>
      </c>
      <c r="E286" s="1067">
        <f>R103</f>
        <v>0.13</v>
      </c>
      <c r="F286" s="1067">
        <f>X103</f>
        <v>3.3333333333333332E-4</v>
      </c>
      <c r="G286" s="1067">
        <f>AD103</f>
        <v>3.3333333333333332E-4</v>
      </c>
      <c r="H286" s="1067">
        <f>AJ103</f>
        <v>0.3066666666666667</v>
      </c>
      <c r="I286" s="1067">
        <f>AP103</f>
        <v>3.3333333333333332E-4</v>
      </c>
      <c r="J286" s="1067">
        <f>AV103</f>
        <v>3.3333333333333332E-4</v>
      </c>
      <c r="K286" s="1067">
        <f>BB103</f>
        <v>0.26333333333333336</v>
      </c>
      <c r="L286" s="1067">
        <f>BH103</f>
        <v>3.3333333333333332E-4</v>
      </c>
      <c r="M286" s="1067">
        <f>BN103</f>
        <v>0.26333333333333336</v>
      </c>
      <c r="N286" s="1067">
        <f>BT103</f>
        <v>3.3333333333333332E-4</v>
      </c>
      <c r="O286" s="1067">
        <f>BZ103</f>
        <v>4.666666666666667</v>
      </c>
      <c r="P286" s="1067">
        <f>CF103</f>
        <v>0.13333333333333333</v>
      </c>
      <c r="Q286" s="1067">
        <f>CL103</f>
        <v>7.3333333333333334E-2</v>
      </c>
      <c r="R286" s="1067">
        <f>CR103</f>
        <v>0.25666666666666665</v>
      </c>
      <c r="S286" s="930"/>
      <c r="AP286" s="1037"/>
      <c r="AT286" s="973"/>
      <c r="AV286" s="1037"/>
      <c r="AZ286" s="973"/>
      <c r="BB286" s="1037"/>
      <c r="BF286" s="973"/>
      <c r="BH286" s="1037"/>
      <c r="BL286" s="973"/>
      <c r="BN286" s="1037"/>
      <c r="BR286" s="973"/>
      <c r="BT286" s="1037"/>
      <c r="BX286" s="973"/>
      <c r="BZ286" s="1037"/>
      <c r="CB286" s="973"/>
      <c r="CD286" s="1037"/>
      <c r="CG286" s="930"/>
      <c r="CH286" s="973"/>
      <c r="CM286" s="930"/>
      <c r="CS286" s="930"/>
    </row>
    <row r="287" spans="1:97" s="972" customFormat="1" ht="13.95" customHeight="1">
      <c r="A287" s="930"/>
      <c r="B287" s="1036" t="s">
        <v>230</v>
      </c>
      <c r="C287" s="1067">
        <f>F118</f>
        <v>3.3908920474451085E-2</v>
      </c>
      <c r="D287" s="1067">
        <f>L118</f>
        <v>0.11786633380468278</v>
      </c>
      <c r="E287" s="1067">
        <f>R118</f>
        <v>0.13</v>
      </c>
      <c r="F287" s="1067">
        <f>X118</f>
        <v>3.3333333333333332E-4</v>
      </c>
      <c r="G287" s="1067">
        <f>AD118</f>
        <v>3.3333333333333332E-4</v>
      </c>
      <c r="H287" s="1067">
        <f>AJ118</f>
        <v>0.3066666666666667</v>
      </c>
      <c r="I287" s="1067">
        <f>AP118</f>
        <v>3.3333333333333332E-4</v>
      </c>
      <c r="J287" s="1067">
        <f>AV118</f>
        <v>3.3333333333333332E-4</v>
      </c>
      <c r="K287" s="1067">
        <f>BB118</f>
        <v>0.26333333333333336</v>
      </c>
      <c r="L287" s="1067">
        <f>BH118</f>
        <v>3.3333333333333332E-4</v>
      </c>
      <c r="M287" s="1067">
        <f>BN118</f>
        <v>0.26333333333333336</v>
      </c>
      <c r="N287" s="1067">
        <f>BT118</f>
        <v>3.3333333333333332E-4</v>
      </c>
      <c r="O287" s="1067">
        <f>BZ118</f>
        <v>9.3333333333333339</v>
      </c>
      <c r="P287" s="1067">
        <f>CF118</f>
        <v>0.13333333333333333</v>
      </c>
      <c r="Q287" s="1067">
        <f>CL118</f>
        <v>7.3333333333333334E-2</v>
      </c>
      <c r="R287" s="1067">
        <f>CR118</f>
        <v>0.25666666666666665</v>
      </c>
      <c r="S287" s="930"/>
      <c r="AP287" s="1037"/>
      <c r="AT287" s="973"/>
      <c r="AV287" s="1037"/>
      <c r="AZ287" s="973"/>
      <c r="BB287" s="1037"/>
      <c r="BF287" s="973"/>
      <c r="BH287" s="1037"/>
      <c r="BL287" s="973"/>
      <c r="BN287" s="1037"/>
      <c r="BR287" s="973"/>
      <c r="BT287" s="1037"/>
      <c r="BX287" s="973"/>
      <c r="BZ287" s="1037"/>
      <c r="CB287" s="973"/>
      <c r="CD287" s="1037"/>
      <c r="CG287" s="930"/>
      <c r="CH287" s="973"/>
      <c r="CM287" s="930"/>
      <c r="CS287" s="930"/>
    </row>
    <row r="288" spans="1:97" s="972" customFormat="1" ht="13.95" customHeight="1">
      <c r="A288" s="930"/>
      <c r="B288" s="1013" t="s">
        <v>425</v>
      </c>
      <c r="C288" s="1067">
        <f>F133</f>
        <v>0.11333333333333334</v>
      </c>
      <c r="D288" s="1067">
        <f>L133</f>
        <v>0.1</v>
      </c>
      <c r="E288" s="1067">
        <f>R133</f>
        <v>0.1</v>
      </c>
      <c r="F288" s="1067">
        <f>X133</f>
        <v>3.3333333333333332E-4</v>
      </c>
      <c r="G288" s="1067">
        <f>AD133</f>
        <v>3.3333333333333332E-4</v>
      </c>
      <c r="H288" s="1067">
        <f>AJ133</f>
        <v>3.3333333333333332E-4</v>
      </c>
      <c r="I288" s="1067">
        <f>AP133</f>
        <v>3.3333333333333332E-4</v>
      </c>
      <c r="J288" s="1067">
        <f>AV133</f>
        <v>3.3333333333333332E-4</v>
      </c>
      <c r="K288" s="1067">
        <f>BB133</f>
        <v>0.26333333333333336</v>
      </c>
      <c r="L288" s="1067">
        <f>BH133</f>
        <v>3.3333333333333332E-4</v>
      </c>
      <c r="M288" s="1067">
        <f>BN133</f>
        <v>0.26333333333333336</v>
      </c>
      <c r="N288" s="1067">
        <f>BT133</f>
        <v>3.3333333333333332E-4</v>
      </c>
      <c r="O288" s="1067">
        <f>BZ133</f>
        <v>4.666666666666667</v>
      </c>
      <c r="P288" s="1067">
        <f>CF133</f>
        <v>0.13333333333333333</v>
      </c>
      <c r="Q288" s="1067">
        <f>CL133</f>
        <v>7.3333333333333334E-2</v>
      </c>
      <c r="R288" s="1067">
        <f>CR133</f>
        <v>0.25666666666666665</v>
      </c>
      <c r="S288" s="930"/>
      <c r="AE288" s="1037"/>
      <c r="AF288" s="1037"/>
      <c r="AG288" s="1037"/>
      <c r="AH288" s="1037"/>
      <c r="AN288" s="973"/>
      <c r="AT288" s="973"/>
      <c r="AZ288" s="973"/>
      <c r="BF288" s="973"/>
      <c r="BL288" s="973"/>
      <c r="BR288" s="973"/>
      <c r="BX288" s="973"/>
      <c r="CB288" s="973"/>
      <c r="CG288" s="930"/>
      <c r="CH288" s="973"/>
      <c r="CM288" s="930"/>
      <c r="CS288" s="930"/>
    </row>
    <row r="289" spans="1:97" s="972" customFormat="1" ht="13.95" customHeight="1">
      <c r="A289" s="930"/>
      <c r="B289" s="1013" t="s">
        <v>426</v>
      </c>
      <c r="C289" s="1067">
        <f>F148</f>
        <v>0.11333333333333334</v>
      </c>
      <c r="D289" s="1067">
        <f>L148</f>
        <v>0.1</v>
      </c>
      <c r="E289" s="1067">
        <f>R148</f>
        <v>0.1</v>
      </c>
      <c r="F289" s="1067">
        <f>X148</f>
        <v>3.3333333333333332E-4</v>
      </c>
      <c r="G289" s="1067">
        <f>AD148</f>
        <v>3.3333333333333332E-4</v>
      </c>
      <c r="H289" s="1067">
        <f>AJ148</f>
        <v>3.3333333333333332E-4</v>
      </c>
      <c r="I289" s="1067">
        <f>AP148</f>
        <v>3.3333333333333332E-4</v>
      </c>
      <c r="J289" s="1067">
        <f>AV148</f>
        <v>3.3333333333333332E-4</v>
      </c>
      <c r="K289" s="1067">
        <f>BB148</f>
        <v>0.26333333333333336</v>
      </c>
      <c r="L289" s="1067">
        <f>BH148</f>
        <v>3.3333333333333332E-4</v>
      </c>
      <c r="M289" s="1067">
        <f>BN148</f>
        <v>0.26333333333333336</v>
      </c>
      <c r="N289" s="1067">
        <f>BT148</f>
        <v>3.3333333333333332E-4</v>
      </c>
      <c r="O289" s="1067">
        <f>BZ148</f>
        <v>9.3333333333333339</v>
      </c>
      <c r="P289" s="1067">
        <f>CF148</f>
        <v>0.13333333333333333</v>
      </c>
      <c r="Q289" s="1067">
        <f>CL148</f>
        <v>7.3333333333333334E-2</v>
      </c>
      <c r="R289" s="1067">
        <f>CR148</f>
        <v>0.25666666666666665</v>
      </c>
      <c r="S289" s="930"/>
      <c r="AE289" s="996"/>
      <c r="AF289" s="1035"/>
      <c r="AH289" s="973"/>
      <c r="AJ289" s="1035"/>
      <c r="AK289" s="996"/>
      <c r="AL289" s="1038"/>
      <c r="AN289" s="973"/>
      <c r="AP289" s="1035"/>
      <c r="AQ289" s="996"/>
      <c r="AR289" s="1038"/>
      <c r="AT289" s="973"/>
      <c r="AV289" s="1035"/>
      <c r="AW289" s="1038"/>
      <c r="AX289" s="1038"/>
      <c r="AZ289" s="973"/>
      <c r="BB289" s="1035"/>
      <c r="BD289" s="1038"/>
      <c r="BF289" s="973"/>
      <c r="BH289" s="1035"/>
      <c r="BJ289" s="1038"/>
      <c r="BL289" s="973"/>
      <c r="BN289" s="1035"/>
      <c r="BP289" s="1038"/>
      <c r="BR289" s="973"/>
      <c r="BT289" s="1035"/>
      <c r="BV289" s="1038"/>
      <c r="BX289" s="973"/>
      <c r="BZ289" s="1035"/>
      <c r="CB289" s="973"/>
      <c r="CD289" s="1035"/>
      <c r="CE289" s="996"/>
      <c r="CF289" s="1038"/>
      <c r="CG289" s="930"/>
      <c r="CH289" s="973"/>
      <c r="CM289" s="930"/>
      <c r="CS289" s="930"/>
    </row>
    <row r="290" spans="1:97">
      <c r="B290" s="1039">
        <f>ID!K97</f>
        <v>6.4428226504297132</v>
      </c>
      <c r="C290" s="929"/>
      <c r="D290" s="929"/>
      <c r="E290" s="929"/>
      <c r="F290" s="929"/>
      <c r="G290" s="929"/>
      <c r="H290" s="929"/>
      <c r="I290" s="929"/>
      <c r="J290" s="929"/>
      <c r="K290" s="929"/>
      <c r="L290" s="929"/>
      <c r="M290" s="929"/>
      <c r="N290" s="929"/>
      <c r="O290" s="929"/>
      <c r="P290" s="929"/>
      <c r="Q290" s="929"/>
      <c r="R290" s="1055"/>
      <c r="S290" s="929"/>
      <c r="AE290" s="972"/>
      <c r="AF290" s="972"/>
      <c r="AG290" s="972"/>
      <c r="AH290" s="973"/>
      <c r="AJ290" s="992"/>
      <c r="AK290" s="972"/>
      <c r="AL290" s="972"/>
      <c r="AM290" s="972"/>
      <c r="AN290" s="973"/>
      <c r="AP290" s="992"/>
      <c r="AQ290" s="972"/>
      <c r="AR290" s="972"/>
      <c r="AS290" s="972"/>
      <c r="AT290" s="973"/>
      <c r="AV290" s="992"/>
      <c r="AW290" s="972"/>
      <c r="AX290" s="972"/>
      <c r="AY290" s="972"/>
      <c r="AZ290" s="973"/>
      <c r="BB290" s="992"/>
      <c r="BC290" s="972"/>
      <c r="BD290" s="972"/>
      <c r="BE290" s="972"/>
      <c r="BF290" s="973"/>
      <c r="BH290" s="992"/>
      <c r="BI290" s="972"/>
      <c r="BJ290" s="972"/>
      <c r="BK290" s="972"/>
      <c r="BL290" s="973"/>
      <c r="BN290" s="992"/>
      <c r="BO290" s="972"/>
      <c r="BP290" s="972"/>
      <c r="BQ290" s="972"/>
      <c r="BR290" s="973"/>
      <c r="BT290" s="992"/>
      <c r="BU290" s="972"/>
      <c r="BV290" s="972"/>
      <c r="BW290" s="972"/>
      <c r="BX290" s="973"/>
      <c r="BZ290" s="992"/>
      <c r="CA290" s="972"/>
      <c r="CB290" s="973"/>
      <c r="CD290" s="992"/>
      <c r="CE290" s="972"/>
      <c r="CF290" s="972"/>
      <c r="CG290" s="930"/>
      <c r="CH290" s="973"/>
    </row>
    <row r="291" spans="1:97">
      <c r="B291" s="1040" t="s">
        <v>253</v>
      </c>
      <c r="C291" s="1040">
        <f>MAX(C274:R274)</f>
        <v>0.12995449410100518</v>
      </c>
      <c r="D291" s="929"/>
      <c r="E291" s="929"/>
      <c r="F291" s="929"/>
      <c r="G291" s="929"/>
      <c r="H291" s="929"/>
      <c r="I291" s="929"/>
      <c r="J291" s="929"/>
      <c r="K291" s="929"/>
      <c r="L291" s="929"/>
      <c r="M291" s="929"/>
      <c r="N291" s="929"/>
      <c r="O291" s="929"/>
      <c r="P291" s="929"/>
      <c r="Q291" s="929"/>
      <c r="R291" s="1055"/>
      <c r="S291" s="929"/>
      <c r="AE291" s="972"/>
      <c r="AF291" s="972"/>
      <c r="AG291" s="972"/>
      <c r="AH291" s="973"/>
      <c r="AJ291" s="992"/>
      <c r="AK291" s="972"/>
      <c r="AL291" s="972"/>
      <c r="AM291" s="972"/>
      <c r="AN291" s="973"/>
      <c r="AP291" s="992"/>
      <c r="AQ291" s="972"/>
      <c r="AR291" s="972"/>
      <c r="AS291" s="972"/>
      <c r="AT291" s="973"/>
      <c r="AV291" s="992"/>
      <c r="AW291" s="972"/>
      <c r="AX291" s="972"/>
      <c r="AY291" s="972"/>
      <c r="AZ291" s="973"/>
      <c r="BB291" s="992"/>
      <c r="BC291" s="972"/>
      <c r="BD291" s="972"/>
      <c r="BE291" s="972"/>
      <c r="BF291" s="973"/>
      <c r="BH291" s="992"/>
      <c r="BI291" s="972"/>
      <c r="BJ291" s="972"/>
      <c r="BK291" s="972"/>
      <c r="BL291" s="973"/>
      <c r="BN291" s="992"/>
      <c r="BO291" s="972"/>
      <c r="BP291" s="972"/>
      <c r="BQ291" s="972"/>
      <c r="BR291" s="973"/>
      <c r="BT291" s="992"/>
      <c r="BU291" s="972"/>
      <c r="BV291" s="972"/>
      <c r="BW291" s="972"/>
      <c r="BX291" s="973"/>
      <c r="BZ291" s="992"/>
      <c r="CA291" s="972"/>
      <c r="CB291" s="973"/>
      <c r="CD291" s="992"/>
      <c r="CE291" s="972"/>
      <c r="CF291" s="972"/>
      <c r="CG291" s="930"/>
      <c r="CH291" s="973"/>
    </row>
    <row r="292" spans="1:97">
      <c r="B292" s="1040" t="s">
        <v>255</v>
      </c>
      <c r="C292" s="1040">
        <f>MAX(C273:R273)</f>
        <v>0.47</v>
      </c>
      <c r="D292" s="929"/>
      <c r="E292" s="929"/>
      <c r="F292" s="929"/>
      <c r="G292" s="929"/>
      <c r="H292" s="929"/>
      <c r="I292" s="929"/>
      <c r="J292" s="929"/>
      <c r="K292" s="929"/>
      <c r="L292" s="929"/>
      <c r="M292" s="929"/>
      <c r="N292" s="929"/>
      <c r="O292" s="929"/>
      <c r="P292" s="929"/>
      <c r="Q292" s="929"/>
      <c r="R292" s="929"/>
      <c r="S292" s="929"/>
      <c r="AE292" s="972"/>
      <c r="AF292" s="972"/>
      <c r="AG292" s="972"/>
      <c r="AH292" s="973"/>
      <c r="AJ292" s="992"/>
      <c r="AK292" s="972"/>
      <c r="AL292" s="972"/>
      <c r="AM292" s="972"/>
      <c r="AN292" s="973"/>
      <c r="AP292" s="992"/>
      <c r="AQ292" s="972"/>
      <c r="AR292" s="972"/>
      <c r="AS292" s="972"/>
      <c r="AT292" s="973"/>
      <c r="AV292" s="992"/>
      <c r="AW292" s="972"/>
      <c r="AX292" s="972"/>
      <c r="AY292" s="972"/>
      <c r="AZ292" s="973"/>
      <c r="BB292" s="992"/>
      <c r="BC292" s="972"/>
      <c r="BD292" s="972"/>
      <c r="BE292" s="972"/>
      <c r="BF292" s="973"/>
      <c r="BH292" s="992"/>
      <c r="BI292" s="972"/>
      <c r="BJ292" s="972"/>
      <c r="BK292" s="972"/>
      <c r="BL292" s="973"/>
      <c r="BN292" s="992"/>
      <c r="BO292" s="972"/>
      <c r="BP292" s="972"/>
      <c r="BQ292" s="972"/>
      <c r="BR292" s="973"/>
      <c r="BT292" s="992"/>
      <c r="BU292" s="972"/>
      <c r="BV292" s="972"/>
      <c r="BW292" s="972"/>
      <c r="BX292" s="973"/>
      <c r="BZ292" s="992"/>
      <c r="CA292" s="972"/>
      <c r="CB292" s="973"/>
      <c r="CD292" s="992"/>
      <c r="CE292" s="972"/>
      <c r="CF292" s="972"/>
      <c r="CG292" s="930"/>
      <c r="CH292" s="973"/>
    </row>
    <row r="293" spans="1:97">
      <c r="B293" s="929"/>
      <c r="C293" s="929"/>
      <c r="D293" s="929"/>
      <c r="E293" s="929"/>
      <c r="F293" s="929"/>
      <c r="G293" s="929"/>
      <c r="H293" s="929"/>
      <c r="I293" s="929"/>
      <c r="J293" s="929"/>
      <c r="K293" s="929"/>
      <c r="L293" s="929"/>
      <c r="M293" s="929"/>
      <c r="N293" s="929"/>
      <c r="O293" s="929"/>
      <c r="P293" s="929"/>
      <c r="Q293" s="929"/>
      <c r="R293" s="929"/>
      <c r="S293" s="929"/>
      <c r="AE293" s="972"/>
      <c r="AF293" s="972"/>
      <c r="AG293" s="972"/>
      <c r="AH293" s="973"/>
      <c r="AJ293" s="992"/>
      <c r="AK293" s="972"/>
      <c r="AL293" s="972"/>
      <c r="AM293" s="972"/>
      <c r="AN293" s="973"/>
      <c r="AP293" s="992"/>
      <c r="AQ293" s="972"/>
      <c r="AR293" s="972"/>
      <c r="AS293" s="972"/>
      <c r="AT293" s="973"/>
      <c r="AV293" s="992"/>
      <c r="AW293" s="972"/>
      <c r="AX293" s="972"/>
      <c r="AY293" s="972"/>
      <c r="AZ293" s="973"/>
      <c r="BB293" s="992"/>
      <c r="BC293" s="972"/>
      <c r="BD293" s="972"/>
      <c r="BE293" s="972"/>
      <c r="BF293" s="973"/>
      <c r="BH293" s="992"/>
      <c r="BI293" s="972"/>
      <c r="BJ293" s="972"/>
      <c r="BK293" s="972"/>
      <c r="BL293" s="973"/>
      <c r="BN293" s="992"/>
      <c r="BO293" s="972"/>
      <c r="BP293" s="972"/>
      <c r="BQ293" s="972"/>
      <c r="BR293" s="973"/>
      <c r="BT293" s="992"/>
      <c r="BU293" s="972"/>
      <c r="BV293" s="972"/>
      <c r="BW293" s="972"/>
      <c r="BX293" s="973"/>
      <c r="BZ293" s="992"/>
      <c r="CA293" s="972"/>
      <c r="CB293" s="973"/>
      <c r="CD293" s="992"/>
      <c r="CE293" s="972"/>
      <c r="CF293" s="972"/>
      <c r="CG293" s="930"/>
      <c r="CH293" s="973"/>
    </row>
    <row r="294" spans="1:97" s="929" customFormat="1">
      <c r="T294" s="930"/>
      <c r="U294" s="930"/>
      <c r="V294" s="930"/>
      <c r="W294" s="930"/>
      <c r="X294" s="930"/>
      <c r="Y294" s="930"/>
      <c r="Z294" s="930"/>
      <c r="AA294" s="930"/>
      <c r="AB294" s="930"/>
      <c r="AE294" s="930"/>
      <c r="AF294" s="930"/>
      <c r="AG294" s="930"/>
      <c r="AH294" s="931"/>
      <c r="AJ294" s="946"/>
      <c r="AK294" s="930"/>
      <c r="AL294" s="930"/>
      <c r="AM294" s="930"/>
      <c r="AN294" s="931"/>
      <c r="AP294" s="946"/>
      <c r="AQ294" s="930"/>
      <c r="AR294" s="930"/>
      <c r="AS294" s="930"/>
      <c r="AT294" s="931"/>
      <c r="AV294" s="946"/>
      <c r="AW294" s="930"/>
      <c r="AX294" s="930"/>
      <c r="AY294" s="930"/>
      <c r="AZ294" s="931"/>
      <c r="BB294" s="946"/>
      <c r="BC294" s="930"/>
      <c r="BD294" s="930"/>
      <c r="BE294" s="930"/>
      <c r="BF294" s="931"/>
      <c r="BH294" s="946"/>
      <c r="BI294" s="930"/>
      <c r="BJ294" s="930"/>
      <c r="BK294" s="930"/>
      <c r="BL294" s="931"/>
      <c r="BN294" s="946"/>
      <c r="BO294" s="930"/>
      <c r="BP294" s="930"/>
      <c r="BQ294" s="930"/>
      <c r="BR294" s="931"/>
      <c r="BT294" s="946"/>
      <c r="BU294" s="930"/>
      <c r="BV294" s="930"/>
      <c r="BW294" s="930"/>
      <c r="BX294" s="931"/>
      <c r="BZ294" s="946"/>
      <c r="CA294" s="930"/>
      <c r="CB294" s="931"/>
      <c r="CD294" s="946"/>
      <c r="CE294" s="930"/>
      <c r="CF294" s="930"/>
      <c r="CG294" s="930"/>
      <c r="CH294" s="931"/>
    </row>
    <row r="295" spans="1:97" s="929" customFormat="1">
      <c r="T295" s="930"/>
      <c r="U295" s="930"/>
      <c r="V295" s="930"/>
      <c r="W295" s="930"/>
      <c r="X295" s="930"/>
      <c r="Y295" s="930"/>
      <c r="Z295" s="930"/>
      <c r="AA295" s="930"/>
      <c r="AB295" s="930"/>
      <c r="AE295" s="930"/>
      <c r="AF295" s="930"/>
      <c r="AG295" s="930"/>
      <c r="AH295" s="931"/>
      <c r="AJ295" s="946"/>
      <c r="AK295" s="930"/>
      <c r="AL295" s="930"/>
      <c r="AM295" s="930"/>
      <c r="AN295" s="931"/>
      <c r="AP295" s="946"/>
      <c r="AQ295" s="930"/>
      <c r="AR295" s="930"/>
      <c r="AS295" s="930"/>
      <c r="AT295" s="931"/>
      <c r="AV295" s="946"/>
      <c r="AW295" s="930"/>
      <c r="AX295" s="930"/>
      <c r="AY295" s="930"/>
      <c r="AZ295" s="931"/>
      <c r="BB295" s="946"/>
      <c r="BC295" s="930"/>
      <c r="BD295" s="930"/>
      <c r="BE295" s="930"/>
      <c r="BF295" s="931"/>
      <c r="BH295" s="946"/>
      <c r="BI295" s="930"/>
      <c r="BJ295" s="930"/>
      <c r="BK295" s="930"/>
      <c r="BL295" s="931"/>
      <c r="BN295" s="946"/>
      <c r="BO295" s="930"/>
      <c r="BP295" s="930"/>
      <c r="BQ295" s="930"/>
      <c r="BR295" s="931"/>
      <c r="BT295" s="946"/>
      <c r="BU295" s="930"/>
      <c r="BV295" s="930"/>
      <c r="BW295" s="930"/>
      <c r="BX295" s="931"/>
      <c r="BZ295" s="946"/>
      <c r="CA295" s="930"/>
      <c r="CB295" s="931"/>
      <c r="CD295" s="946"/>
      <c r="CE295" s="930"/>
      <c r="CF295" s="930"/>
      <c r="CG295" s="930"/>
      <c r="CH295" s="931"/>
    </row>
    <row r="296" spans="1:97" s="929" customFormat="1">
      <c r="T296" s="930"/>
      <c r="U296" s="930"/>
      <c r="V296" s="930"/>
      <c r="W296" s="930"/>
      <c r="X296" s="930"/>
      <c r="Y296" s="930"/>
      <c r="Z296" s="930"/>
      <c r="AA296" s="930"/>
      <c r="AB296" s="930"/>
      <c r="AE296" s="930"/>
      <c r="AF296" s="930"/>
      <c r="AG296" s="930"/>
      <c r="AH296" s="931"/>
      <c r="AJ296" s="946"/>
      <c r="AK296" s="930"/>
      <c r="AL296" s="930"/>
      <c r="AM296" s="930"/>
      <c r="AN296" s="931"/>
      <c r="AP296" s="946"/>
      <c r="AQ296" s="930"/>
      <c r="AR296" s="930"/>
      <c r="AS296" s="930"/>
      <c r="AT296" s="931"/>
      <c r="AV296" s="946"/>
      <c r="AW296" s="930"/>
      <c r="AX296" s="930"/>
      <c r="AY296" s="930"/>
      <c r="AZ296" s="931"/>
      <c r="BB296" s="946"/>
      <c r="BC296" s="930"/>
      <c r="BD296" s="930"/>
      <c r="BE296" s="930"/>
      <c r="BF296" s="931"/>
      <c r="BH296" s="946"/>
      <c r="BI296" s="930"/>
      <c r="BJ296" s="930"/>
      <c r="BK296" s="930"/>
      <c r="BL296" s="931"/>
      <c r="BN296" s="946"/>
      <c r="BO296" s="930"/>
      <c r="BP296" s="930"/>
      <c r="BQ296" s="930"/>
      <c r="BR296" s="931"/>
      <c r="BT296" s="946"/>
      <c r="BU296" s="930"/>
      <c r="BV296" s="930"/>
      <c r="BW296" s="930"/>
      <c r="BX296" s="931"/>
      <c r="BZ296" s="946"/>
      <c r="CA296" s="930"/>
      <c r="CB296" s="931"/>
      <c r="CD296" s="946"/>
      <c r="CE296" s="930"/>
      <c r="CF296" s="930"/>
      <c r="CG296" s="930"/>
      <c r="CH296" s="931"/>
    </row>
    <row r="297" spans="1:97" ht="27" customHeight="1">
      <c r="B297" s="1041" t="s">
        <v>254</v>
      </c>
      <c r="C297" s="989" t="s">
        <v>241</v>
      </c>
      <c r="D297" s="1041" t="s">
        <v>242</v>
      </c>
      <c r="E297" s="921" t="s">
        <v>243</v>
      </c>
      <c r="F297" s="1042" t="s">
        <v>244</v>
      </c>
      <c r="G297" s="929"/>
      <c r="H297" s="1041" t="s">
        <v>240</v>
      </c>
      <c r="I297" s="989" t="s">
        <v>241</v>
      </c>
      <c r="J297" s="1041" t="s">
        <v>242</v>
      </c>
      <c r="K297" s="921" t="s">
        <v>243</v>
      </c>
      <c r="L297" s="1042" t="s">
        <v>244</v>
      </c>
      <c r="M297" s="929"/>
      <c r="AE297" s="972"/>
      <c r="AF297" s="972"/>
      <c r="AG297" s="972"/>
      <c r="AH297" s="973"/>
      <c r="AJ297" s="992"/>
      <c r="AK297" s="972"/>
      <c r="AL297" s="972"/>
      <c r="AM297" s="972"/>
      <c r="AN297" s="973"/>
      <c r="AP297" s="992"/>
      <c r="AQ297" s="972"/>
      <c r="AR297" s="972"/>
      <c r="AS297" s="972"/>
      <c r="AT297" s="973"/>
      <c r="AV297" s="992"/>
      <c r="AW297" s="972"/>
      <c r="AX297" s="972"/>
      <c r="AY297" s="972"/>
      <c r="AZ297" s="973"/>
      <c r="BB297" s="992"/>
      <c r="BC297" s="972"/>
      <c r="BD297" s="972"/>
      <c r="BE297" s="972"/>
      <c r="BF297" s="973"/>
      <c r="BH297" s="992"/>
      <c r="BI297" s="972"/>
      <c r="BJ297" s="972"/>
      <c r="BK297" s="972"/>
      <c r="BL297" s="973"/>
      <c r="BN297" s="992"/>
      <c r="BO297" s="972"/>
      <c r="BP297" s="972"/>
      <c r="BQ297" s="972"/>
      <c r="BR297" s="973"/>
      <c r="BT297" s="992"/>
      <c r="BU297" s="972"/>
      <c r="BV297" s="972"/>
      <c r="BW297" s="972"/>
      <c r="BX297" s="973"/>
      <c r="BZ297" s="992"/>
      <c r="CA297" s="972"/>
      <c r="CB297" s="973"/>
      <c r="CD297" s="992"/>
      <c r="CE297" s="972"/>
      <c r="CF297" s="972"/>
      <c r="CG297" s="930"/>
      <c r="CH297" s="973"/>
    </row>
    <row r="298" spans="1:97" ht="13.95" customHeight="1">
      <c r="B298" s="1043" t="s">
        <v>245</v>
      </c>
      <c r="C298" s="921">
        <f>ID!C73</f>
        <v>6.23</v>
      </c>
      <c r="D298" s="921">
        <f>FORECAST(C298,$C$260:$C$266,$B$260:$B$266)+C298</f>
        <v>6.080148105160891</v>
      </c>
      <c r="E298" s="921">
        <f t="shared" ref="E298:E307" si="321">D298-C298</f>
        <v>-0.14985189483910943</v>
      </c>
      <c r="F298" s="1042"/>
      <c r="G298" s="929"/>
      <c r="H298" s="1043" t="s">
        <v>245</v>
      </c>
      <c r="I298" s="921">
        <f>ID!D73</f>
        <v>6.79</v>
      </c>
      <c r="J298" s="921">
        <f>FORECAST(I298,$C$260:$C$272,$B$260:$B$272)+I298</f>
        <v>6.6048981543238092</v>
      </c>
      <c r="K298" s="921">
        <f t="shared" ref="K298:K307" si="322">J298-I298</f>
        <v>-0.18510184567619081</v>
      </c>
      <c r="L298" s="1042"/>
      <c r="M298" s="929"/>
      <c r="AE298" s="972"/>
      <c r="AF298" s="972"/>
      <c r="AG298" s="972"/>
      <c r="AH298" s="973"/>
      <c r="AJ298" s="992"/>
      <c r="AK298" s="972"/>
      <c r="AL298" s="972"/>
      <c r="AM298" s="972"/>
      <c r="AN298" s="973"/>
      <c r="AP298" s="992"/>
      <c r="AQ298" s="972"/>
      <c r="AR298" s="972"/>
      <c r="AS298" s="972"/>
      <c r="AT298" s="973"/>
      <c r="AV298" s="992"/>
      <c r="AW298" s="972"/>
      <c r="AX298" s="972"/>
      <c r="AY298" s="972"/>
      <c r="AZ298" s="973"/>
      <c r="BB298" s="992"/>
      <c r="BC298" s="972"/>
      <c r="BD298" s="972"/>
      <c r="BE298" s="972"/>
      <c r="BF298" s="973"/>
      <c r="BH298" s="992"/>
      <c r="BI298" s="972"/>
      <c r="BJ298" s="972"/>
      <c r="BK298" s="972"/>
      <c r="BL298" s="973"/>
      <c r="BN298" s="992"/>
      <c r="BO298" s="972"/>
      <c r="BP298" s="972"/>
      <c r="BQ298" s="972"/>
      <c r="BR298" s="973"/>
      <c r="BT298" s="992"/>
      <c r="BU298" s="972"/>
      <c r="BV298" s="972"/>
      <c r="BW298" s="972"/>
      <c r="BX298" s="973"/>
      <c r="BZ298" s="992"/>
      <c r="CA298" s="972"/>
      <c r="CB298" s="973"/>
      <c r="CD298" s="992"/>
      <c r="CE298" s="972"/>
      <c r="CF298" s="972"/>
      <c r="CG298" s="930"/>
      <c r="CH298" s="973"/>
    </row>
    <row r="299" spans="1:97" ht="13.95" customHeight="1">
      <c r="B299" s="1043" t="s">
        <v>246</v>
      </c>
      <c r="C299" s="921">
        <f>ID!C74</f>
        <v>6.24</v>
      </c>
      <c r="D299" s="921">
        <f>FORECAST(C299,$D$260:$D$266,$B$260:$B$266)+C299</f>
        <v>6.1498847025241998</v>
      </c>
      <c r="E299" s="921">
        <f t="shared" si="321"/>
        <v>-9.0115297475800382E-2</v>
      </c>
      <c r="F299" s="1042"/>
      <c r="G299" s="929"/>
      <c r="H299" s="1043" t="s">
        <v>246</v>
      </c>
      <c r="I299" s="921">
        <f>ID!D74</f>
        <v>6.79</v>
      </c>
      <c r="J299" s="921">
        <f>FORECAST(I299,$D$260:$D$272,$B$260:$B$272)+I299</f>
        <v>6.5996956600874626</v>
      </c>
      <c r="K299" s="921">
        <f t="shared" si="322"/>
        <v>-0.19030433991253748</v>
      </c>
      <c r="L299" s="1042"/>
      <c r="M299" s="929"/>
      <c r="AE299" s="996"/>
      <c r="AF299" s="1035"/>
      <c r="AG299" s="972"/>
      <c r="AH299" s="973"/>
      <c r="AJ299" s="1035"/>
      <c r="AK299" s="996"/>
      <c r="AL299" s="1035"/>
      <c r="AM299" s="972"/>
      <c r="AN299" s="973"/>
      <c r="AP299" s="1035"/>
      <c r="AQ299" s="996"/>
      <c r="AR299" s="1035"/>
      <c r="AS299" s="972"/>
      <c r="AT299" s="973"/>
      <c r="AV299" s="1035"/>
      <c r="AW299" s="1035"/>
      <c r="AX299" s="1035"/>
      <c r="AY299" s="972"/>
      <c r="AZ299" s="973"/>
      <c r="BB299" s="1035"/>
      <c r="BC299" s="972"/>
      <c r="BD299" s="1035"/>
      <c r="BE299" s="972"/>
      <c r="BF299" s="973"/>
      <c r="BH299" s="1035"/>
      <c r="BI299" s="972"/>
      <c r="BJ299" s="1035"/>
      <c r="BK299" s="972"/>
      <c r="BL299" s="973"/>
      <c r="BN299" s="1035"/>
      <c r="BO299" s="972"/>
      <c r="BP299" s="1035"/>
      <c r="BQ299" s="972"/>
      <c r="BR299" s="973"/>
      <c r="BT299" s="1035"/>
      <c r="BU299" s="972"/>
      <c r="BV299" s="1035"/>
      <c r="BW299" s="972"/>
      <c r="BX299" s="973"/>
      <c r="BZ299" s="1035"/>
      <c r="CA299" s="972"/>
      <c r="CB299" s="973"/>
      <c r="CD299" s="1035"/>
      <c r="CE299" s="996"/>
      <c r="CF299" s="1035"/>
      <c r="CG299" s="930"/>
      <c r="CH299" s="973"/>
    </row>
    <row r="300" spans="1:97" ht="13.95" customHeight="1">
      <c r="B300" s="1043" t="s">
        <v>247</v>
      </c>
      <c r="C300" s="921">
        <f>ID!C75</f>
        <v>6.25</v>
      </c>
      <c r="D300" s="921">
        <f>FORECAST(C300,$E$260:$E$266,$B$260:$B$266)+C300</f>
        <v>6.0988600406935589</v>
      </c>
      <c r="E300" s="921">
        <f t="shared" si="321"/>
        <v>-0.15113995930644109</v>
      </c>
      <c r="F300" s="1042"/>
      <c r="G300" s="929"/>
      <c r="H300" s="1043" t="s">
        <v>247</v>
      </c>
      <c r="I300" s="921">
        <f>ID!D75</f>
        <v>6.79</v>
      </c>
      <c r="J300" s="921">
        <f>FORECAST(I300,$E$260:$E$272,$B$260:$B$272)+I300</f>
        <v>6.6150639805250435</v>
      </c>
      <c r="K300" s="921">
        <f t="shared" si="322"/>
        <v>-0.17493601947495652</v>
      </c>
      <c r="L300" s="1042"/>
      <c r="M300" s="929"/>
      <c r="AE300" s="972"/>
      <c r="AF300" s="972"/>
      <c r="AG300" s="972"/>
      <c r="AH300" s="973"/>
      <c r="AJ300" s="992"/>
      <c r="AK300" s="972"/>
      <c r="AL300" s="972"/>
      <c r="AM300" s="972"/>
      <c r="AN300" s="973"/>
      <c r="AP300" s="992"/>
      <c r="AQ300" s="972"/>
      <c r="AR300" s="972"/>
      <c r="AS300" s="972"/>
      <c r="AT300" s="973"/>
      <c r="AV300" s="992"/>
      <c r="AW300" s="972"/>
      <c r="AX300" s="972"/>
      <c r="AY300" s="972"/>
      <c r="AZ300" s="973"/>
      <c r="BB300" s="992"/>
      <c r="BC300" s="972"/>
      <c r="BD300" s="972"/>
      <c r="BE300" s="972"/>
      <c r="BF300" s="973"/>
      <c r="BH300" s="992"/>
      <c r="BI300" s="972"/>
      <c r="BJ300" s="972"/>
      <c r="BK300" s="972"/>
      <c r="BL300" s="973"/>
      <c r="BN300" s="992"/>
      <c r="BO300" s="972"/>
      <c r="BP300" s="972"/>
      <c r="BQ300" s="972"/>
      <c r="BR300" s="973"/>
      <c r="BT300" s="992"/>
      <c r="BU300" s="972"/>
      <c r="BV300" s="972"/>
      <c r="BW300" s="972"/>
      <c r="BX300" s="973"/>
      <c r="BZ300" s="992"/>
      <c r="CA300" s="972"/>
      <c r="CB300" s="973"/>
      <c r="CD300" s="992"/>
      <c r="CE300" s="972"/>
      <c r="CF300" s="972"/>
      <c r="CG300" s="930"/>
      <c r="CH300" s="973"/>
    </row>
    <row r="301" spans="1:97" ht="13.95" customHeight="1">
      <c r="B301" s="1043" t="s">
        <v>248</v>
      </c>
      <c r="C301" s="921">
        <f>ID!C76</f>
        <v>6.26</v>
      </c>
      <c r="D301" s="921">
        <f>FORECAST(C301,$F$260:$F$266,$B$260:$B$266)+C301</f>
        <v>6.2057094488910804</v>
      </c>
      <c r="E301" s="921">
        <f t="shared" si="321"/>
        <v>-5.4290551108919338E-2</v>
      </c>
      <c r="F301" s="1042"/>
      <c r="G301" s="929"/>
      <c r="H301" s="1043" t="s">
        <v>248</v>
      </c>
      <c r="I301" s="921">
        <f>ID!D76</f>
        <v>6.79</v>
      </c>
      <c r="J301" s="921">
        <f>FORECAST(I301,$F$260:$F$272,$B$260:$B$272)+I301</f>
        <v>6.654444448886875</v>
      </c>
      <c r="K301" s="921">
        <f t="shared" si="322"/>
        <v>-0.13555555111312501</v>
      </c>
      <c r="L301" s="1042"/>
      <c r="M301" s="929"/>
      <c r="AE301" s="972"/>
      <c r="AF301" s="972"/>
      <c r="AG301" s="972"/>
      <c r="AH301" s="973"/>
      <c r="AJ301" s="992"/>
      <c r="AK301" s="972"/>
      <c r="AL301" s="972"/>
      <c r="AM301" s="972"/>
      <c r="AN301" s="973"/>
      <c r="AP301" s="992"/>
      <c r="AQ301" s="972"/>
      <c r="AR301" s="972"/>
      <c r="AS301" s="972"/>
      <c r="AT301" s="973"/>
      <c r="AV301" s="992"/>
      <c r="AW301" s="972"/>
      <c r="AX301" s="972"/>
      <c r="AY301" s="972"/>
      <c r="AZ301" s="973"/>
      <c r="BB301" s="992"/>
      <c r="BC301" s="972"/>
      <c r="BD301" s="972"/>
      <c r="BE301" s="972"/>
      <c r="BF301" s="973"/>
      <c r="BH301" s="992"/>
      <c r="BI301" s="972"/>
      <c r="BJ301" s="972"/>
      <c r="BK301" s="972"/>
      <c r="BL301" s="973"/>
      <c r="BN301" s="992"/>
      <c r="BO301" s="972"/>
      <c r="BP301" s="972"/>
      <c r="BQ301" s="972"/>
      <c r="BR301" s="973"/>
      <c r="BT301" s="992"/>
      <c r="BU301" s="972"/>
      <c r="BV301" s="972"/>
      <c r="BW301" s="972"/>
      <c r="BX301" s="973"/>
      <c r="BZ301" s="992"/>
      <c r="CA301" s="972"/>
      <c r="CB301" s="973"/>
      <c r="CD301" s="992"/>
      <c r="CE301" s="972"/>
      <c r="CF301" s="972"/>
      <c r="CG301" s="930"/>
      <c r="CH301" s="973"/>
    </row>
    <row r="302" spans="1:97" ht="13.95" customHeight="1">
      <c r="B302" s="1043" t="s">
        <v>249</v>
      </c>
      <c r="C302" s="921">
        <f>ID!C77</f>
        <v>6.27</v>
      </c>
      <c r="D302" s="921">
        <f>FORECAST(C302,$G$260:$G$266,$B$260:$B$266)+C302</f>
        <v>6.1881561402155443</v>
      </c>
      <c r="E302" s="921">
        <f t="shared" si="321"/>
        <v>-8.1843859784455297E-2</v>
      </c>
      <c r="F302" s="1042"/>
      <c r="G302" s="929"/>
      <c r="H302" s="1043" t="s">
        <v>249</v>
      </c>
      <c r="I302" s="921">
        <f>ID!D77</f>
        <v>6.79</v>
      </c>
      <c r="J302" s="921">
        <f>FORECAST(I302,$G$260:$G$272,$B$260:$B$272)+I302</f>
        <v>6.6523824219607253</v>
      </c>
      <c r="K302" s="921">
        <f t="shared" si="322"/>
        <v>-0.13761757803927477</v>
      </c>
      <c r="L302" s="1042"/>
      <c r="M302" s="929"/>
      <c r="AE302" s="972"/>
      <c r="AF302" s="972"/>
      <c r="AG302" s="972"/>
      <c r="AH302" s="973"/>
      <c r="AJ302" s="992"/>
      <c r="AK302" s="972"/>
      <c r="AL302" s="972"/>
      <c r="AM302" s="972"/>
      <c r="AN302" s="973"/>
      <c r="AP302" s="992"/>
      <c r="AQ302" s="972"/>
      <c r="AR302" s="972"/>
      <c r="AS302" s="972"/>
      <c r="AT302" s="973"/>
      <c r="AV302" s="992"/>
      <c r="AW302" s="972"/>
      <c r="AX302" s="972"/>
      <c r="AY302" s="972"/>
      <c r="AZ302" s="973"/>
      <c r="BB302" s="992"/>
      <c r="BC302" s="972"/>
      <c r="BD302" s="972"/>
      <c r="BE302" s="972"/>
      <c r="BF302" s="973"/>
      <c r="BH302" s="992"/>
      <c r="BI302" s="972"/>
      <c r="BJ302" s="972"/>
      <c r="BK302" s="972"/>
      <c r="BL302" s="973"/>
      <c r="BN302" s="992"/>
      <c r="BO302" s="972"/>
      <c r="BP302" s="972"/>
      <c r="BQ302" s="972"/>
      <c r="BR302" s="973"/>
      <c r="BT302" s="992"/>
      <c r="BU302" s="972"/>
      <c r="BV302" s="972"/>
      <c r="BW302" s="972"/>
      <c r="BX302" s="973"/>
      <c r="BZ302" s="992"/>
      <c r="CA302" s="972"/>
      <c r="CB302" s="973"/>
      <c r="CD302" s="992"/>
      <c r="CE302" s="972"/>
      <c r="CF302" s="972"/>
      <c r="CG302" s="930"/>
      <c r="CH302" s="973"/>
    </row>
    <row r="303" spans="1:97" ht="13.95" customHeight="1">
      <c r="B303" s="1043" t="s">
        <v>250</v>
      </c>
      <c r="C303" s="921">
        <f>ID!C78</f>
        <v>6.28</v>
      </c>
      <c r="D303" s="921">
        <f>FORECAST(C303,$H$260:$H$266,$B$260:$B$266)+C303</f>
        <v>6.1319937388589905</v>
      </c>
      <c r="E303" s="921">
        <f t="shared" si="321"/>
        <v>-0.14800626114100979</v>
      </c>
      <c r="F303" s="1042"/>
      <c r="G303" s="929"/>
      <c r="H303" s="1043" t="s">
        <v>250</v>
      </c>
      <c r="I303" s="921">
        <f>ID!D78</f>
        <v>6.79</v>
      </c>
      <c r="J303" s="921">
        <f>FORECAST(I303,$H$260:$H$272,$B$260:$B$272)+I303</f>
        <v>6.6133426910312583</v>
      </c>
      <c r="K303" s="921">
        <f t="shared" si="322"/>
        <v>-0.17665730896874177</v>
      </c>
      <c r="L303" s="1042"/>
      <c r="M303" s="929"/>
      <c r="AE303" s="972"/>
      <c r="AF303" s="972"/>
      <c r="AG303" s="972"/>
      <c r="AH303" s="973"/>
      <c r="AJ303" s="992"/>
      <c r="AK303" s="972"/>
      <c r="AL303" s="972"/>
      <c r="AM303" s="972"/>
      <c r="AN303" s="973"/>
      <c r="AP303" s="992"/>
      <c r="AQ303" s="972"/>
      <c r="AR303" s="972"/>
      <c r="AS303" s="972"/>
      <c r="AT303" s="973"/>
      <c r="AV303" s="992"/>
      <c r="AW303" s="972"/>
      <c r="AX303" s="972"/>
      <c r="AY303" s="972"/>
      <c r="AZ303" s="973"/>
      <c r="BB303" s="992"/>
      <c r="BC303" s="972"/>
      <c r="BD303" s="972"/>
      <c r="BE303" s="972"/>
      <c r="BF303" s="973"/>
      <c r="BH303" s="992"/>
      <c r="BI303" s="972"/>
      <c r="BJ303" s="972"/>
      <c r="BK303" s="972"/>
      <c r="BL303" s="973"/>
      <c r="BN303" s="992"/>
      <c r="BO303" s="972"/>
      <c r="BP303" s="972"/>
      <c r="BQ303" s="972"/>
      <c r="BR303" s="973"/>
      <c r="BT303" s="992"/>
      <c r="BU303" s="972"/>
      <c r="BV303" s="972"/>
      <c r="BW303" s="972"/>
      <c r="BX303" s="973"/>
      <c r="BZ303" s="992"/>
      <c r="CA303" s="972"/>
      <c r="CB303" s="973"/>
      <c r="CD303" s="992"/>
      <c r="CE303" s="972"/>
      <c r="CF303" s="972"/>
      <c r="CG303" s="930"/>
      <c r="CH303" s="973"/>
    </row>
    <row r="304" spans="1:97" ht="13.95" customHeight="1">
      <c r="B304" s="1043" t="s">
        <v>251</v>
      </c>
      <c r="C304" s="921">
        <f>ID!C79</f>
        <v>6.29</v>
      </c>
      <c r="D304" s="921">
        <f>FORECAST(C304,$I$260:$I$266,$B$260:$B$266)+C304</f>
        <v>6.1447164194464063</v>
      </c>
      <c r="E304" s="921">
        <f t="shared" si="321"/>
        <v>-0.14528358055359369</v>
      </c>
      <c r="F304" s="1042"/>
      <c r="G304" s="929"/>
      <c r="H304" s="1043" t="s">
        <v>251</v>
      </c>
      <c r="I304" s="921">
        <f>ID!D79</f>
        <v>6.79</v>
      </c>
      <c r="J304" s="921">
        <f>FORECAST(I304,$I$260:$I$272,$B$260:$B$272)+I304</f>
        <v>6.598828935052258</v>
      </c>
      <c r="K304" s="921">
        <f t="shared" si="322"/>
        <v>-0.19117106494774205</v>
      </c>
      <c r="L304" s="1042"/>
      <c r="M304" s="929"/>
      <c r="AE304" s="972"/>
      <c r="AF304" s="972"/>
      <c r="AG304" s="972"/>
      <c r="AH304" s="973"/>
      <c r="AJ304" s="992"/>
      <c r="AK304" s="972"/>
      <c r="AL304" s="972"/>
      <c r="AM304" s="972"/>
      <c r="AN304" s="973"/>
      <c r="AP304" s="992"/>
      <c r="AQ304" s="972"/>
      <c r="AR304" s="972"/>
      <c r="AS304" s="972"/>
      <c r="AT304" s="973"/>
      <c r="AV304" s="992"/>
      <c r="AW304" s="972"/>
      <c r="AX304" s="972"/>
      <c r="AY304" s="972"/>
      <c r="AZ304" s="973"/>
      <c r="BB304" s="992"/>
      <c r="BC304" s="972"/>
      <c r="BD304" s="972"/>
      <c r="BE304" s="972"/>
      <c r="BF304" s="973"/>
      <c r="BH304" s="992"/>
      <c r="BI304" s="972"/>
      <c r="BJ304" s="972"/>
      <c r="BK304" s="972"/>
      <c r="BL304" s="973"/>
      <c r="BN304" s="992"/>
      <c r="BO304" s="972"/>
      <c r="BP304" s="972"/>
      <c r="BQ304" s="972"/>
      <c r="BR304" s="973"/>
      <c r="BT304" s="992"/>
      <c r="BU304" s="972"/>
      <c r="BV304" s="972"/>
      <c r="BW304" s="972"/>
      <c r="BX304" s="973"/>
      <c r="BZ304" s="992"/>
      <c r="CA304" s="972"/>
      <c r="CB304" s="973"/>
      <c r="CD304" s="992"/>
      <c r="CE304" s="972"/>
      <c r="CF304" s="972"/>
      <c r="CG304" s="930"/>
      <c r="CH304" s="973"/>
    </row>
    <row r="305" spans="2:86" ht="13.95" customHeight="1">
      <c r="B305" s="1043" t="s">
        <v>252</v>
      </c>
      <c r="C305" s="921">
        <f>ID!C80</f>
        <v>6.3</v>
      </c>
      <c r="D305" s="921">
        <f>FORECAST(C305,$J$260:$J$266,$B$260:$B$266)+C305</f>
        <v>6.1454603794423175</v>
      </c>
      <c r="E305" s="921">
        <f t="shared" si="321"/>
        <v>-0.15453962055768233</v>
      </c>
      <c r="F305" s="1042"/>
      <c r="G305" s="929"/>
      <c r="H305" s="1043" t="s">
        <v>252</v>
      </c>
      <c r="I305" s="921">
        <f>ID!D80</f>
        <v>6.79</v>
      </c>
      <c r="J305" s="921">
        <f>FORECAST(I305,$J$260:$J$272,$B$260:$B$272)+I305</f>
        <v>6.5990069147945523</v>
      </c>
      <c r="K305" s="921">
        <f t="shared" si="322"/>
        <v>-0.19099308520544778</v>
      </c>
      <c r="L305" s="1042"/>
      <c r="M305" s="929"/>
      <c r="AE305" s="972"/>
      <c r="AF305" s="972"/>
      <c r="AG305" s="972"/>
      <c r="AH305" s="973"/>
      <c r="AJ305" s="992"/>
      <c r="AK305" s="972"/>
      <c r="AL305" s="972"/>
      <c r="AM305" s="972"/>
      <c r="AN305" s="973"/>
      <c r="AP305" s="992"/>
      <c r="AQ305" s="972"/>
      <c r="AR305" s="972"/>
      <c r="AS305" s="972"/>
      <c r="AT305" s="973"/>
      <c r="AV305" s="992"/>
      <c r="AW305" s="972"/>
      <c r="AX305" s="972"/>
      <c r="AY305" s="972"/>
      <c r="AZ305" s="973"/>
      <c r="BB305" s="992"/>
      <c r="BC305" s="972"/>
      <c r="BD305" s="972"/>
      <c r="BE305" s="972"/>
      <c r="BF305" s="973"/>
      <c r="BH305" s="992"/>
      <c r="BI305" s="972"/>
      <c r="BJ305" s="972"/>
      <c r="BK305" s="972"/>
      <c r="BL305" s="973"/>
      <c r="BN305" s="992"/>
      <c r="BO305" s="972"/>
      <c r="BP305" s="972"/>
      <c r="BQ305" s="972"/>
      <c r="BR305" s="973"/>
      <c r="BT305" s="992"/>
      <c r="BU305" s="972"/>
      <c r="BV305" s="972"/>
      <c r="BW305" s="972"/>
      <c r="BX305" s="973"/>
      <c r="BZ305" s="992"/>
      <c r="CA305" s="972"/>
      <c r="CB305" s="973"/>
      <c r="CD305" s="992"/>
      <c r="CE305" s="972"/>
      <c r="CF305" s="972"/>
      <c r="CG305" s="930"/>
      <c r="CH305" s="973"/>
    </row>
    <row r="306" spans="2:86" ht="13.95" customHeight="1">
      <c r="B306" s="1043" t="s">
        <v>432</v>
      </c>
      <c r="C306" s="921">
        <f>ID!C81</f>
        <v>6</v>
      </c>
      <c r="D306" s="921">
        <f>FORECAST(C306,$K$260:$K$266,$B$260:$B$266)+C306</f>
        <v>6.0010000000000003</v>
      </c>
      <c r="E306" s="921">
        <f t="shared" si="321"/>
        <v>1.000000000000334E-3</v>
      </c>
      <c r="F306" s="1042"/>
      <c r="G306" s="929"/>
      <c r="H306" s="1043" t="s">
        <v>432</v>
      </c>
      <c r="I306" s="921">
        <v>6</v>
      </c>
      <c r="J306" s="921">
        <f>FORECAST(I306,$K$260:$K$272,$B$260:$B$272)+I306</f>
        <v>6.0010000000000003</v>
      </c>
      <c r="K306" s="921">
        <f t="shared" si="322"/>
        <v>1.000000000000334E-3</v>
      </c>
      <c r="L306" s="1042"/>
      <c r="M306" s="929"/>
      <c r="AE306" s="972"/>
      <c r="AF306" s="972"/>
      <c r="AG306" s="972"/>
      <c r="AH306" s="973"/>
      <c r="AJ306" s="992"/>
      <c r="AK306" s="972"/>
      <c r="AL306" s="972"/>
      <c r="AM306" s="972"/>
      <c r="AN306" s="973"/>
      <c r="AP306" s="992"/>
      <c r="AQ306" s="972"/>
      <c r="AR306" s="972"/>
      <c r="AS306" s="972"/>
      <c r="AT306" s="973"/>
      <c r="AV306" s="992"/>
      <c r="AW306" s="972"/>
      <c r="AX306" s="972"/>
      <c r="AY306" s="972"/>
      <c r="AZ306" s="973"/>
      <c r="BB306" s="992"/>
      <c r="BC306" s="972"/>
      <c r="BD306" s="972"/>
      <c r="BE306" s="972"/>
      <c r="BF306" s="973"/>
      <c r="BH306" s="992"/>
      <c r="BI306" s="972"/>
      <c r="BJ306" s="972"/>
      <c r="BK306" s="972"/>
      <c r="BL306" s="973"/>
      <c r="BN306" s="992"/>
      <c r="BO306" s="972"/>
      <c r="BP306" s="972"/>
      <c r="BQ306" s="972"/>
      <c r="BR306" s="973"/>
      <c r="BT306" s="992"/>
      <c r="BU306" s="972"/>
      <c r="BV306" s="972"/>
      <c r="BW306" s="972"/>
      <c r="BX306" s="973"/>
      <c r="BZ306" s="992"/>
      <c r="CA306" s="972"/>
      <c r="CB306" s="973"/>
      <c r="CD306" s="992"/>
      <c r="CE306" s="972"/>
      <c r="CF306" s="972"/>
      <c r="CG306" s="930"/>
      <c r="CH306" s="973"/>
    </row>
    <row r="307" spans="2:86" ht="13.95" customHeight="1">
      <c r="B307" s="1043" t="s">
        <v>433</v>
      </c>
      <c r="C307" s="921">
        <f>ID!C82</f>
        <v>26.3</v>
      </c>
      <c r="D307" s="921">
        <f>FORECAST(C307,$L$260:$L$266,$B$260:$B$266)+C307</f>
        <v>26.305956836936268</v>
      </c>
      <c r="E307" s="921">
        <f t="shared" si="321"/>
        <v>5.9568369362672513E-3</v>
      </c>
      <c r="F307" s="1042"/>
      <c r="G307" s="929"/>
      <c r="H307" s="1043" t="s">
        <v>433</v>
      </c>
      <c r="I307" s="921">
        <v>6</v>
      </c>
      <c r="J307" s="921">
        <f>FORECAST(I307,$L$260:$L$272,$B$260:$B$272)+I307</f>
        <v>6.0018907676711377</v>
      </c>
      <c r="K307" s="921">
        <f t="shared" si="322"/>
        <v>1.8907676711377164E-3</v>
      </c>
      <c r="L307" s="1042"/>
      <c r="M307" s="929"/>
      <c r="AE307" s="972"/>
      <c r="AF307" s="972"/>
      <c r="AG307" s="972"/>
      <c r="AH307" s="973"/>
      <c r="AJ307" s="992"/>
      <c r="AK307" s="972"/>
      <c r="AL307" s="972"/>
      <c r="AM307" s="972"/>
      <c r="AN307" s="973"/>
      <c r="AP307" s="992"/>
      <c r="AQ307" s="972"/>
      <c r="AR307" s="972"/>
      <c r="AS307" s="972"/>
      <c r="AT307" s="973"/>
      <c r="AV307" s="992"/>
      <c r="AW307" s="972"/>
      <c r="AX307" s="972"/>
      <c r="AY307" s="972"/>
      <c r="AZ307" s="973"/>
      <c r="BB307" s="992"/>
      <c r="BC307" s="972"/>
      <c r="BD307" s="972"/>
      <c r="BE307" s="972"/>
      <c r="BF307" s="973"/>
      <c r="BH307" s="992"/>
      <c r="BI307" s="972"/>
      <c r="BJ307" s="972"/>
      <c r="BK307" s="972"/>
      <c r="BL307" s="973"/>
      <c r="BN307" s="992"/>
      <c r="BO307" s="972"/>
      <c r="BP307" s="972"/>
      <c r="BQ307" s="972"/>
      <c r="BR307" s="973"/>
      <c r="BT307" s="992"/>
      <c r="BU307" s="972"/>
      <c r="BV307" s="972"/>
      <c r="BW307" s="972"/>
      <c r="BX307" s="973"/>
      <c r="BZ307" s="992"/>
      <c r="CA307" s="972"/>
      <c r="CB307" s="973"/>
      <c r="CD307" s="992"/>
      <c r="CE307" s="972"/>
      <c r="CF307" s="972"/>
      <c r="CG307" s="930"/>
      <c r="CH307" s="973"/>
    </row>
    <row r="308" spans="2:86" s="929" customFormat="1" ht="13.95" customHeight="1">
      <c r="T308" s="930"/>
      <c r="U308" s="930"/>
      <c r="V308" s="930"/>
      <c r="W308" s="930"/>
      <c r="X308" s="930"/>
      <c r="Y308" s="930"/>
      <c r="Z308" s="930"/>
      <c r="AA308" s="930"/>
      <c r="AB308" s="930"/>
      <c r="AE308" s="946"/>
      <c r="AF308" s="946"/>
      <c r="AG308" s="946"/>
      <c r="AH308" s="944"/>
      <c r="AL308" s="930"/>
      <c r="AN308" s="931"/>
      <c r="AR308" s="930"/>
      <c r="AT308" s="931"/>
      <c r="AW308" s="930"/>
      <c r="AX308" s="930"/>
      <c r="AZ308" s="931"/>
      <c r="BD308" s="930"/>
      <c r="BF308" s="931"/>
      <c r="BJ308" s="930"/>
      <c r="BL308" s="931"/>
      <c r="BP308" s="930"/>
      <c r="BR308" s="931"/>
      <c r="BV308" s="930"/>
      <c r="BX308" s="931"/>
      <c r="CB308" s="931"/>
      <c r="CF308" s="930"/>
      <c r="CH308" s="931"/>
    </row>
    <row r="309" spans="2:86" s="929" customFormat="1" ht="13.95" customHeight="1">
      <c r="T309" s="930"/>
      <c r="U309" s="930"/>
      <c r="V309" s="930"/>
      <c r="W309" s="930"/>
      <c r="X309" s="930"/>
      <c r="Y309" s="930"/>
      <c r="Z309" s="930"/>
      <c r="AA309" s="930"/>
      <c r="AB309" s="930"/>
      <c r="AE309" s="947"/>
      <c r="AF309" s="1044"/>
      <c r="AG309" s="930"/>
      <c r="AH309" s="931"/>
      <c r="AJ309" s="1045"/>
      <c r="AK309" s="947"/>
      <c r="AL309" s="1044"/>
      <c r="AM309" s="930"/>
      <c r="AN309" s="931"/>
      <c r="AP309" s="1045"/>
      <c r="AQ309" s="947"/>
      <c r="AR309" s="1044"/>
      <c r="AS309" s="930"/>
      <c r="AT309" s="931"/>
      <c r="AV309" s="1045"/>
      <c r="AW309" s="1044"/>
      <c r="AX309" s="1044"/>
      <c r="AY309" s="930"/>
      <c r="AZ309" s="931"/>
      <c r="BB309" s="1045"/>
      <c r="BC309" s="930"/>
      <c r="BD309" s="1044"/>
      <c r="BE309" s="930"/>
      <c r="BF309" s="931"/>
      <c r="BH309" s="1045"/>
      <c r="BI309" s="930"/>
      <c r="BJ309" s="1044"/>
      <c r="BK309" s="930"/>
      <c r="BL309" s="931"/>
      <c r="BN309" s="1045"/>
      <c r="BO309" s="930"/>
      <c r="BP309" s="1044"/>
      <c r="BQ309" s="930"/>
      <c r="BR309" s="931"/>
      <c r="BT309" s="1045"/>
      <c r="BU309" s="930"/>
      <c r="BV309" s="1044"/>
      <c r="BW309" s="930"/>
      <c r="BX309" s="931"/>
      <c r="BZ309" s="1045"/>
      <c r="CA309" s="930"/>
      <c r="CB309" s="931"/>
      <c r="CD309" s="1045"/>
      <c r="CE309" s="947"/>
      <c r="CF309" s="1044"/>
      <c r="CG309" s="930"/>
      <c r="CH309" s="931"/>
    </row>
    <row r="310" spans="2:86" ht="25.2" customHeight="1">
      <c r="B310" s="1041" t="s">
        <v>340</v>
      </c>
      <c r="C310" s="989" t="s">
        <v>241</v>
      </c>
      <c r="D310" s="1041" t="s">
        <v>242</v>
      </c>
      <c r="E310" s="921" t="s">
        <v>243</v>
      </c>
      <c r="F310" s="1042" t="s">
        <v>244</v>
      </c>
      <c r="G310" s="929"/>
      <c r="H310" s="1041" t="s">
        <v>339</v>
      </c>
      <c r="I310" s="989" t="s">
        <v>241</v>
      </c>
      <c r="J310" s="1041" t="s">
        <v>242</v>
      </c>
      <c r="K310" s="921" t="s">
        <v>243</v>
      </c>
      <c r="L310" s="1042" t="s">
        <v>244</v>
      </c>
      <c r="M310" s="929"/>
      <c r="AE310" s="972"/>
      <c r="AF310" s="972"/>
      <c r="AG310" s="972"/>
      <c r="AH310" s="973"/>
      <c r="AJ310" s="992"/>
      <c r="AK310" s="972"/>
      <c r="AL310" s="972"/>
      <c r="AM310" s="972"/>
      <c r="AN310" s="973"/>
      <c r="AP310" s="992"/>
      <c r="AQ310" s="972"/>
      <c r="AR310" s="972"/>
      <c r="AS310" s="972"/>
      <c r="AT310" s="973"/>
      <c r="AV310" s="992"/>
      <c r="AW310" s="972"/>
      <c r="AX310" s="972"/>
      <c r="AY310" s="972"/>
      <c r="AZ310" s="973"/>
      <c r="BB310" s="992"/>
      <c r="BC310" s="972"/>
      <c r="BD310" s="972"/>
      <c r="BE310" s="972"/>
      <c r="BF310" s="973"/>
      <c r="BH310" s="992"/>
      <c r="BI310" s="972"/>
      <c r="BJ310" s="972"/>
      <c r="BK310" s="972"/>
      <c r="BL310" s="973"/>
      <c r="BN310" s="992"/>
      <c r="BO310" s="972"/>
      <c r="BP310" s="972"/>
      <c r="BQ310" s="972"/>
      <c r="BR310" s="973"/>
      <c r="BT310" s="992"/>
      <c r="BU310" s="972"/>
      <c r="BV310" s="972"/>
      <c r="BW310" s="972"/>
      <c r="BX310" s="973"/>
      <c r="BZ310" s="992"/>
      <c r="CA310" s="972"/>
      <c r="CB310" s="973"/>
      <c r="CD310" s="992"/>
      <c r="CE310" s="972"/>
      <c r="CF310" s="972"/>
      <c r="CG310" s="930"/>
      <c r="CH310" s="973"/>
    </row>
    <row r="311" spans="2:86" ht="13.95" customHeight="1">
      <c r="B311" s="1043" t="s">
        <v>245</v>
      </c>
      <c r="C311" s="921">
        <f>ID!E73</f>
        <v>6.31</v>
      </c>
      <c r="D311" s="921">
        <f>FORECAST(C311,$C$260:$C$272,$B$260:$B$272)+C311</f>
        <v>6.123518240434997</v>
      </c>
      <c r="E311" s="921">
        <f t="shared" ref="E311:E320" si="323">D311-C311</f>
        <v>-0.18648175956500257</v>
      </c>
      <c r="F311" s="1042"/>
      <c r="G311" s="929"/>
      <c r="H311" s="1043" t="s">
        <v>245</v>
      </c>
      <c r="I311" s="921">
        <f>ID!F73</f>
        <v>6.79</v>
      </c>
      <c r="J311" s="921">
        <f>FORECAST(I311,$C$260:$C$272,$B$260:$B$272)+I311</f>
        <v>6.6048981543238092</v>
      </c>
      <c r="K311" s="921">
        <f t="shared" ref="K311:K320" si="324">J311-I311</f>
        <v>-0.18510184567619081</v>
      </c>
      <c r="L311" s="1042"/>
      <c r="M311" s="929"/>
      <c r="AE311" s="972"/>
      <c r="AF311" s="972"/>
      <c r="AG311" s="972"/>
      <c r="AH311" s="973"/>
      <c r="AJ311" s="992"/>
      <c r="AK311" s="972"/>
      <c r="AL311" s="972"/>
      <c r="AM311" s="972"/>
      <c r="AN311" s="973"/>
      <c r="AP311" s="992"/>
      <c r="AQ311" s="972"/>
      <c r="AR311" s="972"/>
      <c r="AS311" s="972"/>
      <c r="AT311" s="973"/>
      <c r="AV311" s="992"/>
      <c r="AW311" s="972"/>
      <c r="AX311" s="972"/>
      <c r="AY311" s="972"/>
      <c r="AZ311" s="973"/>
      <c r="BB311" s="992"/>
      <c r="BC311" s="972"/>
      <c r="BD311" s="972"/>
      <c r="BE311" s="972"/>
      <c r="BF311" s="973"/>
      <c r="BH311" s="992"/>
      <c r="BI311" s="972"/>
      <c r="BJ311" s="972"/>
      <c r="BK311" s="972"/>
      <c r="BL311" s="973"/>
      <c r="BN311" s="992"/>
      <c r="BO311" s="972"/>
      <c r="BP311" s="972"/>
      <c r="BQ311" s="972"/>
      <c r="BR311" s="973"/>
      <c r="BT311" s="992"/>
      <c r="BU311" s="972"/>
      <c r="BV311" s="972"/>
      <c r="BW311" s="972"/>
      <c r="BX311" s="973"/>
      <c r="BZ311" s="992"/>
      <c r="CA311" s="972"/>
      <c r="CB311" s="973"/>
      <c r="CD311" s="992"/>
      <c r="CE311" s="972"/>
      <c r="CF311" s="972"/>
      <c r="CG311" s="930"/>
      <c r="CH311" s="973"/>
    </row>
    <row r="312" spans="2:86" ht="13.95" customHeight="1">
      <c r="B312" s="1043" t="s">
        <v>246</v>
      </c>
      <c r="C312" s="921">
        <f>ID!E74</f>
        <v>6.32</v>
      </c>
      <c r="D312" s="921">
        <f>FORECAST(C312,$D$260:$D$272,$B$260:$B$272)+C312</f>
        <v>6.1284151659308961</v>
      </c>
      <c r="E312" s="921">
        <f t="shared" si="323"/>
        <v>-0.1915848340691042</v>
      </c>
      <c r="F312" s="1042"/>
      <c r="G312" s="929"/>
      <c r="H312" s="1043" t="s">
        <v>246</v>
      </c>
      <c r="I312" s="921">
        <f>ID!F74</f>
        <v>6.79</v>
      </c>
      <c r="J312" s="921">
        <f>FORECAST(I312,$D$260:$D$272,$B$260:$B$272)+I312</f>
        <v>6.5996956600874626</v>
      </c>
      <c r="K312" s="921">
        <f t="shared" si="324"/>
        <v>-0.19030433991253748</v>
      </c>
      <c r="L312" s="1042"/>
      <c r="M312" s="929"/>
      <c r="AE312" s="972"/>
      <c r="AF312" s="972"/>
      <c r="AG312" s="972"/>
      <c r="AH312" s="973"/>
      <c r="AJ312" s="992"/>
      <c r="AK312" s="972"/>
      <c r="AL312" s="972"/>
      <c r="AM312" s="972"/>
      <c r="AN312" s="973"/>
      <c r="AP312" s="992"/>
      <c r="AQ312" s="972"/>
      <c r="AR312" s="972"/>
      <c r="AS312" s="972"/>
      <c r="AT312" s="973"/>
      <c r="AV312" s="992"/>
      <c r="AW312" s="972"/>
      <c r="AX312" s="972"/>
      <c r="AY312" s="972"/>
      <c r="AZ312" s="973"/>
      <c r="BB312" s="992"/>
      <c r="BC312" s="972"/>
      <c r="BD312" s="972"/>
      <c r="BE312" s="972"/>
      <c r="BF312" s="973"/>
      <c r="BH312" s="992"/>
      <c r="BI312" s="972"/>
      <c r="BJ312" s="972"/>
      <c r="BK312" s="972"/>
      <c r="BL312" s="973"/>
      <c r="BN312" s="992"/>
      <c r="BO312" s="972"/>
      <c r="BP312" s="972"/>
      <c r="BQ312" s="972"/>
      <c r="BR312" s="973"/>
      <c r="BT312" s="992"/>
      <c r="BU312" s="972"/>
      <c r="BV312" s="972"/>
      <c r="BW312" s="972"/>
      <c r="BX312" s="973"/>
      <c r="BZ312" s="992"/>
      <c r="CA312" s="972"/>
      <c r="CB312" s="973"/>
      <c r="CD312" s="992"/>
      <c r="CE312" s="972"/>
      <c r="CF312" s="972"/>
      <c r="CG312" s="930"/>
      <c r="CH312" s="973"/>
    </row>
    <row r="313" spans="2:86" ht="13.95" customHeight="1">
      <c r="B313" s="1043" t="s">
        <v>247</v>
      </c>
      <c r="C313" s="921">
        <f>ID!E75</f>
        <v>6.33</v>
      </c>
      <c r="D313" s="921">
        <f>FORECAST(C313,$E$260:$E$272,$B$260:$B$272)+C313</f>
        <v>6.1542565472779218</v>
      </c>
      <c r="E313" s="921">
        <f t="shared" si="323"/>
        <v>-0.17574345272207825</v>
      </c>
      <c r="F313" s="1042"/>
      <c r="G313" s="929"/>
      <c r="H313" s="1043" t="s">
        <v>247</v>
      </c>
      <c r="I313" s="921">
        <f>ID!F75</f>
        <v>6.79</v>
      </c>
      <c r="J313" s="921">
        <f>FORECAST(I313,$E$260:$E$272,$B$260:$B$272)+I313</f>
        <v>6.6150639805250435</v>
      </c>
      <c r="K313" s="921">
        <f t="shared" si="324"/>
        <v>-0.17493601947495652</v>
      </c>
      <c r="L313" s="1042"/>
      <c r="M313" s="929"/>
      <c r="AE313" s="972"/>
      <c r="AF313" s="972"/>
      <c r="AG313" s="972"/>
      <c r="AH313" s="973"/>
      <c r="AJ313" s="992"/>
      <c r="AK313" s="972"/>
      <c r="AL313" s="972"/>
      <c r="AM313" s="972"/>
      <c r="AN313" s="973"/>
      <c r="AP313" s="992"/>
      <c r="AQ313" s="972"/>
      <c r="AR313" s="972"/>
      <c r="AS313" s="972"/>
      <c r="AT313" s="973"/>
      <c r="AV313" s="992"/>
      <c r="AW313" s="972"/>
      <c r="AX313" s="972"/>
      <c r="AY313" s="972"/>
      <c r="AZ313" s="973"/>
      <c r="BB313" s="992"/>
      <c r="BC313" s="972"/>
      <c r="BD313" s="972"/>
      <c r="BE313" s="972"/>
      <c r="BF313" s="973"/>
      <c r="BH313" s="992"/>
      <c r="BI313" s="972"/>
      <c r="BJ313" s="972"/>
      <c r="BK313" s="972"/>
      <c r="BL313" s="973"/>
      <c r="BN313" s="992"/>
      <c r="BO313" s="972"/>
      <c r="BP313" s="972"/>
      <c r="BQ313" s="972"/>
      <c r="BR313" s="973"/>
      <c r="BT313" s="992"/>
      <c r="BU313" s="972"/>
      <c r="BV313" s="972"/>
      <c r="BW313" s="972"/>
      <c r="BX313" s="973"/>
      <c r="BZ313" s="992"/>
      <c r="CA313" s="972"/>
      <c r="CB313" s="973"/>
      <c r="CD313" s="992"/>
      <c r="CE313" s="972"/>
      <c r="CF313" s="972"/>
      <c r="CG313" s="930"/>
      <c r="CH313" s="973"/>
    </row>
    <row r="314" spans="2:86" ht="13.95" customHeight="1">
      <c r="B314" s="1043" t="s">
        <v>248</v>
      </c>
      <c r="C314" s="921">
        <f>ID!E76</f>
        <v>6.34</v>
      </c>
      <c r="D314" s="921">
        <f>FORECAST(C314,$F$260:$F$272,$B$260:$B$272)+C314</f>
        <v>6.2034396676855934</v>
      </c>
      <c r="E314" s="921">
        <f t="shared" si="323"/>
        <v>-0.13656033231440645</v>
      </c>
      <c r="F314" s="1042"/>
      <c r="G314" s="929"/>
      <c r="H314" s="1043" t="s">
        <v>248</v>
      </c>
      <c r="I314" s="921">
        <f>ID!F76</f>
        <v>6.79</v>
      </c>
      <c r="J314" s="921">
        <f>FORECAST(I314,$F$260:$F$272,$B$260:$B$272)+I314</f>
        <v>6.654444448886875</v>
      </c>
      <c r="K314" s="921">
        <f t="shared" si="324"/>
        <v>-0.13555555111312501</v>
      </c>
      <c r="L314" s="1042"/>
      <c r="M314" s="929"/>
      <c r="AE314" s="972"/>
      <c r="AF314" s="972"/>
      <c r="AG314" s="972"/>
      <c r="AH314" s="973"/>
      <c r="AJ314" s="992"/>
      <c r="AK314" s="972"/>
      <c r="AL314" s="972"/>
      <c r="AM314" s="972"/>
      <c r="AN314" s="973"/>
      <c r="AP314" s="992"/>
      <c r="AQ314" s="972"/>
      <c r="AR314" s="972"/>
      <c r="AS314" s="972"/>
      <c r="AT314" s="973"/>
      <c r="AV314" s="992"/>
      <c r="AW314" s="972"/>
      <c r="AX314" s="972"/>
      <c r="AY314" s="972"/>
      <c r="AZ314" s="973"/>
      <c r="BB314" s="992"/>
      <c r="BC314" s="972"/>
      <c r="BD314" s="972"/>
      <c r="BE314" s="972"/>
      <c r="BF314" s="973"/>
      <c r="BH314" s="992"/>
      <c r="BI314" s="972"/>
      <c r="BJ314" s="972"/>
      <c r="BK314" s="972"/>
      <c r="BL314" s="973"/>
      <c r="BN314" s="992"/>
      <c r="BO314" s="972"/>
      <c r="BP314" s="972"/>
      <c r="BQ314" s="972"/>
      <c r="BR314" s="973"/>
      <c r="BT314" s="992"/>
      <c r="BU314" s="972"/>
      <c r="BV314" s="972"/>
      <c r="BW314" s="972"/>
      <c r="BX314" s="973"/>
      <c r="BZ314" s="992"/>
      <c r="CA314" s="972"/>
      <c r="CB314" s="973"/>
      <c r="CD314" s="992"/>
      <c r="CE314" s="972"/>
      <c r="CF314" s="972"/>
      <c r="CG314" s="930"/>
      <c r="CH314" s="973"/>
    </row>
    <row r="315" spans="2:86" ht="13.95" customHeight="1">
      <c r="B315" s="1043" t="s">
        <v>249</v>
      </c>
      <c r="C315" s="921">
        <f>ID!E77</f>
        <v>6.35</v>
      </c>
      <c r="D315" s="921">
        <f>FORECAST(C315,$G$260:$G$272,$B$260:$B$272)+C315</f>
        <v>6.2112698126344119</v>
      </c>
      <c r="E315" s="921">
        <f t="shared" si="323"/>
        <v>-0.13873018736558773</v>
      </c>
      <c r="F315" s="1042"/>
      <c r="G315" s="929"/>
      <c r="H315" s="1043" t="s">
        <v>249</v>
      </c>
      <c r="I315" s="921">
        <f>ID!F77</f>
        <v>6.79</v>
      </c>
      <c r="J315" s="921">
        <f>FORECAST(I315,$G$260:$G$272,$B$260:$B$272)+I315</f>
        <v>6.6523824219607253</v>
      </c>
      <c r="K315" s="921">
        <f t="shared" si="324"/>
        <v>-0.13761757803927477</v>
      </c>
      <c r="L315" s="1042"/>
      <c r="M315" s="929"/>
      <c r="AE315" s="972"/>
      <c r="AF315" s="972"/>
      <c r="AG315" s="972"/>
      <c r="AH315" s="973"/>
      <c r="AJ315" s="992"/>
      <c r="AK315" s="972"/>
      <c r="AL315" s="972"/>
      <c r="AM315" s="972"/>
      <c r="AN315" s="973"/>
      <c r="AP315" s="992"/>
      <c r="AQ315" s="972"/>
      <c r="AR315" s="972"/>
      <c r="AS315" s="972"/>
      <c r="AT315" s="973"/>
      <c r="AV315" s="992"/>
      <c r="AW315" s="972"/>
      <c r="AX315" s="972"/>
      <c r="AY315" s="972"/>
      <c r="AZ315" s="973"/>
      <c r="BB315" s="992"/>
      <c r="BC315" s="972"/>
      <c r="BD315" s="972"/>
      <c r="BE315" s="972"/>
      <c r="BF315" s="973"/>
      <c r="BH315" s="992"/>
      <c r="BI315" s="972"/>
      <c r="BJ315" s="972"/>
      <c r="BK315" s="972"/>
      <c r="BL315" s="973"/>
      <c r="BN315" s="992"/>
      <c r="BO315" s="972"/>
      <c r="BP315" s="972"/>
      <c r="BQ315" s="972"/>
      <c r="BR315" s="973"/>
      <c r="BT315" s="992"/>
      <c r="BU315" s="972"/>
      <c r="BV315" s="972"/>
      <c r="BW315" s="972"/>
      <c r="BX315" s="973"/>
      <c r="BZ315" s="992"/>
      <c r="CA315" s="972"/>
      <c r="CB315" s="973"/>
      <c r="CD315" s="992"/>
      <c r="CE315" s="972"/>
      <c r="CF315" s="972"/>
      <c r="CG315" s="930"/>
      <c r="CH315" s="973"/>
    </row>
    <row r="316" spans="2:86" ht="13.95" customHeight="1">
      <c r="B316" s="1043" t="s">
        <v>250</v>
      </c>
      <c r="C316" s="921">
        <f>ID!E78</f>
        <v>6.36</v>
      </c>
      <c r="D316" s="921">
        <f>FORECAST(C316,$H$260:$H$272,$B$260:$B$272)+C316</f>
        <v>6.1822092447167227</v>
      </c>
      <c r="E316" s="921">
        <f t="shared" si="323"/>
        <v>-0.17779075528327759</v>
      </c>
      <c r="F316" s="1042"/>
      <c r="G316" s="929"/>
      <c r="H316" s="1043" t="s">
        <v>250</v>
      </c>
      <c r="I316" s="921">
        <f>ID!F78</f>
        <v>6.79</v>
      </c>
      <c r="J316" s="921">
        <f>FORECAST(I316,$H$260:$H$272,$B$260:$B$272)+I316</f>
        <v>6.6133426910312583</v>
      </c>
      <c r="K316" s="921">
        <f t="shared" si="324"/>
        <v>-0.17665730896874177</v>
      </c>
      <c r="L316" s="1042"/>
      <c r="M316" s="929"/>
      <c r="AE316" s="972"/>
      <c r="AF316" s="972"/>
      <c r="AG316" s="972"/>
      <c r="AH316" s="973"/>
      <c r="AJ316" s="992"/>
      <c r="AK316" s="972"/>
      <c r="AL316" s="972"/>
      <c r="AM316" s="972"/>
      <c r="AN316" s="973"/>
      <c r="AP316" s="992"/>
      <c r="AQ316" s="972"/>
      <c r="AR316" s="972"/>
      <c r="AS316" s="972"/>
      <c r="AT316" s="973"/>
      <c r="AV316" s="992"/>
      <c r="AW316" s="972"/>
      <c r="AX316" s="972"/>
      <c r="AY316" s="972"/>
      <c r="AZ316" s="973"/>
      <c r="BB316" s="992"/>
      <c r="BC316" s="972"/>
      <c r="BD316" s="972"/>
      <c r="BE316" s="972"/>
      <c r="BF316" s="973"/>
      <c r="BH316" s="992"/>
      <c r="BI316" s="972"/>
      <c r="BJ316" s="972"/>
      <c r="BK316" s="972"/>
      <c r="BL316" s="973"/>
      <c r="BN316" s="992"/>
      <c r="BO316" s="972"/>
      <c r="BP316" s="972"/>
      <c r="BQ316" s="972"/>
      <c r="BR316" s="973"/>
      <c r="BT316" s="992"/>
      <c r="BU316" s="972"/>
      <c r="BV316" s="972"/>
      <c r="BW316" s="972"/>
      <c r="BX316" s="973"/>
      <c r="BZ316" s="992"/>
      <c r="CA316" s="972"/>
      <c r="CB316" s="973"/>
      <c r="CD316" s="992"/>
      <c r="CE316" s="972"/>
      <c r="CF316" s="972"/>
      <c r="CG316" s="930"/>
      <c r="CH316" s="973"/>
    </row>
    <row r="317" spans="2:86" ht="13.95" customHeight="1">
      <c r="B317" s="1043" t="s">
        <v>251</v>
      </c>
      <c r="C317" s="921">
        <f>ID!E79</f>
        <v>6.37</v>
      </c>
      <c r="D317" s="921">
        <f>FORECAST(C317,$I$260:$I$272,$B$260:$B$272)+C317</f>
        <v>6.1776538308544655</v>
      </c>
      <c r="E317" s="921">
        <f t="shared" si="323"/>
        <v>-0.1923461691455346</v>
      </c>
      <c r="F317" s="1042"/>
      <c r="G317" s="929"/>
      <c r="H317" s="1043" t="s">
        <v>251</v>
      </c>
      <c r="I317" s="921">
        <f>ID!F79</f>
        <v>6.79</v>
      </c>
      <c r="J317" s="921">
        <f>FORECAST(I317,$I$260:$I$272,$B$260:$B$272)+I317</f>
        <v>6.598828935052258</v>
      </c>
      <c r="K317" s="921">
        <f t="shared" si="324"/>
        <v>-0.19117106494774205</v>
      </c>
      <c r="L317" s="1042"/>
      <c r="M317" s="929"/>
      <c r="AE317" s="972"/>
      <c r="AF317" s="972"/>
      <c r="AG317" s="972"/>
      <c r="AH317" s="973"/>
      <c r="AJ317" s="992"/>
      <c r="AK317" s="972"/>
      <c r="AL317" s="972"/>
      <c r="AM317" s="972"/>
      <c r="AN317" s="973"/>
      <c r="AP317" s="992"/>
      <c r="AQ317" s="972"/>
      <c r="AR317" s="972"/>
      <c r="AS317" s="972"/>
      <c r="AT317" s="973"/>
      <c r="AV317" s="992"/>
      <c r="AW317" s="972"/>
      <c r="AX317" s="972"/>
      <c r="AY317" s="972"/>
      <c r="AZ317" s="973"/>
      <c r="BB317" s="992"/>
      <c r="BC317" s="972"/>
      <c r="BD317" s="972"/>
      <c r="BE317" s="972"/>
      <c r="BF317" s="973"/>
      <c r="BH317" s="992"/>
      <c r="BI317" s="972"/>
      <c r="BJ317" s="972"/>
      <c r="BK317" s="972"/>
      <c r="BL317" s="973"/>
      <c r="BN317" s="992"/>
      <c r="BO317" s="972"/>
      <c r="BP317" s="972"/>
      <c r="BQ317" s="972"/>
      <c r="BR317" s="973"/>
      <c r="BT317" s="992"/>
      <c r="BU317" s="972"/>
      <c r="BV317" s="972"/>
      <c r="BW317" s="972"/>
      <c r="BX317" s="973"/>
      <c r="BZ317" s="992"/>
      <c r="CA317" s="972"/>
      <c r="CB317" s="973"/>
      <c r="CD317" s="992"/>
      <c r="CE317" s="972"/>
      <c r="CF317" s="972"/>
      <c r="CG317" s="930"/>
      <c r="CH317" s="973"/>
    </row>
    <row r="318" spans="2:86" ht="13.95" customHeight="1">
      <c r="B318" s="1043" t="s">
        <v>252</v>
      </c>
      <c r="C318" s="921">
        <f>ID!E80</f>
        <v>6.38</v>
      </c>
      <c r="D318" s="921">
        <f>FORECAST(C318,$J$260:$J$272,$B$260:$B$272)+C318</f>
        <v>6.1880804682396597</v>
      </c>
      <c r="E318" s="921">
        <f t="shared" si="323"/>
        <v>-0.19191953176034016</v>
      </c>
      <c r="F318" s="1042"/>
      <c r="G318" s="929"/>
      <c r="H318" s="1043" t="s">
        <v>252</v>
      </c>
      <c r="I318" s="921">
        <f>ID!F80</f>
        <v>6.79</v>
      </c>
      <c r="J318" s="921">
        <f>FORECAST(I318,$J$260:$J$272,$B$260:$B$272)+I318</f>
        <v>6.5990069147945523</v>
      </c>
      <c r="K318" s="921">
        <f t="shared" si="324"/>
        <v>-0.19099308520544778</v>
      </c>
      <c r="L318" s="1042"/>
      <c r="M318" s="929"/>
      <c r="AE318" s="972"/>
      <c r="AF318" s="972"/>
      <c r="AG318" s="972"/>
      <c r="AH318" s="973"/>
      <c r="AJ318" s="992"/>
      <c r="AK318" s="972"/>
      <c r="AL318" s="972"/>
      <c r="AM318" s="972"/>
      <c r="AN318" s="973"/>
      <c r="AP318" s="992"/>
      <c r="AQ318" s="972"/>
      <c r="AR318" s="972"/>
      <c r="AS318" s="972"/>
      <c r="AT318" s="973"/>
      <c r="AV318" s="992"/>
      <c r="AW318" s="972"/>
      <c r="AX318" s="972"/>
      <c r="AY318" s="972"/>
      <c r="AZ318" s="973"/>
      <c r="BB318" s="992"/>
      <c r="BC318" s="972"/>
      <c r="BD318" s="972"/>
      <c r="BE318" s="972"/>
      <c r="BF318" s="973"/>
      <c r="BH318" s="992"/>
      <c r="BI318" s="972"/>
      <c r="BJ318" s="972"/>
      <c r="BK318" s="972"/>
      <c r="BL318" s="973"/>
      <c r="BN318" s="992"/>
      <c r="BO318" s="972"/>
      <c r="BP318" s="972"/>
      <c r="BQ318" s="972"/>
      <c r="BR318" s="973"/>
      <c r="BT318" s="992"/>
      <c r="BU318" s="972"/>
      <c r="BV318" s="972"/>
      <c r="BW318" s="972"/>
      <c r="BX318" s="973"/>
      <c r="BZ318" s="992"/>
      <c r="CA318" s="972"/>
      <c r="CB318" s="973"/>
      <c r="CD318" s="992"/>
      <c r="CE318" s="972"/>
      <c r="CF318" s="972"/>
      <c r="CG318" s="930"/>
      <c r="CH318" s="973"/>
    </row>
    <row r="319" spans="2:86" ht="13.95" customHeight="1">
      <c r="B319" s="1043" t="s">
        <v>432</v>
      </c>
      <c r="C319" s="921">
        <v>6</v>
      </c>
      <c r="D319" s="921">
        <f>FORECAST(C319,$K$260:$K$272,$B$260:$B$272)+C319</f>
        <v>6.0010000000000003</v>
      </c>
      <c r="E319" s="921">
        <f t="shared" si="323"/>
        <v>1.000000000000334E-3</v>
      </c>
      <c r="F319" s="1042"/>
      <c r="G319" s="929"/>
      <c r="H319" s="1043" t="s">
        <v>432</v>
      </c>
      <c r="I319" s="921">
        <v>6</v>
      </c>
      <c r="J319" s="921">
        <f>FORECAST(I319,$K$260:$K$272,$B$260:$B$272)+I319</f>
        <v>6.0010000000000003</v>
      </c>
      <c r="K319" s="921">
        <f t="shared" si="324"/>
        <v>1.000000000000334E-3</v>
      </c>
      <c r="L319" s="1042"/>
      <c r="M319" s="929"/>
      <c r="AE319" s="996"/>
      <c r="AF319" s="1038"/>
      <c r="AG319" s="972"/>
      <c r="AH319" s="973"/>
      <c r="AJ319" s="1035"/>
      <c r="AK319" s="996"/>
      <c r="AL319" s="1038"/>
      <c r="AM319" s="972"/>
      <c r="AN319" s="973"/>
      <c r="AP319" s="1035"/>
      <c r="AQ319" s="996"/>
      <c r="AR319" s="1038"/>
      <c r="AS319" s="972"/>
      <c r="AT319" s="973"/>
      <c r="AV319" s="1035"/>
      <c r="AW319" s="1038"/>
      <c r="AX319" s="1038"/>
      <c r="AY319" s="972"/>
      <c r="AZ319" s="973"/>
      <c r="BB319" s="1035"/>
      <c r="BC319" s="972"/>
      <c r="BD319" s="1038"/>
      <c r="BE319" s="972"/>
      <c r="BF319" s="973"/>
      <c r="BH319" s="1035"/>
      <c r="BI319" s="972"/>
      <c r="BJ319" s="1038"/>
      <c r="BK319" s="972"/>
      <c r="BL319" s="973"/>
      <c r="BN319" s="1035"/>
      <c r="BO319" s="972"/>
      <c r="BP319" s="1038"/>
      <c r="BQ319" s="972"/>
      <c r="BR319" s="973"/>
      <c r="BT319" s="1035"/>
      <c r="BU319" s="972"/>
      <c r="BV319" s="1038"/>
      <c r="BW319" s="972"/>
      <c r="BX319" s="973"/>
      <c r="BZ319" s="1035"/>
      <c r="CA319" s="972"/>
      <c r="CB319" s="973"/>
      <c r="CD319" s="1035"/>
      <c r="CE319" s="996"/>
      <c r="CF319" s="1038"/>
      <c r="CG319" s="930"/>
      <c r="CH319" s="973"/>
    </row>
    <row r="320" spans="2:86" ht="13.95" customHeight="1">
      <c r="B320" s="1043" t="s">
        <v>433</v>
      </c>
      <c r="C320" s="921">
        <v>6</v>
      </c>
      <c r="D320" s="921">
        <f>FORECAST(C320,$L$260:$L$272,$B$260:$B$272)+C320</f>
        <v>6.0018907676711377</v>
      </c>
      <c r="E320" s="921">
        <f t="shared" si="323"/>
        <v>1.8907676711377164E-3</v>
      </c>
      <c r="F320" s="1042"/>
      <c r="G320" s="929"/>
      <c r="H320" s="1043" t="s">
        <v>433</v>
      </c>
      <c r="I320" s="921">
        <v>6</v>
      </c>
      <c r="J320" s="921">
        <f>FORECAST(I320,$L$260:$L$272,$B$260:$B$272)+I320</f>
        <v>6.0018907676711377</v>
      </c>
      <c r="K320" s="921">
        <f t="shared" si="324"/>
        <v>1.8907676711377164E-3</v>
      </c>
      <c r="L320" s="1042"/>
      <c r="M320" s="929"/>
      <c r="AE320" s="972"/>
      <c r="AF320" s="972"/>
      <c r="AG320" s="972"/>
      <c r="AH320" s="973"/>
      <c r="AJ320" s="992"/>
      <c r="AK320" s="972"/>
      <c r="AL320" s="972"/>
      <c r="AM320" s="972"/>
      <c r="AN320" s="973"/>
      <c r="AP320" s="992"/>
      <c r="AQ320" s="972"/>
      <c r="AR320" s="972"/>
      <c r="AS320" s="972"/>
      <c r="AT320" s="973"/>
      <c r="AV320" s="992"/>
      <c r="AW320" s="972"/>
      <c r="AX320" s="972"/>
      <c r="AY320" s="972"/>
      <c r="AZ320" s="973"/>
      <c r="BB320" s="992"/>
      <c r="BC320" s="972"/>
      <c r="BD320" s="972"/>
      <c r="BE320" s="972"/>
      <c r="BF320" s="973"/>
      <c r="BH320" s="992"/>
      <c r="BI320" s="972"/>
      <c r="BJ320" s="972"/>
      <c r="BK320" s="972"/>
      <c r="BL320" s="973"/>
      <c r="BN320" s="992"/>
      <c r="BO320" s="972"/>
      <c r="BP320" s="972"/>
      <c r="BQ320" s="972"/>
      <c r="BR320" s="973"/>
      <c r="BT320" s="992"/>
      <c r="BU320" s="972"/>
      <c r="BV320" s="972"/>
      <c r="BW320" s="972"/>
      <c r="BX320" s="973"/>
      <c r="BZ320" s="992"/>
      <c r="CA320" s="972"/>
      <c r="CB320" s="973"/>
      <c r="CD320" s="992"/>
      <c r="CE320" s="972"/>
      <c r="CF320" s="972"/>
      <c r="CG320" s="930"/>
      <c r="CH320" s="973"/>
    </row>
    <row r="321" spans="2:86" s="929" customFormat="1" ht="13.95" customHeight="1">
      <c r="T321" s="930"/>
      <c r="U321" s="930"/>
      <c r="V321" s="930"/>
      <c r="W321" s="930"/>
      <c r="X321" s="930"/>
      <c r="Y321" s="930"/>
      <c r="Z321" s="930"/>
      <c r="AA321" s="930"/>
      <c r="AB321" s="930"/>
      <c r="AE321" s="930"/>
      <c r="AF321" s="930"/>
      <c r="AG321" s="930"/>
      <c r="AH321" s="931"/>
      <c r="AJ321" s="946"/>
      <c r="AK321" s="930"/>
      <c r="AL321" s="930"/>
      <c r="AM321" s="930"/>
      <c r="AN321" s="931"/>
      <c r="AP321" s="946"/>
      <c r="AQ321" s="930"/>
      <c r="AR321" s="930"/>
      <c r="AS321" s="930"/>
      <c r="AT321" s="931"/>
      <c r="AV321" s="946"/>
      <c r="AW321" s="930"/>
      <c r="AX321" s="930"/>
      <c r="AY321" s="930"/>
      <c r="AZ321" s="931"/>
      <c r="BB321" s="946"/>
      <c r="BC321" s="930"/>
      <c r="BD321" s="930"/>
      <c r="BE321" s="930"/>
      <c r="BF321" s="931"/>
      <c r="BH321" s="946"/>
      <c r="BI321" s="930"/>
      <c r="BJ321" s="930"/>
      <c r="BK321" s="930"/>
      <c r="BL321" s="931"/>
      <c r="BN321" s="946"/>
      <c r="BO321" s="930"/>
      <c r="BP321" s="930"/>
      <c r="BQ321" s="930"/>
      <c r="BR321" s="931"/>
      <c r="BT321" s="946"/>
      <c r="BU321" s="930"/>
      <c r="BV321" s="930"/>
      <c r="BW321" s="930"/>
      <c r="BX321" s="931"/>
      <c r="BZ321" s="946"/>
      <c r="CA321" s="930"/>
      <c r="CB321" s="931"/>
      <c r="CD321" s="946"/>
      <c r="CE321" s="930"/>
      <c r="CF321" s="930"/>
      <c r="CG321" s="930"/>
      <c r="CH321" s="931"/>
    </row>
    <row r="322" spans="2:86" s="929" customFormat="1" ht="13.95" customHeight="1">
      <c r="T322" s="930"/>
      <c r="U322" s="930"/>
      <c r="V322" s="930"/>
      <c r="W322" s="930"/>
      <c r="X322" s="930"/>
      <c r="Y322" s="930"/>
      <c r="Z322" s="930"/>
      <c r="AA322" s="930"/>
      <c r="AB322" s="930"/>
      <c r="AE322" s="930"/>
      <c r="AF322" s="930"/>
      <c r="AG322" s="930"/>
      <c r="AH322" s="931"/>
      <c r="AJ322" s="946"/>
      <c r="AK322" s="930"/>
      <c r="AL322" s="930"/>
      <c r="AM322" s="930"/>
      <c r="AN322" s="931"/>
      <c r="AP322" s="946"/>
      <c r="AQ322" s="930"/>
      <c r="AR322" s="930"/>
      <c r="AS322" s="930"/>
      <c r="AT322" s="931"/>
      <c r="AV322" s="946"/>
      <c r="AW322" s="930"/>
      <c r="AX322" s="930"/>
      <c r="AY322" s="930"/>
      <c r="AZ322" s="931"/>
      <c r="BB322" s="946"/>
      <c r="BC322" s="930"/>
      <c r="BD322" s="930"/>
      <c r="BE322" s="930"/>
      <c r="BF322" s="931"/>
      <c r="BH322" s="946"/>
      <c r="BI322" s="930"/>
      <c r="BJ322" s="930"/>
      <c r="BK322" s="930"/>
      <c r="BL322" s="931"/>
      <c r="BN322" s="946"/>
      <c r="BO322" s="930"/>
      <c r="BP322" s="930"/>
      <c r="BQ322" s="930"/>
      <c r="BR322" s="931"/>
      <c r="BT322" s="946"/>
      <c r="BU322" s="930"/>
      <c r="BV322" s="930"/>
      <c r="BW322" s="930"/>
      <c r="BX322" s="931"/>
      <c r="BZ322" s="946"/>
      <c r="CA322" s="930"/>
      <c r="CB322" s="931"/>
      <c r="CD322" s="946"/>
      <c r="CE322" s="930"/>
      <c r="CF322" s="930"/>
      <c r="CG322" s="930"/>
      <c r="CH322" s="931"/>
    </row>
    <row r="323" spans="2:86" ht="26.4" customHeight="1">
      <c r="B323" s="1041" t="s">
        <v>344</v>
      </c>
      <c r="C323" s="989" t="s">
        <v>241</v>
      </c>
      <c r="D323" s="1041" t="s">
        <v>242</v>
      </c>
      <c r="E323" s="921" t="s">
        <v>243</v>
      </c>
      <c r="F323" s="1042" t="s">
        <v>244</v>
      </c>
      <c r="G323" s="929"/>
      <c r="H323" s="1041" t="s">
        <v>341</v>
      </c>
      <c r="I323" s="989" t="s">
        <v>241</v>
      </c>
      <c r="J323" s="1041" t="s">
        <v>242</v>
      </c>
      <c r="K323" s="921" t="s">
        <v>243</v>
      </c>
      <c r="L323" s="1042" t="s">
        <v>244</v>
      </c>
      <c r="M323" s="929"/>
      <c r="AE323" s="972"/>
      <c r="AF323" s="972"/>
      <c r="AG323" s="972"/>
      <c r="AH323" s="973"/>
      <c r="AJ323" s="992"/>
      <c r="AK323" s="972"/>
      <c r="AL323" s="972"/>
      <c r="AM323" s="972"/>
      <c r="AN323" s="973"/>
      <c r="AP323" s="992"/>
      <c r="AQ323" s="972"/>
      <c r="AR323" s="972"/>
      <c r="AS323" s="972"/>
      <c r="AT323" s="973"/>
      <c r="AV323" s="992"/>
      <c r="AW323" s="972"/>
      <c r="AX323" s="972"/>
      <c r="AY323" s="972"/>
      <c r="AZ323" s="973"/>
      <c r="BB323" s="992"/>
      <c r="BC323" s="972"/>
      <c r="BD323" s="972"/>
      <c r="BE323" s="972"/>
      <c r="BF323" s="973"/>
      <c r="BH323" s="992"/>
      <c r="BI323" s="972"/>
      <c r="BJ323" s="972"/>
      <c r="BK323" s="972"/>
      <c r="BL323" s="973"/>
      <c r="BN323" s="992"/>
      <c r="BO323" s="972"/>
      <c r="BP323" s="972"/>
      <c r="BQ323" s="972"/>
      <c r="BR323" s="973"/>
      <c r="BT323" s="992"/>
      <c r="BU323" s="972"/>
      <c r="BV323" s="972"/>
      <c r="BW323" s="972"/>
      <c r="BX323" s="973"/>
      <c r="BZ323" s="992"/>
      <c r="CA323" s="972"/>
      <c r="CB323" s="973"/>
      <c r="CD323" s="992"/>
      <c r="CE323" s="972"/>
      <c r="CF323" s="972"/>
      <c r="CG323" s="930"/>
      <c r="CH323" s="973"/>
    </row>
    <row r="324" spans="2:86">
      <c r="B324" s="1043" t="s">
        <v>245</v>
      </c>
      <c r="C324" s="921">
        <f>ID!G73</f>
        <v>6.39</v>
      </c>
      <c r="D324" s="921">
        <f>FORECAST(C324,$C$260:$C$272,$B$260:$B$272)+C324</f>
        <v>6.2037482260831327</v>
      </c>
      <c r="E324" s="921">
        <f t="shared" ref="E324:E333" si="325">D324-C324</f>
        <v>-0.18625177391686698</v>
      </c>
      <c r="F324" s="1042"/>
      <c r="G324" s="929"/>
      <c r="H324" s="1043" t="s">
        <v>245</v>
      </c>
      <c r="I324" s="921">
        <f>ID!H73</f>
        <v>6.79</v>
      </c>
      <c r="J324" s="921">
        <f>FORECAST(I324,$C$260:$C$272,$B$260:$B$272)+I324</f>
        <v>6.6048981543238092</v>
      </c>
      <c r="K324" s="921">
        <f t="shared" ref="K324:K333" si="326">J324-I324</f>
        <v>-0.18510184567619081</v>
      </c>
      <c r="L324" s="1042"/>
      <c r="M324" s="929"/>
      <c r="AE324" s="972"/>
      <c r="AF324" s="972"/>
      <c r="AG324" s="972"/>
      <c r="AH324" s="973"/>
      <c r="AJ324" s="992"/>
      <c r="AK324" s="972"/>
      <c r="AL324" s="972"/>
      <c r="AM324" s="972"/>
      <c r="AN324" s="973"/>
      <c r="AP324" s="992"/>
      <c r="AQ324" s="972"/>
      <c r="AR324" s="972"/>
      <c r="AS324" s="972"/>
      <c r="AT324" s="973"/>
      <c r="AV324" s="992"/>
      <c r="AW324" s="972"/>
      <c r="AX324" s="972"/>
      <c r="AY324" s="972"/>
      <c r="AZ324" s="973"/>
      <c r="BB324" s="992"/>
      <c r="BC324" s="972"/>
      <c r="BD324" s="972"/>
      <c r="BE324" s="972"/>
      <c r="BF324" s="973"/>
      <c r="BH324" s="992"/>
      <c r="BI324" s="972"/>
      <c r="BJ324" s="972"/>
      <c r="BK324" s="972"/>
      <c r="BL324" s="973"/>
      <c r="BN324" s="992"/>
      <c r="BO324" s="972"/>
      <c r="BP324" s="972"/>
      <c r="BQ324" s="972"/>
      <c r="BR324" s="973"/>
      <c r="BT324" s="992"/>
      <c r="BU324" s="972"/>
      <c r="BV324" s="972"/>
      <c r="BW324" s="972"/>
      <c r="BX324" s="973"/>
      <c r="BZ324" s="992"/>
      <c r="CA324" s="972"/>
      <c r="CB324" s="973"/>
      <c r="CD324" s="992"/>
      <c r="CE324" s="972"/>
      <c r="CF324" s="972"/>
      <c r="CG324" s="930"/>
      <c r="CH324" s="973"/>
    </row>
    <row r="325" spans="2:86">
      <c r="B325" s="1043" t="s">
        <v>246</v>
      </c>
      <c r="C325" s="921">
        <f>ID!G74</f>
        <v>6.4</v>
      </c>
      <c r="D325" s="921">
        <f>FORECAST(C325,$D$260:$D$272,$B$260:$B$272)+C325</f>
        <v>6.2086331223830777</v>
      </c>
      <c r="E325" s="921">
        <f t="shared" si="325"/>
        <v>-0.19136687761692261</v>
      </c>
      <c r="F325" s="1042"/>
      <c r="G325" s="929"/>
      <c r="H325" s="1043" t="s">
        <v>246</v>
      </c>
      <c r="I325" s="921">
        <f>ID!H74</f>
        <v>6.79</v>
      </c>
      <c r="J325" s="921">
        <f>FORECAST(I325,$D$260:$D$272,$B$260:$B$272)+I325</f>
        <v>6.5996956600874626</v>
      </c>
      <c r="K325" s="921">
        <f t="shared" si="326"/>
        <v>-0.19030433991253748</v>
      </c>
      <c r="L325" s="1042"/>
      <c r="M325" s="929"/>
      <c r="AE325" s="972"/>
      <c r="AF325" s="972"/>
      <c r="AG325" s="972"/>
      <c r="AH325" s="973"/>
      <c r="AJ325" s="992"/>
      <c r="AK325" s="972"/>
      <c r="AL325" s="972"/>
      <c r="AM325" s="972"/>
      <c r="AN325" s="973"/>
      <c r="AP325" s="992"/>
      <c r="AQ325" s="972"/>
      <c r="AR325" s="972"/>
      <c r="AS325" s="972"/>
      <c r="AT325" s="973"/>
      <c r="AV325" s="992"/>
      <c r="AW325" s="972"/>
      <c r="AX325" s="972"/>
      <c r="AY325" s="972"/>
      <c r="AZ325" s="973"/>
      <c r="BB325" s="992"/>
      <c r="BC325" s="972"/>
      <c r="BD325" s="972"/>
      <c r="BE325" s="972"/>
      <c r="BF325" s="973"/>
      <c r="BH325" s="992"/>
      <c r="BI325" s="972"/>
      <c r="BJ325" s="972"/>
      <c r="BK325" s="972"/>
      <c r="BL325" s="973"/>
      <c r="BN325" s="992"/>
      <c r="BO325" s="972"/>
      <c r="BP325" s="972"/>
      <c r="BQ325" s="972"/>
      <c r="BR325" s="973"/>
      <c r="BT325" s="992"/>
      <c r="BU325" s="972"/>
      <c r="BV325" s="972"/>
      <c r="BW325" s="972"/>
      <c r="BX325" s="973"/>
      <c r="BZ325" s="992"/>
      <c r="CA325" s="972"/>
      <c r="CB325" s="973"/>
      <c r="CD325" s="992"/>
      <c r="CE325" s="972"/>
      <c r="CF325" s="972"/>
      <c r="CG325" s="930"/>
      <c r="CH325" s="973"/>
    </row>
    <row r="326" spans="2:86">
      <c r="B326" s="1043" t="s">
        <v>247</v>
      </c>
      <c r="C326" s="921">
        <f>ID!G75</f>
        <v>6.41</v>
      </c>
      <c r="D326" s="921">
        <f>FORECAST(C326,$E$260:$E$272,$B$260:$B$272)+C326</f>
        <v>6.2343969704513347</v>
      </c>
      <c r="E326" s="921">
        <f t="shared" si="325"/>
        <v>-0.17560302954866547</v>
      </c>
      <c r="F326" s="1042"/>
      <c r="G326" s="929"/>
      <c r="H326" s="1043" t="s">
        <v>247</v>
      </c>
      <c r="I326" s="921">
        <f>ID!H75</f>
        <v>6.79</v>
      </c>
      <c r="J326" s="921">
        <f>FORECAST(I326,$E$260:$E$272,$B$260:$B$272)+I326</f>
        <v>6.6150639805250435</v>
      </c>
      <c r="K326" s="921">
        <f t="shared" si="326"/>
        <v>-0.17493601947495652</v>
      </c>
      <c r="L326" s="1042"/>
      <c r="M326" s="929"/>
      <c r="AE326" s="972"/>
      <c r="AF326" s="972"/>
      <c r="AG326" s="972"/>
      <c r="AH326" s="973"/>
      <c r="AJ326" s="992"/>
      <c r="AK326" s="972"/>
      <c r="AL326" s="972"/>
      <c r="AM326" s="972"/>
      <c r="AN326" s="973"/>
      <c r="AP326" s="992"/>
      <c r="AQ326" s="972"/>
      <c r="AR326" s="972"/>
      <c r="AS326" s="972"/>
      <c r="AT326" s="973"/>
      <c r="AV326" s="992"/>
      <c r="AW326" s="972"/>
      <c r="AX326" s="972"/>
      <c r="AY326" s="972"/>
      <c r="AZ326" s="973"/>
      <c r="BB326" s="992"/>
      <c r="BC326" s="972"/>
      <c r="BD326" s="972"/>
      <c r="BE326" s="972"/>
      <c r="BF326" s="973"/>
      <c r="BH326" s="992"/>
      <c r="BI326" s="972"/>
      <c r="BJ326" s="972"/>
      <c r="BK326" s="972"/>
      <c r="BL326" s="973"/>
      <c r="BN326" s="992"/>
      <c r="BO326" s="972"/>
      <c r="BP326" s="972"/>
      <c r="BQ326" s="972"/>
      <c r="BR326" s="973"/>
      <c r="BT326" s="992"/>
      <c r="BU326" s="972"/>
      <c r="BV326" s="972"/>
      <c r="BW326" s="972"/>
      <c r="BX326" s="973"/>
      <c r="BZ326" s="992"/>
      <c r="CA326" s="972"/>
      <c r="CB326" s="973"/>
      <c r="CD326" s="992"/>
      <c r="CE326" s="972"/>
      <c r="CF326" s="972"/>
      <c r="CG326" s="930"/>
      <c r="CH326" s="973"/>
    </row>
    <row r="327" spans="2:86">
      <c r="B327" s="1043" t="s">
        <v>248</v>
      </c>
      <c r="C327" s="921">
        <f>ID!G76</f>
        <v>6.42</v>
      </c>
      <c r="D327" s="921">
        <f>FORECAST(C327,$F$260:$F$272,$B$260:$B$272)+C327</f>
        <v>6.2836182954547102</v>
      </c>
      <c r="E327" s="921">
        <f t="shared" si="325"/>
        <v>-0.13638170454528975</v>
      </c>
      <c r="F327" s="1042"/>
      <c r="G327" s="929"/>
      <c r="H327" s="1043" t="s">
        <v>248</v>
      </c>
      <c r="I327" s="921">
        <f>ID!H76</f>
        <v>6.79</v>
      </c>
      <c r="J327" s="921">
        <f>FORECAST(I327,$F$260:$F$272,$B$260:$B$272)+I327</f>
        <v>6.654444448886875</v>
      </c>
      <c r="K327" s="921">
        <f t="shared" si="326"/>
        <v>-0.13555555111312501</v>
      </c>
      <c r="L327" s="1042"/>
      <c r="M327" s="929"/>
      <c r="AE327" s="972"/>
      <c r="AF327" s="972"/>
      <c r="AG327" s="972"/>
      <c r="AH327" s="973"/>
      <c r="AJ327" s="992"/>
      <c r="AK327" s="972"/>
      <c r="AL327" s="972"/>
      <c r="AM327" s="972"/>
      <c r="AN327" s="973"/>
      <c r="AP327" s="992"/>
      <c r="AQ327" s="972"/>
      <c r="AR327" s="972"/>
      <c r="AS327" s="972"/>
      <c r="AT327" s="973"/>
      <c r="AV327" s="992"/>
      <c r="AW327" s="972"/>
      <c r="AX327" s="972"/>
      <c r="AY327" s="972"/>
      <c r="AZ327" s="973"/>
      <c r="BB327" s="992"/>
      <c r="BC327" s="972"/>
      <c r="BD327" s="972"/>
      <c r="BE327" s="972"/>
      <c r="BF327" s="973"/>
      <c r="BH327" s="992"/>
      <c r="BI327" s="972"/>
      <c r="BJ327" s="972"/>
      <c r="BK327" s="972"/>
      <c r="BL327" s="973"/>
      <c r="BN327" s="992"/>
      <c r="BO327" s="972"/>
      <c r="BP327" s="972"/>
      <c r="BQ327" s="972"/>
      <c r="BR327" s="973"/>
      <c r="BT327" s="992"/>
      <c r="BU327" s="972"/>
      <c r="BV327" s="972"/>
      <c r="BW327" s="972"/>
      <c r="BX327" s="973"/>
      <c r="BZ327" s="992"/>
      <c r="CA327" s="972"/>
      <c r="CB327" s="973"/>
      <c r="CD327" s="992"/>
      <c r="CE327" s="972"/>
      <c r="CF327" s="972"/>
      <c r="CG327" s="930"/>
      <c r="CH327" s="973"/>
    </row>
    <row r="328" spans="2:86">
      <c r="B328" s="1043" t="s">
        <v>249</v>
      </c>
      <c r="C328" s="921">
        <f>ID!G77</f>
        <v>6.43</v>
      </c>
      <c r="D328" s="921">
        <f>FORECAST(C328,$G$260:$G$272,$B$260:$B$272)+C328</f>
        <v>6.2914721052391958</v>
      </c>
      <c r="E328" s="921">
        <f t="shared" si="325"/>
        <v>-0.13852789476080396</v>
      </c>
      <c r="F328" s="1042"/>
      <c r="G328" s="929"/>
      <c r="H328" s="1043" t="s">
        <v>249</v>
      </c>
      <c r="I328" s="921">
        <f>ID!H77</f>
        <v>6.79</v>
      </c>
      <c r="J328" s="921">
        <f>FORECAST(I328,$G$260:$G$272,$B$260:$B$272)+I328</f>
        <v>6.6523824219607253</v>
      </c>
      <c r="K328" s="921">
        <f t="shared" si="326"/>
        <v>-0.13761757803927477</v>
      </c>
      <c r="L328" s="1042"/>
      <c r="M328" s="929"/>
      <c r="P328" s="992"/>
      <c r="Q328" s="972"/>
      <c r="R328" s="972"/>
      <c r="S328" s="972"/>
      <c r="T328" s="1046"/>
      <c r="U328" s="1046"/>
      <c r="V328" s="1046"/>
      <c r="W328" s="1046"/>
      <c r="X328" s="1046"/>
      <c r="Y328" s="1046"/>
      <c r="Z328" s="1046"/>
      <c r="AA328" s="1046"/>
      <c r="AB328" s="1046"/>
      <c r="AD328" s="992"/>
      <c r="AH328" s="934"/>
      <c r="AJ328" s="934"/>
      <c r="AN328" s="934"/>
      <c r="AP328" s="934"/>
      <c r="AT328" s="934"/>
      <c r="AV328" s="934"/>
      <c r="AZ328" s="934"/>
      <c r="BB328" s="934"/>
      <c r="BF328" s="934"/>
      <c r="BH328" s="934"/>
      <c r="BL328" s="934"/>
      <c r="BN328" s="934"/>
      <c r="BR328" s="934"/>
      <c r="BT328" s="934"/>
      <c r="BX328" s="934"/>
      <c r="BZ328" s="934"/>
    </row>
    <row r="329" spans="2:86">
      <c r="B329" s="1043" t="s">
        <v>250</v>
      </c>
      <c r="C329" s="921">
        <f>ID!G78</f>
        <v>6.44</v>
      </c>
      <c r="D329" s="921">
        <f>FORECAST(C329,$H$260:$H$272,$B$260:$B$272)+C329</f>
        <v>6.2624201184496595</v>
      </c>
      <c r="E329" s="921">
        <f t="shared" si="325"/>
        <v>-0.17757988155034088</v>
      </c>
      <c r="F329" s="1042"/>
      <c r="G329" s="929"/>
      <c r="H329" s="1043" t="s">
        <v>250</v>
      </c>
      <c r="I329" s="921">
        <f>ID!H78</f>
        <v>6.79</v>
      </c>
      <c r="J329" s="921">
        <f>FORECAST(I329,$H$260:$H$272,$B$260:$B$272)+I329</f>
        <v>6.6133426910312583</v>
      </c>
      <c r="K329" s="921">
        <f t="shared" si="326"/>
        <v>-0.17665730896874177</v>
      </c>
      <c r="L329" s="1042"/>
      <c r="M329" s="929"/>
      <c r="P329" s="992"/>
      <c r="Q329" s="972"/>
      <c r="R329" s="972"/>
      <c r="S329" s="972"/>
      <c r="T329" s="1046"/>
      <c r="U329" s="1046"/>
      <c r="V329" s="1046"/>
      <c r="W329" s="1046"/>
      <c r="X329" s="1046"/>
      <c r="Y329" s="1046"/>
      <c r="Z329" s="1046"/>
      <c r="AA329" s="1046"/>
      <c r="AB329" s="1046"/>
      <c r="AD329" s="992"/>
      <c r="AF329" s="992"/>
      <c r="AG329" s="972"/>
      <c r="AI329" s="972"/>
      <c r="AL329" s="992"/>
      <c r="AM329" s="972"/>
      <c r="AO329" s="972"/>
      <c r="AR329" s="992"/>
      <c r="AS329" s="972"/>
      <c r="AU329" s="972"/>
      <c r="AX329" s="992"/>
      <c r="AY329" s="972"/>
      <c r="BA329" s="972"/>
      <c r="BD329" s="992"/>
      <c r="BE329" s="972"/>
      <c r="BG329" s="972"/>
      <c r="BJ329" s="992"/>
      <c r="BK329" s="972"/>
      <c r="BM329" s="972"/>
      <c r="BP329" s="992"/>
      <c r="BQ329" s="972"/>
      <c r="BS329" s="972"/>
      <c r="BV329" s="992"/>
      <c r="BW329" s="972"/>
      <c r="BY329" s="972"/>
    </row>
    <row r="330" spans="2:86">
      <c r="B330" s="1043" t="s">
        <v>251</v>
      </c>
      <c r="C330" s="921">
        <f>ID!G79</f>
        <v>6.45</v>
      </c>
      <c r="D330" s="921">
        <f>FORECAST(C330,$I$260:$I$272,$B$260:$B$272)+C330</f>
        <v>6.257877660225474</v>
      </c>
      <c r="E330" s="921">
        <f t="shared" si="325"/>
        <v>-0.1921223397745262</v>
      </c>
      <c r="F330" s="1042"/>
      <c r="G330" s="929"/>
      <c r="H330" s="1043" t="s">
        <v>251</v>
      </c>
      <c r="I330" s="921">
        <f>ID!H79</f>
        <v>6.79</v>
      </c>
      <c r="J330" s="921">
        <f>FORECAST(I330,$I$260:$I$272,$B$260:$B$272)+I330</f>
        <v>6.598828935052258</v>
      </c>
      <c r="K330" s="921">
        <f t="shared" si="326"/>
        <v>-0.19117106494774205</v>
      </c>
      <c r="L330" s="1042"/>
      <c r="M330" s="929"/>
      <c r="P330" s="992"/>
      <c r="Q330" s="972"/>
      <c r="R330" s="972"/>
      <c r="S330" s="972"/>
      <c r="T330" s="1046"/>
      <c r="U330" s="1046"/>
      <c r="V330" s="1046"/>
      <c r="W330" s="1046"/>
      <c r="X330" s="1046"/>
      <c r="Y330" s="1046"/>
      <c r="Z330" s="1046"/>
      <c r="AA330" s="1046"/>
      <c r="AB330" s="1046"/>
      <c r="AD330" s="992"/>
      <c r="AF330" s="992"/>
      <c r="AG330" s="972"/>
      <c r="AI330" s="972"/>
      <c r="AL330" s="992"/>
      <c r="AM330" s="972"/>
      <c r="AO330" s="972"/>
      <c r="AR330" s="992"/>
      <c r="AS330" s="972"/>
      <c r="AU330" s="972"/>
      <c r="AX330" s="992"/>
      <c r="AY330" s="972"/>
      <c r="BA330" s="972"/>
      <c r="BD330" s="992"/>
      <c r="BE330" s="972"/>
      <c r="BG330" s="972"/>
      <c r="BJ330" s="992"/>
      <c r="BK330" s="972"/>
      <c r="BM330" s="972"/>
      <c r="BP330" s="992"/>
      <c r="BQ330" s="972"/>
      <c r="BS330" s="972"/>
      <c r="BV330" s="992"/>
      <c r="BW330" s="972"/>
      <c r="BY330" s="972"/>
    </row>
    <row r="331" spans="2:86">
      <c r="B331" s="1043" t="s">
        <v>252</v>
      </c>
      <c r="C331" s="921">
        <f>ID!G80</f>
        <v>6.46</v>
      </c>
      <c r="D331" s="921">
        <f>FORECAST(C331,$J$260:$J$272,$B$260:$B$272)+C331</f>
        <v>6.2682612382991509</v>
      </c>
      <c r="E331" s="921">
        <f t="shared" si="325"/>
        <v>-0.19173876170084903</v>
      </c>
      <c r="F331" s="1042"/>
      <c r="G331" s="929"/>
      <c r="H331" s="1043" t="s">
        <v>252</v>
      </c>
      <c r="I331" s="921">
        <f>ID!H80</f>
        <v>6.79</v>
      </c>
      <c r="J331" s="921">
        <f>FORECAST(I331,$J$260:$J$272,$B$260:$B$272)+I331</f>
        <v>6.5990069147945523</v>
      </c>
      <c r="K331" s="921">
        <f t="shared" si="326"/>
        <v>-0.19099308520544778</v>
      </c>
      <c r="L331" s="1042"/>
      <c r="M331" s="929"/>
      <c r="P331" s="992"/>
      <c r="Q331" s="972"/>
      <c r="R331" s="972"/>
      <c r="S331" s="972"/>
      <c r="T331" s="1046"/>
      <c r="U331" s="1046"/>
      <c r="V331" s="1046"/>
      <c r="W331" s="1046"/>
      <c r="X331" s="1046"/>
      <c r="Y331" s="1046"/>
      <c r="Z331" s="1046"/>
      <c r="AA331" s="1046"/>
      <c r="AB331" s="1046"/>
      <c r="AD331" s="992"/>
      <c r="AF331" s="992"/>
      <c r="AG331" s="972"/>
      <c r="AI331" s="972"/>
      <c r="AL331" s="992"/>
      <c r="AM331" s="972"/>
      <c r="AO331" s="972"/>
      <c r="AR331" s="992"/>
      <c r="AS331" s="972"/>
      <c r="AU331" s="972"/>
      <c r="AX331" s="992"/>
      <c r="AY331" s="972"/>
      <c r="BA331" s="972"/>
      <c r="BD331" s="992"/>
      <c r="BE331" s="972"/>
      <c r="BG331" s="972"/>
      <c r="BJ331" s="992"/>
      <c r="BK331" s="972"/>
      <c r="BM331" s="972"/>
      <c r="BP331" s="992"/>
      <c r="BQ331" s="972"/>
      <c r="BS331" s="972"/>
      <c r="BV331" s="992"/>
      <c r="BW331" s="972"/>
      <c r="BY331" s="972"/>
    </row>
    <row r="332" spans="2:86">
      <c r="B332" s="1043" t="s">
        <v>432</v>
      </c>
      <c r="C332" s="921">
        <v>6</v>
      </c>
      <c r="D332" s="921">
        <f>FORECAST(C332,$K$260:$K$272,$B$260:$B$272)+C332</f>
        <v>6.0010000000000003</v>
      </c>
      <c r="E332" s="921">
        <f t="shared" si="325"/>
        <v>1.000000000000334E-3</v>
      </c>
      <c r="F332" s="1042"/>
      <c r="G332" s="929"/>
      <c r="H332" s="1043" t="s">
        <v>432</v>
      </c>
      <c r="I332" s="921">
        <f>ID!H81</f>
        <v>6</v>
      </c>
      <c r="J332" s="921">
        <f>FORECAST(I332,$K$260:$K$272,$B$260:$B$272)+I332</f>
        <v>6.0010000000000003</v>
      </c>
      <c r="K332" s="921">
        <f t="shared" si="326"/>
        <v>1.000000000000334E-3</v>
      </c>
      <c r="L332" s="1042"/>
      <c r="M332" s="929"/>
      <c r="P332" s="992"/>
      <c r="Q332" s="972"/>
      <c r="R332" s="972"/>
      <c r="S332" s="972"/>
      <c r="T332" s="1046"/>
      <c r="U332" s="1046"/>
      <c r="V332" s="1046"/>
      <c r="W332" s="1046"/>
      <c r="X332" s="1046"/>
      <c r="Y332" s="1046"/>
      <c r="Z332" s="1046"/>
      <c r="AA332" s="1046"/>
      <c r="AB332" s="1046"/>
      <c r="AD332" s="992"/>
      <c r="AF332" s="992"/>
      <c r="AG332" s="972"/>
      <c r="AI332" s="972"/>
      <c r="AL332" s="992"/>
      <c r="AM332" s="972"/>
      <c r="AO332" s="972"/>
      <c r="AR332" s="992"/>
      <c r="AS332" s="972"/>
      <c r="AU332" s="972"/>
      <c r="AX332" s="992"/>
      <c r="AY332" s="972"/>
      <c r="BA332" s="972"/>
      <c r="BD332" s="992"/>
      <c r="BE332" s="972"/>
      <c r="BG332" s="972"/>
      <c r="BJ332" s="992"/>
      <c r="BK332" s="972"/>
      <c r="BM332" s="972"/>
      <c r="BP332" s="992"/>
      <c r="BQ332" s="972"/>
      <c r="BS332" s="972"/>
      <c r="BV332" s="992"/>
      <c r="BW332" s="972"/>
      <c r="BY332" s="972"/>
    </row>
    <row r="333" spans="2:86">
      <c r="B333" s="1043" t="s">
        <v>433</v>
      </c>
      <c r="C333" s="921">
        <v>6</v>
      </c>
      <c r="D333" s="921">
        <f>FORECAST(C333,$L$260:$L$272,$B$260:$B$272)+C333</f>
        <v>6.0018907676711377</v>
      </c>
      <c r="E333" s="921">
        <f t="shared" si="325"/>
        <v>1.8907676711377164E-3</v>
      </c>
      <c r="F333" s="1042"/>
      <c r="G333" s="929"/>
      <c r="H333" s="1043" t="s">
        <v>433</v>
      </c>
      <c r="I333" s="921">
        <f>ID!H82</f>
        <v>26.2</v>
      </c>
      <c r="J333" s="921">
        <f>FORECAST(I333,$L$260:$L$272,$B$260:$B$272)+I333</f>
        <v>26.201773125520351</v>
      </c>
      <c r="K333" s="921">
        <f t="shared" si="326"/>
        <v>1.7731255203514706E-3</v>
      </c>
      <c r="L333" s="1042"/>
      <c r="M333" s="929"/>
      <c r="P333" s="992"/>
      <c r="Q333" s="972"/>
      <c r="R333" s="972"/>
      <c r="S333" s="972"/>
      <c r="T333" s="1046"/>
      <c r="U333" s="1046"/>
      <c r="V333" s="1046"/>
      <c r="W333" s="1046"/>
      <c r="X333" s="1046"/>
      <c r="Y333" s="1046"/>
      <c r="Z333" s="1046"/>
      <c r="AA333" s="1046"/>
      <c r="AB333" s="1046"/>
      <c r="AD333" s="992"/>
      <c r="AF333" s="992"/>
      <c r="AG333" s="972"/>
      <c r="AI333" s="972"/>
      <c r="AL333" s="992"/>
      <c r="AM333" s="972"/>
      <c r="AO333" s="972"/>
      <c r="AR333" s="992"/>
      <c r="AS333" s="972"/>
      <c r="AU333" s="972"/>
      <c r="AX333" s="992"/>
      <c r="AY333" s="972"/>
      <c r="BA333" s="972"/>
      <c r="BD333" s="992"/>
      <c r="BE333" s="972"/>
      <c r="BG333" s="972"/>
      <c r="BJ333" s="992"/>
      <c r="BK333" s="972"/>
      <c r="BM333" s="972"/>
      <c r="BP333" s="992"/>
      <c r="BQ333" s="972"/>
      <c r="BS333" s="972"/>
      <c r="BV333" s="992"/>
      <c r="BW333" s="972"/>
      <c r="BY333" s="972"/>
    </row>
    <row r="334" spans="2:86" s="929" customFormat="1">
      <c r="C334" s="930"/>
      <c r="P334" s="946"/>
      <c r="Q334" s="930"/>
      <c r="R334" s="930"/>
      <c r="S334" s="930"/>
      <c r="T334" s="931"/>
      <c r="U334" s="931"/>
      <c r="V334" s="931"/>
      <c r="W334" s="931"/>
      <c r="X334" s="931"/>
      <c r="Y334" s="931"/>
      <c r="Z334" s="931"/>
      <c r="AA334" s="931"/>
      <c r="AB334" s="931"/>
      <c r="AD334" s="946"/>
      <c r="AF334" s="946"/>
      <c r="AG334" s="930"/>
      <c r="AH334" s="930"/>
      <c r="AI334" s="930"/>
      <c r="AJ334" s="931"/>
      <c r="AL334" s="946"/>
      <c r="AM334" s="930"/>
      <c r="AN334" s="930"/>
      <c r="AO334" s="930"/>
      <c r="AP334" s="931"/>
      <c r="AR334" s="946"/>
      <c r="AS334" s="930"/>
      <c r="AT334" s="930"/>
      <c r="AU334" s="930"/>
      <c r="AV334" s="931"/>
      <c r="AX334" s="946"/>
      <c r="AY334" s="930"/>
      <c r="AZ334" s="930"/>
      <c r="BA334" s="930"/>
      <c r="BB334" s="931"/>
      <c r="BD334" s="946"/>
      <c r="BE334" s="930"/>
      <c r="BF334" s="930"/>
      <c r="BG334" s="930"/>
      <c r="BH334" s="931"/>
      <c r="BJ334" s="946"/>
      <c r="BK334" s="930"/>
      <c r="BL334" s="930"/>
      <c r="BM334" s="930"/>
      <c r="BN334" s="931"/>
      <c r="BP334" s="946"/>
      <c r="BQ334" s="930"/>
      <c r="BR334" s="930"/>
      <c r="BS334" s="930"/>
      <c r="BT334" s="931"/>
      <c r="BV334" s="946"/>
      <c r="BW334" s="930"/>
      <c r="BX334" s="930"/>
      <c r="BY334" s="930"/>
      <c r="BZ334" s="931"/>
    </row>
    <row r="335" spans="2:86" s="929" customFormat="1">
      <c r="P335" s="946"/>
      <c r="Q335" s="930"/>
      <c r="R335" s="930"/>
      <c r="S335" s="930"/>
      <c r="T335" s="931"/>
      <c r="U335" s="931"/>
      <c r="V335" s="931"/>
      <c r="W335" s="931"/>
      <c r="X335" s="931"/>
      <c r="Y335" s="931"/>
      <c r="Z335" s="931"/>
      <c r="AA335" s="931"/>
      <c r="AB335" s="931"/>
      <c r="AD335" s="946"/>
      <c r="AF335" s="946"/>
      <c r="AG335" s="930"/>
      <c r="AH335" s="930"/>
      <c r="AI335" s="930"/>
      <c r="AJ335" s="931"/>
      <c r="AL335" s="946"/>
      <c r="AM335" s="930"/>
      <c r="AN335" s="930"/>
      <c r="AO335" s="930"/>
      <c r="AP335" s="931"/>
      <c r="AR335" s="946"/>
      <c r="AS335" s="930"/>
      <c r="AT335" s="930"/>
      <c r="AU335" s="930"/>
      <c r="AV335" s="931"/>
      <c r="AX335" s="946"/>
      <c r="AY335" s="930"/>
      <c r="AZ335" s="930"/>
      <c r="BA335" s="930"/>
      <c r="BB335" s="931"/>
      <c r="BD335" s="946"/>
      <c r="BE335" s="930"/>
      <c r="BF335" s="930"/>
      <c r="BG335" s="930"/>
      <c r="BH335" s="931"/>
      <c r="BJ335" s="946"/>
      <c r="BK335" s="930"/>
      <c r="BL335" s="930"/>
      <c r="BM335" s="930"/>
      <c r="BN335" s="931"/>
      <c r="BP335" s="946"/>
      <c r="BQ335" s="930"/>
      <c r="BR335" s="930"/>
      <c r="BS335" s="930"/>
      <c r="BT335" s="931"/>
      <c r="BV335" s="946"/>
      <c r="BW335" s="930"/>
      <c r="BX335" s="930"/>
      <c r="BY335" s="930"/>
      <c r="BZ335" s="931"/>
    </row>
    <row r="336" spans="2:86" ht="26.4" customHeight="1">
      <c r="B336" s="1041" t="s">
        <v>342</v>
      </c>
      <c r="C336" s="989" t="s">
        <v>241</v>
      </c>
      <c r="D336" s="1041" t="s">
        <v>242</v>
      </c>
      <c r="E336" s="921" t="s">
        <v>243</v>
      </c>
      <c r="F336" s="1042" t="s">
        <v>244</v>
      </c>
      <c r="G336" s="929"/>
      <c r="H336" s="1041" t="s">
        <v>345</v>
      </c>
      <c r="I336" s="989" t="s">
        <v>241</v>
      </c>
      <c r="J336" s="1041" t="s">
        <v>242</v>
      </c>
      <c r="K336" s="921" t="s">
        <v>243</v>
      </c>
      <c r="L336" s="1042" t="s">
        <v>244</v>
      </c>
      <c r="M336" s="929"/>
      <c r="AE336" s="972"/>
      <c r="AF336" s="972"/>
      <c r="AG336" s="972"/>
      <c r="AH336" s="973"/>
      <c r="AJ336" s="992"/>
      <c r="AK336" s="972"/>
      <c r="AL336" s="972"/>
      <c r="AM336" s="972"/>
      <c r="AN336" s="973"/>
      <c r="AP336" s="992"/>
      <c r="AQ336" s="972"/>
      <c r="AR336" s="972"/>
      <c r="AS336" s="972"/>
      <c r="AT336" s="973"/>
      <c r="AV336" s="992"/>
      <c r="AW336" s="972"/>
      <c r="AX336" s="972"/>
      <c r="AY336" s="972"/>
      <c r="AZ336" s="973"/>
      <c r="BB336" s="992"/>
      <c r="BC336" s="972"/>
      <c r="BD336" s="972"/>
      <c r="BE336" s="972"/>
      <c r="BF336" s="973"/>
      <c r="BH336" s="992"/>
      <c r="BI336" s="972"/>
      <c r="BJ336" s="972"/>
      <c r="BK336" s="972"/>
      <c r="BL336" s="973"/>
      <c r="BN336" s="992"/>
      <c r="BO336" s="972"/>
      <c r="BP336" s="972"/>
      <c r="BQ336" s="972"/>
      <c r="BR336" s="973"/>
      <c r="BT336" s="992"/>
      <c r="BU336" s="972"/>
      <c r="BV336" s="972"/>
      <c r="BW336" s="972"/>
      <c r="BX336" s="973"/>
      <c r="BZ336" s="992"/>
      <c r="CA336" s="972"/>
      <c r="CB336" s="973"/>
      <c r="CD336" s="992"/>
      <c r="CE336" s="972"/>
      <c r="CF336" s="972"/>
      <c r="CG336" s="930"/>
      <c r="CH336" s="973"/>
    </row>
    <row r="337" spans="2:86">
      <c r="B337" s="1043" t="s">
        <v>245</v>
      </c>
      <c r="C337" s="921">
        <f>ID!I73</f>
        <v>6.47</v>
      </c>
      <c r="D337" s="921">
        <f>FORECAST(C337,$C$260:$C$272,$B$260:$B$272)+C337</f>
        <v>6.2839782117312684</v>
      </c>
      <c r="E337" s="921">
        <f t="shared" ref="E337:E346" si="327">D337-C337</f>
        <v>-0.18602178826873139</v>
      </c>
      <c r="F337" s="1042"/>
      <c r="G337" s="929"/>
      <c r="H337" s="1043" t="s">
        <v>245</v>
      </c>
      <c r="I337" s="921">
        <f>ID!J73</f>
        <v>6.79</v>
      </c>
      <c r="J337" s="921">
        <f>FORECAST(I337,$C$260:$C$272,$B$260:$B$272)+I337</f>
        <v>6.6048981543238092</v>
      </c>
      <c r="K337" s="921">
        <f t="shared" ref="K337:K346" si="328">J337-I337</f>
        <v>-0.18510184567619081</v>
      </c>
      <c r="L337" s="1042"/>
      <c r="M337" s="929"/>
      <c r="AE337" s="972"/>
      <c r="AF337" s="972"/>
      <c r="AG337" s="972"/>
      <c r="AH337" s="973"/>
      <c r="AJ337" s="992"/>
      <c r="AK337" s="972"/>
      <c r="AL337" s="972"/>
      <c r="AM337" s="972"/>
      <c r="AN337" s="973"/>
      <c r="AP337" s="992"/>
      <c r="AQ337" s="972"/>
      <c r="AR337" s="972"/>
      <c r="AS337" s="972"/>
      <c r="AT337" s="973"/>
      <c r="AV337" s="992"/>
      <c r="AW337" s="972"/>
      <c r="AX337" s="972"/>
      <c r="AY337" s="972"/>
      <c r="AZ337" s="973"/>
      <c r="BB337" s="992"/>
      <c r="BC337" s="972"/>
      <c r="BD337" s="972"/>
      <c r="BE337" s="972"/>
      <c r="BF337" s="973"/>
      <c r="BH337" s="992"/>
      <c r="BI337" s="972"/>
      <c r="BJ337" s="972"/>
      <c r="BK337" s="972"/>
      <c r="BL337" s="973"/>
      <c r="BN337" s="992"/>
      <c r="BO337" s="972"/>
      <c r="BP337" s="972"/>
      <c r="BQ337" s="972"/>
      <c r="BR337" s="973"/>
      <c r="BT337" s="992"/>
      <c r="BU337" s="972"/>
      <c r="BV337" s="972"/>
      <c r="BW337" s="972"/>
      <c r="BX337" s="973"/>
      <c r="BZ337" s="992"/>
      <c r="CA337" s="972"/>
      <c r="CB337" s="973"/>
      <c r="CD337" s="992"/>
      <c r="CE337" s="972"/>
      <c r="CF337" s="972"/>
      <c r="CG337" s="930"/>
      <c r="CH337" s="973"/>
    </row>
    <row r="338" spans="2:86">
      <c r="B338" s="1043" t="s">
        <v>246</v>
      </c>
      <c r="C338" s="921">
        <f>ID!I74</f>
        <v>6.48</v>
      </c>
      <c r="D338" s="921">
        <f>FORECAST(C338,$D$260:$D$272,$B$260:$B$272)+C338</f>
        <v>6.2888510788352594</v>
      </c>
      <c r="E338" s="921">
        <f t="shared" si="327"/>
        <v>-0.19114892116474103</v>
      </c>
      <c r="F338" s="1042"/>
      <c r="G338" s="929"/>
      <c r="H338" s="1043" t="s">
        <v>246</v>
      </c>
      <c r="I338" s="921">
        <f>ID!J74</f>
        <v>6.79</v>
      </c>
      <c r="J338" s="921">
        <f>FORECAST(I338,$D$260:$D$272,$B$260:$B$272)+I338</f>
        <v>6.5996956600874626</v>
      </c>
      <c r="K338" s="921">
        <f t="shared" si="328"/>
        <v>-0.19030433991253748</v>
      </c>
      <c r="L338" s="1042"/>
      <c r="M338" s="929"/>
      <c r="AE338" s="972"/>
      <c r="AF338" s="972"/>
      <c r="AG338" s="972"/>
      <c r="AH338" s="973"/>
      <c r="AJ338" s="992"/>
      <c r="AK338" s="972"/>
      <c r="AL338" s="972"/>
      <c r="AM338" s="972"/>
      <c r="AN338" s="973"/>
      <c r="AP338" s="992"/>
      <c r="AQ338" s="972"/>
      <c r="AR338" s="972"/>
      <c r="AS338" s="972"/>
      <c r="AT338" s="973"/>
      <c r="AV338" s="992"/>
      <c r="AW338" s="972"/>
      <c r="AX338" s="972"/>
      <c r="AY338" s="972"/>
      <c r="AZ338" s="973"/>
      <c r="BB338" s="992"/>
      <c r="BC338" s="972"/>
      <c r="BD338" s="972"/>
      <c r="BE338" s="972"/>
      <c r="BF338" s="973"/>
      <c r="BH338" s="992"/>
      <c r="BI338" s="972"/>
      <c r="BJ338" s="972"/>
      <c r="BK338" s="972"/>
      <c r="BL338" s="973"/>
      <c r="BN338" s="992"/>
      <c r="BO338" s="972"/>
      <c r="BP338" s="972"/>
      <c r="BQ338" s="972"/>
      <c r="BR338" s="973"/>
      <c r="BT338" s="992"/>
      <c r="BU338" s="972"/>
      <c r="BV338" s="972"/>
      <c r="BW338" s="972"/>
      <c r="BX338" s="973"/>
      <c r="BZ338" s="992"/>
      <c r="CA338" s="972"/>
      <c r="CB338" s="973"/>
      <c r="CD338" s="992"/>
      <c r="CE338" s="972"/>
      <c r="CF338" s="972"/>
      <c r="CG338" s="930"/>
      <c r="CH338" s="973"/>
    </row>
    <row r="339" spans="2:86">
      <c r="B339" s="1043" t="s">
        <v>247</v>
      </c>
      <c r="C339" s="921">
        <f>ID!I75</f>
        <v>6.49</v>
      </c>
      <c r="D339" s="921">
        <f>FORECAST(C339,$E$260:$E$272,$B$260:$B$272)+C339</f>
        <v>6.3145373936247466</v>
      </c>
      <c r="E339" s="921">
        <f t="shared" si="327"/>
        <v>-0.17546260637525357</v>
      </c>
      <c r="F339" s="1042"/>
      <c r="G339" s="929"/>
      <c r="H339" s="1043" t="s">
        <v>247</v>
      </c>
      <c r="I339" s="921">
        <f>ID!J75</f>
        <v>6.79</v>
      </c>
      <c r="J339" s="921">
        <f>FORECAST(I339,$E$260:$E$272,$B$260:$B$272)+I339</f>
        <v>6.6150639805250435</v>
      </c>
      <c r="K339" s="921">
        <f t="shared" si="328"/>
        <v>-0.17493601947495652</v>
      </c>
      <c r="L339" s="1042"/>
      <c r="M339" s="929"/>
      <c r="AE339" s="972"/>
      <c r="AF339" s="972"/>
      <c r="AG339" s="972"/>
      <c r="AH339" s="973"/>
      <c r="AJ339" s="992"/>
      <c r="AK339" s="972"/>
      <c r="AL339" s="972"/>
      <c r="AM339" s="972"/>
      <c r="AN339" s="973"/>
      <c r="AP339" s="992"/>
      <c r="AQ339" s="972"/>
      <c r="AR339" s="972"/>
      <c r="AS339" s="972"/>
      <c r="AT339" s="973"/>
      <c r="AV339" s="992"/>
      <c r="AW339" s="972"/>
      <c r="AX339" s="972"/>
      <c r="AY339" s="972"/>
      <c r="AZ339" s="973"/>
      <c r="BB339" s="992"/>
      <c r="BC339" s="972"/>
      <c r="BD339" s="972"/>
      <c r="BE339" s="972"/>
      <c r="BF339" s="973"/>
      <c r="BH339" s="992"/>
      <c r="BI339" s="972"/>
      <c r="BJ339" s="972"/>
      <c r="BK339" s="972"/>
      <c r="BL339" s="973"/>
      <c r="BN339" s="992"/>
      <c r="BO339" s="972"/>
      <c r="BP339" s="972"/>
      <c r="BQ339" s="972"/>
      <c r="BR339" s="973"/>
      <c r="BT339" s="992"/>
      <c r="BU339" s="972"/>
      <c r="BV339" s="972"/>
      <c r="BW339" s="972"/>
      <c r="BX339" s="973"/>
      <c r="BZ339" s="992"/>
      <c r="CA339" s="972"/>
      <c r="CB339" s="973"/>
      <c r="CD339" s="992"/>
      <c r="CE339" s="972"/>
      <c r="CF339" s="972"/>
      <c r="CG339" s="930"/>
      <c r="CH339" s="973"/>
    </row>
    <row r="340" spans="2:86">
      <c r="B340" s="1043" t="s">
        <v>248</v>
      </c>
      <c r="C340" s="921">
        <f>ID!I76</f>
        <v>6.5</v>
      </c>
      <c r="D340" s="921">
        <f>FORECAST(C340,$F$260:$F$272,$B$260:$B$272)+C340</f>
        <v>6.363796923223827</v>
      </c>
      <c r="E340" s="921">
        <f t="shared" si="327"/>
        <v>-0.13620307677617305</v>
      </c>
      <c r="F340" s="1042"/>
      <c r="G340" s="929"/>
      <c r="H340" s="1043" t="s">
        <v>248</v>
      </c>
      <c r="I340" s="921">
        <f>ID!J76</f>
        <v>6.79</v>
      </c>
      <c r="J340" s="921">
        <f>FORECAST(I340,$F$260:$F$272,$B$260:$B$272)+I340</f>
        <v>6.654444448886875</v>
      </c>
      <c r="K340" s="921">
        <f t="shared" si="328"/>
        <v>-0.13555555111312501</v>
      </c>
      <c r="L340" s="1042"/>
      <c r="M340" s="929"/>
      <c r="AE340" s="972"/>
      <c r="AF340" s="972"/>
      <c r="AG340" s="972"/>
      <c r="AH340" s="973"/>
      <c r="AJ340" s="992"/>
      <c r="AK340" s="972"/>
      <c r="AL340" s="972"/>
      <c r="AM340" s="972"/>
      <c r="AN340" s="973"/>
      <c r="AP340" s="992"/>
      <c r="AQ340" s="972"/>
      <c r="AR340" s="972"/>
      <c r="AS340" s="972"/>
      <c r="AT340" s="973"/>
      <c r="AV340" s="992"/>
      <c r="AW340" s="972"/>
      <c r="AX340" s="972"/>
      <c r="AY340" s="972"/>
      <c r="AZ340" s="973"/>
      <c r="BB340" s="992"/>
      <c r="BC340" s="972"/>
      <c r="BD340" s="972"/>
      <c r="BE340" s="972"/>
      <c r="BF340" s="973"/>
      <c r="BH340" s="992"/>
      <c r="BI340" s="972"/>
      <c r="BJ340" s="972"/>
      <c r="BK340" s="972"/>
      <c r="BL340" s="973"/>
      <c r="BN340" s="992"/>
      <c r="BO340" s="972"/>
      <c r="BP340" s="972"/>
      <c r="BQ340" s="972"/>
      <c r="BR340" s="973"/>
      <c r="BT340" s="992"/>
      <c r="BU340" s="972"/>
      <c r="BV340" s="972"/>
      <c r="BW340" s="972"/>
      <c r="BX340" s="973"/>
      <c r="BZ340" s="992"/>
      <c r="CA340" s="972"/>
      <c r="CB340" s="973"/>
      <c r="CD340" s="992"/>
      <c r="CE340" s="972"/>
      <c r="CF340" s="972"/>
      <c r="CG340" s="930"/>
      <c r="CH340" s="973"/>
    </row>
    <row r="341" spans="2:86">
      <c r="B341" s="1043" t="s">
        <v>249</v>
      </c>
      <c r="C341" s="921">
        <f>ID!I77</f>
        <v>6.51</v>
      </c>
      <c r="D341" s="921">
        <f>FORECAST(C341,$G$260:$G$272,$B$260:$B$272)+C341</f>
        <v>6.3716743978439805</v>
      </c>
      <c r="E341" s="921">
        <f t="shared" si="327"/>
        <v>-0.1383256021560193</v>
      </c>
      <c r="F341" s="1042"/>
      <c r="G341" s="929"/>
      <c r="H341" s="1043" t="s">
        <v>249</v>
      </c>
      <c r="I341" s="921">
        <f>ID!J77</f>
        <v>6.79</v>
      </c>
      <c r="J341" s="921">
        <f>FORECAST(I341,$G$260:$G$272,$B$260:$B$272)+I341</f>
        <v>6.6523824219607253</v>
      </c>
      <c r="K341" s="921">
        <f t="shared" si="328"/>
        <v>-0.13761757803927477</v>
      </c>
      <c r="L341" s="1042"/>
      <c r="M341" s="929"/>
      <c r="P341" s="992"/>
      <c r="Q341" s="972"/>
      <c r="R341" s="972"/>
      <c r="S341" s="972"/>
      <c r="T341" s="1046"/>
      <c r="U341" s="1046"/>
      <c r="V341" s="1046"/>
      <c r="W341" s="1046"/>
      <c r="X341" s="1046"/>
      <c r="Y341" s="1046"/>
      <c r="Z341" s="1046"/>
      <c r="AA341" s="1046"/>
      <c r="AB341" s="1046"/>
      <c r="AD341" s="992"/>
      <c r="AH341" s="934"/>
      <c r="AJ341" s="934"/>
      <c r="AN341" s="934"/>
      <c r="AP341" s="934"/>
      <c r="AT341" s="934"/>
      <c r="AV341" s="934"/>
      <c r="AZ341" s="934"/>
      <c r="BB341" s="934"/>
      <c r="BF341" s="934"/>
      <c r="BH341" s="934"/>
      <c r="BL341" s="934"/>
      <c r="BN341" s="934"/>
      <c r="BR341" s="934"/>
      <c r="BT341" s="934"/>
      <c r="BX341" s="934"/>
      <c r="BZ341" s="934"/>
    </row>
    <row r="342" spans="2:86">
      <c r="B342" s="1043" t="s">
        <v>250</v>
      </c>
      <c r="C342" s="921">
        <f>ID!I78</f>
        <v>6.52</v>
      </c>
      <c r="D342" s="921">
        <f>FORECAST(C342,$H$260:$H$272,$B$260:$B$272)+C342</f>
        <v>6.3426309921825954</v>
      </c>
      <c r="E342" s="921">
        <f t="shared" si="327"/>
        <v>-0.17736900781740417</v>
      </c>
      <c r="F342" s="1042"/>
      <c r="G342" s="929"/>
      <c r="H342" s="1043" t="s">
        <v>250</v>
      </c>
      <c r="I342" s="921">
        <f>ID!J78</f>
        <v>6.79</v>
      </c>
      <c r="J342" s="921">
        <f>FORECAST(I342,$H$260:$H$272,$B$260:$B$272)+I342</f>
        <v>6.6133426910312583</v>
      </c>
      <c r="K342" s="921">
        <f t="shared" si="328"/>
        <v>-0.17665730896874177</v>
      </c>
      <c r="L342" s="1042"/>
      <c r="M342" s="929"/>
      <c r="P342" s="992"/>
      <c r="Q342" s="972"/>
      <c r="R342" s="972"/>
      <c r="S342" s="972"/>
      <c r="T342" s="1046"/>
      <c r="U342" s="1046"/>
      <c r="V342" s="1046"/>
      <c r="W342" s="1046"/>
      <c r="X342" s="1046"/>
      <c r="Y342" s="1046"/>
      <c r="Z342" s="1046"/>
      <c r="AA342" s="1046"/>
      <c r="AB342" s="1046"/>
      <c r="AD342" s="992"/>
      <c r="AF342" s="992"/>
      <c r="AG342" s="972"/>
      <c r="AI342" s="972"/>
      <c r="AL342" s="992"/>
      <c r="AM342" s="972"/>
      <c r="AO342" s="972"/>
      <c r="AR342" s="992"/>
      <c r="AS342" s="972"/>
      <c r="AU342" s="972"/>
      <c r="AX342" s="992"/>
      <c r="AY342" s="972"/>
      <c r="BA342" s="972"/>
      <c r="BD342" s="992"/>
      <c r="BE342" s="972"/>
      <c r="BG342" s="972"/>
      <c r="BJ342" s="992"/>
      <c r="BK342" s="972"/>
      <c r="BM342" s="972"/>
      <c r="BP342" s="992"/>
      <c r="BQ342" s="972"/>
      <c r="BS342" s="972"/>
      <c r="BV342" s="992"/>
      <c r="BW342" s="972"/>
      <c r="BY342" s="972"/>
    </row>
    <row r="343" spans="2:86">
      <c r="B343" s="1043" t="s">
        <v>251</v>
      </c>
      <c r="C343" s="921">
        <f>ID!I79</f>
        <v>6.53</v>
      </c>
      <c r="D343" s="921">
        <f>FORECAST(C343,$I$260:$I$272,$B$260:$B$272)+C343</f>
        <v>6.3381014895964816</v>
      </c>
      <c r="E343" s="921">
        <f t="shared" si="327"/>
        <v>-0.19189851040351869</v>
      </c>
      <c r="F343" s="1042"/>
      <c r="G343" s="929"/>
      <c r="H343" s="1043" t="s">
        <v>251</v>
      </c>
      <c r="I343" s="921">
        <f>ID!J79</f>
        <v>6.79</v>
      </c>
      <c r="J343" s="921">
        <f>FORECAST(I343,$I$260:$I$272,$B$260:$B$272)+I343</f>
        <v>6.598828935052258</v>
      </c>
      <c r="K343" s="921">
        <f t="shared" si="328"/>
        <v>-0.19117106494774205</v>
      </c>
      <c r="L343" s="1042"/>
      <c r="M343" s="929"/>
      <c r="P343" s="992"/>
      <c r="Q343" s="972"/>
      <c r="R343" s="972"/>
      <c r="S343" s="972"/>
      <c r="T343" s="1046"/>
      <c r="U343" s="1046"/>
      <c r="V343" s="1046"/>
      <c r="W343" s="1046"/>
      <c r="X343" s="1046"/>
      <c r="Y343" s="1046"/>
      <c r="Z343" s="1046"/>
      <c r="AA343" s="1046"/>
      <c r="AB343" s="1046"/>
      <c r="AD343" s="992"/>
      <c r="AF343" s="992"/>
      <c r="AG343" s="972"/>
      <c r="AI343" s="972"/>
      <c r="AL343" s="992"/>
      <c r="AM343" s="972"/>
      <c r="AO343" s="972"/>
      <c r="AR343" s="992"/>
      <c r="AS343" s="972"/>
      <c r="AU343" s="972"/>
      <c r="AX343" s="992"/>
      <c r="AY343" s="972"/>
      <c r="BA343" s="972"/>
      <c r="BD343" s="992"/>
      <c r="BE343" s="972"/>
      <c r="BG343" s="972"/>
      <c r="BJ343" s="992"/>
      <c r="BK343" s="972"/>
      <c r="BM343" s="972"/>
      <c r="BP343" s="992"/>
      <c r="BQ343" s="972"/>
      <c r="BS343" s="972"/>
      <c r="BV343" s="992"/>
      <c r="BW343" s="972"/>
      <c r="BY343" s="972"/>
    </row>
    <row r="344" spans="2:86">
      <c r="B344" s="1043" t="s">
        <v>252</v>
      </c>
      <c r="C344" s="921">
        <f>ID!I80</f>
        <v>6.54</v>
      </c>
      <c r="D344" s="921">
        <f>FORECAST(C344,$J$260:$J$272,$B$260:$B$272)+C344</f>
        <v>6.3484420083586421</v>
      </c>
      <c r="E344" s="921">
        <f t="shared" si="327"/>
        <v>-0.19155799164135789</v>
      </c>
      <c r="F344" s="1042"/>
      <c r="G344" s="929"/>
      <c r="H344" s="1043" t="s">
        <v>252</v>
      </c>
      <c r="I344" s="921">
        <f>ID!J80</f>
        <v>6.79</v>
      </c>
      <c r="J344" s="921">
        <f>FORECAST(I344,$J$260:$J$272,$B$260:$B$272)+I344</f>
        <v>6.5990069147945523</v>
      </c>
      <c r="K344" s="921">
        <f t="shared" si="328"/>
        <v>-0.19099308520544778</v>
      </c>
      <c r="L344" s="1042"/>
      <c r="M344" s="929"/>
      <c r="P344" s="992"/>
      <c r="Q344" s="972"/>
      <c r="R344" s="972"/>
      <c r="S344" s="972"/>
      <c r="T344" s="1046"/>
      <c r="U344" s="1046"/>
      <c r="V344" s="1046"/>
      <c r="W344" s="1046"/>
      <c r="X344" s="1046"/>
      <c r="Y344" s="1046"/>
      <c r="Z344" s="1046"/>
      <c r="AA344" s="1046"/>
      <c r="AB344" s="1046"/>
      <c r="AD344" s="992"/>
      <c r="AF344" s="992"/>
      <c r="AG344" s="972"/>
      <c r="AI344" s="972"/>
      <c r="AL344" s="992"/>
      <c r="AM344" s="972"/>
      <c r="AO344" s="972"/>
      <c r="AR344" s="992"/>
      <c r="AS344" s="972"/>
      <c r="AU344" s="972"/>
      <c r="AX344" s="992"/>
      <c r="AY344" s="972"/>
      <c r="BA344" s="972"/>
      <c r="BD344" s="992"/>
      <c r="BE344" s="972"/>
      <c r="BG344" s="972"/>
      <c r="BJ344" s="992"/>
      <c r="BK344" s="972"/>
      <c r="BM344" s="972"/>
      <c r="BP344" s="992"/>
      <c r="BQ344" s="972"/>
      <c r="BS344" s="972"/>
      <c r="BV344" s="992"/>
      <c r="BW344" s="972"/>
      <c r="BY344" s="972"/>
    </row>
    <row r="345" spans="2:86">
      <c r="B345" s="1043" t="s">
        <v>432</v>
      </c>
      <c r="C345" s="921">
        <v>6</v>
      </c>
      <c r="D345" s="921">
        <f>FORECAST(C345,$K$260:$K$272,$B$260:$B$272)+C345</f>
        <v>6.0010000000000003</v>
      </c>
      <c r="E345" s="921">
        <f t="shared" si="327"/>
        <v>1.000000000000334E-3</v>
      </c>
      <c r="F345" s="1042"/>
      <c r="G345" s="929"/>
      <c r="H345" s="1043" t="s">
        <v>432</v>
      </c>
      <c r="I345" s="921">
        <v>6</v>
      </c>
      <c r="J345" s="921">
        <f>FORECAST(I345,$K$260:$K$272,$B$260:$B$272)+I345</f>
        <v>6.0010000000000003</v>
      </c>
      <c r="K345" s="921">
        <f t="shared" si="328"/>
        <v>1.000000000000334E-3</v>
      </c>
      <c r="L345" s="1042"/>
      <c r="M345" s="929"/>
      <c r="P345" s="992"/>
      <c r="Q345" s="972"/>
      <c r="R345" s="972"/>
      <c r="S345" s="972"/>
      <c r="T345" s="1046"/>
      <c r="U345" s="1046"/>
      <c r="V345" s="1046"/>
      <c r="W345" s="1046"/>
      <c r="X345" s="1046"/>
      <c r="Y345" s="1046"/>
      <c r="Z345" s="1046"/>
      <c r="AA345" s="1046"/>
      <c r="AB345" s="1046"/>
      <c r="AD345" s="992"/>
      <c r="AF345" s="992"/>
      <c r="AG345" s="972"/>
      <c r="AI345" s="972"/>
      <c r="AL345" s="992"/>
      <c r="AM345" s="972"/>
      <c r="AO345" s="972"/>
      <c r="AR345" s="992"/>
      <c r="AS345" s="972"/>
      <c r="AU345" s="972"/>
      <c r="AX345" s="992"/>
      <c r="AY345" s="972"/>
      <c r="BA345" s="972"/>
      <c r="BD345" s="992"/>
      <c r="BE345" s="972"/>
      <c r="BG345" s="972"/>
      <c r="BJ345" s="992"/>
      <c r="BK345" s="972"/>
      <c r="BM345" s="972"/>
      <c r="BP345" s="992"/>
      <c r="BQ345" s="972"/>
      <c r="BS345" s="972"/>
      <c r="BV345" s="992"/>
      <c r="BW345" s="972"/>
      <c r="BY345" s="972"/>
    </row>
    <row r="346" spans="2:86">
      <c r="B346" s="1043" t="s">
        <v>433</v>
      </c>
      <c r="C346" s="921">
        <v>6</v>
      </c>
      <c r="D346" s="921">
        <f>FORECAST(C346,$L$260:$L$272,$B$260:$B$272)+C346</f>
        <v>6.0018907676711377</v>
      </c>
      <c r="E346" s="921">
        <f t="shared" si="327"/>
        <v>1.8907676711377164E-3</v>
      </c>
      <c r="F346" s="1042"/>
      <c r="G346" s="929"/>
      <c r="H346" s="1043" t="s">
        <v>433</v>
      </c>
      <c r="I346" s="921">
        <v>6</v>
      </c>
      <c r="J346" s="921">
        <f>FORECAST(I346,$L$260:$L$272,$B$260:$B$272)+I346</f>
        <v>6.0018907676711377</v>
      </c>
      <c r="K346" s="921">
        <f t="shared" si="328"/>
        <v>1.8907676711377164E-3</v>
      </c>
      <c r="L346" s="1042"/>
      <c r="M346" s="929"/>
      <c r="P346" s="992"/>
      <c r="Q346" s="972"/>
      <c r="R346" s="972"/>
      <c r="S346" s="972"/>
      <c r="T346" s="1046"/>
      <c r="U346" s="1046"/>
      <c r="V346" s="1046"/>
      <c r="W346" s="1046"/>
      <c r="X346" s="1046"/>
      <c r="Y346" s="1046"/>
      <c r="Z346" s="1046"/>
      <c r="AA346" s="1046"/>
      <c r="AB346" s="1046"/>
      <c r="AD346" s="992"/>
      <c r="AF346" s="992"/>
      <c r="AG346" s="972"/>
      <c r="AI346" s="972"/>
      <c r="AL346" s="992"/>
      <c r="AM346" s="972"/>
      <c r="AO346" s="972"/>
      <c r="AR346" s="992"/>
      <c r="AS346" s="972"/>
      <c r="AU346" s="972"/>
      <c r="AX346" s="992"/>
      <c r="AY346" s="972"/>
      <c r="BA346" s="972"/>
      <c r="BD346" s="992"/>
      <c r="BE346" s="972"/>
      <c r="BG346" s="972"/>
      <c r="BJ346" s="992"/>
      <c r="BK346" s="972"/>
      <c r="BM346" s="972"/>
      <c r="BP346" s="992"/>
      <c r="BQ346" s="972"/>
      <c r="BS346" s="972"/>
      <c r="BV346" s="992"/>
      <c r="BW346" s="972"/>
      <c r="BY346" s="972"/>
    </row>
    <row r="347" spans="2:86" s="929" customFormat="1">
      <c r="P347" s="946"/>
      <c r="Q347" s="930"/>
      <c r="R347" s="930"/>
      <c r="S347" s="930"/>
      <c r="T347" s="931"/>
      <c r="U347" s="931"/>
      <c r="V347" s="931"/>
      <c r="W347" s="931"/>
      <c r="X347" s="931"/>
      <c r="Y347" s="931"/>
      <c r="Z347" s="931"/>
      <c r="AA347" s="931"/>
      <c r="AB347" s="931"/>
      <c r="AD347" s="946"/>
      <c r="AF347" s="946"/>
      <c r="AG347" s="930"/>
      <c r="AH347" s="930"/>
      <c r="AI347" s="930"/>
      <c r="AJ347" s="931"/>
      <c r="AL347" s="946"/>
      <c r="AM347" s="930"/>
      <c r="AN347" s="930"/>
      <c r="AO347" s="930"/>
      <c r="AP347" s="931"/>
      <c r="AR347" s="946"/>
      <c r="AS347" s="930"/>
      <c r="AT347" s="930"/>
      <c r="AU347" s="930"/>
      <c r="AV347" s="931"/>
      <c r="AX347" s="946"/>
      <c r="AY347" s="930"/>
      <c r="AZ347" s="930"/>
      <c r="BA347" s="930"/>
      <c r="BB347" s="931"/>
      <c r="BD347" s="946"/>
      <c r="BE347" s="930"/>
      <c r="BF347" s="930"/>
      <c r="BG347" s="930"/>
      <c r="BH347" s="931"/>
      <c r="BJ347" s="946"/>
      <c r="BK347" s="930"/>
      <c r="BL347" s="930"/>
      <c r="BM347" s="930"/>
      <c r="BN347" s="931"/>
      <c r="BP347" s="946"/>
      <c r="BQ347" s="930"/>
      <c r="BR347" s="930"/>
      <c r="BS347" s="930"/>
      <c r="BT347" s="931"/>
      <c r="BV347" s="946"/>
      <c r="BW347" s="930"/>
      <c r="BX347" s="930"/>
      <c r="BY347" s="930"/>
      <c r="BZ347" s="931"/>
    </row>
    <row r="348" spans="2:86" s="929" customFormat="1">
      <c r="P348" s="946"/>
      <c r="Q348" s="930"/>
      <c r="R348" s="930"/>
      <c r="S348" s="930"/>
      <c r="T348" s="931"/>
      <c r="U348" s="931"/>
      <c r="V348" s="931"/>
      <c r="W348" s="931"/>
      <c r="X348" s="931"/>
      <c r="Y348" s="931"/>
      <c r="Z348" s="931"/>
      <c r="AA348" s="931"/>
      <c r="AB348" s="931"/>
      <c r="AD348" s="946"/>
      <c r="AF348" s="946"/>
      <c r="AG348" s="930"/>
      <c r="AH348" s="930"/>
      <c r="AI348" s="930"/>
      <c r="AJ348" s="931"/>
      <c r="AL348" s="946"/>
      <c r="AM348" s="930"/>
      <c r="AN348" s="930"/>
      <c r="AO348" s="930"/>
      <c r="AP348" s="931"/>
      <c r="AR348" s="946"/>
      <c r="AS348" s="930"/>
      <c r="AT348" s="930"/>
      <c r="AU348" s="930"/>
      <c r="AV348" s="931"/>
      <c r="AX348" s="946"/>
      <c r="AY348" s="930"/>
      <c r="AZ348" s="930"/>
      <c r="BA348" s="930"/>
      <c r="BB348" s="931"/>
      <c r="BD348" s="946"/>
      <c r="BE348" s="930"/>
      <c r="BF348" s="930"/>
      <c r="BG348" s="930"/>
      <c r="BH348" s="931"/>
      <c r="BJ348" s="946"/>
      <c r="BK348" s="930"/>
      <c r="BL348" s="930"/>
      <c r="BM348" s="930"/>
      <c r="BN348" s="931"/>
      <c r="BP348" s="946"/>
      <c r="BQ348" s="930"/>
      <c r="BR348" s="930"/>
      <c r="BS348" s="930"/>
      <c r="BT348" s="931"/>
      <c r="BV348" s="946"/>
      <c r="BW348" s="930"/>
      <c r="BX348" s="930"/>
      <c r="BY348" s="930"/>
      <c r="BZ348" s="931"/>
    </row>
    <row r="349" spans="2:86" ht="26.4" customHeight="1">
      <c r="B349" s="1041" t="s">
        <v>343</v>
      </c>
      <c r="C349" s="989" t="s">
        <v>241</v>
      </c>
      <c r="D349" s="1041" t="s">
        <v>242</v>
      </c>
      <c r="E349" s="921" t="s">
        <v>243</v>
      </c>
      <c r="F349" s="1042" t="s">
        <v>244</v>
      </c>
      <c r="G349" s="929"/>
      <c r="H349" s="1041" t="s">
        <v>346</v>
      </c>
      <c r="I349" s="989" t="s">
        <v>241</v>
      </c>
      <c r="J349" s="1041" t="s">
        <v>242</v>
      </c>
      <c r="K349" s="921" t="s">
        <v>243</v>
      </c>
      <c r="L349" s="1042" t="s">
        <v>244</v>
      </c>
      <c r="M349" s="929"/>
      <c r="AE349" s="972"/>
      <c r="AF349" s="972"/>
      <c r="AG349" s="972"/>
      <c r="AH349" s="973"/>
      <c r="AJ349" s="992"/>
      <c r="AK349" s="972"/>
      <c r="AL349" s="972"/>
      <c r="AM349" s="972"/>
      <c r="AN349" s="973"/>
      <c r="AP349" s="992"/>
      <c r="AQ349" s="972"/>
      <c r="AR349" s="972"/>
      <c r="AS349" s="972"/>
      <c r="AT349" s="973"/>
      <c r="AV349" s="992"/>
      <c r="AW349" s="972"/>
      <c r="AX349" s="972"/>
      <c r="AY349" s="972"/>
      <c r="AZ349" s="973"/>
      <c r="BB349" s="992"/>
      <c r="BC349" s="972"/>
      <c r="BD349" s="972"/>
      <c r="BE349" s="972"/>
      <c r="BF349" s="973"/>
      <c r="BH349" s="992"/>
      <c r="BI349" s="972"/>
      <c r="BJ349" s="972"/>
      <c r="BK349" s="972"/>
      <c r="BL349" s="973"/>
      <c r="BN349" s="992"/>
      <c r="BO349" s="972"/>
      <c r="BP349" s="972"/>
      <c r="BQ349" s="972"/>
      <c r="BR349" s="973"/>
      <c r="BT349" s="992"/>
      <c r="BU349" s="972"/>
      <c r="BV349" s="972"/>
      <c r="BW349" s="972"/>
      <c r="BX349" s="973"/>
      <c r="BZ349" s="992"/>
      <c r="CA349" s="972"/>
      <c r="CB349" s="973"/>
      <c r="CD349" s="992"/>
      <c r="CE349" s="972"/>
      <c r="CF349" s="972"/>
      <c r="CG349" s="930"/>
      <c r="CH349" s="973"/>
    </row>
    <row r="350" spans="2:86">
      <c r="B350" s="1043" t="s">
        <v>245</v>
      </c>
      <c r="C350" s="921">
        <f>ID!K73</f>
        <v>6.55</v>
      </c>
      <c r="D350" s="921">
        <f>FORECAST(C350,$C$260:$C$272,$B$260:$B$272)+C350</f>
        <v>6.3642081973794031</v>
      </c>
      <c r="E350" s="921">
        <f t="shared" ref="E350:E359" si="329">D350-C350</f>
        <v>-0.18579180262059669</v>
      </c>
      <c r="F350" s="1042"/>
      <c r="G350" s="929"/>
      <c r="H350" s="1043" t="s">
        <v>245</v>
      </c>
      <c r="I350" s="921">
        <f>ID!L73</f>
        <v>6.79</v>
      </c>
      <c r="J350" s="921">
        <f>FORECAST(I350,$C$260:$C$272,$B$260:$B$272)+I350</f>
        <v>6.6048981543238092</v>
      </c>
      <c r="K350" s="921">
        <f t="shared" ref="K350:K359" si="330">J350-I350</f>
        <v>-0.18510184567619081</v>
      </c>
      <c r="L350" s="1042"/>
      <c r="M350" s="929"/>
      <c r="AE350" s="972"/>
      <c r="AF350" s="972"/>
      <c r="AG350" s="972"/>
      <c r="AH350" s="973"/>
      <c r="AJ350" s="992"/>
      <c r="AK350" s="972"/>
      <c r="AL350" s="972"/>
      <c r="AM350" s="972"/>
      <c r="AN350" s="973"/>
      <c r="AP350" s="992"/>
      <c r="AQ350" s="972"/>
      <c r="AR350" s="972"/>
      <c r="AS350" s="972"/>
      <c r="AT350" s="973"/>
      <c r="AV350" s="992"/>
      <c r="AW350" s="972"/>
      <c r="AX350" s="972"/>
      <c r="AY350" s="972"/>
      <c r="AZ350" s="973"/>
      <c r="BB350" s="992"/>
      <c r="BC350" s="972"/>
      <c r="BD350" s="972"/>
      <c r="BE350" s="972"/>
      <c r="BF350" s="973"/>
      <c r="BH350" s="992"/>
      <c r="BI350" s="972"/>
      <c r="BJ350" s="972"/>
      <c r="BK350" s="972"/>
      <c r="BL350" s="973"/>
      <c r="BN350" s="992"/>
      <c r="BO350" s="972"/>
      <c r="BP350" s="972"/>
      <c r="BQ350" s="972"/>
      <c r="BR350" s="973"/>
      <c r="BT350" s="992"/>
      <c r="BU350" s="972"/>
      <c r="BV350" s="972"/>
      <c r="BW350" s="972"/>
      <c r="BX350" s="973"/>
      <c r="BZ350" s="992"/>
      <c r="CA350" s="972"/>
      <c r="CB350" s="973"/>
      <c r="CD350" s="992"/>
      <c r="CE350" s="972"/>
      <c r="CF350" s="972"/>
      <c r="CG350" s="930"/>
      <c r="CH350" s="973"/>
    </row>
    <row r="351" spans="2:86">
      <c r="B351" s="1043" t="s">
        <v>246</v>
      </c>
      <c r="C351" s="921">
        <f>ID!K74</f>
        <v>6.56</v>
      </c>
      <c r="D351" s="921">
        <f>FORECAST(C351,$D$260:$D$272,$B$260:$B$272)+C351</f>
        <v>6.3690690352874402</v>
      </c>
      <c r="E351" s="921">
        <f t="shared" si="329"/>
        <v>-0.19093096471255944</v>
      </c>
      <c r="F351" s="1042"/>
      <c r="G351" s="929"/>
      <c r="H351" s="1043" t="s">
        <v>246</v>
      </c>
      <c r="I351" s="921">
        <f>ID!L74</f>
        <v>6.79</v>
      </c>
      <c r="J351" s="921">
        <f>FORECAST(I351,$D$260:$D$272,$B$260:$B$272)+I351</f>
        <v>6.5996956600874626</v>
      </c>
      <c r="K351" s="921">
        <f t="shared" si="330"/>
        <v>-0.19030433991253748</v>
      </c>
      <c r="L351" s="1042"/>
      <c r="M351" s="929"/>
      <c r="AE351" s="972"/>
      <c r="AF351" s="972"/>
      <c r="AG351" s="972"/>
      <c r="AH351" s="973"/>
      <c r="AJ351" s="992"/>
      <c r="AK351" s="972"/>
      <c r="AL351" s="972"/>
      <c r="AM351" s="972"/>
      <c r="AN351" s="973"/>
      <c r="AP351" s="992"/>
      <c r="AQ351" s="972"/>
      <c r="AR351" s="972"/>
      <c r="AS351" s="972"/>
      <c r="AT351" s="973"/>
      <c r="AV351" s="992"/>
      <c r="AW351" s="972"/>
      <c r="AX351" s="972"/>
      <c r="AY351" s="972"/>
      <c r="AZ351" s="973"/>
      <c r="BB351" s="992"/>
      <c r="BC351" s="972"/>
      <c r="BD351" s="972"/>
      <c r="BE351" s="972"/>
      <c r="BF351" s="973"/>
      <c r="BH351" s="992"/>
      <c r="BI351" s="972"/>
      <c r="BJ351" s="972"/>
      <c r="BK351" s="972"/>
      <c r="BL351" s="973"/>
      <c r="BN351" s="992"/>
      <c r="BO351" s="972"/>
      <c r="BP351" s="972"/>
      <c r="BQ351" s="972"/>
      <c r="BR351" s="973"/>
      <c r="BT351" s="992"/>
      <c r="BU351" s="972"/>
      <c r="BV351" s="972"/>
      <c r="BW351" s="972"/>
      <c r="BX351" s="973"/>
      <c r="BZ351" s="992"/>
      <c r="CA351" s="972"/>
      <c r="CB351" s="973"/>
      <c r="CD351" s="992"/>
      <c r="CE351" s="972"/>
      <c r="CF351" s="972"/>
      <c r="CG351" s="930"/>
      <c r="CH351" s="973"/>
    </row>
    <row r="352" spans="2:86">
      <c r="B352" s="1043" t="s">
        <v>247</v>
      </c>
      <c r="C352" s="921">
        <f>ID!K75</f>
        <v>6.57</v>
      </c>
      <c r="D352" s="921">
        <f>FORECAST(C352,$E$260:$E$272,$B$260:$B$272)+C352</f>
        <v>6.3946778167981595</v>
      </c>
      <c r="E352" s="921">
        <f t="shared" si="329"/>
        <v>-0.17532218320184079</v>
      </c>
      <c r="F352" s="1042"/>
      <c r="G352" s="929"/>
      <c r="H352" s="1043" t="s">
        <v>247</v>
      </c>
      <c r="I352" s="921">
        <f>ID!L75</f>
        <v>6.79</v>
      </c>
      <c r="J352" s="921">
        <f>FORECAST(I352,$E$260:$E$272,$B$260:$B$272)+I352</f>
        <v>6.6150639805250435</v>
      </c>
      <c r="K352" s="921">
        <f t="shared" si="330"/>
        <v>-0.17493601947495652</v>
      </c>
      <c r="L352" s="1042"/>
      <c r="M352" s="929"/>
      <c r="AE352" s="972"/>
      <c r="AF352" s="972"/>
      <c r="AG352" s="972"/>
      <c r="AH352" s="973"/>
      <c r="AJ352" s="992"/>
      <c r="AK352" s="972"/>
      <c r="AL352" s="972"/>
      <c r="AM352" s="972"/>
      <c r="AN352" s="973"/>
      <c r="AP352" s="992"/>
      <c r="AQ352" s="972"/>
      <c r="AR352" s="972"/>
      <c r="AS352" s="972"/>
      <c r="AT352" s="973"/>
      <c r="AV352" s="992"/>
      <c r="AW352" s="972"/>
      <c r="AX352" s="972"/>
      <c r="AY352" s="972"/>
      <c r="AZ352" s="973"/>
      <c r="BB352" s="992"/>
      <c r="BC352" s="972"/>
      <c r="BD352" s="972"/>
      <c r="BE352" s="972"/>
      <c r="BF352" s="973"/>
      <c r="BH352" s="992"/>
      <c r="BI352" s="972"/>
      <c r="BJ352" s="972"/>
      <c r="BK352" s="972"/>
      <c r="BL352" s="973"/>
      <c r="BN352" s="992"/>
      <c r="BO352" s="972"/>
      <c r="BP352" s="972"/>
      <c r="BQ352" s="972"/>
      <c r="BR352" s="973"/>
      <c r="BT352" s="992"/>
      <c r="BU352" s="972"/>
      <c r="BV352" s="972"/>
      <c r="BW352" s="972"/>
      <c r="BX352" s="973"/>
      <c r="BZ352" s="992"/>
      <c r="CA352" s="972"/>
      <c r="CB352" s="973"/>
      <c r="CD352" s="992"/>
      <c r="CE352" s="972"/>
      <c r="CF352" s="972"/>
      <c r="CG352" s="930"/>
      <c r="CH352" s="973"/>
    </row>
    <row r="353" spans="2:86">
      <c r="B353" s="1043" t="s">
        <v>248</v>
      </c>
      <c r="C353" s="921">
        <f>ID!K76</f>
        <v>6.58</v>
      </c>
      <c r="D353" s="921">
        <f>FORECAST(C353,$F$260:$F$272,$B$260:$B$272)+C353</f>
        <v>6.4439755509929437</v>
      </c>
      <c r="E353" s="921">
        <f t="shared" si="329"/>
        <v>-0.13602444900705635</v>
      </c>
      <c r="F353" s="1042"/>
      <c r="G353" s="929"/>
      <c r="H353" s="1043" t="s">
        <v>248</v>
      </c>
      <c r="I353" s="921">
        <f>ID!L76</f>
        <v>6.79</v>
      </c>
      <c r="J353" s="921">
        <f>FORECAST(I353,$F$260:$F$272,$B$260:$B$272)+I353</f>
        <v>6.654444448886875</v>
      </c>
      <c r="K353" s="921">
        <f t="shared" si="330"/>
        <v>-0.13555555111312501</v>
      </c>
      <c r="L353" s="1042"/>
      <c r="M353" s="929"/>
      <c r="AE353" s="972"/>
      <c r="AF353" s="972"/>
      <c r="AG353" s="972"/>
      <c r="AH353" s="973"/>
      <c r="AJ353" s="992"/>
      <c r="AK353" s="972"/>
      <c r="AL353" s="972"/>
      <c r="AM353" s="972"/>
      <c r="AN353" s="973"/>
      <c r="AP353" s="992"/>
      <c r="AQ353" s="972"/>
      <c r="AR353" s="972"/>
      <c r="AS353" s="972"/>
      <c r="AT353" s="973"/>
      <c r="AV353" s="992"/>
      <c r="AW353" s="972"/>
      <c r="AX353" s="972"/>
      <c r="AY353" s="972"/>
      <c r="AZ353" s="973"/>
      <c r="BB353" s="992"/>
      <c r="BC353" s="972"/>
      <c r="BD353" s="972"/>
      <c r="BE353" s="972"/>
      <c r="BF353" s="973"/>
      <c r="BH353" s="992"/>
      <c r="BI353" s="972"/>
      <c r="BJ353" s="972"/>
      <c r="BK353" s="972"/>
      <c r="BL353" s="973"/>
      <c r="BN353" s="992"/>
      <c r="BO353" s="972"/>
      <c r="BP353" s="972"/>
      <c r="BQ353" s="972"/>
      <c r="BR353" s="973"/>
      <c r="BT353" s="992"/>
      <c r="BU353" s="972"/>
      <c r="BV353" s="972"/>
      <c r="BW353" s="972"/>
      <c r="BX353" s="973"/>
      <c r="BZ353" s="992"/>
      <c r="CA353" s="972"/>
      <c r="CB353" s="973"/>
      <c r="CD353" s="992"/>
      <c r="CE353" s="972"/>
      <c r="CF353" s="972"/>
      <c r="CG353" s="930"/>
      <c r="CH353" s="973"/>
    </row>
    <row r="354" spans="2:86">
      <c r="B354" s="1043" t="s">
        <v>249</v>
      </c>
      <c r="C354" s="921">
        <f>ID!K77</f>
        <v>6.59</v>
      </c>
      <c r="D354" s="921">
        <f>FORECAST(C354,$G$260:$G$272,$B$260:$B$272)+C354</f>
        <v>6.4518766904487643</v>
      </c>
      <c r="E354" s="921">
        <f t="shared" si="329"/>
        <v>-0.13812330955123553</v>
      </c>
      <c r="F354" s="1042"/>
      <c r="G354" s="929"/>
      <c r="H354" s="1043" t="s">
        <v>249</v>
      </c>
      <c r="I354" s="921">
        <f>ID!L77</f>
        <v>6.79</v>
      </c>
      <c r="J354" s="921">
        <f>FORECAST(I354,$G$260:$G$272,$B$260:$B$272)+I354</f>
        <v>6.6523824219607253</v>
      </c>
      <c r="K354" s="921">
        <f t="shared" si="330"/>
        <v>-0.13761757803927477</v>
      </c>
      <c r="L354" s="1042"/>
      <c r="M354" s="929"/>
      <c r="P354" s="992"/>
      <c r="Q354" s="972"/>
      <c r="R354" s="972"/>
      <c r="S354" s="972"/>
      <c r="T354" s="1046"/>
      <c r="U354" s="1046"/>
      <c r="V354" s="1046"/>
      <c r="W354" s="1046"/>
      <c r="X354" s="1046"/>
      <c r="Y354" s="1046"/>
      <c r="Z354" s="1046"/>
      <c r="AA354" s="1046"/>
      <c r="AB354" s="1046"/>
      <c r="AD354" s="992"/>
      <c r="AH354" s="934"/>
      <c r="AJ354" s="934"/>
      <c r="AN354" s="934"/>
      <c r="AP354" s="934"/>
      <c r="AT354" s="934"/>
      <c r="AV354" s="934"/>
      <c r="AZ354" s="934"/>
      <c r="BB354" s="934"/>
      <c r="BF354" s="934"/>
      <c r="BH354" s="934"/>
      <c r="BL354" s="934"/>
      <c r="BN354" s="934"/>
      <c r="BR354" s="934"/>
      <c r="BT354" s="934"/>
      <c r="BX354" s="934"/>
      <c r="BZ354" s="934"/>
    </row>
    <row r="355" spans="2:86">
      <c r="B355" s="1043" t="s">
        <v>250</v>
      </c>
      <c r="C355" s="921">
        <f>ID!K78</f>
        <v>6.6</v>
      </c>
      <c r="D355" s="921">
        <f>FORECAST(C355,$H$260:$H$272,$B$260:$B$272)+C355</f>
        <v>6.4228418659155322</v>
      </c>
      <c r="E355" s="921">
        <f t="shared" si="329"/>
        <v>-0.17715813408446746</v>
      </c>
      <c r="F355" s="1042"/>
      <c r="G355" s="929"/>
      <c r="H355" s="1043" t="s">
        <v>250</v>
      </c>
      <c r="I355" s="921">
        <f>ID!L78</f>
        <v>6.79</v>
      </c>
      <c r="J355" s="921">
        <f>FORECAST(I355,$H$260:$H$272,$B$260:$B$272)+I355</f>
        <v>6.6133426910312583</v>
      </c>
      <c r="K355" s="921">
        <f t="shared" si="330"/>
        <v>-0.17665730896874177</v>
      </c>
      <c r="L355" s="1042"/>
      <c r="M355" s="929"/>
      <c r="P355" s="992"/>
      <c r="Q355" s="972"/>
      <c r="R355" s="972"/>
      <c r="S355" s="972"/>
      <c r="T355" s="1046"/>
      <c r="U355" s="1046"/>
      <c r="V355" s="1046"/>
      <c r="W355" s="1046"/>
      <c r="X355" s="1046"/>
      <c r="Y355" s="1046"/>
      <c r="Z355" s="1046"/>
      <c r="AA355" s="1046"/>
      <c r="AB355" s="1046"/>
      <c r="AD355" s="992"/>
      <c r="AF355" s="992"/>
      <c r="AG355" s="972"/>
      <c r="AI355" s="972"/>
      <c r="AL355" s="992"/>
      <c r="AM355" s="972"/>
      <c r="AO355" s="972"/>
      <c r="AR355" s="992"/>
      <c r="AS355" s="972"/>
      <c r="AU355" s="972"/>
      <c r="AX355" s="992"/>
      <c r="AY355" s="972"/>
      <c r="BA355" s="972"/>
      <c r="BD355" s="992"/>
      <c r="BE355" s="972"/>
      <c r="BG355" s="972"/>
      <c r="BJ355" s="992"/>
      <c r="BK355" s="972"/>
      <c r="BM355" s="972"/>
      <c r="BP355" s="992"/>
      <c r="BQ355" s="972"/>
      <c r="BS355" s="972"/>
      <c r="BV355" s="992"/>
      <c r="BW355" s="972"/>
      <c r="BY355" s="972"/>
    </row>
    <row r="356" spans="2:86">
      <c r="B356" s="1043" t="s">
        <v>251</v>
      </c>
      <c r="C356" s="921">
        <f>ID!K79</f>
        <v>6.61</v>
      </c>
      <c r="D356" s="921">
        <f>FORECAST(C356,$I$260:$I$272,$B$260:$B$272)+C356</f>
        <v>6.41832531896749</v>
      </c>
      <c r="E356" s="921">
        <f t="shared" si="329"/>
        <v>-0.19167468103251029</v>
      </c>
      <c r="F356" s="1042"/>
      <c r="G356" s="929"/>
      <c r="H356" s="1043" t="s">
        <v>251</v>
      </c>
      <c r="I356" s="921">
        <f>ID!L79</f>
        <v>6.79</v>
      </c>
      <c r="J356" s="921">
        <f>FORECAST(I356,$I$260:$I$272,$B$260:$B$272)+I356</f>
        <v>6.598828935052258</v>
      </c>
      <c r="K356" s="921">
        <f t="shared" si="330"/>
        <v>-0.19117106494774205</v>
      </c>
      <c r="L356" s="1042"/>
      <c r="M356" s="929"/>
      <c r="P356" s="992"/>
      <c r="Q356" s="972"/>
      <c r="R356" s="972"/>
      <c r="S356" s="972"/>
      <c r="T356" s="1046"/>
      <c r="U356" s="1046"/>
      <c r="V356" s="1046"/>
      <c r="W356" s="1046"/>
      <c r="X356" s="1046"/>
      <c r="Y356" s="1046"/>
      <c r="Z356" s="1046"/>
      <c r="AA356" s="1046"/>
      <c r="AB356" s="1046"/>
      <c r="AD356" s="992"/>
      <c r="AF356" s="992"/>
      <c r="AG356" s="972"/>
      <c r="AI356" s="972"/>
      <c r="AL356" s="992"/>
      <c r="AM356" s="972"/>
      <c r="AO356" s="972"/>
      <c r="AR356" s="992"/>
      <c r="AS356" s="972"/>
      <c r="AU356" s="972"/>
      <c r="AX356" s="992"/>
      <c r="AY356" s="972"/>
      <c r="BA356" s="972"/>
      <c r="BD356" s="992"/>
      <c r="BE356" s="972"/>
      <c r="BG356" s="972"/>
      <c r="BJ356" s="992"/>
      <c r="BK356" s="972"/>
      <c r="BM356" s="972"/>
      <c r="BP356" s="992"/>
      <c r="BQ356" s="972"/>
      <c r="BS356" s="972"/>
      <c r="BV356" s="992"/>
      <c r="BW356" s="972"/>
      <c r="BY356" s="972"/>
    </row>
    <row r="357" spans="2:86">
      <c r="B357" s="1043" t="s">
        <v>252</v>
      </c>
      <c r="C357" s="921">
        <f>ID!K80</f>
        <v>6.62</v>
      </c>
      <c r="D357" s="921">
        <f>FORECAST(C357,$J$260:$J$272,$B$260:$B$272)+C357</f>
        <v>6.4286227784181333</v>
      </c>
      <c r="E357" s="921">
        <f t="shared" si="329"/>
        <v>-0.19137722158186676</v>
      </c>
      <c r="F357" s="1042"/>
      <c r="G357" s="929"/>
      <c r="H357" s="1043" t="s">
        <v>252</v>
      </c>
      <c r="I357" s="921">
        <f>ID!L80</f>
        <v>6.79</v>
      </c>
      <c r="J357" s="921">
        <f>FORECAST(I357,$J$260:$J$272,$B$260:$B$272)+I357</f>
        <v>6.5990069147945523</v>
      </c>
      <c r="K357" s="921">
        <f t="shared" si="330"/>
        <v>-0.19099308520544778</v>
      </c>
      <c r="L357" s="1042"/>
      <c r="M357" s="929"/>
      <c r="P357" s="992"/>
      <c r="Q357" s="972"/>
      <c r="R357" s="972"/>
      <c r="S357" s="972"/>
      <c r="T357" s="1046"/>
      <c r="U357" s="1046"/>
      <c r="V357" s="1046"/>
      <c r="W357" s="1046"/>
      <c r="X357" s="1046"/>
      <c r="Y357" s="1046"/>
      <c r="Z357" s="1046"/>
      <c r="AA357" s="1046"/>
      <c r="AB357" s="1046"/>
      <c r="AD357" s="992"/>
      <c r="AF357" s="992"/>
      <c r="AG357" s="972"/>
      <c r="AI357" s="972"/>
      <c r="AL357" s="992"/>
      <c r="AM357" s="972"/>
      <c r="AO357" s="972"/>
      <c r="AR357" s="992"/>
      <c r="AS357" s="972"/>
      <c r="AU357" s="972"/>
      <c r="AX357" s="992"/>
      <c r="AY357" s="972"/>
      <c r="BA357" s="972"/>
      <c r="BD357" s="992"/>
      <c r="BE357" s="972"/>
      <c r="BG357" s="972"/>
      <c r="BJ357" s="992"/>
      <c r="BK357" s="972"/>
      <c r="BM357" s="972"/>
      <c r="BP357" s="992"/>
      <c r="BQ357" s="972"/>
      <c r="BS357" s="972"/>
      <c r="BV357" s="992"/>
      <c r="BW357" s="972"/>
      <c r="BY357" s="972"/>
    </row>
    <row r="358" spans="2:86">
      <c r="B358" s="1043" t="s">
        <v>432</v>
      </c>
      <c r="C358" s="921">
        <v>6</v>
      </c>
      <c r="D358" s="921">
        <f>FORECAST(C358,$K$260:$K$272,$B$260:$B$272)+C358</f>
        <v>6.0010000000000003</v>
      </c>
      <c r="E358" s="921">
        <f t="shared" si="329"/>
        <v>1.000000000000334E-3</v>
      </c>
      <c r="F358" s="1042"/>
      <c r="G358" s="929"/>
      <c r="H358" s="1043" t="s">
        <v>432</v>
      </c>
      <c r="I358" s="921">
        <v>6</v>
      </c>
      <c r="J358" s="921">
        <f>FORECAST(I358,$K$260:$K$272,$B$260:$B$272)+I358</f>
        <v>6.0010000000000003</v>
      </c>
      <c r="K358" s="921">
        <f t="shared" si="330"/>
        <v>1.000000000000334E-3</v>
      </c>
      <c r="L358" s="1042"/>
      <c r="M358" s="929"/>
      <c r="P358" s="992"/>
      <c r="Q358" s="972"/>
      <c r="R358" s="972"/>
      <c r="S358" s="972"/>
      <c r="T358" s="1046"/>
      <c r="U358" s="1046"/>
      <c r="V358" s="1046"/>
      <c r="W358" s="1046"/>
      <c r="X358" s="1046"/>
      <c r="Y358" s="1046"/>
      <c r="Z358" s="1046"/>
      <c r="AA358" s="1046"/>
      <c r="AB358" s="1046"/>
      <c r="AD358" s="992"/>
      <c r="AF358" s="992"/>
      <c r="AG358" s="972"/>
      <c r="AI358" s="972"/>
      <c r="AL358" s="992"/>
      <c r="AM358" s="972"/>
      <c r="AO358" s="972"/>
      <c r="AR358" s="992"/>
      <c r="AS358" s="972"/>
      <c r="AU358" s="972"/>
      <c r="AX358" s="992"/>
      <c r="AY358" s="972"/>
      <c r="BA358" s="972"/>
      <c r="BD358" s="992"/>
      <c r="BE358" s="972"/>
      <c r="BG358" s="972"/>
      <c r="BJ358" s="992"/>
      <c r="BK358" s="972"/>
      <c r="BM358" s="972"/>
      <c r="BP358" s="992"/>
      <c r="BQ358" s="972"/>
      <c r="BS358" s="972"/>
      <c r="BV358" s="992"/>
      <c r="BW358" s="972"/>
      <c r="BY358" s="972"/>
    </row>
    <row r="359" spans="2:86">
      <c r="B359" s="1043" t="s">
        <v>433</v>
      </c>
      <c r="C359" s="921">
        <v>6</v>
      </c>
      <c r="D359" s="921">
        <f>FORECAST(C359,$L$260:$L$272,$B$260:$B$272)+C359</f>
        <v>6.0018907676711377</v>
      </c>
      <c r="E359" s="921">
        <f t="shared" si="329"/>
        <v>1.8907676711377164E-3</v>
      </c>
      <c r="F359" s="1042"/>
      <c r="G359" s="929"/>
      <c r="H359" s="1043" t="s">
        <v>433</v>
      </c>
      <c r="I359" s="921">
        <v>6</v>
      </c>
      <c r="J359" s="921">
        <f>FORECAST(I359,$L$260:$L$272,$B$260:$B$272)+I359</f>
        <v>6.0018907676711377</v>
      </c>
      <c r="K359" s="921">
        <f t="shared" si="330"/>
        <v>1.8907676711377164E-3</v>
      </c>
      <c r="L359" s="1047"/>
      <c r="M359" s="929"/>
      <c r="P359" s="992"/>
      <c r="Q359" s="972"/>
      <c r="R359" s="972"/>
      <c r="S359" s="972"/>
      <c r="T359" s="1046"/>
      <c r="U359" s="1046"/>
      <c r="V359" s="1046"/>
      <c r="W359" s="1046"/>
      <c r="X359" s="1046"/>
      <c r="Y359" s="1046"/>
      <c r="Z359" s="1046"/>
      <c r="AA359" s="1046"/>
      <c r="AB359" s="1046"/>
      <c r="AD359" s="992"/>
      <c r="AF359" s="992"/>
      <c r="AG359" s="972"/>
      <c r="AI359" s="972"/>
      <c r="AL359" s="992"/>
      <c r="AM359" s="972"/>
      <c r="AO359" s="972"/>
      <c r="AR359" s="992"/>
      <c r="AS359" s="972"/>
      <c r="AU359" s="972"/>
      <c r="AX359" s="992"/>
      <c r="AY359" s="972"/>
      <c r="BA359" s="972"/>
      <c r="BD359" s="992"/>
      <c r="BE359" s="972"/>
      <c r="BG359" s="972"/>
      <c r="BJ359" s="992"/>
      <c r="BK359" s="972"/>
      <c r="BM359" s="972"/>
      <c r="BP359" s="992"/>
      <c r="BQ359" s="972"/>
      <c r="BS359" s="972"/>
      <c r="BV359" s="992"/>
      <c r="BW359" s="972"/>
      <c r="BY359" s="972"/>
    </row>
    <row r="360" spans="2:86" s="929" customFormat="1">
      <c r="P360" s="946"/>
      <c r="Q360" s="930"/>
      <c r="R360" s="930"/>
      <c r="S360" s="930"/>
      <c r="T360" s="931"/>
      <c r="U360" s="931"/>
      <c r="V360" s="931"/>
      <c r="W360" s="931"/>
      <c r="X360" s="931"/>
      <c r="Y360" s="931"/>
      <c r="Z360" s="931"/>
      <c r="AA360" s="931"/>
      <c r="AB360" s="931"/>
      <c r="AD360" s="946"/>
      <c r="AF360" s="946"/>
      <c r="AG360" s="930"/>
      <c r="AH360" s="930"/>
      <c r="AI360" s="930"/>
      <c r="AJ360" s="931"/>
      <c r="AL360" s="946"/>
      <c r="AM360" s="930"/>
      <c r="AN360" s="930"/>
      <c r="AO360" s="930"/>
      <c r="AP360" s="931"/>
      <c r="AR360" s="946"/>
      <c r="AS360" s="930"/>
      <c r="AT360" s="930"/>
      <c r="AU360" s="930"/>
      <c r="AV360" s="931"/>
      <c r="AX360" s="946"/>
      <c r="AY360" s="930"/>
      <c r="AZ360" s="930"/>
      <c r="BA360" s="930"/>
      <c r="BB360" s="931"/>
      <c r="BD360" s="946"/>
      <c r="BE360" s="930"/>
      <c r="BF360" s="930"/>
      <c r="BG360" s="930"/>
      <c r="BH360" s="931"/>
      <c r="BJ360" s="946"/>
      <c r="BK360" s="930"/>
      <c r="BL360" s="930"/>
      <c r="BM360" s="930"/>
      <c r="BN360" s="931"/>
      <c r="BP360" s="946"/>
      <c r="BQ360" s="930"/>
      <c r="BR360" s="930"/>
      <c r="BS360" s="930"/>
      <c r="BT360" s="931"/>
      <c r="BV360" s="946"/>
      <c r="BW360" s="930"/>
      <c r="BX360" s="930"/>
      <c r="BY360" s="930"/>
      <c r="BZ360" s="931"/>
    </row>
    <row r="361" spans="2:86" s="929" customFormat="1">
      <c r="P361" s="946"/>
      <c r="Q361" s="930"/>
      <c r="R361" s="930"/>
      <c r="S361" s="930"/>
      <c r="T361" s="931"/>
      <c r="U361" s="931"/>
      <c r="V361" s="931"/>
      <c r="W361" s="931"/>
      <c r="X361" s="931"/>
      <c r="Y361" s="931"/>
      <c r="Z361" s="931"/>
      <c r="AA361" s="931"/>
      <c r="AB361" s="931"/>
      <c r="AD361" s="946"/>
      <c r="AF361" s="946"/>
      <c r="AG361" s="930"/>
      <c r="AH361" s="930"/>
      <c r="AI361" s="930"/>
      <c r="AJ361" s="931"/>
      <c r="AL361" s="946"/>
      <c r="AM361" s="930"/>
      <c r="AN361" s="930"/>
      <c r="AO361" s="930"/>
      <c r="AP361" s="931"/>
      <c r="AR361" s="946"/>
      <c r="AS361" s="930"/>
      <c r="AT361" s="930"/>
      <c r="AU361" s="930"/>
      <c r="AV361" s="931"/>
      <c r="AX361" s="946"/>
      <c r="AY361" s="930"/>
      <c r="AZ361" s="930"/>
      <c r="BA361" s="930"/>
      <c r="BB361" s="931"/>
      <c r="BD361" s="946"/>
      <c r="BE361" s="930"/>
      <c r="BF361" s="930"/>
      <c r="BG361" s="930"/>
      <c r="BH361" s="931"/>
      <c r="BJ361" s="946"/>
      <c r="BK361" s="930"/>
      <c r="BL361" s="930"/>
      <c r="BM361" s="930"/>
      <c r="BN361" s="931"/>
      <c r="BP361" s="946"/>
      <c r="BQ361" s="930"/>
      <c r="BR361" s="930"/>
      <c r="BS361" s="930"/>
      <c r="BT361" s="931"/>
      <c r="BV361" s="946"/>
      <c r="BW361" s="930"/>
      <c r="BX361" s="930"/>
      <c r="BY361" s="930"/>
      <c r="BZ361" s="931"/>
    </row>
    <row r="362" spans="2:86">
      <c r="P362" s="992"/>
      <c r="Q362" s="972"/>
      <c r="R362" s="972"/>
      <c r="S362" s="972"/>
      <c r="T362" s="1046"/>
      <c r="U362" s="1046"/>
      <c r="V362" s="1046"/>
      <c r="W362" s="1046"/>
      <c r="X362" s="1046"/>
      <c r="Y362" s="1046"/>
      <c r="Z362" s="1046"/>
      <c r="AA362" s="1046"/>
      <c r="AB362" s="1046"/>
      <c r="AD362" s="992"/>
      <c r="AF362" s="992"/>
      <c r="AG362" s="972"/>
      <c r="AI362" s="972"/>
      <c r="AL362" s="992"/>
      <c r="AM362" s="972"/>
      <c r="AO362" s="972"/>
      <c r="AR362" s="992"/>
      <c r="AS362" s="972"/>
      <c r="AU362" s="972"/>
      <c r="AX362" s="992"/>
      <c r="AY362" s="972"/>
      <c r="BA362" s="972"/>
      <c r="BD362" s="992"/>
      <c r="BE362" s="972"/>
      <c r="BG362" s="972"/>
      <c r="BJ362" s="992"/>
      <c r="BK362" s="972"/>
      <c r="BM362" s="972"/>
      <c r="BP362" s="992"/>
      <c r="BQ362" s="972"/>
      <c r="BS362" s="972"/>
      <c r="BV362" s="992"/>
      <c r="BW362" s="972"/>
      <c r="BY362" s="972"/>
    </row>
    <row r="363" spans="2:86">
      <c r="P363" s="992"/>
      <c r="Q363" s="972"/>
      <c r="R363" s="972"/>
      <c r="S363" s="972"/>
      <c r="T363" s="1046"/>
      <c r="U363" s="1046"/>
      <c r="V363" s="1046"/>
      <c r="W363" s="1046"/>
      <c r="X363" s="1046"/>
      <c r="Y363" s="1046"/>
      <c r="Z363" s="1046"/>
      <c r="AA363" s="1046"/>
      <c r="AB363" s="1046"/>
      <c r="AD363" s="992"/>
      <c r="AF363" s="992"/>
      <c r="AG363" s="972"/>
      <c r="AI363" s="972"/>
      <c r="AJ363" s="1046"/>
      <c r="AL363" s="992"/>
      <c r="AM363" s="972"/>
      <c r="AO363" s="972"/>
      <c r="AP363" s="1046"/>
      <c r="AR363" s="992"/>
      <c r="AS363" s="972"/>
      <c r="AU363" s="972"/>
      <c r="AV363" s="1046"/>
      <c r="AX363" s="992"/>
      <c r="AY363" s="972"/>
      <c r="BA363" s="972"/>
      <c r="BB363" s="1046"/>
      <c r="BD363" s="992"/>
      <c r="BE363" s="972"/>
      <c r="BG363" s="972"/>
      <c r="BH363" s="1046"/>
      <c r="BJ363" s="992"/>
      <c r="BK363" s="972"/>
      <c r="BM363" s="972"/>
      <c r="BN363" s="1046"/>
      <c r="BP363" s="992"/>
      <c r="BQ363" s="972"/>
      <c r="BS363" s="972"/>
      <c r="BT363" s="1046"/>
      <c r="BV363" s="992"/>
      <c r="BW363" s="972"/>
      <c r="BY363" s="972"/>
      <c r="BZ363" s="1046"/>
    </row>
    <row r="364" spans="2:86">
      <c r="P364" s="992"/>
      <c r="Q364" s="972"/>
      <c r="R364" s="972"/>
      <c r="S364" s="972"/>
      <c r="T364" s="1046"/>
      <c r="U364" s="1046"/>
      <c r="V364" s="1046"/>
      <c r="W364" s="1046"/>
      <c r="X364" s="1046"/>
      <c r="Y364" s="1046"/>
      <c r="Z364" s="1046"/>
      <c r="AA364" s="1046"/>
      <c r="AB364" s="1046"/>
      <c r="AD364" s="992"/>
      <c r="AF364" s="992"/>
      <c r="AG364" s="972"/>
      <c r="AI364" s="972"/>
      <c r="AJ364" s="1046"/>
      <c r="AL364" s="992"/>
      <c r="AM364" s="972"/>
      <c r="AO364" s="972"/>
      <c r="AP364" s="1046"/>
      <c r="AR364" s="992"/>
      <c r="AS364" s="972"/>
      <c r="AU364" s="972"/>
      <c r="AV364" s="1046"/>
      <c r="AX364" s="992"/>
      <c r="AY364" s="972"/>
      <c r="BA364" s="972"/>
      <c r="BB364" s="1046"/>
      <c r="BD364" s="992"/>
      <c r="BE364" s="972"/>
      <c r="BG364" s="972"/>
      <c r="BH364" s="1046"/>
      <c r="BJ364" s="992"/>
      <c r="BK364" s="972"/>
      <c r="BM364" s="972"/>
      <c r="BN364" s="1046"/>
      <c r="BP364" s="992"/>
      <c r="BQ364" s="972"/>
      <c r="BS364" s="972"/>
      <c r="BT364" s="1046"/>
      <c r="BV364" s="992"/>
      <c r="BW364" s="972"/>
      <c r="BY364" s="972"/>
      <c r="BZ364" s="1046"/>
    </row>
    <row r="365" spans="2:86">
      <c r="P365" s="992"/>
      <c r="Q365" s="972"/>
      <c r="R365" s="972"/>
      <c r="S365" s="972"/>
      <c r="T365" s="1046"/>
      <c r="U365" s="1046"/>
      <c r="V365" s="1046"/>
      <c r="W365" s="1046"/>
      <c r="X365" s="1046"/>
      <c r="Y365" s="1046"/>
      <c r="Z365" s="1046"/>
      <c r="AA365" s="1046"/>
      <c r="AB365" s="1046"/>
      <c r="AD365" s="992"/>
      <c r="AF365" s="992"/>
      <c r="AG365" s="972"/>
      <c r="AI365" s="972"/>
      <c r="AJ365" s="1046"/>
      <c r="AL365" s="992"/>
      <c r="AM365" s="972"/>
      <c r="AO365" s="972"/>
      <c r="AP365" s="1046"/>
      <c r="AR365" s="992"/>
      <c r="AS365" s="972"/>
      <c r="AU365" s="972"/>
      <c r="AV365" s="1046"/>
      <c r="AX365" s="992"/>
      <c r="AY365" s="972"/>
      <c r="BA365" s="972"/>
      <c r="BB365" s="1046"/>
      <c r="BD365" s="992"/>
      <c r="BE365" s="972"/>
      <c r="BG365" s="972"/>
      <c r="BH365" s="1046"/>
      <c r="BJ365" s="992"/>
      <c r="BK365" s="972"/>
      <c r="BM365" s="972"/>
      <c r="BN365" s="1046"/>
      <c r="BP365" s="992"/>
      <c r="BQ365" s="972"/>
      <c r="BS365" s="972"/>
      <c r="BT365" s="1046"/>
      <c r="BV365" s="992"/>
      <c r="BW365" s="972"/>
      <c r="BY365" s="972"/>
      <c r="BZ365" s="1046"/>
    </row>
    <row r="368" spans="2:86" ht="26.1" customHeight="1">
      <c r="Q368" s="1048"/>
      <c r="R368" s="1048"/>
      <c r="S368" s="1048"/>
      <c r="T368" s="1048"/>
      <c r="U368" s="1048"/>
      <c r="V368" s="1048"/>
      <c r="W368" s="1048"/>
      <c r="X368" s="1048"/>
      <c r="Y368" s="1048"/>
      <c r="Z368" s="1048"/>
      <c r="AA368" s="1048"/>
      <c r="AB368" s="1048"/>
      <c r="AC368" s="1048"/>
      <c r="AD368" s="1048"/>
      <c r="AE368" s="1048"/>
      <c r="AF368" s="1048"/>
      <c r="AG368" s="1048"/>
      <c r="AH368" s="1048"/>
      <c r="AI368" s="1048"/>
      <c r="AJ368" s="1048"/>
      <c r="AK368" s="1048"/>
      <c r="AL368" s="1048"/>
      <c r="AM368" s="1048"/>
      <c r="AN368" s="1048"/>
      <c r="AO368" s="1048"/>
      <c r="AP368" s="1048"/>
      <c r="AQ368" s="1048"/>
      <c r="AR368" s="1049"/>
      <c r="AS368" s="1049"/>
      <c r="AT368" s="1049"/>
      <c r="AU368" s="1049"/>
      <c r="AV368" s="1049"/>
      <c r="AX368" s="1049"/>
      <c r="AY368" s="1049"/>
      <c r="AZ368" s="1049"/>
      <c r="BA368" s="1049"/>
      <c r="BB368" s="1049"/>
      <c r="BC368" s="1050"/>
      <c r="BD368" s="1049"/>
      <c r="BE368" s="1049"/>
      <c r="BF368" s="1049"/>
      <c r="BG368" s="1049"/>
      <c r="BH368" s="1049"/>
      <c r="BI368" s="1050"/>
      <c r="BJ368" s="1049"/>
      <c r="BK368" s="1049"/>
      <c r="BL368" s="1049"/>
      <c r="BM368" s="1049"/>
      <c r="BN368" s="1049"/>
      <c r="BO368" s="1050"/>
      <c r="BP368" s="1049"/>
      <c r="BQ368" s="1049"/>
      <c r="BR368" s="1049"/>
      <c r="BS368" s="1049"/>
      <c r="BT368" s="1049"/>
      <c r="BU368" s="1050"/>
      <c r="BV368" s="1049"/>
      <c r="BW368" s="1049"/>
      <c r="BX368" s="1049"/>
      <c r="BY368" s="1049"/>
      <c r="BZ368" s="1049"/>
      <c r="CA368" s="1050"/>
      <c r="CB368" s="972"/>
    </row>
    <row r="369" spans="4:80" ht="26.1" customHeight="1">
      <c r="Q369" s="1051"/>
      <c r="R369" s="973"/>
      <c r="S369" s="973"/>
      <c r="T369" s="973"/>
      <c r="U369" s="973"/>
      <c r="V369" s="973"/>
      <c r="W369" s="973"/>
      <c r="X369" s="973"/>
      <c r="Y369" s="973"/>
      <c r="Z369" s="973"/>
      <c r="AA369" s="973"/>
      <c r="AB369" s="973"/>
      <c r="AC369" s="973"/>
      <c r="AD369" s="973"/>
      <c r="AE369" s="973"/>
      <c r="AF369" s="973"/>
      <c r="AG369" s="1051"/>
      <c r="AH369" s="973"/>
      <c r="AI369" s="973"/>
      <c r="AK369" s="973"/>
      <c r="AL369" s="973"/>
      <c r="AM369" s="1051"/>
      <c r="AN369" s="973"/>
      <c r="AO369" s="973"/>
      <c r="AQ369" s="973"/>
      <c r="AR369" s="973"/>
      <c r="AS369" s="1051"/>
      <c r="AT369" s="973"/>
      <c r="AU369" s="973"/>
      <c r="AX369" s="973"/>
      <c r="AY369" s="1051"/>
      <c r="AZ369" s="973"/>
      <c r="BA369" s="973"/>
      <c r="BC369" s="1050"/>
      <c r="BD369" s="973"/>
      <c r="BE369" s="1051"/>
      <c r="BF369" s="973"/>
      <c r="BG369" s="973"/>
      <c r="BI369" s="1050"/>
      <c r="BJ369" s="973"/>
      <c r="BK369" s="1051"/>
      <c r="BL369" s="973"/>
      <c r="BM369" s="973"/>
      <c r="BO369" s="1050"/>
      <c r="BP369" s="973"/>
      <c r="BQ369" s="1051"/>
      <c r="BR369" s="973"/>
      <c r="BS369" s="973"/>
      <c r="BU369" s="1050"/>
      <c r="BV369" s="973"/>
      <c r="BW369" s="1051"/>
      <c r="BX369" s="973"/>
      <c r="BY369" s="973"/>
      <c r="CA369" s="1050"/>
      <c r="CB369" s="972"/>
    </row>
    <row r="370" spans="4:80" ht="26.1" customHeight="1">
      <c r="D370" s="1059"/>
      <c r="E370" s="1059"/>
      <c r="F370" s="1059"/>
      <c r="G370" s="1059"/>
      <c r="H370" s="1059"/>
      <c r="I370" s="1059"/>
      <c r="J370" s="1059"/>
      <c r="K370" s="1059"/>
      <c r="Q370" s="1051"/>
      <c r="R370" s="973"/>
      <c r="S370" s="973"/>
      <c r="T370" s="973"/>
      <c r="U370" s="973"/>
      <c r="V370" s="973"/>
      <c r="W370" s="973"/>
      <c r="X370" s="973"/>
      <c r="Y370" s="973"/>
      <c r="Z370" s="973"/>
      <c r="AA370" s="973"/>
      <c r="AB370" s="973"/>
      <c r="AC370" s="973"/>
      <c r="AD370" s="973"/>
      <c r="AE370" s="973"/>
      <c r="AF370" s="973"/>
      <c r="AG370" s="1051"/>
      <c r="AH370" s="973"/>
      <c r="AI370" s="973"/>
      <c r="AK370" s="973"/>
      <c r="AL370" s="973"/>
      <c r="AM370" s="1051"/>
      <c r="AN370" s="973"/>
      <c r="AO370" s="973"/>
      <c r="AQ370" s="973"/>
      <c r="AR370" s="973"/>
      <c r="AS370" s="1051"/>
      <c r="AT370" s="973"/>
      <c r="AU370" s="973"/>
      <c r="AX370" s="973"/>
      <c r="AY370" s="1051"/>
      <c r="AZ370" s="973"/>
      <c r="BA370" s="973"/>
      <c r="BC370" s="1050"/>
      <c r="BD370" s="973"/>
      <c r="BE370" s="1051"/>
      <c r="BF370" s="973"/>
      <c r="BG370" s="973"/>
      <c r="BI370" s="1050"/>
      <c r="BJ370" s="973"/>
      <c r="BK370" s="1051"/>
      <c r="BL370" s="973"/>
      <c r="BM370" s="973"/>
      <c r="BO370" s="1050"/>
      <c r="BP370" s="973"/>
      <c r="BQ370" s="1051"/>
      <c r="BR370" s="973"/>
      <c r="BS370" s="973"/>
      <c r="BU370" s="1050"/>
      <c r="BV370" s="973"/>
      <c r="BW370" s="1051"/>
      <c r="BX370" s="973"/>
      <c r="BY370" s="973"/>
      <c r="CA370" s="1050"/>
      <c r="CB370" s="972"/>
    </row>
    <row r="371" spans="4:80" ht="26.1" customHeight="1">
      <c r="D371" s="1059"/>
      <c r="E371" s="1059"/>
      <c r="F371" s="1059"/>
      <c r="G371" s="1059"/>
      <c r="H371" s="1059"/>
      <c r="I371" s="1059"/>
      <c r="J371" s="1059"/>
      <c r="K371" s="1059"/>
      <c r="Q371" s="1051"/>
      <c r="R371" s="973"/>
      <c r="S371" s="973"/>
      <c r="T371" s="973"/>
      <c r="U371" s="973"/>
      <c r="V371" s="973"/>
      <c r="W371" s="973"/>
      <c r="X371" s="973"/>
      <c r="Y371" s="973"/>
      <c r="Z371" s="973"/>
      <c r="AA371" s="973"/>
      <c r="AB371" s="973"/>
      <c r="AC371" s="973"/>
      <c r="AD371" s="973"/>
      <c r="AE371" s="973"/>
      <c r="AF371" s="973"/>
      <c r="AG371" s="1051"/>
      <c r="AH371" s="973"/>
      <c r="AI371" s="973"/>
      <c r="AK371" s="973"/>
      <c r="AL371" s="973"/>
      <c r="AM371" s="1051"/>
      <c r="AN371" s="973"/>
      <c r="AO371" s="973"/>
      <c r="AQ371" s="973"/>
      <c r="AR371" s="973"/>
      <c r="AS371" s="1051"/>
      <c r="AT371" s="973"/>
      <c r="AU371" s="973"/>
      <c r="AX371" s="973"/>
      <c r="AY371" s="1051"/>
      <c r="AZ371" s="973"/>
      <c r="BA371" s="973"/>
      <c r="BC371" s="1050"/>
      <c r="BD371" s="973"/>
      <c r="BE371" s="1051"/>
      <c r="BF371" s="973"/>
      <c r="BG371" s="973"/>
      <c r="BI371" s="1050"/>
      <c r="BJ371" s="973"/>
      <c r="BK371" s="1051"/>
      <c r="BL371" s="973"/>
      <c r="BM371" s="973"/>
      <c r="BO371" s="1050"/>
      <c r="BP371" s="973"/>
      <c r="BQ371" s="1051"/>
      <c r="BR371" s="973"/>
      <c r="BS371" s="973"/>
      <c r="BU371" s="1050"/>
      <c r="BV371" s="973"/>
      <c r="BW371" s="1051"/>
      <c r="BX371" s="973"/>
      <c r="BY371" s="973"/>
      <c r="CA371" s="1050"/>
      <c r="CB371" s="972"/>
    </row>
    <row r="372" spans="4:80" ht="26.1" customHeight="1">
      <c r="D372" s="1059"/>
      <c r="E372" s="1060"/>
      <c r="F372" s="1059"/>
      <c r="G372" s="1059"/>
      <c r="H372" s="1059"/>
      <c r="I372" s="1059"/>
      <c r="J372" s="1059"/>
      <c r="K372" s="1059"/>
      <c r="Q372" s="1051"/>
      <c r="R372" s="973"/>
      <c r="S372" s="973"/>
      <c r="T372" s="973"/>
      <c r="U372" s="973"/>
      <c r="V372" s="973"/>
      <c r="W372" s="973"/>
      <c r="X372" s="973"/>
      <c r="Y372" s="973"/>
      <c r="Z372" s="973"/>
      <c r="AA372" s="973"/>
      <c r="AB372" s="973"/>
      <c r="AC372" s="973"/>
      <c r="AD372" s="973"/>
      <c r="AE372" s="973"/>
      <c r="AF372" s="973"/>
      <c r="AG372" s="1051"/>
      <c r="AH372" s="973"/>
      <c r="AI372" s="973"/>
      <c r="AK372" s="973"/>
      <c r="AL372" s="973"/>
      <c r="AM372" s="1051"/>
      <c r="AN372" s="973"/>
      <c r="AO372" s="973"/>
      <c r="AQ372" s="973"/>
      <c r="AR372" s="973"/>
      <c r="AS372" s="1051"/>
      <c r="AT372" s="973"/>
      <c r="AU372" s="973"/>
      <c r="AX372" s="973"/>
      <c r="AY372" s="1051"/>
      <c r="AZ372" s="973"/>
      <c r="BA372" s="973"/>
      <c r="BC372" s="1050"/>
      <c r="BD372" s="973"/>
      <c r="BE372" s="1051"/>
      <c r="BF372" s="973"/>
      <c r="BG372" s="973"/>
      <c r="BI372" s="1050"/>
      <c r="BJ372" s="973"/>
      <c r="BK372" s="1051"/>
      <c r="BL372" s="973"/>
      <c r="BM372" s="973"/>
      <c r="BO372" s="1050"/>
      <c r="BP372" s="973"/>
      <c r="BQ372" s="1051"/>
      <c r="BR372" s="973"/>
      <c r="BS372" s="973"/>
      <c r="BU372" s="1050"/>
      <c r="BV372" s="973"/>
      <c r="BW372" s="1051"/>
      <c r="BX372" s="973"/>
      <c r="BY372" s="973"/>
      <c r="CA372" s="1050"/>
      <c r="CB372" s="972"/>
    </row>
    <row r="373" spans="4:80" ht="26.1" customHeight="1">
      <c r="D373" s="1059"/>
      <c r="E373" s="1059"/>
      <c r="F373" s="1059"/>
      <c r="G373" s="1059"/>
      <c r="H373" s="1059"/>
      <c r="I373" s="1059"/>
      <c r="J373" s="1059"/>
      <c r="K373" s="1059"/>
      <c r="Q373" s="1051"/>
      <c r="R373" s="973"/>
      <c r="S373" s="973"/>
      <c r="T373" s="973"/>
      <c r="U373" s="973"/>
      <c r="V373" s="973"/>
      <c r="W373" s="973"/>
      <c r="X373" s="973"/>
      <c r="Y373" s="973"/>
      <c r="Z373" s="973"/>
      <c r="AA373" s="973"/>
      <c r="AB373" s="973"/>
      <c r="AC373" s="973"/>
      <c r="AD373" s="973"/>
      <c r="AE373" s="973"/>
      <c r="AF373" s="973"/>
      <c r="AG373" s="1051"/>
      <c r="AH373" s="973"/>
      <c r="AI373" s="973"/>
      <c r="AK373" s="973"/>
      <c r="AL373" s="973"/>
      <c r="AM373" s="1051"/>
      <c r="AN373" s="973"/>
      <c r="AO373" s="973"/>
      <c r="AQ373" s="973"/>
      <c r="AR373" s="973"/>
      <c r="AS373" s="1051"/>
      <c r="AT373" s="973"/>
      <c r="AU373" s="973"/>
      <c r="AX373" s="973"/>
      <c r="AY373" s="1051"/>
      <c r="AZ373" s="973"/>
      <c r="BA373" s="973"/>
      <c r="BC373" s="1050"/>
      <c r="BD373" s="973"/>
      <c r="BE373" s="1051"/>
      <c r="BF373" s="973"/>
      <c r="BG373" s="973"/>
      <c r="BI373" s="1050"/>
      <c r="BJ373" s="973"/>
      <c r="BK373" s="1051"/>
      <c r="BL373" s="973"/>
      <c r="BM373" s="973"/>
      <c r="BO373" s="1050"/>
      <c r="BP373" s="973"/>
      <c r="BQ373" s="1051"/>
      <c r="BR373" s="973"/>
      <c r="BS373" s="973"/>
      <c r="BU373" s="1050"/>
      <c r="BV373" s="973"/>
      <c r="BW373" s="1051"/>
      <c r="BX373" s="973"/>
      <c r="BY373" s="973"/>
      <c r="CA373" s="1050"/>
      <c r="CB373" s="972"/>
    </row>
    <row r="374" spans="4:80" ht="26.1" customHeight="1">
      <c r="Q374" s="1051"/>
      <c r="R374" s="973"/>
      <c r="S374" s="973"/>
      <c r="T374" s="973"/>
      <c r="U374" s="973"/>
      <c r="V374" s="973"/>
      <c r="W374" s="973"/>
      <c r="X374" s="973"/>
      <c r="Y374" s="973"/>
      <c r="Z374" s="973"/>
      <c r="AA374" s="973"/>
      <c r="AB374" s="973"/>
      <c r="AC374" s="973"/>
      <c r="AD374" s="973"/>
      <c r="AE374" s="973"/>
      <c r="AF374" s="973"/>
      <c r="AG374" s="1051"/>
      <c r="AH374" s="973"/>
      <c r="AI374" s="973"/>
      <c r="AK374" s="973"/>
      <c r="AL374" s="973"/>
      <c r="AM374" s="1051"/>
      <c r="AN374" s="973"/>
      <c r="AO374" s="973"/>
      <c r="AQ374" s="973"/>
      <c r="AR374" s="973"/>
      <c r="AS374" s="1051"/>
      <c r="AT374" s="973"/>
      <c r="AU374" s="973"/>
      <c r="AX374" s="973"/>
      <c r="AY374" s="1051"/>
      <c r="AZ374" s="973"/>
      <c r="BA374" s="973"/>
      <c r="BC374" s="1050"/>
      <c r="BD374" s="973"/>
      <c r="BE374" s="1051"/>
      <c r="BF374" s="973"/>
      <c r="BG374" s="973"/>
      <c r="BI374" s="1050"/>
      <c r="BJ374" s="973"/>
      <c r="BK374" s="1051"/>
      <c r="BL374" s="973"/>
      <c r="BM374" s="973"/>
      <c r="BO374" s="1050"/>
      <c r="BP374" s="973"/>
      <c r="BQ374" s="1051"/>
      <c r="BR374" s="973"/>
      <c r="BS374" s="973"/>
      <c r="BU374" s="1050"/>
      <c r="BV374" s="973"/>
      <c r="BW374" s="1051"/>
      <c r="BX374" s="973"/>
      <c r="BY374" s="973"/>
      <c r="CA374" s="1050"/>
      <c r="CB374" s="972"/>
    </row>
    <row r="375" spans="4:80" ht="26.1" customHeight="1">
      <c r="Q375" s="1051"/>
      <c r="R375" s="973"/>
      <c r="S375" s="973"/>
      <c r="T375" s="973"/>
      <c r="U375" s="973"/>
      <c r="V375" s="973"/>
      <c r="W375" s="973"/>
      <c r="X375" s="973"/>
      <c r="Y375" s="973"/>
      <c r="Z375" s="973"/>
      <c r="AA375" s="973"/>
      <c r="AB375" s="973"/>
      <c r="AC375" s="973"/>
      <c r="AD375" s="973"/>
      <c r="AE375" s="973"/>
      <c r="AF375" s="973"/>
      <c r="AG375" s="1051"/>
      <c r="AH375" s="973"/>
      <c r="AI375" s="973"/>
      <c r="AK375" s="973"/>
      <c r="AL375" s="973"/>
      <c r="AM375" s="1051"/>
      <c r="AN375" s="973"/>
      <c r="AO375" s="973"/>
      <c r="AQ375" s="973"/>
      <c r="AR375" s="973"/>
      <c r="AS375" s="1051"/>
      <c r="AT375" s="973"/>
      <c r="AU375" s="973"/>
      <c r="AX375" s="973"/>
      <c r="AY375" s="1051"/>
      <c r="AZ375" s="973"/>
      <c r="BA375" s="973"/>
      <c r="BC375" s="1050"/>
      <c r="BD375" s="973"/>
      <c r="BE375" s="1051"/>
      <c r="BF375" s="973"/>
      <c r="BG375" s="973"/>
      <c r="BI375" s="1050"/>
      <c r="BJ375" s="973"/>
      <c r="BK375" s="1051"/>
      <c r="BL375" s="973"/>
      <c r="BM375" s="973"/>
      <c r="BO375" s="1050"/>
      <c r="BP375" s="973"/>
      <c r="BQ375" s="1051"/>
      <c r="BR375" s="973"/>
      <c r="BS375" s="973"/>
      <c r="BU375" s="1050"/>
      <c r="BV375" s="973"/>
      <c r="BW375" s="1051"/>
      <c r="BX375" s="973"/>
      <c r="BY375" s="973"/>
      <c r="CA375" s="1050"/>
      <c r="CB375" s="972"/>
    </row>
    <row r="376" spans="4:80" ht="26.1" customHeight="1">
      <c r="Q376" s="1051"/>
      <c r="R376" s="973"/>
      <c r="S376" s="973"/>
      <c r="T376" s="973"/>
      <c r="U376" s="973"/>
      <c r="V376" s="973"/>
      <c r="W376" s="973"/>
      <c r="X376" s="973"/>
      <c r="Y376" s="973"/>
      <c r="Z376" s="973"/>
      <c r="AA376" s="973"/>
      <c r="AB376" s="973"/>
      <c r="AC376" s="973"/>
      <c r="AD376" s="973"/>
      <c r="AE376" s="973"/>
      <c r="AF376" s="973"/>
      <c r="AG376" s="1051"/>
      <c r="AH376" s="973"/>
      <c r="AI376" s="973"/>
      <c r="AK376" s="973"/>
      <c r="AL376" s="973"/>
      <c r="AM376" s="1051"/>
      <c r="AN376" s="973"/>
      <c r="AO376" s="973"/>
      <c r="AQ376" s="973"/>
      <c r="AR376" s="973"/>
      <c r="AS376" s="1051"/>
      <c r="AT376" s="973"/>
      <c r="AU376" s="973"/>
      <c r="AX376" s="973"/>
      <c r="AY376" s="1051"/>
      <c r="AZ376" s="973"/>
      <c r="BA376" s="973"/>
      <c r="BC376" s="1052"/>
      <c r="BD376" s="973"/>
      <c r="BE376" s="1051"/>
      <c r="BF376" s="973"/>
      <c r="BG376" s="973"/>
      <c r="BI376" s="1052"/>
      <c r="BJ376" s="973"/>
      <c r="BK376" s="1051"/>
      <c r="BL376" s="973"/>
      <c r="BM376" s="973"/>
      <c r="BO376" s="1052"/>
      <c r="BP376" s="973"/>
      <c r="BQ376" s="1051"/>
      <c r="BR376" s="973"/>
      <c r="BS376" s="973"/>
      <c r="BU376" s="1052"/>
      <c r="BV376" s="973"/>
      <c r="BW376" s="1051"/>
      <c r="BX376" s="973"/>
      <c r="BY376" s="973"/>
      <c r="CA376" s="1052"/>
    </row>
    <row r="377" spans="4:80" ht="26.1" customHeight="1">
      <c r="Q377" s="1051"/>
      <c r="R377" s="973"/>
      <c r="S377" s="973"/>
      <c r="T377" s="973"/>
      <c r="U377" s="973"/>
      <c r="V377" s="973"/>
      <c r="W377" s="973"/>
      <c r="X377" s="973"/>
      <c r="Y377" s="973"/>
      <c r="Z377" s="973"/>
      <c r="AA377" s="973"/>
      <c r="AB377" s="973"/>
      <c r="AC377" s="973"/>
      <c r="AD377" s="973"/>
      <c r="AE377" s="973"/>
      <c r="AF377" s="973"/>
      <c r="AG377" s="1051"/>
      <c r="AH377" s="973"/>
      <c r="AI377" s="973"/>
      <c r="AK377" s="973"/>
      <c r="AL377" s="973"/>
      <c r="AM377" s="1051"/>
      <c r="AN377" s="973"/>
      <c r="AO377" s="973"/>
      <c r="AQ377" s="973"/>
      <c r="AR377" s="973"/>
      <c r="AS377" s="1051"/>
      <c r="AT377" s="973"/>
      <c r="AU377" s="973"/>
      <c r="AX377" s="973"/>
      <c r="AY377" s="1051"/>
      <c r="AZ377" s="973"/>
      <c r="BA377" s="973"/>
      <c r="BC377" s="1052"/>
      <c r="BD377" s="973"/>
      <c r="BE377" s="1051"/>
      <c r="BF377" s="973"/>
      <c r="BG377" s="973"/>
      <c r="BI377" s="1052"/>
      <c r="BJ377" s="973"/>
      <c r="BK377" s="1051"/>
      <c r="BL377" s="973"/>
      <c r="BM377" s="973"/>
      <c r="BO377" s="1052"/>
      <c r="BP377" s="973"/>
      <c r="BQ377" s="1051"/>
      <c r="BR377" s="973"/>
      <c r="BS377" s="973"/>
      <c r="BU377" s="1052"/>
      <c r="BV377" s="973"/>
      <c r="BW377" s="1051"/>
      <c r="BX377" s="973"/>
      <c r="BY377" s="973"/>
      <c r="CA377" s="1052"/>
    </row>
    <row r="378" spans="4:80" ht="26.1" customHeight="1">
      <c r="Q378" s="1051"/>
      <c r="R378" s="973"/>
      <c r="S378" s="973"/>
      <c r="T378" s="973"/>
      <c r="U378" s="973"/>
      <c r="V378" s="973"/>
      <c r="W378" s="973"/>
      <c r="X378" s="973"/>
      <c r="Y378" s="973"/>
      <c r="Z378" s="973"/>
      <c r="AA378" s="973"/>
      <c r="AB378" s="973"/>
      <c r="AC378" s="973"/>
      <c r="AD378" s="973"/>
      <c r="AE378" s="973"/>
      <c r="AF378" s="973"/>
      <c r="AG378" s="1051"/>
      <c r="AH378" s="973"/>
      <c r="AI378" s="973"/>
      <c r="AK378" s="973"/>
      <c r="AL378" s="973"/>
      <c r="AM378" s="1051"/>
      <c r="AN378" s="973"/>
      <c r="AO378" s="973"/>
      <c r="AQ378" s="973"/>
      <c r="AR378" s="973"/>
      <c r="AS378" s="1051"/>
      <c r="AT378" s="973"/>
      <c r="AU378" s="973"/>
      <c r="AX378" s="973"/>
      <c r="AY378" s="1051"/>
      <c r="AZ378" s="973"/>
      <c r="BA378" s="973"/>
      <c r="BD378" s="973"/>
      <c r="BE378" s="1051"/>
      <c r="BF378" s="973"/>
      <c r="BG378" s="973"/>
      <c r="BJ378" s="973"/>
      <c r="BK378" s="1051"/>
      <c r="BL378" s="973"/>
      <c r="BM378" s="973"/>
      <c r="BP378" s="973"/>
      <c r="BQ378" s="1051"/>
      <c r="BR378" s="973"/>
      <c r="BS378" s="973"/>
      <c r="BV378" s="973"/>
      <c r="BW378" s="1051"/>
      <c r="BX378" s="973"/>
      <c r="BY378" s="973"/>
    </row>
    <row r="379" spans="4:80" ht="26.1" customHeight="1">
      <c r="Q379" s="1051"/>
      <c r="R379" s="973"/>
      <c r="S379" s="973"/>
      <c r="T379" s="973"/>
      <c r="U379" s="973"/>
      <c r="V379" s="973"/>
      <c r="W379" s="973"/>
      <c r="X379" s="973"/>
      <c r="Y379" s="973"/>
      <c r="Z379" s="973"/>
      <c r="AA379" s="973"/>
      <c r="AB379" s="973"/>
      <c r="AC379" s="973"/>
      <c r="AD379" s="973"/>
      <c r="AE379" s="973"/>
      <c r="AF379" s="973"/>
      <c r="AG379" s="1051"/>
      <c r="AH379" s="973"/>
      <c r="AI379" s="973"/>
      <c r="AK379" s="973"/>
      <c r="AL379" s="973"/>
      <c r="AM379" s="1051"/>
      <c r="AN379" s="973"/>
      <c r="AO379" s="973"/>
      <c r="AQ379" s="973"/>
      <c r="AR379" s="973"/>
      <c r="AS379" s="1051"/>
      <c r="AT379" s="973"/>
      <c r="AU379" s="973"/>
      <c r="AX379" s="973"/>
      <c r="AY379" s="1051"/>
      <c r="AZ379" s="973"/>
      <c r="BA379" s="973"/>
      <c r="BC379" s="1035"/>
      <c r="BD379" s="973"/>
      <c r="BE379" s="1051"/>
      <c r="BF379" s="973"/>
      <c r="BG379" s="973"/>
      <c r="BI379" s="1035"/>
      <c r="BJ379" s="973"/>
      <c r="BK379" s="1051"/>
      <c r="BL379" s="973"/>
      <c r="BM379" s="973"/>
      <c r="BO379" s="1035"/>
      <c r="BP379" s="973"/>
      <c r="BQ379" s="1051"/>
      <c r="BR379" s="973"/>
      <c r="BS379" s="973"/>
      <c r="BU379" s="1035"/>
      <c r="BV379" s="973"/>
      <c r="BW379" s="1051"/>
      <c r="BX379" s="973"/>
      <c r="BY379" s="973"/>
      <c r="CA379" s="1035"/>
      <c r="CB379" s="1035"/>
    </row>
    <row r="380" spans="4:80" ht="26.1" customHeight="1">
      <c r="Q380" s="1051"/>
      <c r="R380" s="973"/>
      <c r="S380" s="973"/>
      <c r="T380" s="973"/>
      <c r="U380" s="973"/>
      <c r="V380" s="973"/>
      <c r="W380" s="973"/>
      <c r="X380" s="973"/>
      <c r="Y380" s="973"/>
      <c r="Z380" s="973"/>
      <c r="AA380" s="973"/>
      <c r="AB380" s="973"/>
      <c r="AC380" s="973"/>
      <c r="AD380" s="973"/>
      <c r="AE380" s="973"/>
      <c r="AF380" s="973"/>
      <c r="AG380" s="1051"/>
      <c r="AH380" s="973"/>
      <c r="AI380" s="973"/>
      <c r="AK380" s="973"/>
      <c r="AL380" s="973"/>
      <c r="AM380" s="1051"/>
      <c r="AN380" s="973"/>
      <c r="AO380" s="973"/>
      <c r="AQ380" s="973"/>
      <c r="AR380" s="973"/>
      <c r="AS380" s="1051"/>
      <c r="AT380" s="973"/>
      <c r="AU380" s="973"/>
      <c r="AX380" s="973"/>
      <c r="AY380" s="1051"/>
      <c r="AZ380" s="973"/>
      <c r="BA380" s="973"/>
      <c r="BC380" s="992"/>
      <c r="BD380" s="973"/>
      <c r="BE380" s="1051"/>
      <c r="BF380" s="973"/>
      <c r="BG380" s="973"/>
      <c r="BI380" s="992"/>
      <c r="BJ380" s="973"/>
      <c r="BK380" s="1051"/>
      <c r="BL380" s="973"/>
      <c r="BM380" s="973"/>
      <c r="BO380" s="992"/>
      <c r="BP380" s="973"/>
      <c r="BQ380" s="1051"/>
      <c r="BR380" s="973"/>
      <c r="BS380" s="973"/>
      <c r="BU380" s="992"/>
      <c r="BV380" s="973"/>
      <c r="BW380" s="1051"/>
      <c r="BX380" s="973"/>
      <c r="BY380" s="973"/>
      <c r="CA380" s="992"/>
      <c r="CB380" s="972"/>
    </row>
    <row r="381" spans="4:80" ht="26.1" customHeight="1">
      <c r="Q381" s="1051"/>
      <c r="R381" s="973"/>
      <c r="S381" s="973"/>
      <c r="T381" s="973"/>
      <c r="U381" s="973"/>
      <c r="V381" s="973"/>
      <c r="W381" s="973"/>
      <c r="X381" s="973"/>
      <c r="Y381" s="973"/>
      <c r="Z381" s="973"/>
      <c r="AA381" s="973"/>
      <c r="AB381" s="973"/>
      <c r="AC381" s="973"/>
      <c r="AD381" s="973"/>
      <c r="AE381" s="973"/>
      <c r="AF381" s="973"/>
      <c r="AG381" s="1051"/>
      <c r="AH381" s="973"/>
      <c r="AI381" s="973"/>
      <c r="AK381" s="973"/>
      <c r="AL381" s="973"/>
      <c r="AM381" s="1051"/>
      <c r="AN381" s="973"/>
      <c r="AO381" s="973"/>
      <c r="AQ381" s="973"/>
      <c r="AR381" s="973"/>
      <c r="AS381" s="1051"/>
      <c r="AT381" s="973"/>
      <c r="AU381" s="973"/>
      <c r="AX381" s="973"/>
      <c r="AY381" s="1051"/>
      <c r="AZ381" s="973"/>
      <c r="BA381" s="973"/>
      <c r="BC381" s="992"/>
      <c r="BD381" s="973"/>
      <c r="BE381" s="1051"/>
      <c r="BF381" s="973"/>
      <c r="BG381" s="973"/>
      <c r="BI381" s="992"/>
      <c r="BJ381" s="973"/>
      <c r="BK381" s="1051"/>
      <c r="BL381" s="973"/>
      <c r="BM381" s="973"/>
      <c r="BO381" s="992"/>
      <c r="BP381" s="973"/>
      <c r="BQ381" s="1051"/>
      <c r="BR381" s="973"/>
      <c r="BS381" s="973"/>
      <c r="BU381" s="992"/>
      <c r="BV381" s="973"/>
      <c r="BW381" s="1051"/>
      <c r="BX381" s="973"/>
      <c r="BY381" s="973"/>
      <c r="CA381" s="992"/>
      <c r="CB381" s="972"/>
    </row>
    <row r="382" spans="4:80" ht="26.1" customHeight="1">
      <c r="Q382" s="1051"/>
      <c r="R382" s="973"/>
      <c r="S382" s="973"/>
      <c r="T382" s="973"/>
      <c r="U382" s="973"/>
      <c r="V382" s="973"/>
      <c r="W382" s="973"/>
      <c r="X382" s="973"/>
      <c r="Y382" s="973"/>
      <c r="Z382" s="973"/>
      <c r="AA382" s="973"/>
      <c r="AB382" s="973"/>
      <c r="AC382" s="973"/>
      <c r="AD382" s="973"/>
      <c r="AE382" s="973"/>
      <c r="AF382" s="973"/>
      <c r="AG382" s="1051"/>
      <c r="AH382" s="973"/>
      <c r="AI382" s="973"/>
      <c r="AK382" s="973"/>
      <c r="AL382" s="973"/>
      <c r="AM382" s="1051"/>
      <c r="AN382" s="973"/>
      <c r="AO382" s="973"/>
      <c r="AQ382" s="973"/>
      <c r="AR382" s="973"/>
      <c r="AS382" s="1051"/>
      <c r="AT382" s="973"/>
      <c r="AU382" s="973"/>
      <c r="AX382" s="973"/>
      <c r="AY382" s="1051"/>
      <c r="AZ382" s="973"/>
      <c r="BA382" s="973"/>
      <c r="BC382" s="992"/>
      <c r="BD382" s="973"/>
      <c r="BE382" s="1051"/>
      <c r="BF382" s="973"/>
      <c r="BG382" s="973"/>
      <c r="BI382" s="992"/>
      <c r="BJ382" s="973"/>
      <c r="BK382" s="1051"/>
      <c r="BL382" s="973"/>
      <c r="BM382" s="973"/>
      <c r="BO382" s="992"/>
      <c r="BP382" s="973"/>
      <c r="BQ382" s="1051"/>
      <c r="BR382" s="973"/>
      <c r="BS382" s="973"/>
      <c r="BU382" s="992"/>
      <c r="BV382" s="973"/>
      <c r="BW382" s="1051"/>
      <c r="BX382" s="973"/>
      <c r="BY382" s="973"/>
      <c r="CA382" s="992"/>
      <c r="CB382" s="972"/>
    </row>
    <row r="383" spans="4:80" ht="26.1" customHeight="1">
      <c r="Q383" s="1051"/>
      <c r="R383" s="973"/>
      <c r="S383" s="973"/>
      <c r="T383" s="973"/>
      <c r="U383" s="973"/>
      <c r="V383" s="973"/>
      <c r="W383" s="973"/>
      <c r="X383" s="973"/>
      <c r="Y383" s="973"/>
      <c r="Z383" s="973"/>
      <c r="AA383" s="973"/>
      <c r="AB383" s="973"/>
      <c r="AC383" s="973"/>
      <c r="AD383" s="973"/>
      <c r="AE383" s="973"/>
      <c r="AF383" s="973"/>
      <c r="AG383" s="1051"/>
      <c r="AH383" s="973"/>
      <c r="AI383" s="973"/>
      <c r="AK383" s="973"/>
      <c r="AL383" s="973"/>
      <c r="AM383" s="1051"/>
      <c r="AN383" s="973"/>
      <c r="AO383" s="973"/>
      <c r="AQ383" s="973"/>
      <c r="AR383" s="973"/>
      <c r="AS383" s="1051"/>
      <c r="AT383" s="973"/>
      <c r="AU383" s="973"/>
      <c r="AX383" s="973"/>
      <c r="AY383" s="1051"/>
      <c r="AZ383" s="973"/>
      <c r="BA383" s="973"/>
      <c r="BC383" s="992"/>
      <c r="BD383" s="973"/>
      <c r="BE383" s="1051"/>
      <c r="BF383" s="973"/>
      <c r="BG383" s="973"/>
      <c r="BI383" s="992"/>
      <c r="BJ383" s="973"/>
      <c r="BK383" s="1051"/>
      <c r="BL383" s="973"/>
      <c r="BM383" s="973"/>
      <c r="BO383" s="992"/>
      <c r="BP383" s="973"/>
      <c r="BQ383" s="1051"/>
      <c r="BR383" s="973"/>
      <c r="BS383" s="973"/>
      <c r="BU383" s="992"/>
      <c r="BV383" s="973"/>
      <c r="BW383" s="1051"/>
      <c r="BX383" s="973"/>
      <c r="BY383" s="973"/>
      <c r="CA383" s="992"/>
      <c r="CB383" s="972"/>
    </row>
    <row r="384" spans="4:80" ht="26.1" customHeight="1">
      <c r="Q384" s="1051"/>
      <c r="R384" s="973"/>
      <c r="S384" s="973"/>
      <c r="T384" s="973"/>
      <c r="U384" s="973"/>
      <c r="V384" s="973"/>
      <c r="W384" s="973"/>
      <c r="X384" s="973"/>
      <c r="Y384" s="973"/>
      <c r="Z384" s="973"/>
      <c r="AA384" s="973"/>
      <c r="AB384" s="973"/>
      <c r="AC384" s="973"/>
      <c r="AD384" s="973"/>
      <c r="AE384" s="973"/>
      <c r="AF384" s="973"/>
      <c r="AG384" s="1051"/>
      <c r="AH384" s="973"/>
      <c r="AI384" s="973"/>
      <c r="AK384" s="973"/>
      <c r="AL384" s="973"/>
      <c r="AM384" s="1051"/>
      <c r="AN384" s="973"/>
      <c r="AO384" s="973"/>
      <c r="AQ384" s="973"/>
      <c r="AR384" s="973"/>
      <c r="AS384" s="1051"/>
      <c r="AT384" s="973"/>
      <c r="AU384" s="973"/>
      <c r="AX384" s="973"/>
      <c r="AY384" s="1051"/>
      <c r="AZ384" s="973"/>
      <c r="BA384" s="973"/>
      <c r="BC384" s="992"/>
      <c r="BD384" s="973"/>
      <c r="BE384" s="1051"/>
      <c r="BF384" s="973"/>
      <c r="BG384" s="973"/>
      <c r="BI384" s="992"/>
      <c r="BJ384" s="973"/>
      <c r="BK384" s="1051"/>
      <c r="BL384" s="973"/>
      <c r="BM384" s="973"/>
      <c r="BO384" s="992"/>
      <c r="BP384" s="973"/>
      <c r="BQ384" s="1051"/>
      <c r="BR384" s="973"/>
      <c r="BS384" s="973"/>
      <c r="BU384" s="992"/>
      <c r="BV384" s="973"/>
      <c r="BW384" s="1051"/>
      <c r="BX384" s="973"/>
      <c r="BY384" s="973"/>
      <c r="CA384" s="992"/>
      <c r="CB384" s="972"/>
    </row>
    <row r="385" spans="34:80">
      <c r="AH385" s="934"/>
      <c r="AN385" s="934"/>
      <c r="AT385" s="934"/>
      <c r="AZ385" s="934"/>
      <c r="BC385" s="992"/>
      <c r="BF385" s="934"/>
      <c r="BI385" s="992"/>
      <c r="BL385" s="934"/>
      <c r="BO385" s="992"/>
      <c r="BR385" s="934"/>
      <c r="BU385" s="992"/>
      <c r="BX385" s="934"/>
      <c r="CA385" s="992"/>
      <c r="CB385" s="972"/>
    </row>
    <row r="386" spans="34:80">
      <c r="AH386" s="934"/>
      <c r="AN386" s="934"/>
      <c r="AT386" s="934"/>
      <c r="AZ386" s="934"/>
      <c r="BC386" s="992"/>
      <c r="BF386" s="934"/>
      <c r="BI386" s="992"/>
      <c r="BL386" s="934"/>
      <c r="BO386" s="992"/>
      <c r="BR386" s="934"/>
      <c r="BU386" s="992"/>
      <c r="BX386" s="934"/>
      <c r="CA386" s="992"/>
      <c r="CB386" s="972"/>
    </row>
  </sheetData>
  <mergeCells count="341">
    <mergeCell ref="B257:L257"/>
    <mergeCell ref="B258:L258"/>
    <mergeCell ref="BK138:BM138"/>
    <mergeCell ref="BP138:BP139"/>
    <mergeCell ref="BQ138:BS138"/>
    <mergeCell ref="BV138:BV139"/>
    <mergeCell ref="BW138:BY138"/>
    <mergeCell ref="AS138:AU138"/>
    <mergeCell ref="AX138:AX139"/>
    <mergeCell ref="AY138:BA138"/>
    <mergeCell ref="BD138:BD139"/>
    <mergeCell ref="BE138:BG138"/>
    <mergeCell ref="BJ138:BJ139"/>
    <mergeCell ref="AA138:AC138"/>
    <mergeCell ref="AF138:AF139"/>
    <mergeCell ref="AG138:AI138"/>
    <mergeCell ref="AL138:AL139"/>
    <mergeCell ref="AM138:AO138"/>
    <mergeCell ref="AR138:AR139"/>
    <mergeCell ref="B138:B139"/>
    <mergeCell ref="C138:E138"/>
    <mergeCell ref="H138:H139"/>
    <mergeCell ref="I138:K138"/>
    <mergeCell ref="N138:N139"/>
    <mergeCell ref="O138:Q138"/>
    <mergeCell ref="T138:T139"/>
    <mergeCell ref="U138:W138"/>
    <mergeCell ref="Z138:Z139"/>
    <mergeCell ref="BQ108:BS108"/>
    <mergeCell ref="BV108:BV109"/>
    <mergeCell ref="Z108:Z109"/>
    <mergeCell ref="AA108:AC108"/>
    <mergeCell ref="AF108:AF109"/>
    <mergeCell ref="BP123:BP124"/>
    <mergeCell ref="BQ123:BS123"/>
    <mergeCell ref="BV123:BV124"/>
    <mergeCell ref="AM123:AO123"/>
    <mergeCell ref="AR123:AR124"/>
    <mergeCell ref="AS123:AU123"/>
    <mergeCell ref="AX123:AX124"/>
    <mergeCell ref="AY123:BA123"/>
    <mergeCell ref="BD123:BD124"/>
    <mergeCell ref="B123:B124"/>
    <mergeCell ref="C123:E123"/>
    <mergeCell ref="H123:H124"/>
    <mergeCell ref="I123:K123"/>
    <mergeCell ref="N123:N124"/>
    <mergeCell ref="O123:Q123"/>
    <mergeCell ref="T123:T124"/>
    <mergeCell ref="AY108:BA108"/>
    <mergeCell ref="BD108:BD109"/>
    <mergeCell ref="AG108:AI108"/>
    <mergeCell ref="AL108:AL109"/>
    <mergeCell ref="AM108:AO108"/>
    <mergeCell ref="AR108:AR109"/>
    <mergeCell ref="T108:T109"/>
    <mergeCell ref="U108:W108"/>
    <mergeCell ref="AA123:AC123"/>
    <mergeCell ref="AF123:AF124"/>
    <mergeCell ref="AG123:AI123"/>
    <mergeCell ref="AL123:AL124"/>
    <mergeCell ref="U123:W123"/>
    <mergeCell ref="Z123:Z124"/>
    <mergeCell ref="B108:B109"/>
    <mergeCell ref="C108:E108"/>
    <mergeCell ref="H108:H109"/>
    <mergeCell ref="BP93:BP94"/>
    <mergeCell ref="BQ93:BS93"/>
    <mergeCell ref="BW108:BY108"/>
    <mergeCell ref="BE108:BG108"/>
    <mergeCell ref="BJ108:BJ109"/>
    <mergeCell ref="BK108:BM108"/>
    <mergeCell ref="BP108:BP109"/>
    <mergeCell ref="BW123:BY123"/>
    <mergeCell ref="BE123:BG123"/>
    <mergeCell ref="BJ123:BJ124"/>
    <mergeCell ref="BK123:BM123"/>
    <mergeCell ref="BW93:BY93"/>
    <mergeCell ref="BV93:BV94"/>
    <mergeCell ref="I108:K108"/>
    <mergeCell ref="N108:N109"/>
    <mergeCell ref="AS93:AU93"/>
    <mergeCell ref="AX93:AX94"/>
    <mergeCell ref="AY93:BA93"/>
    <mergeCell ref="BD93:BD94"/>
    <mergeCell ref="BE93:BG93"/>
    <mergeCell ref="BJ93:BJ94"/>
    <mergeCell ref="AA93:AC93"/>
    <mergeCell ref="AF93:AF94"/>
    <mergeCell ref="AG93:AI93"/>
    <mergeCell ref="AL93:AL94"/>
    <mergeCell ref="AM93:AO93"/>
    <mergeCell ref="AR93:AR94"/>
    <mergeCell ref="AS108:AU108"/>
    <mergeCell ref="AX108:AX109"/>
    <mergeCell ref="O108:Q108"/>
    <mergeCell ref="B93:B94"/>
    <mergeCell ref="C93:E93"/>
    <mergeCell ref="BK93:BM93"/>
    <mergeCell ref="H93:H94"/>
    <mergeCell ref="I93:K93"/>
    <mergeCell ref="N93:N94"/>
    <mergeCell ref="O93:Q93"/>
    <mergeCell ref="T93:T94"/>
    <mergeCell ref="U93:W93"/>
    <mergeCell ref="Z93:Z94"/>
    <mergeCell ref="BP78:BP79"/>
    <mergeCell ref="BQ78:BS78"/>
    <mergeCell ref="BV78:BV79"/>
    <mergeCell ref="AM78:AO78"/>
    <mergeCell ref="AR78:AR79"/>
    <mergeCell ref="AS78:AU78"/>
    <mergeCell ref="AX78:AX79"/>
    <mergeCell ref="AY78:BA78"/>
    <mergeCell ref="BD78:BD79"/>
    <mergeCell ref="BW63:BY63"/>
    <mergeCell ref="B78:B79"/>
    <mergeCell ref="C78:E78"/>
    <mergeCell ref="H78:H79"/>
    <mergeCell ref="I78:K78"/>
    <mergeCell ref="N78:N79"/>
    <mergeCell ref="O78:Q78"/>
    <mergeCell ref="T78:T79"/>
    <mergeCell ref="AY63:BA63"/>
    <mergeCell ref="BD63:BD64"/>
    <mergeCell ref="BE63:BG63"/>
    <mergeCell ref="BJ63:BJ64"/>
    <mergeCell ref="BK63:BM63"/>
    <mergeCell ref="BP63:BP64"/>
    <mergeCell ref="AG63:AI63"/>
    <mergeCell ref="AL63:AL64"/>
    <mergeCell ref="AM63:AO63"/>
    <mergeCell ref="AR63:AR64"/>
    <mergeCell ref="BW78:BY78"/>
    <mergeCell ref="BE78:BG78"/>
    <mergeCell ref="BJ78:BJ79"/>
    <mergeCell ref="BK78:BM78"/>
    <mergeCell ref="BQ63:BS63"/>
    <mergeCell ref="BV63:BV64"/>
    <mergeCell ref="H48:H49"/>
    <mergeCell ref="I48:K48"/>
    <mergeCell ref="N48:N49"/>
    <mergeCell ref="O48:Q48"/>
    <mergeCell ref="T48:T49"/>
    <mergeCell ref="U48:W48"/>
    <mergeCell ref="Z48:Z49"/>
    <mergeCell ref="BP48:BP49"/>
    <mergeCell ref="BQ48:BS48"/>
    <mergeCell ref="BK48:BM48"/>
    <mergeCell ref="AA78:AC78"/>
    <mergeCell ref="AF78:AF79"/>
    <mergeCell ref="AG78:AI78"/>
    <mergeCell ref="AL78:AL79"/>
    <mergeCell ref="U78:W78"/>
    <mergeCell ref="Z78:Z79"/>
    <mergeCell ref="T63:T64"/>
    <mergeCell ref="U63:W63"/>
    <mergeCell ref="Z63:Z64"/>
    <mergeCell ref="AA63:AC63"/>
    <mergeCell ref="AF63:AF64"/>
    <mergeCell ref="BV48:BV49"/>
    <mergeCell ref="BW48:BY48"/>
    <mergeCell ref="B63:B64"/>
    <mergeCell ref="C63:E63"/>
    <mergeCell ref="H63:H64"/>
    <mergeCell ref="I63:K63"/>
    <mergeCell ref="N63:N64"/>
    <mergeCell ref="AS48:AU48"/>
    <mergeCell ref="AX48:AX49"/>
    <mergeCell ref="AY48:BA48"/>
    <mergeCell ref="BD48:BD49"/>
    <mergeCell ref="BE48:BG48"/>
    <mergeCell ref="BJ48:BJ49"/>
    <mergeCell ref="AA48:AC48"/>
    <mergeCell ref="AF48:AF49"/>
    <mergeCell ref="AG48:AI48"/>
    <mergeCell ref="AL48:AL49"/>
    <mergeCell ref="AM48:AO48"/>
    <mergeCell ref="AR48:AR49"/>
    <mergeCell ref="AS63:AU63"/>
    <mergeCell ref="AX63:AX64"/>
    <mergeCell ref="O63:Q63"/>
    <mergeCell ref="B48:B49"/>
    <mergeCell ref="C48:E48"/>
    <mergeCell ref="BW18:BY18"/>
    <mergeCell ref="BE18:BG18"/>
    <mergeCell ref="BJ18:BJ19"/>
    <mergeCell ref="BK18:BM18"/>
    <mergeCell ref="BP18:BP19"/>
    <mergeCell ref="BW33:BY33"/>
    <mergeCell ref="BE33:BG33"/>
    <mergeCell ref="BJ33:BJ34"/>
    <mergeCell ref="BK33:BM33"/>
    <mergeCell ref="BP33:BP34"/>
    <mergeCell ref="BV33:BV34"/>
    <mergeCell ref="BQ33:BS33"/>
    <mergeCell ref="AM33:AO33"/>
    <mergeCell ref="AR33:AR34"/>
    <mergeCell ref="AS33:AU33"/>
    <mergeCell ref="AX33:AX34"/>
    <mergeCell ref="AY33:BA33"/>
    <mergeCell ref="B33:B34"/>
    <mergeCell ref="C33:E33"/>
    <mergeCell ref="H33:H34"/>
    <mergeCell ref="I33:K33"/>
    <mergeCell ref="N33:N34"/>
    <mergeCell ref="O33:Q33"/>
    <mergeCell ref="T33:T34"/>
    <mergeCell ref="AA33:AC33"/>
    <mergeCell ref="AF33:AF34"/>
    <mergeCell ref="AG33:AI33"/>
    <mergeCell ref="AL33:AL34"/>
    <mergeCell ref="U33:W33"/>
    <mergeCell ref="Z33:Z34"/>
    <mergeCell ref="H18:H19"/>
    <mergeCell ref="I18:K18"/>
    <mergeCell ref="N18:N19"/>
    <mergeCell ref="O18:Q18"/>
    <mergeCell ref="T18:T19"/>
    <mergeCell ref="U18:W18"/>
    <mergeCell ref="BV3:BV4"/>
    <mergeCell ref="BQ18:BS18"/>
    <mergeCell ref="AS18:AU18"/>
    <mergeCell ref="AX18:AX19"/>
    <mergeCell ref="AY18:BA18"/>
    <mergeCell ref="BD18:BD19"/>
    <mergeCell ref="AG18:AI18"/>
    <mergeCell ref="AL18:AL19"/>
    <mergeCell ref="AM18:AO18"/>
    <mergeCell ref="AR18:AR19"/>
    <mergeCell ref="Z18:Z19"/>
    <mergeCell ref="AA18:AC18"/>
    <mergeCell ref="AF18:AF19"/>
    <mergeCell ref="BV18:BV19"/>
    <mergeCell ref="BW3:BY3"/>
    <mergeCell ref="AS3:AU3"/>
    <mergeCell ref="AX3:AX4"/>
    <mergeCell ref="AY3:BA3"/>
    <mergeCell ref="BD3:BD4"/>
    <mergeCell ref="BE3:BG3"/>
    <mergeCell ref="BJ3:BJ4"/>
    <mergeCell ref="AA3:AC3"/>
    <mergeCell ref="AF3:AF4"/>
    <mergeCell ref="AG3:AI3"/>
    <mergeCell ref="AL3:AL4"/>
    <mergeCell ref="AM3:AO3"/>
    <mergeCell ref="AR3:AR4"/>
    <mergeCell ref="BP3:BP4"/>
    <mergeCell ref="BQ3:BS3"/>
    <mergeCell ref="BK3:BM3"/>
    <mergeCell ref="BD33:BD34"/>
    <mergeCell ref="AL1:AP1"/>
    <mergeCell ref="AR1:AV1"/>
    <mergeCell ref="AX1:BB1"/>
    <mergeCell ref="BD1:BH1"/>
    <mergeCell ref="BJ1:BN1"/>
    <mergeCell ref="BP1:BT1"/>
    <mergeCell ref="B1:F1"/>
    <mergeCell ref="H1:L1"/>
    <mergeCell ref="N1:R1"/>
    <mergeCell ref="T1:X1"/>
    <mergeCell ref="Z1:AD1"/>
    <mergeCell ref="AF1:AJ1"/>
    <mergeCell ref="B3:B4"/>
    <mergeCell ref="C3:E3"/>
    <mergeCell ref="H3:H4"/>
    <mergeCell ref="I3:K3"/>
    <mergeCell ref="N3:N4"/>
    <mergeCell ref="O3:Q3"/>
    <mergeCell ref="T3:T4"/>
    <mergeCell ref="U3:W3"/>
    <mergeCell ref="Z3:Z4"/>
    <mergeCell ref="B18:B19"/>
    <mergeCell ref="C18:E18"/>
    <mergeCell ref="T154:AJ154"/>
    <mergeCell ref="B154:R154"/>
    <mergeCell ref="CB1:CF1"/>
    <mergeCell ref="CB3:CB4"/>
    <mergeCell ref="CC3:CE3"/>
    <mergeCell ref="CB18:CB19"/>
    <mergeCell ref="CC18:CE18"/>
    <mergeCell ref="CB33:CB34"/>
    <mergeCell ref="CC33:CE33"/>
    <mergeCell ref="CB48:CB49"/>
    <mergeCell ref="CC48:CE48"/>
    <mergeCell ref="CB63:CB64"/>
    <mergeCell ref="CC63:CE63"/>
    <mergeCell ref="CB78:CB79"/>
    <mergeCell ref="CC78:CE78"/>
    <mergeCell ref="CB93:CB94"/>
    <mergeCell ref="CC93:CE93"/>
    <mergeCell ref="CB108:CB109"/>
    <mergeCell ref="CC108:CE108"/>
    <mergeCell ref="CB123:CB124"/>
    <mergeCell ref="CC123:CE123"/>
    <mergeCell ref="CB138:CB139"/>
    <mergeCell ref="CC138:CE138"/>
    <mergeCell ref="BV1:BZ1"/>
    <mergeCell ref="CH1:CL1"/>
    <mergeCell ref="CH3:CH4"/>
    <mergeCell ref="CI3:CK3"/>
    <mergeCell ref="CH18:CH19"/>
    <mergeCell ref="CI18:CK18"/>
    <mergeCell ref="CH33:CH34"/>
    <mergeCell ref="CI33:CK33"/>
    <mergeCell ref="CH48:CH49"/>
    <mergeCell ref="CI48:CK48"/>
    <mergeCell ref="CH63:CH64"/>
    <mergeCell ref="CI63:CK63"/>
    <mergeCell ref="CH78:CH79"/>
    <mergeCell ref="CI78:CK78"/>
    <mergeCell ref="CH93:CH94"/>
    <mergeCell ref="CI93:CK93"/>
    <mergeCell ref="CH108:CH109"/>
    <mergeCell ref="CI108:CK108"/>
    <mergeCell ref="CH123:CH124"/>
    <mergeCell ref="CI123:CK123"/>
    <mergeCell ref="B278:R278"/>
    <mergeCell ref="CH138:CH139"/>
    <mergeCell ref="CI138:CK138"/>
    <mergeCell ref="CN1:CR1"/>
    <mergeCell ref="CN3:CN4"/>
    <mergeCell ref="CO3:CQ3"/>
    <mergeCell ref="CN18:CN19"/>
    <mergeCell ref="CO18:CQ18"/>
    <mergeCell ref="CN33:CN34"/>
    <mergeCell ref="CO33:CQ33"/>
    <mergeCell ref="CN48:CN49"/>
    <mergeCell ref="CO48:CQ48"/>
    <mergeCell ref="CN63:CN64"/>
    <mergeCell ref="CO63:CQ63"/>
    <mergeCell ref="CN78:CN79"/>
    <mergeCell ref="CO78:CQ78"/>
    <mergeCell ref="CN93:CN94"/>
    <mergeCell ref="CO93:CQ93"/>
    <mergeCell ref="CN108:CN109"/>
    <mergeCell ref="CO108:CQ108"/>
    <mergeCell ref="CN123:CN124"/>
    <mergeCell ref="CO123:CQ123"/>
    <mergeCell ref="CN138:CN139"/>
    <mergeCell ref="CO138:CQ1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Lembar Kerja</vt:lpstr>
      <vt:lpstr>Riwayat Revisi</vt:lpstr>
      <vt:lpstr>ID</vt:lpstr>
      <vt:lpstr>Uncertainty Budget</vt:lpstr>
      <vt:lpstr>Lembar Penyelia</vt:lpstr>
      <vt:lpstr>Laporan</vt:lpstr>
      <vt:lpstr>LH</vt:lpstr>
      <vt:lpstr>Sert</vt:lpstr>
      <vt:lpstr>Data Standar</vt:lpstr>
      <vt:lpstr>Data Alat</vt:lpstr>
      <vt:lpstr>DB Thermohygro</vt:lpstr>
      <vt:lpstr>DB Kelistrikan</vt:lpstr>
      <vt:lpstr>Sheet1</vt:lpstr>
      <vt:lpstr>ID!Print_Area</vt:lpstr>
      <vt:lpstr>Laporan!Print_Area</vt:lpstr>
      <vt:lpstr>'Lembar Kerja'!Print_Area</vt:lpstr>
      <vt:lpstr>'Lembar Penyelia'!Print_Area</vt:lpstr>
      <vt:lpstr>LH!Print_Area</vt:lpstr>
      <vt:lpstr>Sert!Print_Area</vt:lpstr>
      <vt:lpstr>'Uncertainty Budget'!Print_Area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Software Lab incu 2017</dc:title>
  <dc:creator>BPFK Banjarbaru 2017</dc:creator>
  <cp:lastModifiedBy>-</cp:lastModifiedBy>
  <cp:lastPrinted>2022-04-19T04:55:59Z</cp:lastPrinted>
  <dcterms:created xsi:type="dcterms:W3CDTF">2002-06-28T14:09:00Z</dcterms:created>
  <dcterms:modified xsi:type="dcterms:W3CDTF">2022-04-20T02:30:50Z</dcterms:modified>
  <cp:category>LAB SUHU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