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excel\public\alat\"/>
    </mc:Choice>
  </mc:AlternateContent>
  <xr:revisionPtr revIDLastSave="0" documentId="13_ncr:1_{46052A8B-9976-41C1-84B8-DF63A848EB97}" xr6:coauthVersionLast="45" xr6:coauthVersionMax="45" xr10:uidLastSave="{00000000-0000-0000-0000-000000000000}"/>
  <bookViews>
    <workbookView xWindow="-420" yWindow="984" windowWidth="23016" windowHeight="10560" tabRatio="597" firstSheet="5" activeTab="5" xr2:uid="{00000000-000D-0000-FFFF-FFFF00000000}"/>
  </bookViews>
  <sheets>
    <sheet name="Lembar Kerja" sheetId="12" r:id="rId1"/>
    <sheet name="Riwayat Revisi" sheetId="28" r:id="rId2"/>
    <sheet name="Ketidakpastian BPM" sheetId="10" r:id="rId3"/>
    <sheet name="Ketidakpastian SPO2" sheetId="25" r:id="rId4"/>
    <sheet name="Penyelia" sheetId="22" r:id="rId5"/>
    <sheet name="ID" sheetId="3" r:id="rId6"/>
    <sheet name="LH" sheetId="23" r:id="rId7"/>
    <sheet name="Sertifikat" sheetId="35" r:id="rId8"/>
    <sheet name="FORECAST" sheetId="33" r:id="rId9"/>
    <sheet name="DB ESA" sheetId="29" r:id="rId10"/>
    <sheet name="DB Suhu" sheetId="26" r:id="rId11"/>
    <sheet name="cetik" sheetId="13" r:id="rId12"/>
    <sheet name="kesimpulan" sheetId="14" state="hidden" r:id="rId13"/>
    <sheet name="DATA SERTIFIKAT(BPM)" sheetId="19" r:id="rId14"/>
    <sheet name="DATA SERTIFIKAT(O2)" sheetId="24" r:id="rId15"/>
  </sheets>
  <definedNames>
    <definedName name="_xlnm.Print_Area" localSheetId="5">ID!$A$1:$N$69</definedName>
    <definedName name="_xlnm.Print_Area" localSheetId="2">'Ketidakpastian BPM'!$A$1:$L$51</definedName>
    <definedName name="_xlnm.Print_Area" localSheetId="3">'Ketidakpastian SPO2'!$A$1:$L$86</definedName>
    <definedName name="_xlnm.Print_Area" localSheetId="0">'Lembar Kerja'!$A$1:$M$68</definedName>
    <definedName name="_xlnm.Print_Area" localSheetId="6">LH!$A$1:$L$74</definedName>
    <definedName name="_xlnm.Print_Area" localSheetId="4">Penyelia!$A$1:$L$76</definedName>
    <definedName name="_xlnm.Print_Area" localSheetId="7">Sertifikat!$A$1:$F$39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3" l="1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F82" i="3"/>
  <c r="G82" i="3"/>
  <c r="H82" i="3"/>
  <c r="I82" i="3"/>
  <c r="J82" i="3"/>
  <c r="E82" i="3"/>
  <c r="E42" i="10"/>
  <c r="A244" i="29"/>
  <c r="M234" i="29" s="1"/>
  <c r="M244" i="29" s="1"/>
  <c r="O1" i="13" l="1"/>
  <c r="O2" i="13" s="1"/>
  <c r="F16" i="23"/>
  <c r="B44" i="10"/>
  <c r="B32" i="10"/>
  <c r="B19" i="10"/>
  <c r="B7" i="10"/>
  <c r="E5" i="22"/>
  <c r="E6" i="22"/>
  <c r="E7" i="22"/>
  <c r="E8" i="22"/>
  <c r="E9" i="22"/>
  <c r="E10" i="22"/>
  <c r="E11" i="22"/>
  <c r="H58" i="33"/>
  <c r="H59" i="33"/>
  <c r="K59" i="33" s="1"/>
  <c r="I27" i="22" s="1"/>
  <c r="H57" i="33"/>
  <c r="H56" i="33"/>
  <c r="H60" i="33"/>
  <c r="K56" i="33" l="1"/>
  <c r="E16" i="22" s="1"/>
  <c r="E16" i="23" s="1"/>
  <c r="B41" i="35" l="1"/>
  <c r="A3" i="35"/>
  <c r="B48" i="35" l="1"/>
  <c r="A20" i="35" s="1"/>
  <c r="B43" i="35"/>
  <c r="B44" i="35" s="1"/>
  <c r="E24" i="35"/>
  <c r="A18" i="35" l="1"/>
  <c r="A19" i="35"/>
  <c r="A17" i="35"/>
  <c r="M28" i="3"/>
  <c r="J27" i="23" l="1"/>
  <c r="J26" i="23"/>
  <c r="J25" i="23"/>
  <c r="P47" i="33"/>
  <c r="H15" i="22" s="1"/>
  <c r="H15" i="23" s="1"/>
  <c r="N47" i="33"/>
  <c r="F15" i="22" s="1"/>
  <c r="F15" i="23" s="1"/>
  <c r="P46" i="33"/>
  <c r="H14" i="22" s="1"/>
  <c r="H14" i="23" s="1"/>
  <c r="N46" i="33"/>
  <c r="F14" i="22" s="1"/>
  <c r="F14" i="23" s="1"/>
  <c r="R55" i="3"/>
  <c r="R54" i="3"/>
  <c r="R56" i="3" l="1"/>
  <c r="S57" i="3" s="1"/>
  <c r="B55" i="3" s="1"/>
  <c r="N339" i="26" l="1"/>
  <c r="N338" i="26"/>
  <c r="A234" i="29"/>
  <c r="B53" i="33" s="1"/>
  <c r="L202" i="29"/>
  <c r="G213" i="29" s="1"/>
  <c r="L201" i="29"/>
  <c r="G209" i="29" s="1"/>
  <c r="L200" i="29"/>
  <c r="L199" i="29"/>
  <c r="L198" i="29"/>
  <c r="J243" i="29"/>
  <c r="I243" i="29"/>
  <c r="J242" i="29"/>
  <c r="I242" i="29"/>
  <c r="J241" i="29"/>
  <c r="I241" i="29"/>
  <c r="J240" i="29"/>
  <c r="I240" i="29"/>
  <c r="J239" i="29"/>
  <c r="I239" i="29"/>
  <c r="J238" i="29"/>
  <c r="I238" i="29"/>
  <c r="J237" i="29"/>
  <c r="I237" i="29"/>
  <c r="J236" i="29"/>
  <c r="I236" i="29"/>
  <c r="J235" i="29"/>
  <c r="I235" i="29"/>
  <c r="G229" i="29"/>
  <c r="G225" i="29"/>
  <c r="G221" i="29"/>
  <c r="A219" i="29"/>
  <c r="G217" i="29"/>
  <c r="A213" i="29"/>
  <c r="A205" i="29"/>
  <c r="A197" i="29"/>
  <c r="O193" i="29"/>
  <c r="M193" i="29"/>
  <c r="L193" i="29"/>
  <c r="K193" i="29"/>
  <c r="G193" i="29"/>
  <c r="E193" i="29"/>
  <c r="D193" i="29"/>
  <c r="C193" i="29"/>
  <c r="O192" i="29"/>
  <c r="M192" i="29"/>
  <c r="L192" i="29"/>
  <c r="K192" i="29"/>
  <c r="G192" i="29"/>
  <c r="E192" i="29"/>
  <c r="D192" i="29"/>
  <c r="C192" i="29"/>
  <c r="O191" i="29"/>
  <c r="M191" i="29"/>
  <c r="L191" i="29"/>
  <c r="K191" i="29"/>
  <c r="G191" i="29"/>
  <c r="E191" i="29"/>
  <c r="D191" i="29"/>
  <c r="C191" i="29"/>
  <c r="O190" i="29"/>
  <c r="M190" i="29"/>
  <c r="L190" i="29"/>
  <c r="K190" i="29"/>
  <c r="G190" i="29"/>
  <c r="E190" i="29"/>
  <c r="D190" i="29"/>
  <c r="C190" i="29"/>
  <c r="O189" i="29"/>
  <c r="M189" i="29"/>
  <c r="L189" i="29"/>
  <c r="K189" i="29"/>
  <c r="G189" i="29"/>
  <c r="E189" i="29"/>
  <c r="D189" i="29"/>
  <c r="C189" i="29"/>
  <c r="O188" i="29"/>
  <c r="M188" i="29"/>
  <c r="L188" i="29"/>
  <c r="K188" i="29"/>
  <c r="G188" i="29"/>
  <c r="E188" i="29"/>
  <c r="D188" i="29"/>
  <c r="C188" i="29"/>
  <c r="O187" i="29"/>
  <c r="M187" i="29"/>
  <c r="L187" i="29"/>
  <c r="K187" i="29"/>
  <c r="G187" i="29"/>
  <c r="E187" i="29"/>
  <c r="D187" i="29"/>
  <c r="C187" i="29"/>
  <c r="O186" i="29"/>
  <c r="M186" i="29"/>
  <c r="L186" i="29"/>
  <c r="K186" i="29"/>
  <c r="G186" i="29"/>
  <c r="E186" i="29"/>
  <c r="D186" i="29"/>
  <c r="C186" i="29"/>
  <c r="O185" i="29"/>
  <c r="M185" i="29"/>
  <c r="L185" i="29"/>
  <c r="K185" i="29"/>
  <c r="G185" i="29"/>
  <c r="E185" i="29"/>
  <c r="D185" i="29"/>
  <c r="C185" i="29"/>
  <c r="O184" i="29"/>
  <c r="M184" i="29"/>
  <c r="L184" i="29"/>
  <c r="K184" i="29"/>
  <c r="G184" i="29"/>
  <c r="E184" i="29"/>
  <c r="D184" i="29"/>
  <c r="C184" i="29"/>
  <c r="O183" i="29"/>
  <c r="M183" i="29"/>
  <c r="L183" i="29"/>
  <c r="K183" i="29"/>
  <c r="G183" i="29"/>
  <c r="E183" i="29"/>
  <c r="D183" i="29"/>
  <c r="C183" i="29"/>
  <c r="O182" i="29"/>
  <c r="M182" i="29"/>
  <c r="L182" i="29"/>
  <c r="K182" i="29"/>
  <c r="G182" i="29"/>
  <c r="E182" i="29"/>
  <c r="D182" i="29"/>
  <c r="C182" i="29"/>
  <c r="O181" i="29"/>
  <c r="M181" i="29"/>
  <c r="L181" i="29"/>
  <c r="K181" i="29"/>
  <c r="G181" i="29"/>
  <c r="E181" i="29"/>
  <c r="D181" i="29"/>
  <c r="C181" i="29"/>
  <c r="O180" i="29"/>
  <c r="M180" i="29"/>
  <c r="L180" i="29"/>
  <c r="K180" i="29"/>
  <c r="G180" i="29"/>
  <c r="E180" i="29"/>
  <c r="D180" i="29"/>
  <c r="C180" i="29"/>
  <c r="O179" i="29"/>
  <c r="M179" i="29"/>
  <c r="L179" i="29"/>
  <c r="K179" i="29"/>
  <c r="G179" i="29"/>
  <c r="E179" i="29"/>
  <c r="D179" i="29"/>
  <c r="C179" i="29"/>
  <c r="O178" i="29"/>
  <c r="M178" i="29"/>
  <c r="L178" i="29"/>
  <c r="K178" i="29"/>
  <c r="G178" i="29"/>
  <c r="E178" i="29"/>
  <c r="D178" i="29"/>
  <c r="C178" i="29"/>
  <c r="O177" i="29"/>
  <c r="M177" i="29"/>
  <c r="L177" i="29"/>
  <c r="K177" i="29"/>
  <c r="G177" i="29"/>
  <c r="E177" i="29"/>
  <c r="D177" i="29"/>
  <c r="C177" i="29"/>
  <c r="O176" i="29"/>
  <c r="M176" i="29"/>
  <c r="L176" i="29"/>
  <c r="K176" i="29"/>
  <c r="G176" i="29"/>
  <c r="E176" i="29"/>
  <c r="D176" i="29"/>
  <c r="C176" i="29"/>
  <c r="O175" i="29"/>
  <c r="M175" i="29"/>
  <c r="L175" i="29"/>
  <c r="K175" i="29"/>
  <c r="G175" i="29"/>
  <c r="E175" i="29"/>
  <c r="D175" i="29"/>
  <c r="C175" i="29"/>
  <c r="O174" i="29"/>
  <c r="M174" i="29"/>
  <c r="L174" i="29"/>
  <c r="K174" i="29"/>
  <c r="G174" i="29"/>
  <c r="E174" i="29"/>
  <c r="D174" i="29"/>
  <c r="C174" i="29"/>
  <c r="O173" i="29"/>
  <c r="M173" i="29"/>
  <c r="L173" i="29"/>
  <c r="K173" i="29"/>
  <c r="G173" i="29"/>
  <c r="E173" i="29"/>
  <c r="D173" i="29"/>
  <c r="C173" i="29"/>
  <c r="O172" i="29"/>
  <c r="M172" i="29"/>
  <c r="L172" i="29"/>
  <c r="K172" i="29"/>
  <c r="G172" i="29"/>
  <c r="E172" i="29"/>
  <c r="D172" i="29"/>
  <c r="C172" i="29"/>
  <c r="O171" i="29"/>
  <c r="M171" i="29"/>
  <c r="L171" i="29"/>
  <c r="K171" i="29"/>
  <c r="G171" i="29"/>
  <c r="E171" i="29"/>
  <c r="D171" i="29"/>
  <c r="C171" i="29"/>
  <c r="O170" i="29"/>
  <c r="M170" i="29"/>
  <c r="L170" i="29"/>
  <c r="K170" i="29"/>
  <c r="G170" i="29"/>
  <c r="E170" i="29"/>
  <c r="D170" i="29"/>
  <c r="C170" i="29"/>
  <c r="O169" i="29"/>
  <c r="M169" i="29"/>
  <c r="L169" i="29"/>
  <c r="K169" i="29"/>
  <c r="G169" i="29"/>
  <c r="E169" i="29"/>
  <c r="D169" i="29"/>
  <c r="C169" i="29"/>
  <c r="O168" i="29"/>
  <c r="M168" i="29"/>
  <c r="L168" i="29"/>
  <c r="K168" i="29"/>
  <c r="G168" i="29"/>
  <c r="E168" i="29"/>
  <c r="D168" i="29"/>
  <c r="C168" i="29"/>
  <c r="O167" i="29"/>
  <c r="M167" i="29"/>
  <c r="L167" i="29"/>
  <c r="K167" i="29"/>
  <c r="G167" i="29"/>
  <c r="E167" i="29"/>
  <c r="D167" i="29"/>
  <c r="C167" i="29"/>
  <c r="O166" i="29"/>
  <c r="M166" i="29"/>
  <c r="L166" i="29"/>
  <c r="K166" i="29"/>
  <c r="G166" i="29"/>
  <c r="E166" i="29"/>
  <c r="D166" i="29"/>
  <c r="C166" i="29"/>
  <c r="O165" i="29"/>
  <c r="M165" i="29"/>
  <c r="L165" i="29"/>
  <c r="K165" i="29"/>
  <c r="G165" i="29"/>
  <c r="E165" i="29"/>
  <c r="D165" i="29"/>
  <c r="C165" i="29"/>
  <c r="O164" i="29"/>
  <c r="M164" i="29"/>
  <c r="L164" i="29"/>
  <c r="K164" i="29"/>
  <c r="G164" i="29"/>
  <c r="E164" i="29"/>
  <c r="D164" i="29"/>
  <c r="C164" i="29"/>
  <c r="O163" i="29"/>
  <c r="M163" i="29"/>
  <c r="L163" i="29"/>
  <c r="K163" i="29"/>
  <c r="G163" i="29"/>
  <c r="E163" i="29"/>
  <c r="D163" i="29"/>
  <c r="C163" i="29"/>
  <c r="O162" i="29"/>
  <c r="M162" i="29"/>
  <c r="L162" i="29"/>
  <c r="K162" i="29"/>
  <c r="G162" i="29"/>
  <c r="E162" i="29"/>
  <c r="D162" i="29"/>
  <c r="C162" i="29"/>
  <c r="O161" i="29"/>
  <c r="M161" i="29"/>
  <c r="L161" i="29"/>
  <c r="K161" i="29"/>
  <c r="G161" i="29"/>
  <c r="E161" i="29"/>
  <c r="D161" i="29"/>
  <c r="C161" i="29"/>
  <c r="O160" i="29"/>
  <c r="M160" i="29"/>
  <c r="L160" i="29"/>
  <c r="K160" i="29"/>
  <c r="G160" i="29"/>
  <c r="E160" i="29"/>
  <c r="D160" i="29"/>
  <c r="C160" i="29"/>
  <c r="O159" i="29"/>
  <c r="M159" i="29"/>
  <c r="L159" i="29"/>
  <c r="K159" i="29"/>
  <c r="G159" i="29"/>
  <c r="E159" i="29"/>
  <c r="D159" i="29"/>
  <c r="C159" i="29"/>
  <c r="O158" i="29"/>
  <c r="M158" i="29"/>
  <c r="L158" i="29"/>
  <c r="K158" i="29"/>
  <c r="G158" i="29"/>
  <c r="E158" i="29"/>
  <c r="D158" i="29"/>
  <c r="C158" i="29"/>
  <c r="K156" i="29"/>
  <c r="C156" i="29"/>
  <c r="O153" i="29"/>
  <c r="M153" i="29"/>
  <c r="L153" i="29"/>
  <c r="K153" i="29"/>
  <c r="G153" i="29"/>
  <c r="E153" i="29"/>
  <c r="D153" i="29"/>
  <c r="C153" i="29"/>
  <c r="O152" i="29"/>
  <c r="M152" i="29"/>
  <c r="L152" i="29"/>
  <c r="K152" i="29"/>
  <c r="G152" i="29"/>
  <c r="E152" i="29"/>
  <c r="D152" i="29"/>
  <c r="C152" i="29"/>
  <c r="O151" i="29"/>
  <c r="M151" i="29"/>
  <c r="L151" i="29"/>
  <c r="K151" i="29"/>
  <c r="G151" i="29"/>
  <c r="E151" i="29"/>
  <c r="D151" i="29"/>
  <c r="C151" i="29"/>
  <c r="O150" i="29"/>
  <c r="M150" i="29"/>
  <c r="L150" i="29"/>
  <c r="K150" i="29"/>
  <c r="G150" i="29"/>
  <c r="E150" i="29"/>
  <c r="D150" i="29"/>
  <c r="C150" i="29"/>
  <c r="O149" i="29"/>
  <c r="M149" i="29"/>
  <c r="L149" i="29"/>
  <c r="K149" i="29"/>
  <c r="G149" i="29"/>
  <c r="E149" i="29"/>
  <c r="D149" i="29"/>
  <c r="C149" i="29"/>
  <c r="O148" i="29"/>
  <c r="M148" i="29"/>
  <c r="L148" i="29"/>
  <c r="K148" i="29"/>
  <c r="G148" i="29"/>
  <c r="E148" i="29"/>
  <c r="D148" i="29"/>
  <c r="C148" i="29"/>
  <c r="O147" i="29"/>
  <c r="M147" i="29"/>
  <c r="L147" i="29"/>
  <c r="K147" i="29"/>
  <c r="G147" i="29"/>
  <c r="E147" i="29"/>
  <c r="D147" i="29"/>
  <c r="C147" i="29"/>
  <c r="O146" i="29"/>
  <c r="M146" i="29"/>
  <c r="L146" i="29"/>
  <c r="K146" i="29"/>
  <c r="G146" i="29"/>
  <c r="E146" i="29"/>
  <c r="D146" i="29"/>
  <c r="C146" i="29"/>
  <c r="O145" i="29"/>
  <c r="M145" i="29"/>
  <c r="L145" i="29"/>
  <c r="K145" i="29"/>
  <c r="G145" i="29"/>
  <c r="E145" i="29"/>
  <c r="D145" i="29"/>
  <c r="C145" i="29"/>
  <c r="O144" i="29"/>
  <c r="M144" i="29"/>
  <c r="L144" i="29"/>
  <c r="K144" i="29"/>
  <c r="G144" i="29"/>
  <c r="E144" i="29"/>
  <c r="D144" i="29"/>
  <c r="C144" i="29"/>
  <c r="O143" i="29"/>
  <c r="M143" i="29"/>
  <c r="L143" i="29"/>
  <c r="K143" i="29"/>
  <c r="G143" i="29"/>
  <c r="E143" i="29"/>
  <c r="D143" i="29"/>
  <c r="C143" i="29"/>
  <c r="O142" i="29"/>
  <c r="M142" i="29"/>
  <c r="L142" i="29"/>
  <c r="K142" i="29"/>
  <c r="G142" i="29"/>
  <c r="E142" i="29"/>
  <c r="D142" i="29"/>
  <c r="C142" i="29"/>
  <c r="O141" i="29"/>
  <c r="M141" i="29"/>
  <c r="L141" i="29"/>
  <c r="K141" i="29"/>
  <c r="G141" i="29"/>
  <c r="E141" i="29"/>
  <c r="D141" i="29"/>
  <c r="C141" i="29"/>
  <c r="O140" i="29"/>
  <c r="M140" i="29"/>
  <c r="L140" i="29"/>
  <c r="K140" i="29"/>
  <c r="G140" i="29"/>
  <c r="E140" i="29"/>
  <c r="D140" i="29"/>
  <c r="C140" i="29"/>
  <c r="O139" i="29"/>
  <c r="M139" i="29"/>
  <c r="L139" i="29"/>
  <c r="K139" i="29"/>
  <c r="G139" i="29"/>
  <c r="E139" i="29"/>
  <c r="D139" i="29"/>
  <c r="C139" i="29"/>
  <c r="O138" i="29"/>
  <c r="M138" i="29"/>
  <c r="L138" i="29"/>
  <c r="K138" i="29"/>
  <c r="G138" i="29"/>
  <c r="E138" i="29"/>
  <c r="D138" i="29"/>
  <c r="C138" i="29"/>
  <c r="O137" i="29"/>
  <c r="M137" i="29"/>
  <c r="L137" i="29"/>
  <c r="K137" i="29"/>
  <c r="G137" i="29"/>
  <c r="E137" i="29"/>
  <c r="D137" i="29"/>
  <c r="C137" i="29"/>
  <c r="O136" i="29"/>
  <c r="M136" i="29"/>
  <c r="L136" i="29"/>
  <c r="K136" i="29"/>
  <c r="G136" i="29"/>
  <c r="E136" i="29"/>
  <c r="D136" i="29"/>
  <c r="C136" i="29"/>
  <c r="O135" i="29"/>
  <c r="M135" i="29"/>
  <c r="L135" i="29"/>
  <c r="K135" i="29"/>
  <c r="G135" i="29"/>
  <c r="E135" i="29"/>
  <c r="D135" i="29"/>
  <c r="C135" i="29"/>
  <c r="O134" i="29"/>
  <c r="M134" i="29"/>
  <c r="L134" i="29"/>
  <c r="K134" i="29"/>
  <c r="G134" i="29"/>
  <c r="E134" i="29"/>
  <c r="D134" i="29"/>
  <c r="C134" i="29"/>
  <c r="O133" i="29"/>
  <c r="M133" i="29"/>
  <c r="L133" i="29"/>
  <c r="K133" i="29"/>
  <c r="G133" i="29"/>
  <c r="E133" i="29"/>
  <c r="D133" i="29"/>
  <c r="C133" i="29"/>
  <c r="O132" i="29"/>
  <c r="M132" i="29"/>
  <c r="L132" i="29"/>
  <c r="K132" i="29"/>
  <c r="G132" i="29"/>
  <c r="E132" i="29"/>
  <c r="D132" i="29"/>
  <c r="C132" i="29"/>
  <c r="O131" i="29"/>
  <c r="M131" i="29"/>
  <c r="L131" i="29"/>
  <c r="K131" i="29"/>
  <c r="G131" i="29"/>
  <c r="E131" i="29"/>
  <c r="D131" i="29"/>
  <c r="C131" i="29"/>
  <c r="O130" i="29"/>
  <c r="M130" i="29"/>
  <c r="L130" i="29"/>
  <c r="K130" i="29"/>
  <c r="G130" i="29"/>
  <c r="E130" i="29"/>
  <c r="D130" i="29"/>
  <c r="C130" i="29"/>
  <c r="O129" i="29"/>
  <c r="M129" i="29"/>
  <c r="L129" i="29"/>
  <c r="K129" i="29"/>
  <c r="G129" i="29"/>
  <c r="E129" i="29"/>
  <c r="D129" i="29"/>
  <c r="C129" i="29"/>
  <c r="O128" i="29"/>
  <c r="M128" i="29"/>
  <c r="L128" i="29"/>
  <c r="K128" i="29"/>
  <c r="G128" i="29"/>
  <c r="E128" i="29"/>
  <c r="D128" i="29"/>
  <c r="C128" i="29"/>
  <c r="O127" i="29"/>
  <c r="M127" i="29"/>
  <c r="L127" i="29"/>
  <c r="K127" i="29"/>
  <c r="G127" i="29"/>
  <c r="E127" i="29"/>
  <c r="D127" i="29"/>
  <c r="C127" i="29"/>
  <c r="O126" i="29"/>
  <c r="M126" i="29"/>
  <c r="L126" i="29"/>
  <c r="K126" i="29"/>
  <c r="G126" i="29"/>
  <c r="E126" i="29"/>
  <c r="D126" i="29"/>
  <c r="C126" i="29"/>
  <c r="O125" i="29"/>
  <c r="M125" i="29"/>
  <c r="L125" i="29"/>
  <c r="K125" i="29"/>
  <c r="G125" i="29"/>
  <c r="E125" i="29"/>
  <c r="D125" i="29"/>
  <c r="C125" i="29"/>
  <c r="O124" i="29"/>
  <c r="M124" i="29"/>
  <c r="L124" i="29"/>
  <c r="K124" i="29"/>
  <c r="G124" i="29"/>
  <c r="E124" i="29"/>
  <c r="D124" i="29"/>
  <c r="C124" i="29"/>
  <c r="O123" i="29"/>
  <c r="M123" i="29"/>
  <c r="L123" i="29"/>
  <c r="K123" i="29"/>
  <c r="G123" i="29"/>
  <c r="E123" i="29"/>
  <c r="D123" i="29"/>
  <c r="C123" i="29"/>
  <c r="O122" i="29"/>
  <c r="M122" i="29"/>
  <c r="L122" i="29"/>
  <c r="K122" i="29"/>
  <c r="G122" i="29"/>
  <c r="E122" i="29"/>
  <c r="D122" i="29"/>
  <c r="C122" i="29"/>
  <c r="O121" i="29"/>
  <c r="M121" i="29"/>
  <c r="L121" i="29"/>
  <c r="K121" i="29"/>
  <c r="G121" i="29"/>
  <c r="E121" i="29"/>
  <c r="D121" i="29"/>
  <c r="C121" i="29"/>
  <c r="O120" i="29"/>
  <c r="M120" i="29"/>
  <c r="L120" i="29"/>
  <c r="K120" i="29"/>
  <c r="G120" i="29"/>
  <c r="E120" i="29"/>
  <c r="D120" i="29"/>
  <c r="C120" i="29"/>
  <c r="O119" i="29"/>
  <c r="M119" i="29"/>
  <c r="L119" i="29"/>
  <c r="K119" i="29"/>
  <c r="G119" i="29"/>
  <c r="E119" i="29"/>
  <c r="D119" i="29"/>
  <c r="C119" i="29"/>
  <c r="O118" i="29"/>
  <c r="M118" i="29"/>
  <c r="L118" i="29"/>
  <c r="K118" i="29"/>
  <c r="G118" i="29"/>
  <c r="E118" i="29"/>
  <c r="D118" i="29"/>
  <c r="C118" i="29"/>
  <c r="O117" i="29"/>
  <c r="M117" i="29"/>
  <c r="L117" i="29"/>
  <c r="K117" i="29"/>
  <c r="G117" i="29"/>
  <c r="E117" i="29"/>
  <c r="D117" i="29"/>
  <c r="C117" i="29"/>
  <c r="O116" i="29"/>
  <c r="M116" i="29"/>
  <c r="L116" i="29"/>
  <c r="K116" i="29"/>
  <c r="G116" i="29"/>
  <c r="E116" i="29"/>
  <c r="D116" i="29"/>
  <c r="C116" i="29"/>
  <c r="O115" i="29"/>
  <c r="M115" i="29"/>
  <c r="L115" i="29"/>
  <c r="K115" i="29"/>
  <c r="G115" i="29"/>
  <c r="E115" i="29"/>
  <c r="D115" i="29"/>
  <c r="C115" i="29"/>
  <c r="O114" i="29"/>
  <c r="M114" i="29"/>
  <c r="L114" i="29"/>
  <c r="K114" i="29"/>
  <c r="G114" i="29"/>
  <c r="E114" i="29"/>
  <c r="D114" i="29"/>
  <c r="C114" i="29"/>
  <c r="O113" i="29"/>
  <c r="M113" i="29"/>
  <c r="L113" i="29"/>
  <c r="K113" i="29"/>
  <c r="G113" i="29"/>
  <c r="E113" i="29"/>
  <c r="D113" i="29"/>
  <c r="C113" i="29"/>
  <c r="O112" i="29"/>
  <c r="M112" i="29"/>
  <c r="L112" i="29"/>
  <c r="K112" i="29"/>
  <c r="G112" i="29"/>
  <c r="E112" i="29"/>
  <c r="D112" i="29"/>
  <c r="C112" i="29"/>
  <c r="O111" i="29"/>
  <c r="M111" i="29"/>
  <c r="L111" i="29"/>
  <c r="K111" i="29"/>
  <c r="G111" i="29"/>
  <c r="E111" i="29"/>
  <c r="D111" i="29"/>
  <c r="C111" i="29"/>
  <c r="O110" i="29"/>
  <c r="M110" i="29"/>
  <c r="L110" i="29"/>
  <c r="K110" i="29"/>
  <c r="G110" i="29"/>
  <c r="E110" i="29"/>
  <c r="D110" i="29"/>
  <c r="C110" i="29"/>
  <c r="O109" i="29"/>
  <c r="M109" i="29"/>
  <c r="L109" i="29"/>
  <c r="K109" i="29"/>
  <c r="G109" i="29"/>
  <c r="E109" i="29"/>
  <c r="D109" i="29"/>
  <c r="C109" i="29"/>
  <c r="O108" i="29"/>
  <c r="M108" i="29"/>
  <c r="L108" i="29"/>
  <c r="K108" i="29"/>
  <c r="G108" i="29"/>
  <c r="E108" i="29"/>
  <c r="D108" i="29"/>
  <c r="C108" i="29"/>
  <c r="O107" i="29"/>
  <c r="M107" i="29"/>
  <c r="L107" i="29"/>
  <c r="K107" i="29"/>
  <c r="G107" i="29"/>
  <c r="E107" i="29"/>
  <c r="D107" i="29"/>
  <c r="C107" i="29"/>
  <c r="O106" i="29"/>
  <c r="M106" i="29"/>
  <c r="L106" i="29"/>
  <c r="K106" i="29"/>
  <c r="G106" i="29"/>
  <c r="E106" i="29"/>
  <c r="D106" i="29"/>
  <c r="C106" i="29"/>
  <c r="O105" i="29"/>
  <c r="M105" i="29"/>
  <c r="L105" i="29"/>
  <c r="K105" i="29"/>
  <c r="G105" i="29"/>
  <c r="E105" i="29"/>
  <c r="D105" i="29"/>
  <c r="C105" i="29"/>
  <c r="O104" i="29"/>
  <c r="M104" i="29"/>
  <c r="L104" i="29"/>
  <c r="K104" i="29"/>
  <c r="G104" i="29"/>
  <c r="E104" i="29"/>
  <c r="D104" i="29"/>
  <c r="C104" i="29"/>
  <c r="O103" i="29"/>
  <c r="M103" i="29"/>
  <c r="L103" i="29"/>
  <c r="K103" i="29"/>
  <c r="G103" i="29"/>
  <c r="E103" i="29"/>
  <c r="D103" i="29"/>
  <c r="C103" i="29"/>
  <c r="O102" i="29"/>
  <c r="M102" i="29"/>
  <c r="L102" i="29"/>
  <c r="K102" i="29"/>
  <c r="G102" i="29"/>
  <c r="E102" i="29"/>
  <c r="D102" i="29"/>
  <c r="C102" i="29"/>
  <c r="O101" i="29"/>
  <c r="M101" i="29"/>
  <c r="L101" i="29"/>
  <c r="K101" i="29"/>
  <c r="G101" i="29"/>
  <c r="E101" i="29"/>
  <c r="D101" i="29"/>
  <c r="C101" i="29"/>
  <c r="O100" i="29"/>
  <c r="M100" i="29"/>
  <c r="L100" i="29"/>
  <c r="K100" i="29"/>
  <c r="G100" i="29"/>
  <c r="E100" i="29"/>
  <c r="D100" i="29"/>
  <c r="C100" i="29"/>
  <c r="K98" i="29"/>
  <c r="C98" i="29"/>
  <c r="S93" i="29"/>
  <c r="N193" i="29" s="1"/>
  <c r="L93" i="29"/>
  <c r="N192" i="29" s="1"/>
  <c r="E93" i="29"/>
  <c r="N191" i="29" s="1"/>
  <c r="S92" i="29"/>
  <c r="N184" i="29" s="1"/>
  <c r="L92" i="29"/>
  <c r="N183" i="29" s="1"/>
  <c r="E92" i="29"/>
  <c r="N182" i="29" s="1"/>
  <c r="S91" i="29"/>
  <c r="N175" i="29" s="1"/>
  <c r="L91" i="29"/>
  <c r="N174" i="29" s="1"/>
  <c r="E91" i="29"/>
  <c r="N173" i="29" s="1"/>
  <c r="S90" i="29"/>
  <c r="N166" i="29" s="1"/>
  <c r="L90" i="29"/>
  <c r="N165" i="29" s="1"/>
  <c r="E90" i="29"/>
  <c r="N164" i="29" s="1"/>
  <c r="R89" i="29"/>
  <c r="Q89" i="29"/>
  <c r="K89" i="29"/>
  <c r="J89" i="29"/>
  <c r="D89" i="29"/>
  <c r="C89" i="29"/>
  <c r="P88" i="29"/>
  <c r="S87" i="29"/>
  <c r="F193" i="29" s="1"/>
  <c r="L87" i="29"/>
  <c r="F192" i="29" s="1"/>
  <c r="E87" i="29"/>
  <c r="F191" i="29" s="1"/>
  <c r="S86" i="29"/>
  <c r="F184" i="29" s="1"/>
  <c r="L86" i="29"/>
  <c r="F183" i="29" s="1"/>
  <c r="E86" i="29"/>
  <c r="F182" i="29" s="1"/>
  <c r="S85" i="29"/>
  <c r="F175" i="29" s="1"/>
  <c r="L85" i="29"/>
  <c r="F174" i="29" s="1"/>
  <c r="E85" i="29"/>
  <c r="F173" i="29" s="1"/>
  <c r="S84" i="29"/>
  <c r="F166" i="29" s="1"/>
  <c r="L84" i="29"/>
  <c r="F165" i="29" s="1"/>
  <c r="E84" i="29"/>
  <c r="F164" i="29" s="1"/>
  <c r="R83" i="29"/>
  <c r="Q83" i="29"/>
  <c r="K83" i="29"/>
  <c r="J83" i="29"/>
  <c r="P82" i="29"/>
  <c r="S81" i="29"/>
  <c r="N153" i="29" s="1"/>
  <c r="L81" i="29"/>
  <c r="N152" i="29" s="1"/>
  <c r="E81" i="29"/>
  <c r="N151" i="29" s="1"/>
  <c r="S80" i="29"/>
  <c r="N144" i="29" s="1"/>
  <c r="L80" i="29"/>
  <c r="N143" i="29" s="1"/>
  <c r="E80" i="29"/>
  <c r="N142" i="29" s="1"/>
  <c r="S79" i="29"/>
  <c r="N135" i="29" s="1"/>
  <c r="L79" i="29"/>
  <c r="N134" i="29" s="1"/>
  <c r="E79" i="29"/>
  <c r="N133" i="29" s="1"/>
  <c r="S78" i="29"/>
  <c r="N126" i="29" s="1"/>
  <c r="L78" i="29"/>
  <c r="N125" i="29" s="1"/>
  <c r="E78" i="29"/>
  <c r="N124" i="29" s="1"/>
  <c r="S77" i="29"/>
  <c r="N117" i="29" s="1"/>
  <c r="L77" i="29"/>
  <c r="N116" i="29" s="1"/>
  <c r="E77" i="29"/>
  <c r="N115" i="29" s="1"/>
  <c r="S76" i="29"/>
  <c r="N108" i="29" s="1"/>
  <c r="L76" i="29"/>
  <c r="N107" i="29" s="1"/>
  <c r="E76" i="29"/>
  <c r="N106" i="29" s="1"/>
  <c r="R75" i="29"/>
  <c r="Q75" i="29"/>
  <c r="K75" i="29"/>
  <c r="J75" i="29"/>
  <c r="D75" i="29"/>
  <c r="C75" i="29"/>
  <c r="P74" i="29"/>
  <c r="I74" i="29"/>
  <c r="S73" i="29"/>
  <c r="F153" i="29" s="1"/>
  <c r="L73" i="29"/>
  <c r="F152" i="29" s="1"/>
  <c r="E73" i="29"/>
  <c r="F151" i="29" s="1"/>
  <c r="S72" i="29"/>
  <c r="F144" i="29" s="1"/>
  <c r="L72" i="29"/>
  <c r="F143" i="29" s="1"/>
  <c r="E72" i="29"/>
  <c r="F142" i="29" s="1"/>
  <c r="S71" i="29"/>
  <c r="F135" i="29" s="1"/>
  <c r="L71" i="29"/>
  <c r="F134" i="29" s="1"/>
  <c r="E71" i="29"/>
  <c r="F133" i="29" s="1"/>
  <c r="S70" i="29"/>
  <c r="F126" i="29" s="1"/>
  <c r="L70" i="29"/>
  <c r="F125" i="29" s="1"/>
  <c r="E70" i="29"/>
  <c r="F124" i="29" s="1"/>
  <c r="S69" i="29"/>
  <c r="F117" i="29" s="1"/>
  <c r="L69" i="29"/>
  <c r="F116" i="29" s="1"/>
  <c r="E69" i="29"/>
  <c r="F115" i="29" s="1"/>
  <c r="S68" i="29"/>
  <c r="F108" i="29" s="1"/>
  <c r="L68" i="29"/>
  <c r="F107" i="29" s="1"/>
  <c r="E68" i="29"/>
  <c r="F106" i="29" s="1"/>
  <c r="P66" i="29"/>
  <c r="I66" i="29"/>
  <c r="S62" i="29"/>
  <c r="N190" i="29" s="1"/>
  <c r="L62" i="29"/>
  <c r="N189" i="29" s="1"/>
  <c r="E62" i="29"/>
  <c r="N188" i="29" s="1"/>
  <c r="S61" i="29"/>
  <c r="N181" i="29" s="1"/>
  <c r="L61" i="29"/>
  <c r="N180" i="29" s="1"/>
  <c r="E61" i="29"/>
  <c r="N179" i="29" s="1"/>
  <c r="S60" i="29"/>
  <c r="N172" i="29" s="1"/>
  <c r="L60" i="29"/>
  <c r="N171" i="29" s="1"/>
  <c r="E60" i="29"/>
  <c r="N170" i="29" s="1"/>
  <c r="S59" i="29"/>
  <c r="N163" i="29" s="1"/>
  <c r="L59" i="29"/>
  <c r="N162" i="29" s="1"/>
  <c r="E59" i="29"/>
  <c r="N161" i="29" s="1"/>
  <c r="R58" i="29"/>
  <c r="Q58" i="29"/>
  <c r="K58" i="29"/>
  <c r="J58" i="29"/>
  <c r="D58" i="29"/>
  <c r="C58" i="29"/>
  <c r="B57" i="29"/>
  <c r="I57" i="29" s="1"/>
  <c r="P57" i="29" s="1"/>
  <c r="S56" i="29"/>
  <c r="F190" i="29" s="1"/>
  <c r="L56" i="29"/>
  <c r="F189" i="29" s="1"/>
  <c r="E56" i="29"/>
  <c r="F188" i="29" s="1"/>
  <c r="S55" i="29"/>
  <c r="F181" i="29" s="1"/>
  <c r="L55" i="29"/>
  <c r="F180" i="29" s="1"/>
  <c r="E55" i="29"/>
  <c r="F179" i="29" s="1"/>
  <c r="S54" i="29"/>
  <c r="F172" i="29" s="1"/>
  <c r="L54" i="29"/>
  <c r="F171" i="29" s="1"/>
  <c r="E54" i="29"/>
  <c r="F170" i="29" s="1"/>
  <c r="S53" i="29"/>
  <c r="F163" i="29" s="1"/>
  <c r="L53" i="29"/>
  <c r="F162" i="29" s="1"/>
  <c r="E53" i="29"/>
  <c r="F161" i="29" s="1"/>
  <c r="R52" i="29"/>
  <c r="Q52" i="29"/>
  <c r="K52" i="29"/>
  <c r="J52" i="29"/>
  <c r="D52" i="29"/>
  <c r="C52" i="29"/>
  <c r="B51" i="29"/>
  <c r="I51" i="29" s="1"/>
  <c r="P51" i="29" s="1"/>
  <c r="S50" i="29"/>
  <c r="N150" i="29" s="1"/>
  <c r="L50" i="29"/>
  <c r="N149" i="29" s="1"/>
  <c r="E50" i="29"/>
  <c r="N148" i="29" s="1"/>
  <c r="S49" i="29"/>
  <c r="N141" i="29" s="1"/>
  <c r="L49" i="29"/>
  <c r="N140" i="29" s="1"/>
  <c r="E49" i="29"/>
  <c r="N139" i="29" s="1"/>
  <c r="S48" i="29"/>
  <c r="N132" i="29" s="1"/>
  <c r="L48" i="29"/>
  <c r="N131" i="29" s="1"/>
  <c r="E48" i="29"/>
  <c r="N130" i="29" s="1"/>
  <c r="S47" i="29"/>
  <c r="N123" i="29" s="1"/>
  <c r="L47" i="29"/>
  <c r="N122" i="29" s="1"/>
  <c r="E47" i="29"/>
  <c r="N121" i="29" s="1"/>
  <c r="S46" i="29"/>
  <c r="N114" i="29" s="1"/>
  <c r="L46" i="29"/>
  <c r="N113" i="29" s="1"/>
  <c r="E46" i="29"/>
  <c r="N112" i="29" s="1"/>
  <c r="S45" i="29"/>
  <c r="N105" i="29" s="1"/>
  <c r="L45" i="29"/>
  <c r="N104" i="29" s="1"/>
  <c r="E45" i="29"/>
  <c r="N103" i="29" s="1"/>
  <c r="R44" i="29"/>
  <c r="Q44" i="29"/>
  <c r="K44" i="29"/>
  <c r="J44" i="29"/>
  <c r="D44" i="29"/>
  <c r="C44" i="29"/>
  <c r="B43" i="29"/>
  <c r="I43" i="29" s="1"/>
  <c r="P43" i="29" s="1"/>
  <c r="S42" i="29"/>
  <c r="F150" i="29" s="1"/>
  <c r="L42" i="29"/>
  <c r="F149" i="29" s="1"/>
  <c r="E42" i="29"/>
  <c r="F148" i="29" s="1"/>
  <c r="S41" i="29"/>
  <c r="F141" i="29" s="1"/>
  <c r="L41" i="29"/>
  <c r="F140" i="29" s="1"/>
  <c r="E41" i="29"/>
  <c r="F139" i="29" s="1"/>
  <c r="S40" i="29"/>
  <c r="F132" i="29" s="1"/>
  <c r="L40" i="29"/>
  <c r="F131" i="29" s="1"/>
  <c r="E40" i="29"/>
  <c r="F130" i="29" s="1"/>
  <c r="S39" i="29"/>
  <c r="F123" i="29" s="1"/>
  <c r="L39" i="29"/>
  <c r="F122" i="29" s="1"/>
  <c r="E39" i="29"/>
  <c r="F121" i="29" s="1"/>
  <c r="S38" i="29"/>
  <c r="F114" i="29" s="1"/>
  <c r="L38" i="29"/>
  <c r="F113" i="29" s="1"/>
  <c r="E38" i="29"/>
  <c r="F112" i="29" s="1"/>
  <c r="S37" i="29"/>
  <c r="F105" i="29" s="1"/>
  <c r="L37" i="29"/>
  <c r="F104" i="29" s="1"/>
  <c r="E37" i="29"/>
  <c r="F103" i="29" s="1"/>
  <c r="B35" i="29"/>
  <c r="I35" i="29" s="1"/>
  <c r="P35" i="29" s="1"/>
  <c r="S31" i="29"/>
  <c r="N187" i="29" s="1"/>
  <c r="L31" i="29"/>
  <c r="N186" i="29" s="1"/>
  <c r="E31" i="29"/>
  <c r="N185" i="29" s="1"/>
  <c r="S30" i="29"/>
  <c r="N178" i="29" s="1"/>
  <c r="L30" i="29"/>
  <c r="N177" i="29" s="1"/>
  <c r="E30" i="29"/>
  <c r="N176" i="29" s="1"/>
  <c r="S29" i="29"/>
  <c r="N169" i="29" s="1"/>
  <c r="L29" i="29"/>
  <c r="N168" i="29" s="1"/>
  <c r="E29" i="29"/>
  <c r="N167" i="29" s="1"/>
  <c r="S28" i="29"/>
  <c r="N160" i="29" s="1"/>
  <c r="L28" i="29"/>
  <c r="N159" i="29" s="1"/>
  <c r="E28" i="29"/>
  <c r="N158" i="29" s="1"/>
  <c r="R27" i="29"/>
  <c r="Q27" i="29"/>
  <c r="K27" i="29"/>
  <c r="J27" i="29"/>
  <c r="D27" i="29"/>
  <c r="C27" i="29"/>
  <c r="P26" i="29"/>
  <c r="I26" i="29"/>
  <c r="S25" i="29"/>
  <c r="F187" i="29" s="1"/>
  <c r="L25" i="29"/>
  <c r="F186" i="29" s="1"/>
  <c r="E25" i="29"/>
  <c r="F185" i="29" s="1"/>
  <c r="S24" i="29"/>
  <c r="F178" i="29" s="1"/>
  <c r="L24" i="29"/>
  <c r="F177" i="29" s="1"/>
  <c r="E24" i="29"/>
  <c r="F176" i="29" s="1"/>
  <c r="S23" i="29"/>
  <c r="F169" i="29" s="1"/>
  <c r="L23" i="29"/>
  <c r="F168" i="29" s="1"/>
  <c r="E23" i="29"/>
  <c r="F167" i="29" s="1"/>
  <c r="S22" i="29"/>
  <c r="F160" i="29" s="1"/>
  <c r="L22" i="29"/>
  <c r="F159" i="29" s="1"/>
  <c r="E22" i="29"/>
  <c r="F158" i="29" s="1"/>
  <c r="R21" i="29"/>
  <c r="Q21" i="29"/>
  <c r="K21" i="29"/>
  <c r="J21" i="29"/>
  <c r="P20" i="29"/>
  <c r="I20" i="29"/>
  <c r="S19" i="29"/>
  <c r="N147" i="29" s="1"/>
  <c r="L19" i="29"/>
  <c r="N146" i="29" s="1"/>
  <c r="E19" i="29"/>
  <c r="N145" i="29" s="1"/>
  <c r="S18" i="29"/>
  <c r="N138" i="29" s="1"/>
  <c r="L18" i="29"/>
  <c r="N137" i="29" s="1"/>
  <c r="E18" i="29"/>
  <c r="N136" i="29" s="1"/>
  <c r="S17" i="29"/>
  <c r="N129" i="29" s="1"/>
  <c r="L17" i="29"/>
  <c r="N128" i="29" s="1"/>
  <c r="E17" i="29"/>
  <c r="N127" i="29" s="1"/>
  <c r="S16" i="29"/>
  <c r="N120" i="29" s="1"/>
  <c r="L16" i="29"/>
  <c r="N119" i="29" s="1"/>
  <c r="E16" i="29"/>
  <c r="N118" i="29" s="1"/>
  <c r="S15" i="29"/>
  <c r="N111" i="29" s="1"/>
  <c r="L15" i="29"/>
  <c r="N110" i="29" s="1"/>
  <c r="E15" i="29"/>
  <c r="N109" i="29" s="1"/>
  <c r="S14" i="29"/>
  <c r="N102" i="29" s="1"/>
  <c r="L14" i="29"/>
  <c r="N101" i="29" s="1"/>
  <c r="E14" i="29"/>
  <c r="N100" i="29" s="1"/>
  <c r="R13" i="29"/>
  <c r="Q13" i="29"/>
  <c r="K13" i="29"/>
  <c r="J13" i="29"/>
  <c r="D13" i="29"/>
  <c r="C13" i="29"/>
  <c r="P12" i="29"/>
  <c r="I12" i="29"/>
  <c r="S11" i="29"/>
  <c r="F147" i="29" s="1"/>
  <c r="L11" i="29"/>
  <c r="F146" i="29" s="1"/>
  <c r="E11" i="29"/>
  <c r="F145" i="29" s="1"/>
  <c r="S10" i="29"/>
  <c r="F138" i="29" s="1"/>
  <c r="L10" i="29"/>
  <c r="F137" i="29" s="1"/>
  <c r="E10" i="29"/>
  <c r="F136" i="29" s="1"/>
  <c r="S9" i="29"/>
  <c r="F129" i="29" s="1"/>
  <c r="L9" i="29"/>
  <c r="F128" i="29" s="1"/>
  <c r="E9" i="29"/>
  <c r="F127" i="29" s="1"/>
  <c r="S8" i="29"/>
  <c r="F120" i="29" s="1"/>
  <c r="L8" i="29"/>
  <c r="F119" i="29" s="1"/>
  <c r="E8" i="29"/>
  <c r="F118" i="29" s="1"/>
  <c r="S7" i="29"/>
  <c r="F111" i="29" s="1"/>
  <c r="L7" i="29"/>
  <c r="F110" i="29" s="1"/>
  <c r="E7" i="29"/>
  <c r="F109" i="29" s="1"/>
  <c r="S6" i="29"/>
  <c r="F102" i="29" s="1"/>
  <c r="L6" i="29"/>
  <c r="F101" i="29" s="1"/>
  <c r="E6" i="29"/>
  <c r="F100" i="29" s="1"/>
  <c r="P4" i="29"/>
  <c r="I4" i="29"/>
  <c r="B195" i="29" l="1"/>
  <c r="C198" i="29" s="1"/>
  <c r="C206" i="29" s="1"/>
  <c r="C214" i="29" s="1"/>
  <c r="C220" i="29" s="1"/>
  <c r="C53" i="33"/>
  <c r="A195" i="29"/>
  <c r="G197" i="29"/>
  <c r="G201" i="29"/>
  <c r="G205" i="29"/>
  <c r="B198" i="29" l="1"/>
  <c r="B206" i="29" s="1"/>
  <c r="B214" i="29" s="1"/>
  <c r="B220" i="29" s="1"/>
  <c r="C224" i="29"/>
  <c r="D73" i="33" s="1"/>
  <c r="D223" i="29"/>
  <c r="C222" i="29"/>
  <c r="D71" i="33" s="1"/>
  <c r="B221" i="29"/>
  <c r="B218" i="29"/>
  <c r="E217" i="29"/>
  <c r="E66" i="33" s="1"/>
  <c r="A217" i="29"/>
  <c r="D216" i="29"/>
  <c r="E215" i="29"/>
  <c r="E64" i="33" s="1"/>
  <c r="A215" i="29"/>
  <c r="C212" i="29"/>
  <c r="D211" i="29"/>
  <c r="C210" i="29"/>
  <c r="D81" i="33" s="1"/>
  <c r="B209" i="29"/>
  <c r="E208" i="29"/>
  <c r="E79" i="33" s="1"/>
  <c r="A208" i="29"/>
  <c r="B207" i="29"/>
  <c r="D204" i="29"/>
  <c r="E203" i="29"/>
  <c r="E60" i="33" s="1"/>
  <c r="A203" i="29"/>
  <c r="C202" i="29"/>
  <c r="D59" i="33" s="1"/>
  <c r="E201" i="29"/>
  <c r="E58" i="33" s="1"/>
  <c r="A201" i="29"/>
  <c r="C200" i="29"/>
  <c r="D57" i="33" s="1"/>
  <c r="C199" i="29"/>
  <c r="D56" i="33" s="1"/>
  <c r="I56" i="33" s="1"/>
  <c r="J56" i="33" s="1"/>
  <c r="B224" i="29"/>
  <c r="C223" i="29"/>
  <c r="D72" i="33" s="1"/>
  <c r="B222" i="29"/>
  <c r="E221" i="29"/>
  <c r="E70" i="33" s="1"/>
  <c r="A221" i="29"/>
  <c r="E218" i="29"/>
  <c r="E67" i="33" s="1"/>
  <c r="A218" i="29"/>
  <c r="D217" i="29"/>
  <c r="C216" i="29"/>
  <c r="D65" i="33" s="1"/>
  <c r="D215" i="29"/>
  <c r="B212" i="29"/>
  <c r="C211" i="29"/>
  <c r="D82" i="33" s="1"/>
  <c r="B210" i="29"/>
  <c r="E209" i="29"/>
  <c r="E80" i="33" s="1"/>
  <c r="A209" i="29"/>
  <c r="D208" i="29"/>
  <c r="E207" i="29"/>
  <c r="E78" i="33" s="1"/>
  <c r="A207" i="29"/>
  <c r="C204" i="29"/>
  <c r="D61" i="33" s="1"/>
  <c r="D203" i="29"/>
  <c r="B202" i="29"/>
  <c r="D201" i="29"/>
  <c r="B200" i="29"/>
  <c r="B199" i="29"/>
  <c r="E224" i="29"/>
  <c r="E73" i="33" s="1"/>
  <c r="A224" i="29"/>
  <c r="B223" i="29"/>
  <c r="E222" i="29"/>
  <c r="E71" i="33" s="1"/>
  <c r="A222" i="29"/>
  <c r="D221" i="29"/>
  <c r="D218" i="29"/>
  <c r="C217" i="29"/>
  <c r="D66" i="33" s="1"/>
  <c r="B216" i="29"/>
  <c r="C215" i="29"/>
  <c r="D64" i="33" s="1"/>
  <c r="I57" i="33" s="1"/>
  <c r="J57" i="33" s="1"/>
  <c r="K57" i="33" s="1"/>
  <c r="I25" i="22" s="1"/>
  <c r="E212" i="29"/>
  <c r="A212" i="29"/>
  <c r="B211" i="29"/>
  <c r="E210" i="29"/>
  <c r="E81" i="33" s="1"/>
  <c r="A210" i="29"/>
  <c r="D209" i="29"/>
  <c r="C208" i="29"/>
  <c r="D79" i="33" s="1"/>
  <c r="D207" i="29"/>
  <c r="B204" i="29"/>
  <c r="C203" i="29"/>
  <c r="D60" i="33" s="1"/>
  <c r="E202" i="29"/>
  <c r="E59" i="33" s="1"/>
  <c r="A202" i="29"/>
  <c r="C201" i="29"/>
  <c r="D58" i="33" s="1"/>
  <c r="E200" i="29"/>
  <c r="E57" i="33" s="1"/>
  <c r="A200" i="29"/>
  <c r="E199" i="29"/>
  <c r="E56" i="33" s="1"/>
  <c r="A199" i="29"/>
  <c r="D224" i="29"/>
  <c r="E223" i="29"/>
  <c r="E72" i="33" s="1"/>
  <c r="A223" i="29"/>
  <c r="D222" i="29"/>
  <c r="C221" i="29"/>
  <c r="D70" i="33" s="1"/>
  <c r="I58" i="33" s="1"/>
  <c r="J58" i="33" s="1"/>
  <c r="K58" i="33" s="1"/>
  <c r="I26" i="22" s="1"/>
  <c r="C218" i="29"/>
  <c r="D67" i="33" s="1"/>
  <c r="B217" i="29"/>
  <c r="E216" i="29"/>
  <c r="E65" i="33" s="1"/>
  <c r="A216" i="29"/>
  <c r="B215" i="29"/>
  <c r="D212" i="29"/>
  <c r="E211" i="29"/>
  <c r="E82" i="33" s="1"/>
  <c r="A211" i="29"/>
  <c r="D210" i="29"/>
  <c r="C209" i="29"/>
  <c r="D80" i="33" s="1"/>
  <c r="B208" i="29"/>
  <c r="C207" i="29"/>
  <c r="D78" i="33" s="1"/>
  <c r="I59" i="33" s="1"/>
  <c r="J59" i="33" s="1"/>
  <c r="E204" i="29"/>
  <c r="E61" i="33" s="1"/>
  <c r="A204" i="29"/>
  <c r="B203" i="29"/>
  <c r="D202" i="29"/>
  <c r="B201" i="29"/>
  <c r="D200" i="29"/>
  <c r="D199" i="29"/>
  <c r="A353" i="26"/>
  <c r="C36" i="33" s="1"/>
  <c r="L339" i="26"/>
  <c r="F347" i="26" s="1"/>
  <c r="L338" i="26"/>
  <c r="J364" i="26"/>
  <c r="I364" i="26"/>
  <c r="J363" i="26"/>
  <c r="I363" i="26"/>
  <c r="J362" i="26"/>
  <c r="I362" i="26"/>
  <c r="J361" i="26"/>
  <c r="I361" i="26"/>
  <c r="J360" i="26"/>
  <c r="I360" i="26"/>
  <c r="J359" i="26"/>
  <c r="I359" i="26"/>
  <c r="J358" i="26"/>
  <c r="I358" i="26"/>
  <c r="J357" i="26"/>
  <c r="I357" i="26"/>
  <c r="J356" i="26"/>
  <c r="I356" i="26"/>
  <c r="J355" i="26"/>
  <c r="I355" i="26"/>
  <c r="J354" i="26"/>
  <c r="I354" i="26"/>
  <c r="L332" i="26"/>
  <c r="K332" i="26"/>
  <c r="J332" i="26"/>
  <c r="E332" i="26"/>
  <c r="D332" i="26"/>
  <c r="C332" i="26"/>
  <c r="L331" i="26"/>
  <c r="K331" i="26"/>
  <c r="J331" i="26"/>
  <c r="E331" i="26"/>
  <c r="D331" i="26"/>
  <c r="C331" i="26"/>
  <c r="L330" i="26"/>
  <c r="K330" i="26"/>
  <c r="J330" i="26"/>
  <c r="E330" i="26"/>
  <c r="D330" i="26"/>
  <c r="C330" i="26"/>
  <c r="L329" i="26"/>
  <c r="K329" i="26"/>
  <c r="J329" i="26"/>
  <c r="E329" i="26"/>
  <c r="D329" i="26"/>
  <c r="C329" i="26"/>
  <c r="L328" i="26"/>
  <c r="K328" i="26"/>
  <c r="J328" i="26"/>
  <c r="E328" i="26"/>
  <c r="D328" i="26"/>
  <c r="C328" i="26"/>
  <c r="L327" i="26"/>
  <c r="K327" i="26"/>
  <c r="J327" i="26"/>
  <c r="E327" i="26"/>
  <c r="D327" i="26"/>
  <c r="C327" i="26"/>
  <c r="L326" i="26"/>
  <c r="K326" i="26"/>
  <c r="J326" i="26"/>
  <c r="E326" i="26"/>
  <c r="D326" i="26"/>
  <c r="C326" i="26"/>
  <c r="L325" i="26"/>
  <c r="K325" i="26"/>
  <c r="J325" i="26"/>
  <c r="E325" i="26"/>
  <c r="D325" i="26"/>
  <c r="C325" i="26"/>
  <c r="L324" i="26"/>
  <c r="K324" i="26"/>
  <c r="J324" i="26"/>
  <c r="E324" i="26"/>
  <c r="D324" i="26"/>
  <c r="C324" i="26"/>
  <c r="L323" i="26"/>
  <c r="K323" i="26"/>
  <c r="J323" i="26"/>
  <c r="E323" i="26"/>
  <c r="D323" i="26"/>
  <c r="C323" i="26"/>
  <c r="L322" i="26"/>
  <c r="K322" i="26"/>
  <c r="J322" i="26"/>
  <c r="E322" i="26"/>
  <c r="D322" i="26"/>
  <c r="C322" i="26"/>
  <c r="L321" i="26"/>
  <c r="K321" i="26"/>
  <c r="J321" i="26"/>
  <c r="E321" i="26"/>
  <c r="D321" i="26"/>
  <c r="C321" i="26"/>
  <c r="L320" i="26"/>
  <c r="K320" i="26"/>
  <c r="J320" i="26"/>
  <c r="E320" i="26"/>
  <c r="D320" i="26"/>
  <c r="C320" i="26"/>
  <c r="L319" i="26"/>
  <c r="K319" i="26"/>
  <c r="J319" i="26"/>
  <c r="E319" i="26"/>
  <c r="D319" i="26"/>
  <c r="C319" i="26"/>
  <c r="L318" i="26"/>
  <c r="K318" i="26"/>
  <c r="J318" i="26"/>
  <c r="E318" i="26"/>
  <c r="D318" i="26"/>
  <c r="C318" i="26"/>
  <c r="L317" i="26"/>
  <c r="K317" i="26"/>
  <c r="J317" i="26"/>
  <c r="E317" i="26"/>
  <c r="D317" i="26"/>
  <c r="C317" i="26"/>
  <c r="L316" i="26"/>
  <c r="K316" i="26"/>
  <c r="J316" i="26"/>
  <c r="E316" i="26"/>
  <c r="D316" i="26"/>
  <c r="C316" i="26"/>
  <c r="L315" i="26"/>
  <c r="K315" i="26"/>
  <c r="J315" i="26"/>
  <c r="E315" i="26"/>
  <c r="D315" i="26"/>
  <c r="C315" i="26"/>
  <c r="L313" i="26"/>
  <c r="K313" i="26"/>
  <c r="J313" i="26"/>
  <c r="E313" i="26"/>
  <c r="D313" i="26"/>
  <c r="C313" i="26"/>
  <c r="L312" i="26"/>
  <c r="K312" i="26"/>
  <c r="J312" i="26"/>
  <c r="E312" i="26"/>
  <c r="D312" i="26"/>
  <c r="C312" i="26"/>
  <c r="L311" i="26"/>
  <c r="K311" i="26"/>
  <c r="J311" i="26"/>
  <c r="E311" i="26"/>
  <c r="D311" i="26"/>
  <c r="C311" i="26"/>
  <c r="L310" i="26"/>
  <c r="K310" i="26"/>
  <c r="J310" i="26"/>
  <c r="E310" i="26"/>
  <c r="D310" i="26"/>
  <c r="C310" i="26"/>
  <c r="L309" i="26"/>
  <c r="K309" i="26"/>
  <c r="J309" i="26"/>
  <c r="E309" i="26"/>
  <c r="D309" i="26"/>
  <c r="C309" i="26"/>
  <c r="L308" i="26"/>
  <c r="K308" i="26"/>
  <c r="J308" i="26"/>
  <c r="E308" i="26"/>
  <c r="D308" i="26"/>
  <c r="C308" i="26"/>
  <c r="L307" i="26"/>
  <c r="K307" i="26"/>
  <c r="J307" i="26"/>
  <c r="E307" i="26"/>
  <c r="D307" i="26"/>
  <c r="C307" i="26"/>
  <c r="L306" i="26"/>
  <c r="K306" i="26"/>
  <c r="J306" i="26"/>
  <c r="E306" i="26"/>
  <c r="D306" i="26"/>
  <c r="C306" i="26"/>
  <c r="L305" i="26"/>
  <c r="K305" i="26"/>
  <c r="J305" i="26"/>
  <c r="E305" i="26"/>
  <c r="D305" i="26"/>
  <c r="C305" i="26"/>
  <c r="L304" i="26"/>
  <c r="K304" i="26"/>
  <c r="J304" i="26"/>
  <c r="E304" i="26"/>
  <c r="D304" i="26"/>
  <c r="C304" i="26"/>
  <c r="L303" i="26"/>
  <c r="K303" i="26"/>
  <c r="J303" i="26"/>
  <c r="E303" i="26"/>
  <c r="D303" i="26"/>
  <c r="C303" i="26"/>
  <c r="L302" i="26"/>
  <c r="K302" i="26"/>
  <c r="J302" i="26"/>
  <c r="E302" i="26"/>
  <c r="D302" i="26"/>
  <c r="C302" i="26"/>
  <c r="L301" i="26"/>
  <c r="K301" i="26"/>
  <c r="J301" i="26"/>
  <c r="E301" i="26"/>
  <c r="D301" i="26"/>
  <c r="C301" i="26"/>
  <c r="L300" i="26"/>
  <c r="K300" i="26"/>
  <c r="J300" i="26"/>
  <c r="E300" i="26"/>
  <c r="D300" i="26"/>
  <c r="C300" i="26"/>
  <c r="L299" i="26"/>
  <c r="K299" i="26"/>
  <c r="J299" i="26"/>
  <c r="E299" i="26"/>
  <c r="D299" i="26"/>
  <c r="C299" i="26"/>
  <c r="L298" i="26"/>
  <c r="K298" i="26"/>
  <c r="J298" i="26"/>
  <c r="E298" i="26"/>
  <c r="D298" i="26"/>
  <c r="C298" i="26"/>
  <c r="L297" i="26"/>
  <c r="K297" i="26"/>
  <c r="J297" i="26"/>
  <c r="E297" i="26"/>
  <c r="D297" i="26"/>
  <c r="C297" i="26"/>
  <c r="L296" i="26"/>
  <c r="K296" i="26"/>
  <c r="J296" i="26"/>
  <c r="E296" i="26"/>
  <c r="D296" i="26"/>
  <c r="C296" i="26"/>
  <c r="L294" i="26"/>
  <c r="K294" i="26"/>
  <c r="J294" i="26"/>
  <c r="E294" i="26"/>
  <c r="D294" i="26"/>
  <c r="C294" i="26"/>
  <c r="L293" i="26"/>
  <c r="K293" i="26"/>
  <c r="J293" i="26"/>
  <c r="E293" i="26"/>
  <c r="D293" i="26"/>
  <c r="C293" i="26"/>
  <c r="L292" i="26"/>
  <c r="K292" i="26"/>
  <c r="J292" i="26"/>
  <c r="E292" i="26"/>
  <c r="D292" i="26"/>
  <c r="C292" i="26"/>
  <c r="L291" i="26"/>
  <c r="K291" i="26"/>
  <c r="J291" i="26"/>
  <c r="E291" i="26"/>
  <c r="D291" i="26"/>
  <c r="C291" i="26"/>
  <c r="L290" i="26"/>
  <c r="K290" i="26"/>
  <c r="J290" i="26"/>
  <c r="E290" i="26"/>
  <c r="D290" i="26"/>
  <c r="C290" i="26"/>
  <c r="L289" i="26"/>
  <c r="K289" i="26"/>
  <c r="J289" i="26"/>
  <c r="E289" i="26"/>
  <c r="D289" i="26"/>
  <c r="C289" i="26"/>
  <c r="L288" i="26"/>
  <c r="K288" i="26"/>
  <c r="J288" i="26"/>
  <c r="E288" i="26"/>
  <c r="D288" i="26"/>
  <c r="C288" i="26"/>
  <c r="L287" i="26"/>
  <c r="K287" i="26"/>
  <c r="J287" i="26"/>
  <c r="E287" i="26"/>
  <c r="D287" i="26"/>
  <c r="C287" i="26"/>
  <c r="L286" i="26"/>
  <c r="K286" i="26"/>
  <c r="J286" i="26"/>
  <c r="E286" i="26"/>
  <c r="D286" i="26"/>
  <c r="C286" i="26"/>
  <c r="L285" i="26"/>
  <c r="K285" i="26"/>
  <c r="J285" i="26"/>
  <c r="E285" i="26"/>
  <c r="D285" i="26"/>
  <c r="C285" i="26"/>
  <c r="L284" i="26"/>
  <c r="K284" i="26"/>
  <c r="J284" i="26"/>
  <c r="E284" i="26"/>
  <c r="D284" i="26"/>
  <c r="C284" i="26"/>
  <c r="L283" i="26"/>
  <c r="K283" i="26"/>
  <c r="J283" i="26"/>
  <c r="E283" i="26"/>
  <c r="D283" i="26"/>
  <c r="C283" i="26"/>
  <c r="L282" i="26"/>
  <c r="K282" i="26"/>
  <c r="J282" i="26"/>
  <c r="E282" i="26"/>
  <c r="D282" i="26"/>
  <c r="C282" i="26"/>
  <c r="L281" i="26"/>
  <c r="K281" i="26"/>
  <c r="J281" i="26"/>
  <c r="E281" i="26"/>
  <c r="D281" i="26"/>
  <c r="C281" i="26"/>
  <c r="L280" i="26"/>
  <c r="K280" i="26"/>
  <c r="J280" i="26"/>
  <c r="E280" i="26"/>
  <c r="D280" i="26"/>
  <c r="C280" i="26"/>
  <c r="L279" i="26"/>
  <c r="K279" i="26"/>
  <c r="J279" i="26"/>
  <c r="E279" i="26"/>
  <c r="D279" i="26"/>
  <c r="C279" i="26"/>
  <c r="L278" i="26"/>
  <c r="K278" i="26"/>
  <c r="J278" i="26"/>
  <c r="E278" i="26"/>
  <c r="D278" i="26"/>
  <c r="C278" i="26"/>
  <c r="L277" i="26"/>
  <c r="K277" i="26"/>
  <c r="J277" i="26"/>
  <c r="E277" i="26"/>
  <c r="D277" i="26"/>
  <c r="C277" i="26"/>
  <c r="L275" i="26"/>
  <c r="K275" i="26"/>
  <c r="J275" i="26"/>
  <c r="E275" i="26"/>
  <c r="D275" i="26"/>
  <c r="C275" i="26"/>
  <c r="L274" i="26"/>
  <c r="K274" i="26"/>
  <c r="J274" i="26"/>
  <c r="E274" i="26"/>
  <c r="D274" i="26"/>
  <c r="C274" i="26"/>
  <c r="L273" i="26"/>
  <c r="K273" i="26"/>
  <c r="J273" i="26"/>
  <c r="E273" i="26"/>
  <c r="D273" i="26"/>
  <c r="C273" i="26"/>
  <c r="L272" i="26"/>
  <c r="K272" i="26"/>
  <c r="J272" i="26"/>
  <c r="E272" i="26"/>
  <c r="D272" i="26"/>
  <c r="C272" i="26"/>
  <c r="L271" i="26"/>
  <c r="K271" i="26"/>
  <c r="J271" i="26"/>
  <c r="E271" i="26"/>
  <c r="D271" i="26"/>
  <c r="C271" i="26"/>
  <c r="L270" i="26"/>
  <c r="K270" i="26"/>
  <c r="J270" i="26"/>
  <c r="E270" i="26"/>
  <c r="D270" i="26"/>
  <c r="C270" i="26"/>
  <c r="L269" i="26"/>
  <c r="K269" i="26"/>
  <c r="J269" i="26"/>
  <c r="E269" i="26"/>
  <c r="D269" i="26"/>
  <c r="C269" i="26"/>
  <c r="L268" i="26"/>
  <c r="K268" i="26"/>
  <c r="J268" i="26"/>
  <c r="E268" i="26"/>
  <c r="D268" i="26"/>
  <c r="C268" i="26"/>
  <c r="L267" i="26"/>
  <c r="K267" i="26"/>
  <c r="J267" i="26"/>
  <c r="E267" i="26"/>
  <c r="D267" i="26"/>
  <c r="C267" i="26"/>
  <c r="L266" i="26"/>
  <c r="K266" i="26"/>
  <c r="J266" i="26"/>
  <c r="E266" i="26"/>
  <c r="D266" i="26"/>
  <c r="C266" i="26"/>
  <c r="L265" i="26"/>
  <c r="K265" i="26"/>
  <c r="J265" i="26"/>
  <c r="E265" i="26"/>
  <c r="D265" i="26"/>
  <c r="C265" i="26"/>
  <c r="L264" i="26"/>
  <c r="K264" i="26"/>
  <c r="J264" i="26"/>
  <c r="E264" i="26"/>
  <c r="D264" i="26"/>
  <c r="C264" i="26"/>
  <c r="L263" i="26"/>
  <c r="K263" i="26"/>
  <c r="J263" i="26"/>
  <c r="E263" i="26"/>
  <c r="D263" i="26"/>
  <c r="C263" i="26"/>
  <c r="L262" i="26"/>
  <c r="K262" i="26"/>
  <c r="J262" i="26"/>
  <c r="E262" i="26"/>
  <c r="D262" i="26"/>
  <c r="C262" i="26"/>
  <c r="L261" i="26"/>
  <c r="K261" i="26"/>
  <c r="J261" i="26"/>
  <c r="E261" i="26"/>
  <c r="D261" i="26"/>
  <c r="C261" i="26"/>
  <c r="L260" i="26"/>
  <c r="K260" i="26"/>
  <c r="J260" i="26"/>
  <c r="E260" i="26"/>
  <c r="D260" i="26"/>
  <c r="C260" i="26"/>
  <c r="L259" i="26"/>
  <c r="K259" i="26"/>
  <c r="J259" i="26"/>
  <c r="E259" i="26"/>
  <c r="D259" i="26"/>
  <c r="C259" i="26"/>
  <c r="L258" i="26"/>
  <c r="K258" i="26"/>
  <c r="J258" i="26"/>
  <c r="E258" i="26"/>
  <c r="D258" i="26"/>
  <c r="C258" i="26"/>
  <c r="L256" i="26"/>
  <c r="K256" i="26"/>
  <c r="J256" i="26"/>
  <c r="E256" i="26"/>
  <c r="D256" i="26"/>
  <c r="C256" i="26"/>
  <c r="L255" i="26"/>
  <c r="K255" i="26"/>
  <c r="J255" i="26"/>
  <c r="E255" i="26"/>
  <c r="D255" i="26"/>
  <c r="C255" i="26"/>
  <c r="L254" i="26"/>
  <c r="K254" i="26"/>
  <c r="J254" i="26"/>
  <c r="E254" i="26"/>
  <c r="D254" i="26"/>
  <c r="C254" i="26"/>
  <c r="L253" i="26"/>
  <c r="K253" i="26"/>
  <c r="J253" i="26"/>
  <c r="E253" i="26"/>
  <c r="D253" i="26"/>
  <c r="C253" i="26"/>
  <c r="L252" i="26"/>
  <c r="K252" i="26"/>
  <c r="J252" i="26"/>
  <c r="E252" i="26"/>
  <c r="D252" i="26"/>
  <c r="C252" i="26"/>
  <c r="L251" i="26"/>
  <c r="K251" i="26"/>
  <c r="J251" i="26"/>
  <c r="E251" i="26"/>
  <c r="D251" i="26"/>
  <c r="C251" i="26"/>
  <c r="L250" i="26"/>
  <c r="K250" i="26"/>
  <c r="J250" i="26"/>
  <c r="E250" i="26"/>
  <c r="D250" i="26"/>
  <c r="C250" i="26"/>
  <c r="L249" i="26"/>
  <c r="K249" i="26"/>
  <c r="J249" i="26"/>
  <c r="E249" i="26"/>
  <c r="D249" i="26"/>
  <c r="C249" i="26"/>
  <c r="L248" i="26"/>
  <c r="K248" i="26"/>
  <c r="J248" i="26"/>
  <c r="E248" i="26"/>
  <c r="D248" i="26"/>
  <c r="C248" i="26"/>
  <c r="L247" i="26"/>
  <c r="K247" i="26"/>
  <c r="J247" i="26"/>
  <c r="E247" i="26"/>
  <c r="D247" i="26"/>
  <c r="C247" i="26"/>
  <c r="L246" i="26"/>
  <c r="K246" i="26"/>
  <c r="J246" i="26"/>
  <c r="E246" i="26"/>
  <c r="D246" i="26"/>
  <c r="C246" i="26"/>
  <c r="L245" i="26"/>
  <c r="K245" i="26"/>
  <c r="J245" i="26"/>
  <c r="E245" i="26"/>
  <c r="D245" i="26"/>
  <c r="C245" i="26"/>
  <c r="L244" i="26"/>
  <c r="K244" i="26"/>
  <c r="J244" i="26"/>
  <c r="E244" i="26"/>
  <c r="D244" i="26"/>
  <c r="C244" i="26"/>
  <c r="L243" i="26"/>
  <c r="K243" i="26"/>
  <c r="J243" i="26"/>
  <c r="E243" i="26"/>
  <c r="D243" i="26"/>
  <c r="C243" i="26"/>
  <c r="L242" i="26"/>
  <c r="K242" i="26"/>
  <c r="J242" i="26"/>
  <c r="E242" i="26"/>
  <c r="D242" i="26"/>
  <c r="C242" i="26"/>
  <c r="L241" i="26"/>
  <c r="K241" i="26"/>
  <c r="J241" i="26"/>
  <c r="E241" i="26"/>
  <c r="D241" i="26"/>
  <c r="C241" i="26"/>
  <c r="L240" i="26"/>
  <c r="K240" i="26"/>
  <c r="J240" i="26"/>
  <c r="E240" i="26"/>
  <c r="D240" i="26"/>
  <c r="C240" i="26"/>
  <c r="P239" i="26"/>
  <c r="L239" i="26"/>
  <c r="K239" i="26"/>
  <c r="J239" i="26"/>
  <c r="E239" i="26"/>
  <c r="D239" i="26"/>
  <c r="C239" i="26"/>
  <c r="P238" i="26"/>
  <c r="P237" i="26"/>
  <c r="L237" i="26"/>
  <c r="K237" i="26"/>
  <c r="J237" i="26"/>
  <c r="E237" i="26"/>
  <c r="D237" i="26"/>
  <c r="C237" i="26"/>
  <c r="P236" i="26"/>
  <c r="L236" i="26"/>
  <c r="K236" i="26"/>
  <c r="J236" i="26"/>
  <c r="E236" i="26"/>
  <c r="D236" i="26"/>
  <c r="C236" i="26"/>
  <c r="P235" i="26"/>
  <c r="L235" i="26"/>
  <c r="K235" i="26"/>
  <c r="J235" i="26"/>
  <c r="E235" i="26"/>
  <c r="D235" i="26"/>
  <c r="C235" i="26"/>
  <c r="P234" i="26"/>
  <c r="L234" i="26"/>
  <c r="K234" i="26"/>
  <c r="J234" i="26"/>
  <c r="E234" i="26"/>
  <c r="D234" i="26"/>
  <c r="C234" i="26"/>
  <c r="P233" i="26"/>
  <c r="L233" i="26"/>
  <c r="K233" i="26"/>
  <c r="J233" i="26"/>
  <c r="E233" i="26"/>
  <c r="D233" i="26"/>
  <c r="C233" i="26"/>
  <c r="P232" i="26"/>
  <c r="L232" i="26"/>
  <c r="K232" i="26"/>
  <c r="J232" i="26"/>
  <c r="E232" i="26"/>
  <c r="D232" i="26"/>
  <c r="C232" i="26"/>
  <c r="P231" i="26"/>
  <c r="L231" i="26"/>
  <c r="K231" i="26"/>
  <c r="J231" i="26"/>
  <c r="E231" i="26"/>
  <c r="D231" i="26"/>
  <c r="C231" i="26"/>
  <c r="P230" i="26"/>
  <c r="L230" i="26"/>
  <c r="K230" i="26"/>
  <c r="J230" i="26"/>
  <c r="E230" i="26"/>
  <c r="D230" i="26"/>
  <c r="C230" i="26"/>
  <c r="P229" i="26"/>
  <c r="L229" i="26"/>
  <c r="K229" i="26"/>
  <c r="J229" i="26"/>
  <c r="E229" i="26"/>
  <c r="D229" i="26"/>
  <c r="C229" i="26"/>
  <c r="P228" i="26"/>
  <c r="L228" i="26"/>
  <c r="K228" i="26"/>
  <c r="J228" i="26"/>
  <c r="E228" i="26"/>
  <c r="D228" i="26"/>
  <c r="C228" i="26"/>
  <c r="P227" i="26"/>
  <c r="L227" i="26"/>
  <c r="K227" i="26"/>
  <c r="J227" i="26"/>
  <c r="E227" i="26"/>
  <c r="D227" i="26"/>
  <c r="C227" i="26"/>
  <c r="P226" i="26"/>
  <c r="L226" i="26"/>
  <c r="K226" i="26"/>
  <c r="J226" i="26"/>
  <c r="E226" i="26"/>
  <c r="D226" i="26"/>
  <c r="C226" i="26"/>
  <c r="P225" i="26"/>
  <c r="L225" i="26"/>
  <c r="K225" i="26"/>
  <c r="J225" i="26"/>
  <c r="E225" i="26"/>
  <c r="D225" i="26"/>
  <c r="C225" i="26"/>
  <c r="P224" i="26"/>
  <c r="L224" i="26"/>
  <c r="K224" i="26"/>
  <c r="J224" i="26"/>
  <c r="E224" i="26"/>
  <c r="D224" i="26"/>
  <c r="C224" i="26"/>
  <c r="P223" i="26"/>
  <c r="L223" i="26"/>
  <c r="K223" i="26"/>
  <c r="J223" i="26"/>
  <c r="E223" i="26"/>
  <c r="D223" i="26"/>
  <c r="C223" i="26"/>
  <c r="P222" i="26"/>
  <c r="L222" i="26"/>
  <c r="K222" i="26"/>
  <c r="J222" i="26"/>
  <c r="E222" i="26"/>
  <c r="D222" i="26"/>
  <c r="C222" i="26"/>
  <c r="L221" i="26"/>
  <c r="K221" i="26"/>
  <c r="J221" i="26"/>
  <c r="E221" i="26"/>
  <c r="D221" i="26"/>
  <c r="C221" i="26"/>
  <c r="L220" i="26"/>
  <c r="K220" i="26"/>
  <c r="J220" i="26"/>
  <c r="E220" i="26"/>
  <c r="D220" i="26"/>
  <c r="C220" i="26"/>
  <c r="L218" i="26"/>
  <c r="K218" i="26"/>
  <c r="J218" i="26"/>
  <c r="E218" i="26"/>
  <c r="D218" i="26"/>
  <c r="C218" i="26"/>
  <c r="P217" i="26"/>
  <c r="L217" i="26"/>
  <c r="K217" i="26"/>
  <c r="J217" i="26"/>
  <c r="E217" i="26"/>
  <c r="D217" i="26"/>
  <c r="C217" i="26"/>
  <c r="P216" i="26"/>
  <c r="L216" i="26"/>
  <c r="K216" i="26"/>
  <c r="J216" i="26"/>
  <c r="E216" i="26"/>
  <c r="D216" i="26"/>
  <c r="C216" i="26"/>
  <c r="P215" i="26"/>
  <c r="L215" i="26"/>
  <c r="K215" i="26"/>
  <c r="J215" i="26"/>
  <c r="E215" i="26"/>
  <c r="D215" i="26"/>
  <c r="C215" i="26"/>
  <c r="P214" i="26"/>
  <c r="L214" i="26"/>
  <c r="K214" i="26"/>
  <c r="J214" i="26"/>
  <c r="E214" i="26"/>
  <c r="D214" i="26"/>
  <c r="C214" i="26"/>
  <c r="P213" i="26"/>
  <c r="L213" i="26"/>
  <c r="K213" i="26"/>
  <c r="J213" i="26"/>
  <c r="E213" i="26"/>
  <c r="D213" i="26"/>
  <c r="C213" i="26"/>
  <c r="P212" i="26"/>
  <c r="L212" i="26"/>
  <c r="K212" i="26"/>
  <c r="J212" i="26"/>
  <c r="E212" i="26"/>
  <c r="D212" i="26"/>
  <c r="C212" i="26"/>
  <c r="P211" i="26"/>
  <c r="L211" i="26"/>
  <c r="K211" i="26"/>
  <c r="J211" i="26"/>
  <c r="E211" i="26"/>
  <c r="D211" i="26"/>
  <c r="C211" i="26"/>
  <c r="P210" i="26"/>
  <c r="L210" i="26"/>
  <c r="K210" i="26"/>
  <c r="J210" i="26"/>
  <c r="E210" i="26"/>
  <c r="D210" i="26"/>
  <c r="C210" i="26"/>
  <c r="P209" i="26"/>
  <c r="L209" i="26"/>
  <c r="K209" i="26"/>
  <c r="J209" i="26"/>
  <c r="E209" i="26"/>
  <c r="D209" i="26"/>
  <c r="C209" i="26"/>
  <c r="P208" i="26"/>
  <c r="L208" i="26"/>
  <c r="K208" i="26"/>
  <c r="J208" i="26"/>
  <c r="E208" i="26"/>
  <c r="D208" i="26"/>
  <c r="C208" i="26"/>
  <c r="P207" i="26"/>
  <c r="L207" i="26"/>
  <c r="K207" i="26"/>
  <c r="J207" i="26"/>
  <c r="E207" i="26"/>
  <c r="D207" i="26"/>
  <c r="C207" i="26"/>
  <c r="P206" i="26"/>
  <c r="L206" i="26"/>
  <c r="K206" i="26"/>
  <c r="J206" i="26"/>
  <c r="E206" i="26"/>
  <c r="D206" i="26"/>
  <c r="C206" i="26"/>
  <c r="P205" i="26"/>
  <c r="L205" i="26"/>
  <c r="K205" i="26"/>
  <c r="J205" i="26"/>
  <c r="E205" i="26"/>
  <c r="D205" i="26"/>
  <c r="C205" i="26"/>
  <c r="P204" i="26"/>
  <c r="L204" i="26"/>
  <c r="K204" i="26"/>
  <c r="J204" i="26"/>
  <c r="E204" i="26"/>
  <c r="D204" i="26"/>
  <c r="C204" i="26"/>
  <c r="P203" i="26"/>
  <c r="L203" i="26"/>
  <c r="K203" i="26"/>
  <c r="J203" i="26"/>
  <c r="E203" i="26"/>
  <c r="D203" i="26"/>
  <c r="C203" i="26"/>
  <c r="P202" i="26"/>
  <c r="L202" i="26"/>
  <c r="K202" i="26"/>
  <c r="J202" i="26"/>
  <c r="E202" i="26"/>
  <c r="D202" i="26"/>
  <c r="C202" i="26"/>
  <c r="P201" i="26"/>
  <c r="L201" i="26"/>
  <c r="K201" i="26"/>
  <c r="J201" i="26"/>
  <c r="E201" i="26"/>
  <c r="D201" i="26"/>
  <c r="C201" i="26"/>
  <c r="P200" i="26"/>
  <c r="L196" i="26"/>
  <c r="M332" i="26" s="1"/>
  <c r="F196" i="26"/>
  <c r="F332" i="26" s="1"/>
  <c r="L195" i="26"/>
  <c r="M313" i="26" s="1"/>
  <c r="F195" i="26"/>
  <c r="F313" i="26" s="1"/>
  <c r="L194" i="26"/>
  <c r="M294" i="26" s="1"/>
  <c r="F194" i="26"/>
  <c r="F294" i="26" s="1"/>
  <c r="L193" i="26"/>
  <c r="M275" i="26" s="1"/>
  <c r="F193" i="26"/>
  <c r="F275" i="26" s="1"/>
  <c r="L192" i="26"/>
  <c r="M256" i="26" s="1"/>
  <c r="F192" i="26"/>
  <c r="F256" i="26" s="1"/>
  <c r="L191" i="26"/>
  <c r="M237" i="26" s="1"/>
  <c r="F191" i="26"/>
  <c r="F237" i="26" s="1"/>
  <c r="L190" i="26"/>
  <c r="M218" i="26" s="1"/>
  <c r="F190" i="26"/>
  <c r="F218" i="26" s="1"/>
  <c r="K189" i="26"/>
  <c r="J189" i="26"/>
  <c r="H187" i="26"/>
  <c r="L186" i="26"/>
  <c r="M331" i="26" s="1"/>
  <c r="F186" i="26"/>
  <c r="F331" i="26" s="1"/>
  <c r="L185" i="26"/>
  <c r="M312" i="26" s="1"/>
  <c r="F185" i="26"/>
  <c r="F312" i="26" s="1"/>
  <c r="L184" i="26"/>
  <c r="M293" i="26" s="1"/>
  <c r="F184" i="26"/>
  <c r="F293" i="26" s="1"/>
  <c r="L183" i="26"/>
  <c r="M274" i="26" s="1"/>
  <c r="F183" i="26"/>
  <c r="F274" i="26" s="1"/>
  <c r="L182" i="26"/>
  <c r="M255" i="26" s="1"/>
  <c r="F182" i="26"/>
  <c r="F255" i="26" s="1"/>
  <c r="L181" i="26"/>
  <c r="M236" i="26" s="1"/>
  <c r="F181" i="26"/>
  <c r="F236" i="26" s="1"/>
  <c r="L180" i="26"/>
  <c r="M217" i="26" s="1"/>
  <c r="F180" i="26"/>
  <c r="F217" i="26" s="1"/>
  <c r="K179" i="26"/>
  <c r="J179" i="26"/>
  <c r="L176" i="26"/>
  <c r="M330" i="26" s="1"/>
  <c r="F176" i="26"/>
  <c r="F330" i="26" s="1"/>
  <c r="L175" i="26"/>
  <c r="M311" i="26" s="1"/>
  <c r="F175" i="26"/>
  <c r="F311" i="26" s="1"/>
  <c r="L174" i="26"/>
  <c r="M292" i="26" s="1"/>
  <c r="F174" i="26"/>
  <c r="F292" i="26" s="1"/>
  <c r="L173" i="26"/>
  <c r="M273" i="26" s="1"/>
  <c r="F173" i="26"/>
  <c r="F273" i="26" s="1"/>
  <c r="L172" i="26"/>
  <c r="M254" i="26" s="1"/>
  <c r="F172" i="26"/>
  <c r="F254" i="26" s="1"/>
  <c r="L171" i="26"/>
  <c r="M235" i="26" s="1"/>
  <c r="F171" i="26"/>
  <c r="F235" i="26" s="1"/>
  <c r="L170" i="26"/>
  <c r="M216" i="26" s="1"/>
  <c r="F170" i="26"/>
  <c r="F216" i="26" s="1"/>
  <c r="K169" i="26"/>
  <c r="J169" i="26"/>
  <c r="H167" i="26"/>
  <c r="L165" i="26"/>
  <c r="M329" i="26" s="1"/>
  <c r="F165" i="26"/>
  <c r="F329" i="26" s="1"/>
  <c r="L164" i="26"/>
  <c r="M310" i="26" s="1"/>
  <c r="F164" i="26"/>
  <c r="F310" i="26" s="1"/>
  <c r="L163" i="26"/>
  <c r="M291" i="26" s="1"/>
  <c r="F163" i="26"/>
  <c r="F291" i="26" s="1"/>
  <c r="L162" i="26"/>
  <c r="M272" i="26" s="1"/>
  <c r="F162" i="26"/>
  <c r="F272" i="26" s="1"/>
  <c r="L161" i="26"/>
  <c r="M253" i="26" s="1"/>
  <c r="F161" i="26"/>
  <c r="F253" i="26" s="1"/>
  <c r="L160" i="26"/>
  <c r="M234" i="26" s="1"/>
  <c r="F160" i="26"/>
  <c r="F234" i="26" s="1"/>
  <c r="L159" i="26"/>
  <c r="M215" i="26" s="1"/>
  <c r="F159" i="26"/>
  <c r="F215" i="26" s="1"/>
  <c r="K158" i="26"/>
  <c r="J158" i="26"/>
  <c r="H156" i="26"/>
  <c r="L154" i="26"/>
  <c r="M328" i="26" s="1"/>
  <c r="F154" i="26"/>
  <c r="F328" i="26" s="1"/>
  <c r="L153" i="26"/>
  <c r="M309" i="26" s="1"/>
  <c r="F153" i="26"/>
  <c r="F309" i="26" s="1"/>
  <c r="L152" i="26"/>
  <c r="M290" i="26" s="1"/>
  <c r="F152" i="26"/>
  <c r="F290" i="26" s="1"/>
  <c r="L151" i="26"/>
  <c r="M271" i="26" s="1"/>
  <c r="F151" i="26"/>
  <c r="F271" i="26" s="1"/>
  <c r="L150" i="26"/>
  <c r="M252" i="26" s="1"/>
  <c r="F150" i="26"/>
  <c r="F252" i="26" s="1"/>
  <c r="L149" i="26"/>
  <c r="M233" i="26" s="1"/>
  <c r="F149" i="26"/>
  <c r="F233" i="26" s="1"/>
  <c r="L148" i="26"/>
  <c r="M214" i="26" s="1"/>
  <c r="F148" i="26"/>
  <c r="F214" i="26" s="1"/>
  <c r="K147" i="26"/>
  <c r="J147" i="26"/>
  <c r="H145" i="26"/>
  <c r="L143" i="26"/>
  <c r="M327" i="26" s="1"/>
  <c r="F143" i="26"/>
  <c r="F327" i="26" s="1"/>
  <c r="L142" i="26"/>
  <c r="M308" i="26" s="1"/>
  <c r="F142" i="26"/>
  <c r="F308" i="26" s="1"/>
  <c r="L141" i="26"/>
  <c r="M289" i="26" s="1"/>
  <c r="F141" i="26"/>
  <c r="F289" i="26" s="1"/>
  <c r="L140" i="26"/>
  <c r="M270" i="26" s="1"/>
  <c r="F140" i="26"/>
  <c r="F270" i="26" s="1"/>
  <c r="L139" i="26"/>
  <c r="M251" i="26" s="1"/>
  <c r="F139" i="26"/>
  <c r="F251" i="26" s="1"/>
  <c r="L138" i="26"/>
  <c r="M232" i="26" s="1"/>
  <c r="F138" i="26"/>
  <c r="F232" i="26" s="1"/>
  <c r="L137" i="26"/>
  <c r="M213" i="26" s="1"/>
  <c r="F137" i="26"/>
  <c r="F213" i="26" s="1"/>
  <c r="K136" i="26"/>
  <c r="J136" i="26"/>
  <c r="H134" i="26"/>
  <c r="L132" i="26"/>
  <c r="M326" i="26" s="1"/>
  <c r="F132" i="26"/>
  <c r="F326" i="26" s="1"/>
  <c r="L131" i="26"/>
  <c r="M307" i="26" s="1"/>
  <c r="F131" i="26"/>
  <c r="F307" i="26" s="1"/>
  <c r="L130" i="26"/>
  <c r="M288" i="26" s="1"/>
  <c r="F130" i="26"/>
  <c r="F288" i="26" s="1"/>
  <c r="L129" i="26"/>
  <c r="M269" i="26" s="1"/>
  <c r="F129" i="26"/>
  <c r="F269" i="26" s="1"/>
  <c r="L128" i="26"/>
  <c r="M250" i="26" s="1"/>
  <c r="F128" i="26"/>
  <c r="F250" i="26" s="1"/>
  <c r="L127" i="26"/>
  <c r="M231" i="26" s="1"/>
  <c r="F127" i="26"/>
  <c r="F231" i="26" s="1"/>
  <c r="L126" i="26"/>
  <c r="M212" i="26" s="1"/>
  <c r="F126" i="26"/>
  <c r="F212" i="26" s="1"/>
  <c r="K125" i="26"/>
  <c r="J125" i="26"/>
  <c r="H123" i="26"/>
  <c r="L121" i="26"/>
  <c r="M325" i="26" s="1"/>
  <c r="F121" i="26"/>
  <c r="F325" i="26" s="1"/>
  <c r="L120" i="26"/>
  <c r="M306" i="26" s="1"/>
  <c r="F120" i="26"/>
  <c r="F306" i="26" s="1"/>
  <c r="L119" i="26"/>
  <c r="M287" i="26" s="1"/>
  <c r="F119" i="26"/>
  <c r="F287" i="26" s="1"/>
  <c r="L118" i="26"/>
  <c r="M268" i="26" s="1"/>
  <c r="F118" i="26"/>
  <c r="F268" i="26" s="1"/>
  <c r="L117" i="26"/>
  <c r="M249" i="26" s="1"/>
  <c r="F117" i="26"/>
  <c r="F249" i="26" s="1"/>
  <c r="L116" i="26"/>
  <c r="M230" i="26" s="1"/>
  <c r="F116" i="26"/>
  <c r="F230" i="26" s="1"/>
  <c r="L115" i="26"/>
  <c r="M211" i="26" s="1"/>
  <c r="F115" i="26"/>
  <c r="F211" i="26" s="1"/>
  <c r="K114" i="26"/>
  <c r="J114" i="26"/>
  <c r="H112" i="26"/>
  <c r="L110" i="26"/>
  <c r="M324" i="26" s="1"/>
  <c r="F110" i="26"/>
  <c r="F324" i="26" s="1"/>
  <c r="L109" i="26"/>
  <c r="M305" i="26" s="1"/>
  <c r="F109" i="26"/>
  <c r="F305" i="26" s="1"/>
  <c r="L108" i="26"/>
  <c r="M286" i="26" s="1"/>
  <c r="F108" i="26"/>
  <c r="F286" i="26" s="1"/>
  <c r="L107" i="26"/>
  <c r="M267" i="26" s="1"/>
  <c r="F107" i="26"/>
  <c r="F267" i="26" s="1"/>
  <c r="L106" i="26"/>
  <c r="M248" i="26" s="1"/>
  <c r="F106" i="26"/>
  <c r="F248" i="26" s="1"/>
  <c r="L105" i="26"/>
  <c r="M229" i="26" s="1"/>
  <c r="F105" i="26"/>
  <c r="F229" i="26" s="1"/>
  <c r="L104" i="26"/>
  <c r="M210" i="26" s="1"/>
  <c r="F104" i="26"/>
  <c r="F210" i="26" s="1"/>
  <c r="K103" i="26"/>
  <c r="J103" i="26"/>
  <c r="H101" i="26"/>
  <c r="L99" i="26"/>
  <c r="M323" i="26" s="1"/>
  <c r="F99" i="26"/>
  <c r="F323" i="26" s="1"/>
  <c r="L98" i="26"/>
  <c r="M304" i="26" s="1"/>
  <c r="F98" i="26"/>
  <c r="F304" i="26" s="1"/>
  <c r="L97" i="26"/>
  <c r="M285" i="26" s="1"/>
  <c r="F97" i="26"/>
  <c r="F285" i="26" s="1"/>
  <c r="L96" i="26"/>
  <c r="M266" i="26" s="1"/>
  <c r="F96" i="26"/>
  <c r="F266" i="26" s="1"/>
  <c r="L95" i="26"/>
  <c r="M247" i="26" s="1"/>
  <c r="F95" i="26"/>
  <c r="F247" i="26" s="1"/>
  <c r="L94" i="26"/>
  <c r="M228" i="26" s="1"/>
  <c r="F94" i="26"/>
  <c r="F228" i="26" s="1"/>
  <c r="L93" i="26"/>
  <c r="M209" i="26" s="1"/>
  <c r="F93" i="26"/>
  <c r="F209" i="26" s="1"/>
  <c r="K92" i="26"/>
  <c r="J92" i="26"/>
  <c r="H90" i="26"/>
  <c r="L88" i="26"/>
  <c r="M322" i="26" s="1"/>
  <c r="F88" i="26"/>
  <c r="F322" i="26" s="1"/>
  <c r="L87" i="26"/>
  <c r="M303" i="26" s="1"/>
  <c r="F87" i="26"/>
  <c r="F303" i="26" s="1"/>
  <c r="L86" i="26"/>
  <c r="M284" i="26" s="1"/>
  <c r="F86" i="26"/>
  <c r="F284" i="26" s="1"/>
  <c r="L85" i="26"/>
  <c r="M265" i="26" s="1"/>
  <c r="F85" i="26"/>
  <c r="F265" i="26" s="1"/>
  <c r="L84" i="26"/>
  <c r="M246" i="26" s="1"/>
  <c r="F84" i="26"/>
  <c r="F246" i="26" s="1"/>
  <c r="L83" i="26"/>
  <c r="M227" i="26" s="1"/>
  <c r="F83" i="26"/>
  <c r="F227" i="26" s="1"/>
  <c r="L82" i="26"/>
  <c r="M208" i="26" s="1"/>
  <c r="F82" i="26"/>
  <c r="F208" i="26" s="1"/>
  <c r="K81" i="26"/>
  <c r="J81" i="26"/>
  <c r="H79" i="26"/>
  <c r="L77" i="26"/>
  <c r="M321" i="26" s="1"/>
  <c r="F77" i="26"/>
  <c r="F321" i="26" s="1"/>
  <c r="L76" i="26"/>
  <c r="M302" i="26" s="1"/>
  <c r="F76" i="26"/>
  <c r="F302" i="26" s="1"/>
  <c r="L75" i="26"/>
  <c r="M283" i="26" s="1"/>
  <c r="F75" i="26"/>
  <c r="F283" i="26" s="1"/>
  <c r="L74" i="26"/>
  <c r="M264" i="26" s="1"/>
  <c r="F74" i="26"/>
  <c r="F264" i="26" s="1"/>
  <c r="L73" i="26"/>
  <c r="M245" i="26" s="1"/>
  <c r="F73" i="26"/>
  <c r="F245" i="26" s="1"/>
  <c r="L72" i="26"/>
  <c r="M226" i="26" s="1"/>
  <c r="F72" i="26"/>
  <c r="F226" i="26" s="1"/>
  <c r="L71" i="26"/>
  <c r="M207" i="26" s="1"/>
  <c r="F71" i="26"/>
  <c r="F207" i="26" s="1"/>
  <c r="K70" i="26"/>
  <c r="J70" i="26"/>
  <c r="H68" i="26"/>
  <c r="L66" i="26"/>
  <c r="M320" i="26" s="1"/>
  <c r="F66" i="26"/>
  <c r="F320" i="26" s="1"/>
  <c r="L65" i="26"/>
  <c r="M301" i="26" s="1"/>
  <c r="F65" i="26"/>
  <c r="F301" i="26" s="1"/>
  <c r="L64" i="26"/>
  <c r="M282" i="26" s="1"/>
  <c r="F64" i="26"/>
  <c r="F282" i="26" s="1"/>
  <c r="L63" i="26"/>
  <c r="M263" i="26" s="1"/>
  <c r="F63" i="26"/>
  <c r="F263" i="26" s="1"/>
  <c r="L62" i="26"/>
  <c r="M244" i="26" s="1"/>
  <c r="F62" i="26"/>
  <c r="F244" i="26" s="1"/>
  <c r="L61" i="26"/>
  <c r="M225" i="26" s="1"/>
  <c r="F61" i="26"/>
  <c r="F225" i="26" s="1"/>
  <c r="L60" i="26"/>
  <c r="M206" i="26" s="1"/>
  <c r="F60" i="26"/>
  <c r="F206" i="26" s="1"/>
  <c r="K59" i="26"/>
  <c r="J59" i="26"/>
  <c r="H57" i="26"/>
  <c r="L55" i="26"/>
  <c r="M319" i="26" s="1"/>
  <c r="F55" i="26"/>
  <c r="F319" i="26" s="1"/>
  <c r="L54" i="26"/>
  <c r="M300" i="26" s="1"/>
  <c r="F54" i="26"/>
  <c r="F300" i="26" s="1"/>
  <c r="L53" i="26"/>
  <c r="M281" i="26" s="1"/>
  <c r="F53" i="26"/>
  <c r="F281" i="26" s="1"/>
  <c r="L52" i="26"/>
  <c r="M262" i="26" s="1"/>
  <c r="F52" i="26"/>
  <c r="F262" i="26" s="1"/>
  <c r="L51" i="26"/>
  <c r="M243" i="26" s="1"/>
  <c r="F51" i="26"/>
  <c r="F243" i="26" s="1"/>
  <c r="L50" i="26"/>
  <c r="M220" i="26" s="1"/>
  <c r="F50" i="26"/>
  <c r="F224" i="26" s="1"/>
  <c r="L49" i="26"/>
  <c r="M205" i="26" s="1"/>
  <c r="F49" i="26"/>
  <c r="F205" i="26" s="1"/>
  <c r="K48" i="26"/>
  <c r="J48" i="26"/>
  <c r="H46" i="26"/>
  <c r="L44" i="26"/>
  <c r="M318" i="26" s="1"/>
  <c r="F44" i="26"/>
  <c r="F318" i="26" s="1"/>
  <c r="L43" i="26"/>
  <c r="M299" i="26" s="1"/>
  <c r="F43" i="26"/>
  <c r="F299" i="26" s="1"/>
  <c r="L42" i="26"/>
  <c r="M280" i="26" s="1"/>
  <c r="F42" i="26"/>
  <c r="F280" i="26" s="1"/>
  <c r="L41" i="26"/>
  <c r="M261" i="26" s="1"/>
  <c r="F41" i="26"/>
  <c r="F261" i="26" s="1"/>
  <c r="L40" i="26"/>
  <c r="M242" i="26" s="1"/>
  <c r="F40" i="26"/>
  <c r="F242" i="26" s="1"/>
  <c r="L39" i="26"/>
  <c r="M223" i="26" s="1"/>
  <c r="F39" i="26"/>
  <c r="F223" i="26" s="1"/>
  <c r="L38" i="26"/>
  <c r="M204" i="26" s="1"/>
  <c r="F38" i="26"/>
  <c r="F204" i="26" s="1"/>
  <c r="K37" i="26"/>
  <c r="J37" i="26"/>
  <c r="H35" i="26"/>
  <c r="L33" i="26"/>
  <c r="M317" i="26" s="1"/>
  <c r="F33" i="26"/>
  <c r="F317" i="26" s="1"/>
  <c r="L32" i="26"/>
  <c r="M298" i="26" s="1"/>
  <c r="F32" i="26"/>
  <c r="F298" i="26" s="1"/>
  <c r="L31" i="26"/>
  <c r="M279" i="26" s="1"/>
  <c r="F31" i="26"/>
  <c r="F279" i="26" s="1"/>
  <c r="L30" i="26"/>
  <c r="M260" i="26" s="1"/>
  <c r="F30" i="26"/>
  <c r="F260" i="26" s="1"/>
  <c r="L29" i="26"/>
  <c r="M241" i="26" s="1"/>
  <c r="F29" i="26"/>
  <c r="F241" i="26" s="1"/>
  <c r="L28" i="26"/>
  <c r="M222" i="26" s="1"/>
  <c r="F28" i="26"/>
  <c r="F222" i="26" s="1"/>
  <c r="L27" i="26"/>
  <c r="M203" i="26" s="1"/>
  <c r="F27" i="26"/>
  <c r="F203" i="26" s="1"/>
  <c r="K26" i="26"/>
  <c r="J26" i="26"/>
  <c r="H24" i="26"/>
  <c r="L22" i="26"/>
  <c r="M316" i="26" s="1"/>
  <c r="F22" i="26"/>
  <c r="F316" i="26" s="1"/>
  <c r="L21" i="26"/>
  <c r="M297" i="26" s="1"/>
  <c r="F21" i="26"/>
  <c r="F297" i="26" s="1"/>
  <c r="L20" i="26"/>
  <c r="F20" i="26"/>
  <c r="F278" i="26" s="1"/>
  <c r="L19" i="26"/>
  <c r="M259" i="26" s="1"/>
  <c r="F19" i="26"/>
  <c r="F259" i="26" s="1"/>
  <c r="L18" i="26"/>
  <c r="M240" i="26" s="1"/>
  <c r="F18" i="26"/>
  <c r="F240" i="26" s="1"/>
  <c r="L17" i="26"/>
  <c r="M221" i="26" s="1"/>
  <c r="F17" i="26"/>
  <c r="F221" i="26" s="1"/>
  <c r="L16" i="26"/>
  <c r="M202" i="26" s="1"/>
  <c r="F16" i="26"/>
  <c r="F202" i="26" s="1"/>
  <c r="K15" i="26"/>
  <c r="J15" i="26"/>
  <c r="H13" i="26"/>
  <c r="L11" i="26"/>
  <c r="M315" i="26" s="1"/>
  <c r="F11" i="26"/>
  <c r="F315" i="26" s="1"/>
  <c r="L10" i="26"/>
  <c r="M296" i="26" s="1"/>
  <c r="F10" i="26"/>
  <c r="F296" i="26" s="1"/>
  <c r="L9" i="26"/>
  <c r="F9" i="26"/>
  <c r="F277" i="26" s="1"/>
  <c r="L8" i="26"/>
  <c r="M258" i="26" s="1"/>
  <c r="F8" i="26"/>
  <c r="F258" i="26" s="1"/>
  <c r="L7" i="26"/>
  <c r="M239" i="26" s="1"/>
  <c r="F7" i="26"/>
  <c r="F239" i="26" s="1"/>
  <c r="L6" i="26"/>
  <c r="F6" i="26"/>
  <c r="F220" i="26" s="1"/>
  <c r="L5" i="26"/>
  <c r="M201" i="26" s="1"/>
  <c r="F5" i="26"/>
  <c r="F201" i="26" s="1"/>
  <c r="J4" i="26"/>
  <c r="H2" i="26"/>
  <c r="I60" i="33" l="1"/>
  <c r="J60" i="33" s="1"/>
  <c r="K60" i="33" s="1"/>
  <c r="L25" i="22"/>
  <c r="H204" i="29"/>
  <c r="H196" i="29"/>
  <c r="J202" i="29"/>
  <c r="J198" i="29"/>
  <c r="H200" i="29"/>
  <c r="H226" i="29"/>
  <c r="H224" i="29"/>
  <c r="H222" i="29"/>
  <c r="J216" i="29"/>
  <c r="H216" i="29"/>
  <c r="H220" i="29"/>
  <c r="H210" i="29"/>
  <c r="H218" i="29"/>
  <c r="J214" i="29"/>
  <c r="J220" i="29"/>
  <c r="J208" i="29"/>
  <c r="J226" i="29"/>
  <c r="J224" i="29"/>
  <c r="H212" i="29"/>
  <c r="H228" i="29"/>
  <c r="J228" i="29"/>
  <c r="J210" i="29"/>
  <c r="H208" i="29"/>
  <c r="J212" i="29"/>
  <c r="H214" i="29"/>
  <c r="J222" i="29"/>
  <c r="H230" i="29"/>
  <c r="J230" i="29"/>
  <c r="J218" i="29"/>
  <c r="H198" i="29"/>
  <c r="J196" i="29"/>
  <c r="J206" i="29"/>
  <c r="H202" i="29"/>
  <c r="H206" i="29"/>
  <c r="J204" i="29"/>
  <c r="J200" i="29"/>
  <c r="M224" i="26"/>
  <c r="M278" i="26"/>
  <c r="M277" i="26"/>
  <c r="A347" i="26"/>
  <c r="A372" i="26"/>
  <c r="B334" i="26"/>
  <c r="P30" i="3"/>
  <c r="P75" i="3" s="1"/>
  <c r="P73" i="3"/>
  <c r="R70" i="3" s="1"/>
  <c r="L27" i="22" l="1"/>
  <c r="L26" i="22"/>
  <c r="A334" i="26"/>
  <c r="D343" i="26" s="1"/>
  <c r="B36" i="33"/>
  <c r="I197" i="29"/>
  <c r="M198" i="29" s="1"/>
  <c r="N198" i="29" s="1"/>
  <c r="I209" i="29"/>
  <c r="M201" i="29" s="1"/>
  <c r="N201" i="29" s="1"/>
  <c r="I205" i="29"/>
  <c r="M200" i="29" s="1"/>
  <c r="N200" i="29" s="1"/>
  <c r="I201" i="29"/>
  <c r="M199" i="29" s="1"/>
  <c r="N199" i="29" s="1"/>
  <c r="I229" i="29"/>
  <c r="I213" i="29"/>
  <c r="M202" i="29" s="1"/>
  <c r="N202" i="29" s="1"/>
  <c r="I221" i="29"/>
  <c r="I225" i="29"/>
  <c r="I217" i="29"/>
  <c r="P74" i="3"/>
  <c r="C336" i="26"/>
  <c r="H336" i="26" s="1"/>
  <c r="G334" i="26"/>
  <c r="L334" i="26" s="1"/>
  <c r="B336" i="26"/>
  <c r="G336" i="26" s="1"/>
  <c r="B31" i="12"/>
  <c r="C341" i="26" l="1"/>
  <c r="C340" i="26"/>
  <c r="B337" i="26"/>
  <c r="D40" i="33" s="1"/>
  <c r="C339" i="26"/>
  <c r="D340" i="26"/>
  <c r="C337" i="26"/>
  <c r="C338" i="26"/>
  <c r="B343" i="26"/>
  <c r="D46" i="33" s="1"/>
  <c r="C342" i="26"/>
  <c r="A340" i="26"/>
  <c r="A343" i="26"/>
  <c r="A341" i="26"/>
  <c r="C343" i="26"/>
  <c r="D337" i="26"/>
  <c r="B339" i="26"/>
  <c r="D42" i="33" s="1"/>
  <c r="D341" i="26"/>
  <c r="A339" i="26"/>
  <c r="F334" i="26"/>
  <c r="H343" i="26" s="1"/>
  <c r="K334" i="26"/>
  <c r="O339" i="26" s="1"/>
  <c r="B341" i="26"/>
  <c r="D44" i="33" s="1"/>
  <c r="D338" i="26"/>
  <c r="A337" i="26"/>
  <c r="B338" i="26"/>
  <c r="D41" i="33" s="1"/>
  <c r="D339" i="26"/>
  <c r="B342" i="26"/>
  <c r="D45" i="33" s="1"/>
  <c r="B340" i="26"/>
  <c r="D43" i="33" s="1"/>
  <c r="A338" i="26"/>
  <c r="D342" i="26"/>
  <c r="A342" i="26"/>
  <c r="B40" i="23"/>
  <c r="B30" i="23"/>
  <c r="F338" i="26" l="1"/>
  <c r="I340" i="26"/>
  <c r="G340" i="26"/>
  <c r="G43" i="33" s="1"/>
  <c r="F339" i="26"/>
  <c r="G343" i="26"/>
  <c r="G46" i="33" s="1"/>
  <c r="H337" i="26"/>
  <c r="I341" i="26"/>
  <c r="F343" i="26"/>
  <c r="F342" i="26"/>
  <c r="G339" i="26"/>
  <c r="G42" i="33" s="1"/>
  <c r="I337" i="26"/>
  <c r="H342" i="26"/>
  <c r="I338" i="26"/>
  <c r="F337" i="26"/>
  <c r="H338" i="26"/>
  <c r="G337" i="26"/>
  <c r="G40" i="33" s="1"/>
  <c r="I339" i="26"/>
  <c r="G341" i="26"/>
  <c r="G44" i="33" s="1"/>
  <c r="G338" i="26"/>
  <c r="G41" i="33" s="1"/>
  <c r="F340" i="26"/>
  <c r="G342" i="26"/>
  <c r="G45" i="33" s="1"/>
  <c r="H341" i="26"/>
  <c r="H339" i="26"/>
  <c r="F341" i="26"/>
  <c r="I343" i="26"/>
  <c r="H340" i="26"/>
  <c r="I342" i="26"/>
  <c r="O338" i="26"/>
  <c r="Q341" i="26" s="1"/>
  <c r="L40" i="33" s="1"/>
  <c r="D346" i="26"/>
  <c r="B346" i="26"/>
  <c r="D348" i="26"/>
  <c r="B348" i="26"/>
  <c r="M343" i="26"/>
  <c r="Q342" i="26"/>
  <c r="Q40" i="33" s="1"/>
  <c r="Z111" i="10"/>
  <c r="U111" i="10"/>
  <c r="K111" i="10"/>
  <c r="A111" i="10"/>
  <c r="G68" i="22"/>
  <c r="G346" i="26" l="1"/>
  <c r="G348" i="26"/>
  <c r="I348" i="26"/>
  <c r="J46" i="33"/>
  <c r="O46" i="33"/>
  <c r="G14" i="22" s="1"/>
  <c r="G14" i="23" s="1"/>
  <c r="J47" i="33"/>
  <c r="O47" i="33"/>
  <c r="G15" i="22" s="1"/>
  <c r="G15" i="23" s="1"/>
  <c r="I346" i="26"/>
  <c r="C347" i="26"/>
  <c r="M338" i="26" s="1"/>
  <c r="L342" i="26" s="1"/>
  <c r="M342" i="26"/>
  <c r="AA110" i="10"/>
  <c r="AA112" i="10"/>
  <c r="V110" i="10"/>
  <c r="V112" i="10"/>
  <c r="L110" i="10"/>
  <c r="L112" i="10"/>
  <c r="B110" i="10"/>
  <c r="B112" i="10"/>
  <c r="B64" i="22"/>
  <c r="B63" i="23" s="1"/>
  <c r="B29" i="22"/>
  <c r="B29" i="23" s="1"/>
  <c r="B22" i="22"/>
  <c r="B22" i="23" s="1"/>
  <c r="B18" i="22"/>
  <c r="B18" i="23" s="1"/>
  <c r="B13" i="22"/>
  <c r="B13" i="23" s="1"/>
  <c r="C34" i="3"/>
  <c r="H347" i="26" l="1"/>
  <c r="M339" i="26" s="1"/>
  <c r="L343" i="26" s="1"/>
  <c r="K348" i="26" s="1"/>
  <c r="K347" i="26"/>
  <c r="K73" i="23"/>
  <c r="C32" i="23" l="1"/>
  <c r="D44" i="23"/>
  <c r="D45" i="23"/>
  <c r="D46" i="23"/>
  <c r="D43" i="23"/>
  <c r="I41" i="23"/>
  <c r="H43" i="23"/>
  <c r="H41" i="23"/>
  <c r="B53" i="22"/>
  <c r="B53" i="23" s="1"/>
  <c r="B53" i="3" l="1"/>
  <c r="B51" i="22" s="1"/>
  <c r="B51" i="23" s="1"/>
  <c r="O3" i="13"/>
  <c r="B54" i="3" s="1"/>
  <c r="B52" i="22" s="1"/>
  <c r="B52" i="23" s="1"/>
  <c r="Q73" i="3" l="1"/>
  <c r="Q74" i="3" s="1"/>
  <c r="C27" i="3"/>
  <c r="C26" i="3"/>
  <c r="B50" i="22" l="1"/>
  <c r="B50" i="23" s="1"/>
  <c r="A5" i="3" l="1"/>
  <c r="A6" i="3"/>
  <c r="A7" i="3"/>
  <c r="A8" i="3"/>
  <c r="A9" i="3"/>
  <c r="A10" i="3"/>
  <c r="A4" i="3"/>
  <c r="A1" i="23"/>
  <c r="J26" i="22"/>
  <c r="J27" i="22"/>
  <c r="J25" i="22"/>
  <c r="C27" i="22"/>
  <c r="O27" i="22" s="1"/>
  <c r="C26" i="22"/>
  <c r="C25" i="22"/>
  <c r="I25" i="23" l="1"/>
  <c r="I26" i="23"/>
  <c r="B79" i="25"/>
  <c r="B67" i="25"/>
  <c r="B55" i="25"/>
  <c r="B43" i="25"/>
  <c r="B31" i="25"/>
  <c r="B19" i="25"/>
  <c r="B7" i="25"/>
  <c r="A137" i="25"/>
  <c r="F89" i="3"/>
  <c r="G89" i="3"/>
  <c r="H89" i="3"/>
  <c r="I89" i="3"/>
  <c r="J89" i="3"/>
  <c r="F90" i="3"/>
  <c r="G90" i="3"/>
  <c r="H90" i="3"/>
  <c r="I90" i="3"/>
  <c r="J90" i="3"/>
  <c r="F91" i="3"/>
  <c r="G91" i="3"/>
  <c r="H91" i="3"/>
  <c r="I91" i="3"/>
  <c r="J91" i="3"/>
  <c r="F92" i="3"/>
  <c r="G92" i="3"/>
  <c r="H92" i="3"/>
  <c r="I92" i="3"/>
  <c r="J92" i="3"/>
  <c r="F93" i="3"/>
  <c r="G93" i="3"/>
  <c r="H93" i="3"/>
  <c r="I93" i="3"/>
  <c r="J93" i="3"/>
  <c r="F94" i="3"/>
  <c r="G94" i="3"/>
  <c r="H94" i="3"/>
  <c r="I94" i="3"/>
  <c r="J94" i="3"/>
  <c r="F95" i="3"/>
  <c r="G95" i="3"/>
  <c r="H95" i="3"/>
  <c r="I95" i="3"/>
  <c r="J95" i="3"/>
  <c r="E90" i="3"/>
  <c r="E91" i="3"/>
  <c r="E92" i="3"/>
  <c r="E93" i="3"/>
  <c r="E94" i="3"/>
  <c r="E95" i="3"/>
  <c r="E89" i="3"/>
  <c r="G101" i="24"/>
  <c r="G100" i="24"/>
  <c r="G99" i="24"/>
  <c r="G98" i="24"/>
  <c r="G97" i="24"/>
  <c r="E96" i="24"/>
  <c r="E97" i="24"/>
  <c r="E98" i="24"/>
  <c r="E99" i="24"/>
  <c r="E100" i="24"/>
  <c r="E101" i="24"/>
  <c r="E92" i="24"/>
  <c r="E93" i="24"/>
  <c r="E94" i="24"/>
  <c r="E95" i="24"/>
  <c r="G91" i="24"/>
  <c r="G90" i="24"/>
  <c r="G89" i="24"/>
  <c r="G88" i="24"/>
  <c r="G87" i="24"/>
  <c r="E91" i="24"/>
  <c r="E90" i="24"/>
  <c r="E89" i="24"/>
  <c r="E88" i="24"/>
  <c r="E87" i="24"/>
  <c r="G81" i="24"/>
  <c r="G80" i="24"/>
  <c r="G79" i="24"/>
  <c r="G78" i="24"/>
  <c r="G77" i="24"/>
  <c r="E77" i="24"/>
  <c r="E78" i="24"/>
  <c r="E79" i="24"/>
  <c r="E80" i="24"/>
  <c r="E81" i="24"/>
  <c r="G71" i="24"/>
  <c r="G70" i="24"/>
  <c r="G69" i="24"/>
  <c r="G68" i="24"/>
  <c r="G67" i="24"/>
  <c r="E71" i="24"/>
  <c r="E70" i="24"/>
  <c r="E68" i="24"/>
  <c r="E69" i="24"/>
  <c r="E67" i="24"/>
  <c r="P77" i="3" l="1"/>
  <c r="I27" i="23"/>
  <c r="N90" i="3"/>
  <c r="B17" i="25" s="1"/>
  <c r="N89" i="3"/>
  <c r="B5" i="25" s="1"/>
  <c r="K94" i="3"/>
  <c r="N95" i="3"/>
  <c r="B77" i="25" s="1"/>
  <c r="N91" i="3"/>
  <c r="B29" i="25" s="1"/>
  <c r="N94" i="3"/>
  <c r="B65" i="25" s="1"/>
  <c r="N93" i="3"/>
  <c r="B53" i="25" s="1"/>
  <c r="N92" i="3"/>
  <c r="B41" i="25" s="1"/>
  <c r="K90" i="3"/>
  <c r="J21" i="33" s="1"/>
  <c r="K89" i="3"/>
  <c r="J20" i="33" s="1"/>
  <c r="K93" i="3"/>
  <c r="J24" i="33" s="1"/>
  <c r="K92" i="3"/>
  <c r="J23" i="33" s="1"/>
  <c r="K95" i="3"/>
  <c r="J26" i="33" s="1"/>
  <c r="K91" i="3"/>
  <c r="J22" i="33" s="1"/>
  <c r="F155" i="25" l="1"/>
  <c r="J25" i="33"/>
  <c r="Q75" i="3"/>
  <c r="R78" i="3" s="1"/>
  <c r="R80" i="3" s="1"/>
  <c r="R69" i="3"/>
  <c r="F127" i="25"/>
  <c r="G128" i="25" s="1"/>
  <c r="G156" i="25"/>
  <c r="G154" i="25"/>
  <c r="A155" i="25"/>
  <c r="A127" i="25"/>
  <c r="B128" i="25" s="1"/>
  <c r="K155" i="25"/>
  <c r="K127" i="25"/>
  <c r="L128" i="25" s="1"/>
  <c r="P155" i="25"/>
  <c r="P127" i="25"/>
  <c r="Q128" i="25" s="1"/>
  <c r="U127" i="25"/>
  <c r="V128" i="25" s="1"/>
  <c r="U155" i="25"/>
  <c r="Z155" i="25"/>
  <c r="Z127" i="25"/>
  <c r="AA128" i="25" s="1"/>
  <c r="AE127" i="25"/>
  <c r="AE155" i="25"/>
  <c r="P78" i="3" l="1"/>
  <c r="G126" i="25"/>
  <c r="B126" i="25"/>
  <c r="B154" i="25"/>
  <c r="B156" i="25"/>
  <c r="L156" i="25"/>
  <c r="L154" i="25"/>
  <c r="L126" i="25"/>
  <c r="Q126" i="25"/>
  <c r="Q156" i="25"/>
  <c r="Q154" i="25"/>
  <c r="V126" i="25"/>
  <c r="V154" i="25"/>
  <c r="V156" i="25"/>
  <c r="AA154" i="25"/>
  <c r="AA156" i="25"/>
  <c r="AA126" i="25"/>
  <c r="AF156" i="25"/>
  <c r="AF154" i="25"/>
  <c r="AF126" i="25"/>
  <c r="AF128" i="25"/>
  <c r="B80" i="10"/>
  <c r="U106" i="10"/>
  <c r="U101" i="10"/>
  <c r="U96" i="10"/>
  <c r="U91" i="10"/>
  <c r="U86" i="10"/>
  <c r="K106" i="10"/>
  <c r="L107" i="10" s="1"/>
  <c r="K101" i="10"/>
  <c r="K96" i="10"/>
  <c r="K91" i="10"/>
  <c r="L92" i="10" s="1"/>
  <c r="K86" i="10"/>
  <c r="A106" i="10"/>
  <c r="B105" i="10" s="1"/>
  <c r="A101" i="10"/>
  <c r="A96" i="10"/>
  <c r="B95" i="10" s="1"/>
  <c r="A91" i="10"/>
  <c r="B90" i="10" s="1"/>
  <c r="A86" i="10"/>
  <c r="B85" i="10" s="1"/>
  <c r="Z106" i="10"/>
  <c r="Z101" i="10"/>
  <c r="Z96" i="10"/>
  <c r="Z91" i="10"/>
  <c r="Z86" i="10"/>
  <c r="S69" i="3" l="1"/>
  <c r="N74" i="22" s="1"/>
  <c r="R71" i="3"/>
  <c r="V102" i="10"/>
  <c r="V100" i="10"/>
  <c r="V87" i="10"/>
  <c r="V85" i="10"/>
  <c r="V107" i="10"/>
  <c r="V105" i="10"/>
  <c r="V92" i="10"/>
  <c r="V90" i="10"/>
  <c r="V95" i="10"/>
  <c r="V97" i="10"/>
  <c r="AA92" i="10"/>
  <c r="B87" i="10"/>
  <c r="AA97" i="10"/>
  <c r="B97" i="10"/>
  <c r="L90" i="10"/>
  <c r="AA102" i="10"/>
  <c r="B100" i="10"/>
  <c r="B92" i="10"/>
  <c r="B102" i="10"/>
  <c r="B107" i="10"/>
  <c r="L102" i="10"/>
  <c r="AA87" i="10"/>
  <c r="AA100" i="10"/>
  <c r="L85" i="10"/>
  <c r="L97" i="10"/>
  <c r="L95" i="10"/>
  <c r="L100" i="10"/>
  <c r="L105" i="10"/>
  <c r="L87" i="10"/>
  <c r="AA107" i="10"/>
  <c r="AA90" i="10"/>
  <c r="AA95" i="10"/>
  <c r="AA105" i="10"/>
  <c r="AA85" i="10"/>
  <c r="AF146" i="25"/>
  <c r="AA148" i="25"/>
  <c r="V148" i="25"/>
  <c r="L148" i="25"/>
  <c r="G148" i="25"/>
  <c r="AF143" i="25"/>
  <c r="V143" i="25"/>
  <c r="L141" i="25"/>
  <c r="G143" i="25"/>
  <c r="Q141" i="25"/>
  <c r="X136" i="25"/>
  <c r="Q138" i="25"/>
  <c r="G138" i="25"/>
  <c r="B136" i="25"/>
  <c r="AF131" i="25"/>
  <c r="AA131" i="25"/>
  <c r="V133" i="25"/>
  <c r="S131" i="25"/>
  <c r="L131" i="25"/>
  <c r="B133" i="25"/>
  <c r="C105" i="25"/>
  <c r="D105" i="25" s="1"/>
  <c r="C103" i="25"/>
  <c r="D103" i="25" s="1"/>
  <c r="A99" i="25"/>
  <c r="B88" i="25"/>
  <c r="E79" i="25"/>
  <c r="E78" i="25"/>
  <c r="G77" i="25"/>
  <c r="E77" i="25"/>
  <c r="E67" i="25"/>
  <c r="E66" i="25"/>
  <c r="G65" i="25"/>
  <c r="E65" i="25"/>
  <c r="E55" i="25"/>
  <c r="E54" i="25"/>
  <c r="G53" i="25"/>
  <c r="E53" i="25"/>
  <c r="E43" i="25"/>
  <c r="E42" i="25"/>
  <c r="G41" i="25"/>
  <c r="E41" i="25"/>
  <c r="E31" i="25"/>
  <c r="E30" i="25"/>
  <c r="G29" i="25"/>
  <c r="E29" i="25"/>
  <c r="E19" i="25"/>
  <c r="E18" i="25"/>
  <c r="G17" i="25"/>
  <c r="E17" i="25"/>
  <c r="E7" i="25"/>
  <c r="E6" i="25"/>
  <c r="G5" i="25"/>
  <c r="E5" i="25"/>
  <c r="N154" i="25" l="1"/>
  <c r="F19" i="25"/>
  <c r="I19" i="25" s="1"/>
  <c r="J19" i="25" s="1"/>
  <c r="K19" i="25" s="1"/>
  <c r="F55" i="25"/>
  <c r="I55" i="25" s="1"/>
  <c r="J55" i="25" s="1"/>
  <c r="K55" i="25" s="1"/>
  <c r="F31" i="25"/>
  <c r="I31" i="25" s="1"/>
  <c r="J31" i="25" s="1"/>
  <c r="K31" i="25" s="1"/>
  <c r="F7" i="25"/>
  <c r="I7" i="25" s="1"/>
  <c r="J7" i="25" s="1"/>
  <c r="K7" i="25" s="1"/>
  <c r="F43" i="25"/>
  <c r="I43" i="25" s="1"/>
  <c r="J43" i="25" s="1"/>
  <c r="K43" i="25" s="1"/>
  <c r="F67" i="25"/>
  <c r="I67" i="25" s="1"/>
  <c r="J67" i="25" s="1"/>
  <c r="K67" i="25" s="1"/>
  <c r="L146" i="25"/>
  <c r="G136" i="25"/>
  <c r="AF138" i="25"/>
  <c r="G131" i="25"/>
  <c r="G133" i="25"/>
  <c r="V141" i="25"/>
  <c r="V138" i="25"/>
  <c r="F79" i="25"/>
  <c r="I79" i="25" s="1"/>
  <c r="J79" i="25" s="1"/>
  <c r="K79" i="25" s="1"/>
  <c r="V136" i="25"/>
  <c r="V131" i="25"/>
  <c r="L143" i="25"/>
  <c r="X146" i="25"/>
  <c r="AA146" i="25"/>
  <c r="L133" i="25"/>
  <c r="D141" i="25"/>
  <c r="B143" i="25"/>
  <c r="B141" i="25"/>
  <c r="Q131" i="25"/>
  <c r="AF133" i="25"/>
  <c r="Q133" i="25"/>
  <c r="AA138" i="25"/>
  <c r="AA136" i="25"/>
  <c r="AA143" i="25"/>
  <c r="AA141" i="25"/>
  <c r="L138" i="25"/>
  <c r="L136" i="25"/>
  <c r="S146" i="25"/>
  <c r="D131" i="25"/>
  <c r="S136" i="25"/>
  <c r="B146" i="25"/>
  <c r="X141" i="25"/>
  <c r="D146" i="25"/>
  <c r="Q146" i="25"/>
  <c r="B148" i="25"/>
  <c r="B131" i="25"/>
  <c r="X131" i="25"/>
  <c r="AA133" i="25"/>
  <c r="D136" i="25"/>
  <c r="Q136" i="25"/>
  <c r="AF136" i="25"/>
  <c r="B138" i="25"/>
  <c r="G141" i="25"/>
  <c r="S141" i="25"/>
  <c r="AF141" i="25"/>
  <c r="Q143" i="25"/>
  <c r="G146" i="25"/>
  <c r="V146" i="25"/>
  <c r="Q148" i="25"/>
  <c r="AF148" i="25"/>
  <c r="G131" i="24"/>
  <c r="G130" i="24"/>
  <c r="G129" i="24"/>
  <c r="G128" i="24"/>
  <c r="G127" i="24"/>
  <c r="G126" i="24"/>
  <c r="G125" i="24"/>
  <c r="G124" i="24"/>
  <c r="G123" i="24"/>
  <c r="G122" i="24"/>
  <c r="E131" i="24"/>
  <c r="E130" i="24"/>
  <c r="E129" i="24"/>
  <c r="E128" i="24"/>
  <c r="E127" i="24"/>
  <c r="E126" i="24"/>
  <c r="E125" i="24"/>
  <c r="E124" i="24"/>
  <c r="E123" i="24"/>
  <c r="E122" i="24"/>
  <c r="D131" i="24"/>
  <c r="D130" i="24"/>
  <c r="D129" i="24"/>
  <c r="D128" i="24"/>
  <c r="D127" i="24"/>
  <c r="D126" i="24"/>
  <c r="D125" i="24"/>
  <c r="D124" i="24"/>
  <c r="D123" i="24"/>
  <c r="D122" i="24"/>
  <c r="G121" i="24"/>
  <c r="G120" i="24"/>
  <c r="G119" i="24"/>
  <c r="G118" i="24"/>
  <c r="G117" i="24"/>
  <c r="G116" i="24"/>
  <c r="G115" i="24"/>
  <c r="G114" i="24"/>
  <c r="G113" i="24"/>
  <c r="G112" i="24"/>
  <c r="E121" i="24"/>
  <c r="E120" i="24"/>
  <c r="E119" i="24"/>
  <c r="E118" i="24"/>
  <c r="E117" i="24"/>
  <c r="E116" i="24"/>
  <c r="E115" i="24"/>
  <c r="E114" i="24"/>
  <c r="E113" i="24"/>
  <c r="E112" i="24"/>
  <c r="D121" i="24"/>
  <c r="D120" i="24"/>
  <c r="D119" i="24"/>
  <c r="D118" i="24"/>
  <c r="D117" i="24"/>
  <c r="D116" i="24"/>
  <c r="D115" i="24"/>
  <c r="D114" i="24"/>
  <c r="D113" i="24"/>
  <c r="D112" i="24"/>
  <c r="G111" i="24"/>
  <c r="G110" i="24"/>
  <c r="G109" i="24"/>
  <c r="G108" i="24"/>
  <c r="G107" i="24"/>
  <c r="G106" i="24"/>
  <c r="G105" i="24"/>
  <c r="G104" i="24"/>
  <c r="G103" i="24"/>
  <c r="G102" i="24"/>
  <c r="E111" i="24"/>
  <c r="E110" i="24"/>
  <c r="E109" i="24"/>
  <c r="E108" i="24"/>
  <c r="E107" i="24"/>
  <c r="E106" i="24"/>
  <c r="E105" i="24"/>
  <c r="E104" i="24"/>
  <c r="E103" i="24"/>
  <c r="E102" i="24"/>
  <c r="D111" i="24"/>
  <c r="D110" i="24"/>
  <c r="D109" i="24"/>
  <c r="D108" i="24"/>
  <c r="D107" i="24"/>
  <c r="D106" i="24"/>
  <c r="D105" i="24"/>
  <c r="D104" i="24"/>
  <c r="D103" i="24"/>
  <c r="D102" i="24"/>
  <c r="E53" i="24"/>
  <c r="F111" i="24" s="1"/>
  <c r="E54" i="24"/>
  <c r="F121" i="24" s="1"/>
  <c r="E55" i="24"/>
  <c r="F131" i="24" s="1"/>
  <c r="Q40" i="24"/>
  <c r="F110" i="24" s="1"/>
  <c r="Q41" i="24"/>
  <c r="F120" i="24" s="1"/>
  <c r="Q42" i="24"/>
  <c r="F130" i="24" s="1"/>
  <c r="K40" i="24"/>
  <c r="F109" i="24" s="1"/>
  <c r="K41" i="24"/>
  <c r="K42" i="24"/>
  <c r="F129" i="24" s="1"/>
  <c r="E40" i="24"/>
  <c r="F108" i="24" s="1"/>
  <c r="E41" i="24"/>
  <c r="F118" i="24" s="1"/>
  <c r="E42" i="24"/>
  <c r="F128" i="24" s="1"/>
  <c r="Q26" i="24"/>
  <c r="F107" i="24" s="1"/>
  <c r="Q27" i="24"/>
  <c r="F117" i="24" s="1"/>
  <c r="Q28" i="24"/>
  <c r="F127" i="24" s="1"/>
  <c r="K26" i="24"/>
  <c r="F106" i="24" s="1"/>
  <c r="K27" i="24"/>
  <c r="F116" i="24" s="1"/>
  <c r="K28" i="24"/>
  <c r="F126" i="24" s="1"/>
  <c r="E26" i="24"/>
  <c r="F105" i="24" s="1"/>
  <c r="E27" i="24"/>
  <c r="F115" i="24" s="1"/>
  <c r="E28" i="24"/>
  <c r="F125" i="24" s="1"/>
  <c r="Q13" i="24"/>
  <c r="F104" i="24" s="1"/>
  <c r="Q14" i="24"/>
  <c r="F114" i="24" s="1"/>
  <c r="Q15" i="24"/>
  <c r="F124" i="24" s="1"/>
  <c r="K13" i="24"/>
  <c r="F103" i="24" s="1"/>
  <c r="K14" i="24"/>
  <c r="F113" i="24" s="1"/>
  <c r="K15" i="24"/>
  <c r="F123" i="24" s="1"/>
  <c r="E13" i="24"/>
  <c r="F102" i="24" s="1"/>
  <c r="E14" i="24"/>
  <c r="F112" i="24" s="1"/>
  <c r="E15" i="24"/>
  <c r="F122" i="24" s="1"/>
  <c r="D101" i="24"/>
  <c r="D100" i="24"/>
  <c r="D99" i="24"/>
  <c r="D98" i="24"/>
  <c r="D97" i="24"/>
  <c r="G96" i="24"/>
  <c r="D96" i="24"/>
  <c r="G95" i="24"/>
  <c r="D95" i="24"/>
  <c r="G94" i="24"/>
  <c r="D94" i="24"/>
  <c r="G93" i="24"/>
  <c r="D93" i="24"/>
  <c r="G92" i="24"/>
  <c r="D92" i="24"/>
  <c r="D91" i="24"/>
  <c r="D90" i="24"/>
  <c r="D89" i="24"/>
  <c r="D88" i="24"/>
  <c r="D87" i="24"/>
  <c r="G86" i="24"/>
  <c r="E86" i="24"/>
  <c r="D86" i="24"/>
  <c r="G85" i="24"/>
  <c r="E85" i="24"/>
  <c r="D85" i="24"/>
  <c r="G84" i="24"/>
  <c r="E84" i="24"/>
  <c r="D84" i="24"/>
  <c r="G83" i="24"/>
  <c r="E83" i="24"/>
  <c r="D83" i="24"/>
  <c r="G82" i="24"/>
  <c r="E82" i="24"/>
  <c r="D82" i="24"/>
  <c r="D81" i="24"/>
  <c r="D80" i="24"/>
  <c r="D79" i="24"/>
  <c r="D78" i="24"/>
  <c r="D77" i="24"/>
  <c r="G76" i="24"/>
  <c r="E76" i="24"/>
  <c r="D76" i="24"/>
  <c r="G75" i="24"/>
  <c r="E75" i="24"/>
  <c r="D75" i="24"/>
  <c r="G74" i="24"/>
  <c r="E74" i="24"/>
  <c r="D74" i="24"/>
  <c r="G73" i="24"/>
  <c r="E73" i="24"/>
  <c r="D73" i="24"/>
  <c r="G72" i="24"/>
  <c r="E72" i="24"/>
  <c r="D72" i="24"/>
  <c r="D71" i="24"/>
  <c r="D70" i="24"/>
  <c r="D69" i="24"/>
  <c r="D68" i="24"/>
  <c r="D67" i="24"/>
  <c r="G66" i="24"/>
  <c r="E66" i="24"/>
  <c r="D66" i="24"/>
  <c r="G65" i="24"/>
  <c r="E65" i="24"/>
  <c r="D65" i="24"/>
  <c r="G64" i="24"/>
  <c r="E64" i="24"/>
  <c r="D64" i="24"/>
  <c r="G63" i="24"/>
  <c r="E63" i="24"/>
  <c r="D63" i="24"/>
  <c r="G62" i="24"/>
  <c r="E62" i="24"/>
  <c r="D62" i="24"/>
  <c r="C60" i="24"/>
  <c r="A136" i="24" s="1"/>
  <c r="E52" i="24"/>
  <c r="F101" i="24" s="1"/>
  <c r="E51" i="24"/>
  <c r="F91" i="24" s="1"/>
  <c r="E50" i="24"/>
  <c r="F81" i="24" s="1"/>
  <c r="E49" i="24"/>
  <c r="F71" i="24" s="1"/>
  <c r="E48" i="24"/>
  <c r="Q39" i="24"/>
  <c r="F100" i="24" s="1"/>
  <c r="K39" i="24"/>
  <c r="F99" i="24" s="1"/>
  <c r="E39" i="24"/>
  <c r="F98" i="24" s="1"/>
  <c r="Q38" i="24"/>
  <c r="F90" i="24" s="1"/>
  <c r="K38" i="24"/>
  <c r="F89" i="24" s="1"/>
  <c r="E38" i="24"/>
  <c r="F88" i="24" s="1"/>
  <c r="Q37" i="24"/>
  <c r="F80" i="24" s="1"/>
  <c r="K37" i="24"/>
  <c r="F79" i="24" s="1"/>
  <c r="E37" i="24"/>
  <c r="F78" i="24" s="1"/>
  <c r="Q36" i="24"/>
  <c r="F70" i="24" s="1"/>
  <c r="K36" i="24"/>
  <c r="F69" i="24" s="1"/>
  <c r="E36" i="24"/>
  <c r="F68" i="24" s="1"/>
  <c r="Q35" i="24"/>
  <c r="K35" i="24"/>
  <c r="E35" i="24"/>
  <c r="Q25" i="24"/>
  <c r="F97" i="24" s="1"/>
  <c r="K25" i="24"/>
  <c r="E25" i="24"/>
  <c r="Q24" i="24"/>
  <c r="F87" i="24" s="1"/>
  <c r="K24" i="24"/>
  <c r="E24" i="24"/>
  <c r="Q23" i="24"/>
  <c r="F77" i="24" s="1"/>
  <c r="K23" i="24"/>
  <c r="E23" i="24"/>
  <c r="Q22" i="24"/>
  <c r="F67" i="24" s="1"/>
  <c r="K22" i="24"/>
  <c r="E22" i="24"/>
  <c r="Q21" i="24"/>
  <c r="K21" i="24"/>
  <c r="E21" i="24"/>
  <c r="Q12" i="24"/>
  <c r="K12" i="24"/>
  <c r="E12" i="24"/>
  <c r="Q11" i="24"/>
  <c r="K11" i="24"/>
  <c r="E11" i="24"/>
  <c r="Q10" i="24"/>
  <c r="K10" i="24"/>
  <c r="E10" i="24"/>
  <c r="Q9" i="24"/>
  <c r="K9" i="24"/>
  <c r="E9" i="24"/>
  <c r="Q8" i="24"/>
  <c r="K8" i="24"/>
  <c r="E8" i="24"/>
  <c r="D88" i="19"/>
  <c r="D87" i="19"/>
  <c r="D86" i="19"/>
  <c r="D85" i="19"/>
  <c r="D84" i="19"/>
  <c r="D78" i="19"/>
  <c r="D77" i="19"/>
  <c r="D76" i="19"/>
  <c r="D75" i="19"/>
  <c r="D74" i="19"/>
  <c r="D68" i="19"/>
  <c r="D67" i="19"/>
  <c r="D66" i="19"/>
  <c r="D65" i="19"/>
  <c r="D64" i="19"/>
  <c r="D58" i="19"/>
  <c r="D57" i="19"/>
  <c r="D56" i="19"/>
  <c r="D55" i="19"/>
  <c r="D54" i="19"/>
  <c r="E42" i="19"/>
  <c r="E41" i="19"/>
  <c r="E40" i="19"/>
  <c r="E39" i="19"/>
  <c r="E38" i="19"/>
  <c r="F94" i="24" l="1"/>
  <c r="F119" i="24"/>
  <c r="F72" i="24"/>
  <c r="F65" i="24"/>
  <c r="F76" i="24"/>
  <c r="F83" i="24"/>
  <c r="F62" i="24"/>
  <c r="F63" i="24"/>
  <c r="F64" i="24"/>
  <c r="F66" i="24"/>
  <c r="F73" i="24"/>
  <c r="F74" i="24"/>
  <c r="F75" i="24"/>
  <c r="F82" i="24"/>
  <c r="F84" i="24"/>
  <c r="F85" i="24"/>
  <c r="F86" i="24"/>
  <c r="F92" i="24"/>
  <c r="F93" i="24"/>
  <c r="F95" i="24"/>
  <c r="F96" i="24"/>
  <c r="D49" i="19" l="1"/>
  <c r="E49" i="19"/>
  <c r="D50" i="19"/>
  <c r="E50" i="19"/>
  <c r="D51" i="19"/>
  <c r="E51" i="19"/>
  <c r="D52" i="19"/>
  <c r="E52" i="19"/>
  <c r="D53" i="19"/>
  <c r="E53" i="19"/>
  <c r="G53" i="19"/>
  <c r="H32" i="23" l="1"/>
  <c r="I31" i="23"/>
  <c r="H31" i="23"/>
  <c r="G31" i="23"/>
  <c r="F31" i="23"/>
  <c r="D31" i="23"/>
  <c r="C31" i="23"/>
  <c r="B31" i="23"/>
  <c r="B21" i="3"/>
  <c r="B20" i="3"/>
  <c r="B65" i="22" l="1"/>
  <c r="B58" i="22"/>
  <c r="B57" i="23" s="1"/>
  <c r="B57" i="22"/>
  <c r="B56" i="23" s="1"/>
  <c r="B49" i="22"/>
  <c r="B49" i="23" s="1"/>
  <c r="D33" i="22"/>
  <c r="D33" i="23" s="1"/>
  <c r="D34" i="22"/>
  <c r="D34" i="23" s="1"/>
  <c r="D35" i="22"/>
  <c r="D35" i="23" s="1"/>
  <c r="D36" i="22"/>
  <c r="D36" i="23" s="1"/>
  <c r="D37" i="22"/>
  <c r="D37" i="23" s="1"/>
  <c r="D38" i="22"/>
  <c r="D38" i="23" s="1"/>
  <c r="D32" i="22"/>
  <c r="D32" i="23" s="1"/>
  <c r="K26" i="23"/>
  <c r="K27" i="23"/>
  <c r="K25" i="23"/>
  <c r="E20" i="22"/>
  <c r="E19" i="22"/>
  <c r="B20" i="22"/>
  <c r="B20" i="23" s="1"/>
  <c r="B19" i="22"/>
  <c r="B19" i="23" s="1"/>
  <c r="B16" i="22"/>
  <c r="B16" i="23" s="1"/>
  <c r="B15" i="22"/>
  <c r="B15" i="23" s="1"/>
  <c r="B14" i="22"/>
  <c r="B14" i="23" s="1"/>
  <c r="E11" i="23"/>
  <c r="D21" i="35" s="1"/>
  <c r="E10" i="23"/>
  <c r="D15" i="35" s="1"/>
  <c r="E9" i="23"/>
  <c r="D19" i="35" s="1"/>
  <c r="A11" i="22"/>
  <c r="A11" i="23" s="1"/>
  <c r="E8" i="23"/>
  <c r="D17" i="35" s="1"/>
  <c r="B52" i="35" s="1"/>
  <c r="B53" i="35" s="1"/>
  <c r="E7" i="23"/>
  <c r="D16" i="35" s="1"/>
  <c r="A5" i="22"/>
  <c r="A5" i="23" s="1"/>
  <c r="A6" i="22"/>
  <c r="A6" i="23" s="1"/>
  <c r="A7" i="22"/>
  <c r="A7" i="23" s="1"/>
  <c r="A8" i="22"/>
  <c r="A8" i="23" s="1"/>
  <c r="A9" i="22"/>
  <c r="A9" i="23" s="1"/>
  <c r="A10" i="22"/>
  <c r="A10" i="23" s="1"/>
  <c r="A4" i="22"/>
  <c r="A4" i="23" s="1"/>
  <c r="E5" i="23"/>
  <c r="D9" i="35" s="1"/>
  <c r="E6" i="23"/>
  <c r="D10" i="35" s="1"/>
  <c r="B57" i="35" l="1"/>
  <c r="B56" i="35"/>
  <c r="B55" i="35" s="1"/>
  <c r="E20" i="23"/>
  <c r="L20" i="22"/>
  <c r="E19" i="23"/>
  <c r="L19" i="22"/>
  <c r="D68" i="22"/>
  <c r="B64" i="23"/>
  <c r="D18" i="35" s="1"/>
  <c r="E4" i="22"/>
  <c r="E4" i="23" s="1"/>
  <c r="D8" i="35" s="1"/>
  <c r="N73" i="22" l="1"/>
  <c r="C26" i="23"/>
  <c r="C27" i="23"/>
  <c r="C25" i="23"/>
  <c r="AE106" i="10"/>
  <c r="AE101" i="10"/>
  <c r="AE96" i="10"/>
  <c r="AF97" i="10" s="1"/>
  <c r="AE91" i="10"/>
  <c r="AE86" i="10"/>
  <c r="AF87" i="10" s="1"/>
  <c r="AF95" i="10" l="1"/>
  <c r="AF85" i="10"/>
  <c r="AF107" i="10"/>
  <c r="AF105" i="10"/>
  <c r="AF90" i="10"/>
  <c r="AF92" i="10"/>
  <c r="AF100" i="10"/>
  <c r="AF102" i="10"/>
  <c r="G88" i="19" l="1"/>
  <c r="G83" i="19"/>
  <c r="E88" i="19"/>
  <c r="E87" i="19"/>
  <c r="E86" i="19"/>
  <c r="E85" i="19"/>
  <c r="E84" i="19"/>
  <c r="E83" i="19"/>
  <c r="E82" i="19"/>
  <c r="E81" i="19"/>
  <c r="E80" i="19"/>
  <c r="E79" i="19"/>
  <c r="D83" i="19"/>
  <c r="D82" i="19"/>
  <c r="D81" i="19"/>
  <c r="D80" i="19"/>
  <c r="D79" i="19"/>
  <c r="G78" i="19"/>
  <c r="G73" i="19"/>
  <c r="E78" i="19"/>
  <c r="E77" i="19"/>
  <c r="E76" i="19"/>
  <c r="E75" i="19"/>
  <c r="E74" i="19"/>
  <c r="E73" i="19"/>
  <c r="E72" i="19"/>
  <c r="E71" i="19"/>
  <c r="E70" i="19"/>
  <c r="E69" i="19"/>
  <c r="D73" i="19"/>
  <c r="D72" i="19"/>
  <c r="D71" i="19"/>
  <c r="D70" i="19"/>
  <c r="D69" i="19"/>
  <c r="G68" i="19"/>
  <c r="G63" i="19"/>
  <c r="E68" i="19"/>
  <c r="E67" i="19"/>
  <c r="E66" i="19"/>
  <c r="E65" i="19"/>
  <c r="E64" i="19"/>
  <c r="E63" i="19"/>
  <c r="E62" i="19"/>
  <c r="E61" i="19"/>
  <c r="E60" i="19"/>
  <c r="E59" i="19"/>
  <c r="D63" i="19"/>
  <c r="D62" i="19"/>
  <c r="D61" i="19"/>
  <c r="D60" i="19"/>
  <c r="D59" i="19"/>
  <c r="G58" i="19"/>
  <c r="E58" i="19"/>
  <c r="E57" i="19"/>
  <c r="E56" i="19"/>
  <c r="E55" i="19"/>
  <c r="E54" i="19"/>
  <c r="C47" i="19"/>
  <c r="B1" i="13"/>
  <c r="D1" i="13"/>
  <c r="Q32" i="19"/>
  <c r="Q31" i="19"/>
  <c r="Q30" i="19"/>
  <c r="Q29" i="19"/>
  <c r="Q28" i="19"/>
  <c r="K32" i="19"/>
  <c r="K31" i="19"/>
  <c r="K30" i="19"/>
  <c r="K29" i="19"/>
  <c r="K28" i="19"/>
  <c r="E32" i="19"/>
  <c r="E31" i="19"/>
  <c r="E30" i="19"/>
  <c r="E29" i="19"/>
  <c r="E28" i="19"/>
  <c r="Q22" i="19"/>
  <c r="Q21" i="19"/>
  <c r="Q20" i="19"/>
  <c r="Q19" i="19"/>
  <c r="Q18" i="19"/>
  <c r="K22" i="19"/>
  <c r="F83" i="19" s="1"/>
  <c r="K21" i="19"/>
  <c r="F73" i="19" s="1"/>
  <c r="K20" i="19"/>
  <c r="F68" i="19" s="1"/>
  <c r="K19" i="19"/>
  <c r="K18" i="19"/>
  <c r="E22" i="19"/>
  <c r="F82" i="19" s="1"/>
  <c r="E21" i="19"/>
  <c r="F72" i="19" s="1"/>
  <c r="E20" i="19"/>
  <c r="F62" i="19" s="1"/>
  <c r="E19" i="19"/>
  <c r="F52" i="19" s="1"/>
  <c r="E18" i="19"/>
  <c r="Q12" i="19"/>
  <c r="F81" i="19" s="1"/>
  <c r="Q11" i="19"/>
  <c r="F71" i="19" s="1"/>
  <c r="Q10" i="19"/>
  <c r="F66" i="19" s="1"/>
  <c r="Q9" i="19"/>
  <c r="Q8" i="19"/>
  <c r="K12" i="19"/>
  <c r="F85" i="19" s="1"/>
  <c r="K11" i="19"/>
  <c r="F75" i="19" s="1"/>
  <c r="K10" i="19"/>
  <c r="K9" i="19"/>
  <c r="F50" i="19" s="1"/>
  <c r="K8" i="19"/>
  <c r="E9" i="19"/>
  <c r="E10" i="19"/>
  <c r="F64" i="19" s="1"/>
  <c r="E11" i="19"/>
  <c r="F74" i="19" s="1"/>
  <c r="E12" i="19"/>
  <c r="F84" i="19" s="1"/>
  <c r="E8" i="19"/>
  <c r="F60" i="19" l="1"/>
  <c r="F65" i="19"/>
  <c r="B92" i="19"/>
  <c r="C7" i="33" s="1"/>
  <c r="B134" i="24"/>
  <c r="F54" i="19"/>
  <c r="F49" i="19"/>
  <c r="F58" i="19"/>
  <c r="F53" i="19"/>
  <c r="F56" i="19"/>
  <c r="F51" i="19"/>
  <c r="F76" i="19"/>
  <c r="F79" i="19"/>
  <c r="F57" i="19"/>
  <c r="F61" i="19"/>
  <c r="F86" i="19"/>
  <c r="F78" i="19"/>
  <c r="F69" i="19"/>
  <c r="F67" i="19"/>
  <c r="C1" i="13"/>
  <c r="F88" i="19"/>
  <c r="F63" i="19"/>
  <c r="F80" i="19"/>
  <c r="F70" i="19"/>
  <c r="F55" i="19"/>
  <c r="F59" i="19"/>
  <c r="F77" i="19"/>
  <c r="F87" i="19"/>
  <c r="A92" i="19" l="1"/>
  <c r="A134" i="24"/>
  <c r="C98" i="19" l="1"/>
  <c r="B7" i="33"/>
  <c r="C99" i="19"/>
  <c r="B99" i="19"/>
  <c r="B96" i="19"/>
  <c r="C97" i="19"/>
  <c r="C96" i="19"/>
  <c r="B97" i="19"/>
  <c r="D11" i="33" s="1"/>
  <c r="B98" i="19"/>
  <c r="E141" i="24"/>
  <c r="E144" i="24"/>
  <c r="C142" i="24"/>
  <c r="B141" i="24"/>
  <c r="E143" i="24"/>
  <c r="B144" i="24"/>
  <c r="E142" i="24"/>
  <c r="C144" i="24"/>
  <c r="B143" i="24"/>
  <c r="C143" i="24"/>
  <c r="B142" i="24"/>
  <c r="B140" i="24"/>
  <c r="C141" i="24"/>
  <c r="C138" i="24"/>
  <c r="E138" i="24"/>
  <c r="D138" i="24" s="1"/>
  <c r="B139" i="24"/>
  <c r="E140" i="24"/>
  <c r="B138" i="24"/>
  <c r="C139" i="24"/>
  <c r="E139" i="24"/>
  <c r="C140" i="24"/>
  <c r="AH100" i="10"/>
  <c r="AH90" i="10"/>
  <c r="AH85" i="10"/>
  <c r="AH95" i="10"/>
  <c r="AH105" i="10"/>
  <c r="H105" i="25" l="1"/>
  <c r="N126" i="25" s="1"/>
  <c r="D23" i="33"/>
  <c r="H110" i="25"/>
  <c r="AH128" i="25" s="1"/>
  <c r="D18" i="33"/>
  <c r="H109" i="25"/>
  <c r="C110" i="25" s="1"/>
  <c r="D110" i="25" s="1"/>
  <c r="D19" i="33"/>
  <c r="H104" i="25"/>
  <c r="D126" i="25" s="1"/>
  <c r="D24" i="33"/>
  <c r="H106" i="25"/>
  <c r="C107" i="25" s="1"/>
  <c r="D107" i="25" s="1"/>
  <c r="D22" i="33"/>
  <c r="H107" i="25"/>
  <c r="S126" i="25" s="1"/>
  <c r="D21" i="33"/>
  <c r="H108" i="25"/>
  <c r="X128" i="25" s="1"/>
  <c r="D20" i="33"/>
  <c r="H71" i="10"/>
  <c r="N112" i="10" s="1"/>
  <c r="D12" i="33"/>
  <c r="H69" i="10"/>
  <c r="D110" i="10" s="1"/>
  <c r="D10" i="33"/>
  <c r="H72" i="10"/>
  <c r="X97" i="10" s="1"/>
  <c r="D13" i="33"/>
  <c r="B117" i="25"/>
  <c r="B56" i="25" s="1"/>
  <c r="F56" i="25" s="1"/>
  <c r="I56" i="25" s="1"/>
  <c r="J56" i="25" s="1"/>
  <c r="K56" i="25" s="1"/>
  <c r="D140" i="24"/>
  <c r="B120" i="25"/>
  <c r="B20" i="25" s="1"/>
  <c r="D143" i="24"/>
  <c r="B118" i="25"/>
  <c r="B44" i="25" s="1"/>
  <c r="D141" i="24"/>
  <c r="B116" i="25"/>
  <c r="B68" i="25" s="1"/>
  <c r="F68" i="25" s="1"/>
  <c r="I68" i="25" s="1"/>
  <c r="J68" i="25" s="1"/>
  <c r="K68" i="25" s="1"/>
  <c r="D139" i="24"/>
  <c r="B115" i="25"/>
  <c r="B119" i="25"/>
  <c r="B32" i="25" s="1"/>
  <c r="D142" i="24"/>
  <c r="B121" i="25"/>
  <c r="B80" i="25" s="1"/>
  <c r="F80" i="25" s="1"/>
  <c r="I80" i="25" s="1"/>
  <c r="J80" i="25" s="1"/>
  <c r="K80" i="25" s="1"/>
  <c r="D144" i="24"/>
  <c r="AC136" i="25"/>
  <c r="AC146" i="25"/>
  <c r="AC131" i="25"/>
  <c r="AC141" i="25"/>
  <c r="I141" i="25"/>
  <c r="I131" i="25"/>
  <c r="I146" i="25"/>
  <c r="I136" i="25"/>
  <c r="AH131" i="25"/>
  <c r="AH146" i="25"/>
  <c r="AH136" i="25"/>
  <c r="AH141" i="25"/>
  <c r="N136" i="25"/>
  <c r="N146" i="25"/>
  <c r="N141" i="25"/>
  <c r="N131" i="25"/>
  <c r="H70" i="10"/>
  <c r="D85" i="10" l="1"/>
  <c r="K24" i="33"/>
  <c r="K25" i="33"/>
  <c r="K26" i="33"/>
  <c r="K20" i="33"/>
  <c r="K23" i="33"/>
  <c r="K21" i="33"/>
  <c r="K22" i="33"/>
  <c r="AC112" i="10"/>
  <c r="N102" i="10"/>
  <c r="X126" i="25"/>
  <c r="W127" i="25" s="1"/>
  <c r="H119" i="25" s="1"/>
  <c r="L91" i="3" s="1"/>
  <c r="AC126" i="25"/>
  <c r="C108" i="25"/>
  <c r="D108" i="25" s="1"/>
  <c r="X156" i="25" s="1"/>
  <c r="I133" i="25"/>
  <c r="H132" i="25" s="1"/>
  <c r="I117" i="25" s="1"/>
  <c r="N128" i="25"/>
  <c r="M127" i="25" s="1"/>
  <c r="H117" i="25" s="1"/>
  <c r="L93" i="3" s="1"/>
  <c r="I128" i="25"/>
  <c r="AH126" i="25"/>
  <c r="AG127" i="25" s="1"/>
  <c r="H121" i="25" s="1"/>
  <c r="L89" i="3" s="1"/>
  <c r="D128" i="25"/>
  <c r="C127" i="25" s="1"/>
  <c r="H115" i="25" s="1"/>
  <c r="L95" i="3" s="1"/>
  <c r="L26" i="33" s="1"/>
  <c r="S128" i="25"/>
  <c r="R127" i="25" s="1"/>
  <c r="H118" i="25" s="1"/>
  <c r="L92" i="3" s="1"/>
  <c r="C109" i="25"/>
  <c r="D109" i="25" s="1"/>
  <c r="AC156" i="25" s="1"/>
  <c r="AC128" i="25"/>
  <c r="I126" i="25"/>
  <c r="C104" i="25"/>
  <c r="D104" i="25" s="1"/>
  <c r="D154" i="25" s="1"/>
  <c r="AC92" i="10"/>
  <c r="D105" i="10"/>
  <c r="D100" i="10"/>
  <c r="X90" i="10"/>
  <c r="AC107" i="10"/>
  <c r="D90" i="10"/>
  <c r="D95" i="10"/>
  <c r="AC102" i="10"/>
  <c r="X92" i="10"/>
  <c r="C72" i="10"/>
  <c r="X112" i="10"/>
  <c r="AC97" i="10"/>
  <c r="AC87" i="10"/>
  <c r="X87" i="10"/>
  <c r="X107" i="10"/>
  <c r="X102" i="10"/>
  <c r="N87" i="10"/>
  <c r="X95" i="10"/>
  <c r="W96" i="10" s="1"/>
  <c r="N97" i="10"/>
  <c r="X100" i="10"/>
  <c r="X110" i="10"/>
  <c r="N107" i="10"/>
  <c r="N92" i="10"/>
  <c r="X85" i="10"/>
  <c r="X105" i="10"/>
  <c r="C71" i="10"/>
  <c r="AC110" i="10"/>
  <c r="AC85" i="10"/>
  <c r="AC90" i="10"/>
  <c r="AC95" i="10"/>
  <c r="AC100" i="10"/>
  <c r="AC105" i="10"/>
  <c r="AB106" i="10" s="1"/>
  <c r="AH87" i="10"/>
  <c r="AG86" i="10" s="1"/>
  <c r="D112" i="10"/>
  <c r="C111" i="10" s="1"/>
  <c r="M78" i="10" s="1"/>
  <c r="N110" i="10"/>
  <c r="M111" i="10" s="1"/>
  <c r="M79" i="10" s="1"/>
  <c r="AH156" i="25"/>
  <c r="B8" i="25"/>
  <c r="AH92" i="10"/>
  <c r="AG91" i="10" s="1"/>
  <c r="AC133" i="25"/>
  <c r="AB132" i="25" s="1"/>
  <c r="I115" i="25" s="1"/>
  <c r="AH148" i="25"/>
  <c r="AG147" i="25" s="1"/>
  <c r="L119" i="25" s="1"/>
  <c r="D133" i="25"/>
  <c r="C132" i="25" s="1"/>
  <c r="I116" i="25" s="1"/>
  <c r="AH107" i="10"/>
  <c r="AG106" i="10" s="1"/>
  <c r="I148" i="25"/>
  <c r="H147" i="25" s="1"/>
  <c r="L117" i="25" s="1"/>
  <c r="D148" i="25"/>
  <c r="C147" i="25" s="1"/>
  <c r="L116" i="25" s="1"/>
  <c r="N133" i="25"/>
  <c r="M132" i="25" s="1"/>
  <c r="I118" i="25" s="1"/>
  <c r="AC138" i="25"/>
  <c r="AB137" i="25" s="1"/>
  <c r="J115" i="25" s="1"/>
  <c r="D138" i="25"/>
  <c r="C137" i="25" s="1"/>
  <c r="J116" i="25" s="1"/>
  <c r="AH138" i="25"/>
  <c r="AG137" i="25" s="1"/>
  <c r="J119" i="25" s="1"/>
  <c r="S133" i="25"/>
  <c r="R132" i="25" s="1"/>
  <c r="I120" i="25" s="1"/>
  <c r="X133" i="25"/>
  <c r="W132" i="25" s="1"/>
  <c r="I121" i="25" s="1"/>
  <c r="X138" i="25"/>
  <c r="W137" i="25" s="1"/>
  <c r="J121" i="25" s="1"/>
  <c r="S148" i="25"/>
  <c r="R147" i="25" s="1"/>
  <c r="L120" i="25" s="1"/>
  <c r="I143" i="25"/>
  <c r="H142" i="25" s="1"/>
  <c r="K117" i="25" s="1"/>
  <c r="N148" i="25"/>
  <c r="M147" i="25" s="1"/>
  <c r="L118" i="25" s="1"/>
  <c r="AC148" i="25"/>
  <c r="AB147" i="25" s="1"/>
  <c r="L115" i="25" s="1"/>
  <c r="N138" i="25"/>
  <c r="M137" i="25" s="1"/>
  <c r="J118" i="25" s="1"/>
  <c r="AH133" i="25"/>
  <c r="AG132" i="25" s="1"/>
  <c r="I119" i="25" s="1"/>
  <c r="S138" i="25"/>
  <c r="R137" i="25" s="1"/>
  <c r="J120" i="25" s="1"/>
  <c r="D143" i="25"/>
  <c r="C142" i="25" s="1"/>
  <c r="K116" i="25" s="1"/>
  <c r="I138" i="25"/>
  <c r="H137" i="25" s="1"/>
  <c r="J117" i="25" s="1"/>
  <c r="N143" i="25"/>
  <c r="M142" i="25" s="1"/>
  <c r="K118" i="25" s="1"/>
  <c r="S143" i="25"/>
  <c r="R142" i="25" s="1"/>
  <c r="K120" i="25" s="1"/>
  <c r="X143" i="25"/>
  <c r="W142" i="25" s="1"/>
  <c r="K121" i="25" s="1"/>
  <c r="C106" i="25"/>
  <c r="D106" i="25" s="1"/>
  <c r="X148" i="25"/>
  <c r="W147" i="25" s="1"/>
  <c r="L121" i="25" s="1"/>
  <c r="AH143" i="25"/>
  <c r="AG142" i="25" s="1"/>
  <c r="K119" i="25" s="1"/>
  <c r="AC143" i="25"/>
  <c r="AB142" i="25" s="1"/>
  <c r="K115" i="25" s="1"/>
  <c r="D97" i="10"/>
  <c r="N90" i="10"/>
  <c r="D102" i="10"/>
  <c r="D87" i="10"/>
  <c r="D107" i="10"/>
  <c r="N95" i="10"/>
  <c r="N105" i="10"/>
  <c r="N85" i="10"/>
  <c r="D92" i="10"/>
  <c r="N100" i="10"/>
  <c r="AH97" i="10"/>
  <c r="AG96" i="10" s="1"/>
  <c r="AH102" i="10"/>
  <c r="AG101" i="10" s="1"/>
  <c r="F53" i="25"/>
  <c r="I53" i="25" s="1"/>
  <c r="J53" i="25" s="1"/>
  <c r="B53" i="10"/>
  <c r="AB86" i="10" l="1"/>
  <c r="L24" i="33"/>
  <c r="L23" i="33"/>
  <c r="F35" i="22" s="1"/>
  <c r="F36" i="22"/>
  <c r="M24" i="33"/>
  <c r="G36" i="22" s="1"/>
  <c r="M23" i="33"/>
  <c r="G35" i="22" s="1"/>
  <c r="F38" i="22"/>
  <c r="M26" i="33"/>
  <c r="G38" i="22" s="1"/>
  <c r="L20" i="33"/>
  <c r="L22" i="33"/>
  <c r="M101" i="10"/>
  <c r="AB91" i="10"/>
  <c r="C96" i="10"/>
  <c r="AB111" i="10"/>
  <c r="M77" i="10" s="1"/>
  <c r="AB127" i="25"/>
  <c r="H120" i="25" s="1"/>
  <c r="L90" i="3" s="1"/>
  <c r="L21" i="33" s="1"/>
  <c r="M91" i="10"/>
  <c r="C101" i="10"/>
  <c r="AB101" i="10"/>
  <c r="C91" i="10"/>
  <c r="C106" i="10"/>
  <c r="H127" i="25"/>
  <c r="H116" i="25" s="1"/>
  <c r="L94" i="3" s="1"/>
  <c r="L25" i="33" s="1"/>
  <c r="D156" i="25"/>
  <c r="I154" i="25"/>
  <c r="W101" i="10"/>
  <c r="W91" i="10"/>
  <c r="W111" i="10"/>
  <c r="M80" i="10" s="1"/>
  <c r="AB96" i="10"/>
  <c r="M86" i="10"/>
  <c r="M106" i="10"/>
  <c r="W106" i="10"/>
  <c r="W86" i="10"/>
  <c r="M96" i="10"/>
  <c r="M89" i="3"/>
  <c r="X154" i="25"/>
  <c r="W155" i="25" s="1"/>
  <c r="M119" i="25" s="1"/>
  <c r="B30" i="25" s="1"/>
  <c r="F30" i="25" s="1"/>
  <c r="I30" i="25" s="1"/>
  <c r="J30" i="25" s="1"/>
  <c r="K30" i="25" s="1"/>
  <c r="I156" i="25"/>
  <c r="AC154" i="25"/>
  <c r="AB155" i="25" s="1"/>
  <c r="M120" i="25" s="1"/>
  <c r="AH154" i="25"/>
  <c r="AG155" i="25" s="1"/>
  <c r="M121" i="25" s="1"/>
  <c r="B6" i="25" s="1"/>
  <c r="S156" i="25"/>
  <c r="O89" i="3"/>
  <c r="M95" i="3"/>
  <c r="O95" i="3"/>
  <c r="M92" i="3"/>
  <c r="O92" i="3"/>
  <c r="M91" i="3"/>
  <c r="O91" i="3"/>
  <c r="M93" i="3"/>
  <c r="O93" i="3"/>
  <c r="F36" i="23"/>
  <c r="N156" i="25"/>
  <c r="M155" i="25" s="1"/>
  <c r="M117" i="25" s="1"/>
  <c r="B54" i="25" s="1"/>
  <c r="S154" i="25"/>
  <c r="K53" i="25"/>
  <c r="AE119" i="10"/>
  <c r="AF118" i="10" s="1"/>
  <c r="E7" i="10"/>
  <c r="F7" i="10" s="1"/>
  <c r="I7" i="10" s="1"/>
  <c r="J7" i="10" s="1"/>
  <c r="K7" i="10" s="1"/>
  <c r="E6" i="10"/>
  <c r="G5" i="10"/>
  <c r="E5" i="10"/>
  <c r="C69" i="10"/>
  <c r="D69" i="10" s="1"/>
  <c r="N80" i="10"/>
  <c r="B43" i="10" s="1"/>
  <c r="N79" i="10"/>
  <c r="B31" i="10" s="1"/>
  <c r="N78" i="10"/>
  <c r="B18" i="10" s="1"/>
  <c r="F34" i="22" l="1"/>
  <c r="M22" i="33"/>
  <c r="G34" i="22" s="1"/>
  <c r="F32" i="22"/>
  <c r="M20" i="33"/>
  <c r="G32" i="22" s="1"/>
  <c r="O32" i="22" s="1"/>
  <c r="N32" i="22" s="1"/>
  <c r="F33" i="22"/>
  <c r="M21" i="33"/>
  <c r="G33" i="22" s="1"/>
  <c r="O33" i="22" s="1"/>
  <c r="N33" i="22" s="1"/>
  <c r="F37" i="22"/>
  <c r="M25" i="33"/>
  <c r="G37" i="22" s="1"/>
  <c r="O90" i="3"/>
  <c r="M90" i="3"/>
  <c r="O94" i="3"/>
  <c r="M94" i="3"/>
  <c r="H155" i="25"/>
  <c r="M116" i="25" s="1"/>
  <c r="B66" i="25" s="1"/>
  <c r="F66" i="25" s="1"/>
  <c r="I66" i="25" s="1"/>
  <c r="J66" i="25" s="1"/>
  <c r="K66" i="25" s="1"/>
  <c r="O34" i="22"/>
  <c r="N34" i="22" s="1"/>
  <c r="O36" i="22"/>
  <c r="N36" i="22" s="1"/>
  <c r="O35" i="22"/>
  <c r="N35" i="22" s="1"/>
  <c r="O38" i="22"/>
  <c r="N38" i="22" s="1"/>
  <c r="R155" i="25"/>
  <c r="M118" i="25" s="1"/>
  <c r="B42" i="25" s="1"/>
  <c r="F42" i="25" s="1"/>
  <c r="I42" i="25" s="1"/>
  <c r="J42" i="25" s="1"/>
  <c r="K42" i="25" s="1"/>
  <c r="B18" i="25"/>
  <c r="F18" i="25" s="1"/>
  <c r="I18" i="25" s="1"/>
  <c r="J18" i="25" s="1"/>
  <c r="K18" i="25" s="1"/>
  <c r="AF120" i="10"/>
  <c r="A64" i="10"/>
  <c r="E44" i="10"/>
  <c r="E43" i="10"/>
  <c r="G42" i="10"/>
  <c r="O37" i="22" l="1"/>
  <c r="N37" i="22" s="1"/>
  <c r="M32" i="22" s="1"/>
  <c r="L32" i="22" s="1"/>
  <c r="G36" i="23"/>
  <c r="I77" i="10"/>
  <c r="H77" i="10"/>
  <c r="L77" i="10"/>
  <c r="J77" i="10"/>
  <c r="F44" i="10"/>
  <c r="I44" i="10" s="1"/>
  <c r="J44" i="10" s="1"/>
  <c r="K44" i="10" s="1"/>
  <c r="K77" i="10"/>
  <c r="M82" i="3" l="1"/>
  <c r="K82" i="3"/>
  <c r="J13" i="33" s="1"/>
  <c r="K13" i="33" s="1"/>
  <c r="I80" i="10"/>
  <c r="H80" i="10"/>
  <c r="K80" i="10"/>
  <c r="L80" i="10"/>
  <c r="J80" i="10"/>
  <c r="M85" i="3" l="1"/>
  <c r="L13" i="33"/>
  <c r="K85" i="3"/>
  <c r="J16" i="33" s="1"/>
  <c r="G50" i="19"/>
  <c r="G51" i="19"/>
  <c r="G49" i="19"/>
  <c r="F77" i="25"/>
  <c r="I77" i="25" s="1"/>
  <c r="J77" i="25" s="1"/>
  <c r="B42" i="10" l="1"/>
  <c r="F42" i="10" s="1"/>
  <c r="I42" i="10" s="1"/>
  <c r="J42" i="10" s="1"/>
  <c r="K42" i="10" s="1"/>
  <c r="K46" i="10" s="1"/>
  <c r="F43" i="22"/>
  <c r="M13" i="33"/>
  <c r="G43" i="22" s="1"/>
  <c r="K16" i="33"/>
  <c r="L16" i="33" s="1"/>
  <c r="U119" i="10"/>
  <c r="L85" i="3"/>
  <c r="K77" i="25"/>
  <c r="G57" i="19"/>
  <c r="G52" i="19"/>
  <c r="F38" i="23"/>
  <c r="G55" i="19"/>
  <c r="G56" i="19"/>
  <c r="G54" i="19"/>
  <c r="E1" i="13"/>
  <c r="G30" i="10"/>
  <c r="G17" i="10"/>
  <c r="F46" i="22" l="1"/>
  <c r="F46" i="23" s="1"/>
  <c r="M16" i="33"/>
  <c r="G46" i="22" s="1"/>
  <c r="G46" i="23" s="1"/>
  <c r="V120" i="10"/>
  <c r="X118" i="10"/>
  <c r="V118" i="10"/>
  <c r="X120" i="10"/>
  <c r="G38" i="23"/>
  <c r="E96" i="19"/>
  <c r="D96" i="19" s="1"/>
  <c r="W119" i="10" l="1"/>
  <c r="B77" i="10"/>
  <c r="B8" i="10" s="1"/>
  <c r="F8" i="10" s="1"/>
  <c r="I8" i="10" s="1"/>
  <c r="J8" i="10" s="1"/>
  <c r="K8" i="10" s="1"/>
  <c r="F8" i="25"/>
  <c r="I8" i="25" s="1"/>
  <c r="J8" i="25" s="1"/>
  <c r="K8" i="25" s="1"/>
  <c r="B45" i="10"/>
  <c r="F45" i="10" s="1"/>
  <c r="I45" i="10" s="1"/>
  <c r="J45" i="10" s="1"/>
  <c r="K45" i="10" s="1"/>
  <c r="C68" i="10" l="1"/>
  <c r="D68" i="10" s="1"/>
  <c r="P106" i="10"/>
  <c r="P101" i="10"/>
  <c r="P96" i="10"/>
  <c r="P91" i="10"/>
  <c r="P86" i="10"/>
  <c r="Q85" i="10" s="1"/>
  <c r="F106" i="10"/>
  <c r="G107" i="10" s="1"/>
  <c r="F101" i="10"/>
  <c r="I102" i="10" s="1"/>
  <c r="F96" i="10"/>
  <c r="G97" i="10" s="1"/>
  <c r="F91" i="10"/>
  <c r="I92" i="10" s="1"/>
  <c r="F86" i="10"/>
  <c r="G87" i="10" s="1"/>
  <c r="C70" i="10"/>
  <c r="S85" i="10" l="1"/>
  <c r="S87" i="10"/>
  <c r="I87" i="10"/>
  <c r="G105" i="10"/>
  <c r="I105" i="10"/>
  <c r="G85" i="10"/>
  <c r="I85" i="10"/>
  <c r="I107" i="10"/>
  <c r="Q87" i="10"/>
  <c r="I97" i="10"/>
  <c r="G95" i="10"/>
  <c r="I95" i="10"/>
  <c r="G90" i="10"/>
  <c r="G92" i="10"/>
  <c r="G100" i="10"/>
  <c r="G102" i="10"/>
  <c r="I90" i="10"/>
  <c r="I100" i="10"/>
  <c r="E19" i="10"/>
  <c r="E18" i="10"/>
  <c r="E17" i="10"/>
  <c r="R86" i="10" l="1"/>
  <c r="H106" i="10"/>
  <c r="H79" i="10"/>
  <c r="H86" i="10"/>
  <c r="L78" i="10"/>
  <c r="H91" i="10"/>
  <c r="H96" i="10"/>
  <c r="F19" i="10"/>
  <c r="I19" i="10" s="1"/>
  <c r="J19" i="10" s="1"/>
  <c r="K19" i="10" s="1"/>
  <c r="J79" i="10"/>
  <c r="I79" i="10"/>
  <c r="H101" i="10"/>
  <c r="C86" i="10"/>
  <c r="H78" i="10" s="1"/>
  <c r="F29" i="25" l="1"/>
  <c r="I29" i="25" s="1"/>
  <c r="J29" i="25" s="1"/>
  <c r="K29" i="25" l="1"/>
  <c r="F34" i="23"/>
  <c r="G71" i="19"/>
  <c r="G69" i="19"/>
  <c r="G34" i="23"/>
  <c r="F119" i="10"/>
  <c r="I78" i="10"/>
  <c r="G76" i="19" l="1"/>
  <c r="G77" i="19"/>
  <c r="G72" i="19"/>
  <c r="G74" i="19"/>
  <c r="G75" i="19"/>
  <c r="G70" i="19"/>
  <c r="G118" i="10"/>
  <c r="G120" i="10"/>
  <c r="D70" i="10"/>
  <c r="D71" i="10"/>
  <c r="D72" i="10"/>
  <c r="E30" i="10"/>
  <c r="E31" i="10"/>
  <c r="E32" i="10"/>
  <c r="AH118" i="10"/>
  <c r="O16" i="3"/>
  <c r="N40" i="33" s="1"/>
  <c r="O15" i="3"/>
  <c r="I40" i="33" s="1"/>
  <c r="J40" i="33" s="1"/>
  <c r="K40" i="33" s="1"/>
  <c r="O40" i="33" l="1"/>
  <c r="P40" i="33" s="1"/>
  <c r="I47" i="33" s="1"/>
  <c r="J44" i="33" s="1"/>
  <c r="M47" i="33"/>
  <c r="E15" i="22" s="1"/>
  <c r="E15" i="23" s="1"/>
  <c r="I46" i="33"/>
  <c r="J43" i="33" s="1"/>
  <c r="M46" i="33"/>
  <c r="E14" i="22" s="1"/>
  <c r="E14" i="23" s="1"/>
  <c r="G92" i="25"/>
  <c r="J91" i="25" s="1"/>
  <c r="P16" i="3"/>
  <c r="G96" i="25"/>
  <c r="E98" i="19"/>
  <c r="D98" i="19" s="1"/>
  <c r="I120" i="10"/>
  <c r="G57" i="10"/>
  <c r="J56" i="10" s="1"/>
  <c r="P15" i="3"/>
  <c r="AH120" i="10"/>
  <c r="AG119" i="10" s="1"/>
  <c r="I118" i="10"/>
  <c r="G61" i="10"/>
  <c r="J62" i="10" s="1"/>
  <c r="F32" i="10"/>
  <c r="I32" i="10" s="1"/>
  <c r="J32" i="10" s="1"/>
  <c r="K32" i="10" s="1"/>
  <c r="H93" i="25" l="1"/>
  <c r="J93" i="25"/>
  <c r="H91" i="25"/>
  <c r="F32" i="25"/>
  <c r="I32" i="25" s="1"/>
  <c r="J32" i="25" s="1"/>
  <c r="H97" i="25"/>
  <c r="H95" i="25"/>
  <c r="J97" i="25"/>
  <c r="J95" i="25"/>
  <c r="F43" i="10"/>
  <c r="I43" i="10" s="1"/>
  <c r="J43" i="10" s="1"/>
  <c r="H58" i="10"/>
  <c r="H119" i="10"/>
  <c r="H56" i="10"/>
  <c r="J58" i="10"/>
  <c r="J60" i="10"/>
  <c r="H62" i="10"/>
  <c r="H60" i="10"/>
  <c r="I92" i="25" l="1"/>
  <c r="K32" i="25"/>
  <c r="K33" i="25" s="1"/>
  <c r="J33" i="25"/>
  <c r="J34" i="25" s="1"/>
  <c r="K43" i="10"/>
  <c r="J46" i="10"/>
  <c r="J47" i="10" s="1"/>
  <c r="J48" i="10" s="1"/>
  <c r="J49" i="10" s="1"/>
  <c r="J50" i="10" s="1"/>
  <c r="O85" i="3" s="1"/>
  <c r="I46" i="22" s="1"/>
  <c r="I96" i="25"/>
  <c r="I57" i="10"/>
  <c r="I61" i="10"/>
  <c r="K78" i="10"/>
  <c r="J78" i="10"/>
  <c r="M83" i="3" s="1"/>
  <c r="K83" i="3" l="1"/>
  <c r="J14" i="33" s="1"/>
  <c r="J35" i="25"/>
  <c r="J36" i="25" s="1"/>
  <c r="F17" i="25"/>
  <c r="I17" i="25" s="1"/>
  <c r="J17" i="25" s="1"/>
  <c r="K14" i="33" l="1"/>
  <c r="L14" i="33" s="1"/>
  <c r="J46" i="23"/>
  <c r="N85" i="3"/>
  <c r="A119" i="10"/>
  <c r="D118" i="10" s="1"/>
  <c r="L83" i="3"/>
  <c r="K17" i="25"/>
  <c r="G67" i="19"/>
  <c r="F33" i="23"/>
  <c r="B17" i="10"/>
  <c r="F17" i="10" s="1"/>
  <c r="I17" i="10" s="1"/>
  <c r="J17" i="10" s="1"/>
  <c r="G60" i="19"/>
  <c r="F44" i="22" l="1"/>
  <c r="F44" i="23" s="1"/>
  <c r="M14" i="33"/>
  <c r="G44" i="22" s="1"/>
  <c r="G44" i="23" s="1"/>
  <c r="D120" i="10"/>
  <c r="K17" i="10"/>
  <c r="B118" i="10"/>
  <c r="B120" i="10"/>
  <c r="O46" i="22"/>
  <c r="N46" i="22" s="1"/>
  <c r="G33" i="23"/>
  <c r="G62" i="19"/>
  <c r="G65" i="19"/>
  <c r="G61" i="19"/>
  <c r="G66" i="19"/>
  <c r="G59" i="19"/>
  <c r="G64" i="19"/>
  <c r="C119" i="10" l="1"/>
  <c r="C155" i="25"/>
  <c r="M115" i="25" s="1"/>
  <c r="B78" i="25" s="1"/>
  <c r="F78" i="25" s="1"/>
  <c r="I78" i="25" s="1"/>
  <c r="J78" i="25" s="1"/>
  <c r="J81" i="25" s="1"/>
  <c r="E97" i="19"/>
  <c r="D97" i="19" s="1"/>
  <c r="F18" i="10"/>
  <c r="I18" i="10" s="1"/>
  <c r="J18" i="10" s="1"/>
  <c r="K78" i="25" l="1"/>
  <c r="K81" i="25" s="1"/>
  <c r="J82" i="25"/>
  <c r="B78" i="10"/>
  <c r="B20" i="10" s="1"/>
  <c r="F20" i="10" s="1"/>
  <c r="I20" i="10" s="1"/>
  <c r="J20" i="10" s="1"/>
  <c r="K20" i="10" s="1"/>
  <c r="F20" i="25"/>
  <c r="I20" i="25" s="1"/>
  <c r="J20" i="25" s="1"/>
  <c r="K18" i="10"/>
  <c r="K21" i="10" l="1"/>
  <c r="K20" i="25"/>
  <c r="K21" i="25" s="1"/>
  <c r="J21" i="25"/>
  <c r="J22" i="25" s="1"/>
  <c r="J21" i="10"/>
  <c r="J22" i="10" s="1"/>
  <c r="J83" i="25"/>
  <c r="J84" i="25" s="1"/>
  <c r="J85" i="25" s="1"/>
  <c r="P95" i="3" s="1"/>
  <c r="I38" i="22" l="1"/>
  <c r="J38" i="23" s="1"/>
  <c r="J23" i="25"/>
  <c r="J23" i="10"/>
  <c r="J24" i="10" s="1"/>
  <c r="J25" i="10" s="1"/>
  <c r="J24" i="25" l="1"/>
  <c r="J25" i="25" s="1"/>
  <c r="P90" i="3" s="1"/>
  <c r="J37" i="25"/>
  <c r="P91" i="3" s="1"/>
  <c r="O83" i="3"/>
  <c r="I44" i="22" s="1"/>
  <c r="L79" i="10"/>
  <c r="I34" i="22" l="1"/>
  <c r="J34" i="23" s="1"/>
  <c r="I33" i="22"/>
  <c r="J33" i="23" s="1"/>
  <c r="J44" i="23"/>
  <c r="N83" i="3"/>
  <c r="O44" i="22" s="1"/>
  <c r="N44" i="22" s="1"/>
  <c r="K79" i="10"/>
  <c r="Q102" i="10"/>
  <c r="Q90" i="10"/>
  <c r="Q92" i="10"/>
  <c r="S97" i="10"/>
  <c r="S100" i="10"/>
  <c r="S90" i="10"/>
  <c r="S107" i="10"/>
  <c r="K84" i="3" l="1"/>
  <c r="J15" i="33" s="1"/>
  <c r="K15" i="33" s="1"/>
  <c r="L15" i="33" s="1"/>
  <c r="M84" i="3"/>
  <c r="F41" i="25"/>
  <c r="I41" i="25" s="1"/>
  <c r="J41" i="25" s="1"/>
  <c r="Q105" i="10"/>
  <c r="Q95" i="10"/>
  <c r="Q107" i="10"/>
  <c r="Q100" i="10"/>
  <c r="S95" i="10"/>
  <c r="S105" i="10"/>
  <c r="S92" i="10"/>
  <c r="R91" i="10" s="1"/>
  <c r="S102" i="10"/>
  <c r="Q97" i="10"/>
  <c r="F45" i="22" l="1"/>
  <c r="F45" i="23" s="1"/>
  <c r="M15" i="33"/>
  <c r="G45" i="22" s="1"/>
  <c r="K119" i="10"/>
  <c r="N118" i="10" s="1"/>
  <c r="K41" i="25"/>
  <c r="L84" i="3"/>
  <c r="G87" i="19"/>
  <c r="F35" i="23"/>
  <c r="B30" i="10"/>
  <c r="F30" i="10" s="1"/>
  <c r="I30" i="10" s="1"/>
  <c r="J30" i="10" s="1"/>
  <c r="G85" i="19"/>
  <c r="G79" i="19"/>
  <c r="R101" i="10"/>
  <c r="R106" i="10"/>
  <c r="R96" i="10"/>
  <c r="L118" i="10" l="1"/>
  <c r="L120" i="10"/>
  <c r="K30" i="10"/>
  <c r="N120" i="10"/>
  <c r="G35" i="23"/>
  <c r="G45" i="23"/>
  <c r="F54" i="25"/>
  <c r="I54" i="25" s="1"/>
  <c r="J54" i="25" s="1"/>
  <c r="J57" i="25" s="1"/>
  <c r="G82" i="19"/>
  <c r="G80" i="19"/>
  <c r="G81" i="19"/>
  <c r="G86" i="19"/>
  <c r="G84" i="19"/>
  <c r="F65" i="25"/>
  <c r="I65" i="25" s="1"/>
  <c r="J65" i="25" s="1"/>
  <c r="J69" i="25" s="1"/>
  <c r="E99" i="19" l="1"/>
  <c r="D99" i="19" s="1"/>
  <c r="M119" i="10"/>
  <c r="K54" i="25"/>
  <c r="K57" i="25" s="1"/>
  <c r="J58" i="25"/>
  <c r="F44" i="25"/>
  <c r="I44" i="25" s="1"/>
  <c r="J44" i="25" s="1"/>
  <c r="K65" i="25"/>
  <c r="K69" i="25" s="1"/>
  <c r="J70" i="25"/>
  <c r="F37" i="23"/>
  <c r="G37" i="23"/>
  <c r="F31" i="10"/>
  <c r="I31" i="10" s="1"/>
  <c r="J31" i="10" s="1"/>
  <c r="P119" i="10"/>
  <c r="B79" i="10" l="1"/>
  <c r="B33" i="10" s="1"/>
  <c r="F33" i="10" s="1"/>
  <c r="I33" i="10" s="1"/>
  <c r="J33" i="10" s="1"/>
  <c r="K33" i="10" s="1"/>
  <c r="K44" i="25"/>
  <c r="K45" i="25" s="1"/>
  <c r="J45" i="25"/>
  <c r="J46" i="25" s="1"/>
  <c r="J59" i="25"/>
  <c r="J60" i="25" s="1"/>
  <c r="J61" i="25" s="1"/>
  <c r="J71" i="25"/>
  <c r="J72" i="25" s="1"/>
  <c r="J73" i="25" s="1"/>
  <c r="P94" i="3" s="1"/>
  <c r="I37" i="22" s="1"/>
  <c r="J37" i="23" s="1"/>
  <c r="K31" i="10"/>
  <c r="Q118" i="10"/>
  <c r="S120" i="10"/>
  <c r="Q120" i="10"/>
  <c r="S118" i="10"/>
  <c r="K34" i="10" l="1"/>
  <c r="J34" i="10"/>
  <c r="J35" i="10" s="1"/>
  <c r="J47" i="25"/>
  <c r="J48" i="25" s="1"/>
  <c r="J49" i="25" s="1"/>
  <c r="P92" i="3" s="1"/>
  <c r="I35" i="22" s="1"/>
  <c r="J35" i="23" s="1"/>
  <c r="R119" i="10"/>
  <c r="J36" i="10" l="1"/>
  <c r="J37" i="10" s="1"/>
  <c r="J38" i="10" s="1"/>
  <c r="O84" i="3" s="1"/>
  <c r="I45" i="22" s="1"/>
  <c r="J45" i="23" l="1"/>
  <c r="N84" i="3"/>
  <c r="O45" i="22" s="1"/>
  <c r="N45" i="22" s="1"/>
  <c r="F5" i="25" l="1"/>
  <c r="I5" i="25" s="1"/>
  <c r="J5" i="25" s="1"/>
  <c r="B5" i="10" l="1"/>
  <c r="F5" i="10" s="1"/>
  <c r="I5" i="10" s="1"/>
  <c r="J5" i="10" s="1"/>
  <c r="F32" i="23"/>
  <c r="K5" i="25"/>
  <c r="K5" i="10" l="1"/>
  <c r="G32" i="23"/>
  <c r="F6" i="25" l="1"/>
  <c r="I6" i="25" s="1"/>
  <c r="J6" i="25" s="1"/>
  <c r="K6" i="25" l="1"/>
  <c r="K9" i="25" s="1"/>
  <c r="J9" i="25"/>
  <c r="J10" i="25" s="1"/>
  <c r="J11" i="25" l="1"/>
  <c r="J12" i="25" s="1"/>
  <c r="J13" i="25" s="1"/>
  <c r="P89" i="3" s="1"/>
  <c r="I32" i="22" s="1"/>
  <c r="J32" i="23" s="1"/>
  <c r="P93" i="3" l="1"/>
  <c r="I36" i="22" l="1"/>
  <c r="J36" i="23" s="1"/>
  <c r="F43" i="23"/>
  <c r="Z119" i="10"/>
  <c r="AC120" i="10" s="1"/>
  <c r="L82" i="3"/>
  <c r="G43" i="23" s="1"/>
  <c r="AA120" i="10" l="1"/>
  <c r="AA118" i="10"/>
  <c r="AC118" i="10"/>
  <c r="AB119" i="10" l="1"/>
  <c r="N77" i="10" s="1"/>
  <c r="B6" i="10" l="1"/>
  <c r="F6" i="10" s="1"/>
  <c r="I6" i="10" s="1"/>
  <c r="J6" i="10" s="1"/>
  <c r="J9" i="10" l="1"/>
  <c r="J10" i="10" s="1"/>
  <c r="K6" i="10"/>
  <c r="K9" i="10" s="1"/>
  <c r="J11" i="10" l="1"/>
  <c r="J12" i="10" s="1"/>
  <c r="J13" i="10" s="1"/>
  <c r="O82" i="3" s="1"/>
  <c r="N82" i="3" s="1"/>
  <c r="O43" i="22" s="1"/>
  <c r="N43" i="22" l="1"/>
  <c r="M43" i="22" s="1"/>
  <c r="L43" i="22" s="1"/>
  <c r="M71" i="22" s="1"/>
  <c r="I43" i="22"/>
  <c r="J43" i="23" s="1"/>
  <c r="N75" i="22" l="1"/>
  <c r="I69" i="22" l="1"/>
  <c r="B63" i="3" s="1"/>
  <c r="B61" i="22" s="1"/>
  <c r="B60" i="23" s="1"/>
  <c r="F6" i="35"/>
  <c r="H2" i="3" l="1"/>
  <c r="A2" i="22" l="1"/>
  <c r="A2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L338" authorId="0" shapeId="0" xr:uid="{00000000-0006-0000-0A00-000001000000}">
      <text>
        <r>
          <rPr>
            <b/>
            <sz val="9"/>
            <rFont val="Tahoma"/>
            <family val="2"/>
          </rPr>
          <t>HP:</t>
        </r>
        <r>
          <rPr>
            <sz val="9"/>
            <rFont val="Tahoma"/>
            <family val="2"/>
          </rPr>
          <t xml:space="preserve">
dari input data</t>
        </r>
      </text>
    </comment>
  </commentList>
</comments>
</file>

<file path=xl/sharedStrings.xml><?xml version="1.0" encoding="utf-8"?>
<sst xmlns="http://schemas.openxmlformats.org/spreadsheetml/2006/main" count="2240" uniqueCount="516">
  <si>
    <t>LEMBAR KERJA KALIBRASI PULSE OXYMETER</t>
  </si>
  <si>
    <t>Nomor Sertifikat / Nomor Surat Keterangan : 42 /     / VI - 21 / E - 032.48 DL</t>
  </si>
  <si>
    <t>Merek</t>
  </si>
  <si>
    <t xml:space="preserve">: </t>
  </si>
  <si>
    <t>Model/Tipe</t>
  </si>
  <si>
    <t>No. Seri</t>
  </si>
  <si>
    <t>Resolusi</t>
  </si>
  <si>
    <t>:     (…….)</t>
  </si>
  <si>
    <t>% &amp; (…...)</t>
  </si>
  <si>
    <t>BPM</t>
  </si>
  <si>
    <t>Tanggal Penerimaan Alat</t>
  </si>
  <si>
    <t>Tanggal Kalibrasi</t>
  </si>
  <si>
    <t>Tempat Kalibrasi</t>
  </si>
  <si>
    <t>Nama Ruang</t>
  </si>
  <si>
    <t xml:space="preserve">I.     </t>
  </si>
  <si>
    <t>Kondisi Ruang</t>
  </si>
  <si>
    <t>Awal</t>
  </si>
  <si>
    <t>Akhir</t>
  </si>
  <si>
    <t>1. Suhu</t>
  </si>
  <si>
    <r>
      <t>o</t>
    </r>
    <r>
      <rPr>
        <sz val="11"/>
        <rFont val="Arial"/>
        <family val="2"/>
      </rPr>
      <t>C</t>
    </r>
  </si>
  <si>
    <t xml:space="preserve">2. Kelembaban </t>
  </si>
  <si>
    <t>% RH</t>
  </si>
  <si>
    <t xml:space="preserve">3. Tegangan jala - jala </t>
  </si>
  <si>
    <t>:</t>
  </si>
  <si>
    <t>Volt</t>
  </si>
  <si>
    <t xml:space="preserve">II.     </t>
  </si>
  <si>
    <t>Pemeriksaan Kondisi Fisik dan Fungsi Alat</t>
  </si>
  <si>
    <t>Score</t>
  </si>
  <si>
    <t>1. Fisik</t>
  </si>
  <si>
    <t>: Baik / Tidak Baik</t>
  </si>
  <si>
    <t>2. Fungsi</t>
  </si>
  <si>
    <t>III.</t>
  </si>
  <si>
    <t>Pengujian Keselamatan Listrik</t>
  </si>
  <si>
    <t>No</t>
  </si>
  <si>
    <t>Parameter</t>
  </si>
  <si>
    <t>Hasil Ukur</t>
  </si>
  <si>
    <t xml:space="preserve">Ambang Batas </t>
  </si>
  <si>
    <t>yang diijinkan</t>
  </si>
  <si>
    <t>Resistansi isolasi</t>
  </si>
  <si>
    <t>MΩ</t>
  </si>
  <si>
    <t xml:space="preserve">&gt; 2 MΩ
</t>
  </si>
  <si>
    <t>Resistansi Pembumian Protektif</t>
  </si>
  <si>
    <t>Ω</t>
  </si>
  <si>
    <t>≤ 0.2 Ω</t>
  </si>
  <si>
    <t>Arus bocor peralatan untuk peralatan elektromedik kelas I / II</t>
  </si>
  <si>
    <t>µA</t>
  </si>
  <si>
    <t>≤  500 / 100 µA</t>
  </si>
  <si>
    <t xml:space="preserve">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</si>
  <si>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'</t>
  </si>
  <si>
    <t>IV.</t>
  </si>
  <si>
    <t xml:space="preserve">Pengujian Kinerja  </t>
  </si>
  <si>
    <t>Setting                             Pada Standar</t>
  </si>
  <si>
    <t xml:space="preserve"> Pembacaan pada Alat</t>
  </si>
  <si>
    <t>Toleransi</t>
  </si>
  <si>
    <t>I</t>
  </si>
  <si>
    <t>II</t>
  </si>
  <si>
    <t>III</t>
  </si>
  <si>
    <t>IV</t>
  </si>
  <si>
    <t>V</t>
  </si>
  <si>
    <t>VI</t>
  </si>
  <si>
    <t>Batas</t>
  </si>
  <si>
    <t>Saturasi O₂ (%)</t>
  </si>
  <si>
    <t>± 1 % O₂</t>
  </si>
  <si>
    <t>maksimal 3 titik keluar</t>
  </si>
  <si>
    <t>2.</t>
  </si>
  <si>
    <t>3.</t>
  </si>
  <si>
    <t>4.</t>
  </si>
  <si>
    <t>5.</t>
  </si>
  <si>
    <t>6.</t>
  </si>
  <si>
    <t>7.</t>
  </si>
  <si>
    <t>B. Kalibrasi Akurasi Heart Rate</t>
  </si>
  <si>
    <t>maksimal 2 titik keluar</t>
  </si>
  <si>
    <t>Heart Rate (BPM)</t>
  </si>
  <si>
    <r>
      <t xml:space="preserve"> </t>
    </r>
    <r>
      <rPr>
        <u/>
        <sz val="11"/>
        <rFont val="Arial"/>
        <family val="2"/>
      </rPr>
      <t>+</t>
    </r>
    <r>
      <rPr>
        <sz val="11"/>
        <rFont val="Arial"/>
        <family val="2"/>
      </rPr>
      <t xml:space="preserve"> 5%</t>
    </r>
  </si>
  <si>
    <t>V.</t>
  </si>
  <si>
    <t>Keterangan</t>
  </si>
  <si>
    <t>...............................................................................................</t>
  </si>
  <si>
    <t xml:space="preserve"> </t>
  </si>
  <si>
    <t>VI.</t>
  </si>
  <si>
    <t xml:space="preserve">Alat Ukur Yang Digunakan </t>
  </si>
  <si>
    <t>□</t>
  </si>
  <si>
    <t>SpO2 Simulator, Merek : Fluke, Model : SPOTLight SN : 2799069, 2799009, 4403084, 4352022, 4404040, 4589019</t>
  </si>
  <si>
    <t>Electrical Safety Analyzer, Merek : FLUKE, Model : ESA 615, SN : 2853077, 2853078, 3148907, 3148908, 3699030</t>
  </si>
  <si>
    <t>Electrical Safety Analyzer, Merek : FLUKE, Model : ESA 615, SN : 4670010, 4669058</t>
  </si>
  <si>
    <t>Electrical Safety Analyzer, Merek : FLUKE  Model : ESA 620 SN :1837056, 1834020</t>
  </si>
  <si>
    <t>Digital Thermohygrometer, Merek : KIMO, Model : KH-210 , SN: 15062875, 15062874, 14082463, 15062872, 15062873</t>
  </si>
  <si>
    <t>Digital Thermohygrometer, Merek : Sekonic, Model : ST - 50A, SN: HE 21-000670,  HE 21-000669</t>
  </si>
  <si>
    <t>Digital Thermohygrometer, Merek : GREISINGER, Model : GFTB 200, SN: 34903046,  34903053, 34903051, 34904091</t>
  </si>
  <si>
    <t>Digital Thermohygro Barometer : EXTECH, SD700, SN : A.100609, A.100605, A.100611, A.100616,  A.100617</t>
  </si>
  <si>
    <t xml:space="preserve">A.100618, A.100586 </t>
  </si>
  <si>
    <t xml:space="preserve">VII. </t>
  </si>
  <si>
    <t>Kesimpulan</t>
  </si>
  <si>
    <t>Alat yang dikalibrasi dinyatakan LAIK PAKAI / TIDAK LAIK PAKAI</t>
  </si>
  <si>
    <t>VIII.</t>
  </si>
  <si>
    <t>Petugas Kalibrasi</t>
  </si>
  <si>
    <t>..............................</t>
  </si>
  <si>
    <t>No.</t>
  </si>
  <si>
    <t>Tanggal</t>
  </si>
  <si>
    <t>Revisi</t>
  </si>
  <si>
    <t>Oleh</t>
  </si>
  <si>
    <t>-</t>
  </si>
  <si>
    <t>Revisi NC kelas II</t>
  </si>
  <si>
    <t>ada sama dengan</t>
  </si>
  <si>
    <t>&gt; 20 MΩ</t>
  </si>
  <si>
    <t>Penambahan Alat tidak boleh digunakan pada instalasi yang tanpa dilengkapi grounding pada LHK dan penyelia</t>
  </si>
  <si>
    <t>tidak terdapat grounding</t>
  </si>
  <si>
    <t>tidak terdapat grounding di ruangan</t>
  </si>
  <si>
    <t>Perbaikan rumus NC</t>
  </si>
  <si>
    <t>Kelembaban relatif</t>
  </si>
  <si>
    <t>kelembaban</t>
  </si>
  <si>
    <t>Kesimpulan tidak otomatis</t>
  </si>
  <si>
    <t>Kesimpulan otomatis</t>
  </si>
  <si>
    <t>Pemilihan no. sertifikat / surat ket masih manual</t>
  </si>
  <si>
    <t>DONE</t>
  </si>
  <si>
    <t>Arya</t>
  </si>
  <si>
    <t>STDEV DB Suhu masih manual</t>
  </si>
  <si>
    <t>Scoring oksigen 30 dan bpm 20</t>
  </si>
  <si>
    <t>Scoring oksigen 35 dan bpm 15</t>
  </si>
  <si>
    <t>Venna</t>
  </si>
  <si>
    <t>28 Juni 2021</t>
  </si>
  <si>
    <t>Koreksi di penyelia Absolut</t>
  </si>
  <si>
    <t>Septi</t>
  </si>
  <si>
    <t>5 Januari 2022</t>
  </si>
  <si>
    <t>Perbaikan scoring total</t>
  </si>
  <si>
    <t>Isra</t>
  </si>
  <si>
    <t>7 Januari 2022</t>
  </si>
  <si>
    <t>Perbaikan scoring Saturasi</t>
  </si>
  <si>
    <t>Menambahkan Sheet Cetak Sertifikat</t>
  </si>
  <si>
    <t>Septia</t>
  </si>
  <si>
    <t>INPUT DATA KALIBRASI PULSE OXYMETER</t>
  </si>
  <si>
    <t>Acare</t>
  </si>
  <si>
    <t>UGD</t>
  </si>
  <si>
    <t>Metode Kerja</t>
  </si>
  <si>
    <t>MK 041 - 18</t>
  </si>
  <si>
    <t>I.</t>
  </si>
  <si>
    <t>Rata2</t>
  </si>
  <si>
    <t>Rata2 Terkoreksi</t>
  </si>
  <si>
    <t xml:space="preserve">1. Suhu </t>
  </si>
  <si>
    <t>°C</t>
  </si>
  <si>
    <r>
      <t>o</t>
    </r>
    <r>
      <rPr>
        <sz val="11"/>
        <color indexed="9"/>
        <rFont val="Arial"/>
        <family val="2"/>
      </rPr>
      <t>C</t>
    </r>
  </si>
  <si>
    <t>2. Kelembaban</t>
  </si>
  <si>
    <t>%RH</t>
  </si>
  <si>
    <t>3. Tegangan Jala - jala</t>
  </si>
  <si>
    <t>II.</t>
  </si>
  <si>
    <t>Baik</t>
  </si>
  <si>
    <t xml:space="preserve">Arus bocor peralatan untuk peralatan elektromedik kelas I </t>
  </si>
  <si>
    <t>Arus bocor peralatan untuk peralatan elektromedik kelas II</t>
  </si>
  <si>
    <t>Pengujian Kinerja</t>
  </si>
  <si>
    <t>A. Kalibrasi Akurasi Saturasi Oksigen</t>
  </si>
  <si>
    <t xml:space="preserve"> Pembacaan Alat</t>
  </si>
  <si>
    <t>NC</t>
  </si>
  <si>
    <t>1.</t>
  </si>
  <si>
    <t>Ketidakpastian pengukuran diperoleh dari sumber kesalahan tipe A dan tipe B</t>
  </si>
  <si>
    <t>Catu daya menggunakan baterai</t>
  </si>
  <si>
    <t>Alat Ukur Yang Digunakan</t>
  </si>
  <si>
    <t>SPO₂ Simulator, Merek : Fluke, Model : SPOT LIGHT, SN : 4589019</t>
  </si>
  <si>
    <t>Digital Thermohygro Barometer : EXTECH, SD700, SN : A.100586</t>
  </si>
  <si>
    <t>VII.</t>
  </si>
  <si>
    <t>Tidak terdapat grounding di ruangan</t>
  </si>
  <si>
    <t>Septia Khairunnisa</t>
  </si>
  <si>
    <t>IX.</t>
  </si>
  <si>
    <t>Tanggal Pembuatan Laporan</t>
  </si>
  <si>
    <t>Hasil Skor</t>
  </si>
  <si>
    <t>Tidak terdapat grounding</t>
  </si>
  <si>
    <t>Alat tidak boleh digunakan pada instalasi yang tanpa dilengkapi grounding</t>
  </si>
  <si>
    <t xml:space="preserve"> Pembacaan UUT Terkoreksi</t>
  </si>
  <si>
    <t>Rata - Rata terkoreksi</t>
  </si>
  <si>
    <t>Koreksi</t>
  </si>
  <si>
    <t>Standar deviasi</t>
  </si>
  <si>
    <t>Koreksi Relatif %</t>
  </si>
  <si>
    <t>U95</t>
  </si>
  <si>
    <t>Frekuensi Heart Rate (BPM)</t>
  </si>
  <si>
    <t>4</t>
  </si>
  <si>
    <t>6</t>
  </si>
  <si>
    <t xml:space="preserve"> Pembacaan UUT</t>
  </si>
  <si>
    <t xml:space="preserve">Rata - Rata </t>
  </si>
  <si>
    <t>Kesalahan</t>
  </si>
  <si>
    <t>Relatif</t>
  </si>
  <si>
    <t>Tidak Baik</t>
  </si>
  <si>
    <t>2. Tidak terdapat grounding</t>
  </si>
  <si>
    <t>2. Catu daya menggunakan genset</t>
  </si>
  <si>
    <t>2. Catu daya menngunakan baterai</t>
  </si>
  <si>
    <t>2.  Catu daya menggunakan adaptor</t>
  </si>
  <si>
    <t>Dany Firmanto</t>
  </si>
  <si>
    <t>Donny Martha</t>
  </si>
  <si>
    <t>Choirul Huda</t>
  </si>
  <si>
    <t>Rangga Prasetya Hantoko</t>
  </si>
  <si>
    <t>Muhammad Zaenuri Sugiasmoro</t>
  </si>
  <si>
    <t>Muhammad Arrizal Septiawan</t>
  </si>
  <si>
    <t>Supriyanto</t>
  </si>
  <si>
    <t>Isra Mahensa</t>
  </si>
  <si>
    <t xml:space="preserve">Alat yang di kalibrasi dalam batas toleransi dan dinyatakan LAIK PAKAI </t>
  </si>
  <si>
    <t xml:space="preserve">Alat yang di kalibrasi melebihi batas toleransi dan dinyatakan TIDAK LAIK PAKAI </t>
  </si>
  <si>
    <t/>
  </si>
  <si>
    <t>UNCERTAINTY</t>
  </si>
  <si>
    <t>BPM 30</t>
  </si>
  <si>
    <t>Sumber</t>
  </si>
  <si>
    <t>u</t>
  </si>
  <si>
    <t>satuan</t>
  </si>
  <si>
    <t>dist</t>
  </si>
  <si>
    <t>div</t>
  </si>
  <si>
    <t>ui</t>
  </si>
  <si>
    <t>vi</t>
  </si>
  <si>
    <t>ci</t>
  </si>
  <si>
    <t>ui.ci</t>
  </si>
  <si>
    <t>(ui.ci)^2</t>
  </si>
  <si>
    <t>(ui.ci)^4/vi</t>
  </si>
  <si>
    <t>Repeatibility</t>
  </si>
  <si>
    <t>bpm</t>
  </si>
  <si>
    <t>normal</t>
  </si>
  <si>
    <t xml:space="preserve">Drift </t>
  </si>
  <si>
    <t>rect.</t>
  </si>
  <si>
    <t>Sertifikat Standart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</si>
  <si>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</si>
  <si>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</si>
  <si>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</si>
  <si>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</si>
  <si>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</si>
  <si>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</si>
  <si>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</si>
  <si>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</si>
  <si>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</si>
  <si>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BPM 60</t>
  </si>
  <si>
    <t>BPM 120</t>
  </si>
  <si>
    <t>BPM 240</t>
  </si>
  <si>
    <t>Drift Standart</t>
  </si>
  <si>
    <t>KIMO</t>
  </si>
  <si>
    <t>Suhu</t>
  </si>
  <si>
    <t>Kelembaban</t>
  </si>
  <si>
    <t>Reading</t>
  </si>
  <si>
    <t>INTERPOLASI SUHU</t>
  </si>
  <si>
    <t>U Termo</t>
  </si>
  <si>
    <t>INTERPOLASI KELEMBABAN</t>
  </si>
  <si>
    <t>Koreksi 2018</t>
  </si>
  <si>
    <t>DRIFT</t>
  </si>
  <si>
    <t>Hasil Interpolasi</t>
  </si>
  <si>
    <t>Drift</t>
  </si>
  <si>
    <t>INTERPOLASI KOREKSI</t>
  </si>
  <si>
    <t>BPM 90</t>
  </si>
  <si>
    <t>BPM 180</t>
  </si>
  <si>
    <t>Pengukuran I</t>
  </si>
  <si>
    <t>Pengukuran II</t>
  </si>
  <si>
    <t>Pengukuran III</t>
  </si>
  <si>
    <t>Pengukuran IV</t>
  </si>
  <si>
    <t>Pengukuran V</t>
  </si>
  <si>
    <t>Pengukuran VI</t>
  </si>
  <si>
    <t>INTERPOLASI DRIFT</t>
  </si>
  <si>
    <t>SPO2 100%</t>
  </si>
  <si>
    <t>% O₂</t>
  </si>
  <si>
    <t>SPO2 99%</t>
  </si>
  <si>
    <t>SPO2 98%</t>
  </si>
  <si>
    <t>SPO2 97%</t>
  </si>
  <si>
    <t>SPO2 95%</t>
  </si>
  <si>
    <t>SPO2 90%</t>
  </si>
  <si>
    <t>SPO2 85%</t>
  </si>
  <si>
    <t>85 % O₂</t>
  </si>
  <si>
    <t>90 % O₂</t>
  </si>
  <si>
    <t>95 % O₂</t>
  </si>
  <si>
    <t>97 % O₂</t>
  </si>
  <si>
    <t>98 % O₂</t>
  </si>
  <si>
    <t>99 % O₂</t>
  </si>
  <si>
    <t>100 % O₂</t>
  </si>
  <si>
    <t>HASIL KALIBRASI PULSE OXYMETER</t>
  </si>
  <si>
    <t>Setting Standar</t>
  </si>
  <si>
    <t>Pambacaan Alat</t>
  </si>
  <si>
    <t>Ketidakpastian Pengukuran</t>
  </si>
  <si>
    <t>score</t>
  </si>
  <si>
    <t>Koreksi Relatif ( % )</t>
  </si>
  <si>
    <t>± 5 %</t>
  </si>
  <si>
    <t>Dibuat Oleh :</t>
  </si>
  <si>
    <t>Paraf:…..</t>
  </si>
  <si>
    <t>TOTAL</t>
  </si>
  <si>
    <t>Penyelia :</t>
  </si>
  <si>
    <t>Kondisi</t>
  </si>
  <si>
    <t>Listrik</t>
  </si>
  <si>
    <t>Kinerja</t>
  </si>
  <si>
    <t>Menyetujui,</t>
  </si>
  <si>
    <t>Kepala Instalasi Laboratorium</t>
  </si>
  <si>
    <t>Pengujian dan Kalibrasi</t>
  </si>
  <si>
    <t>Choirul Huda,S.Tr.Kes</t>
  </si>
  <si>
    <t>Halaman 2 dari 2 halaman</t>
  </si>
  <si>
    <t>NIP 198008062010121001</t>
  </si>
  <si>
    <t>NIP 198103112010121001</t>
  </si>
  <si>
    <t>SERTIFIKAT KALIBRASI</t>
  </si>
  <si>
    <t>Tahun</t>
  </si>
  <si>
    <t xml:space="preserve">                                                                 </t>
  </si>
  <si>
    <t xml:space="preserve">Nama Alat            : </t>
  </si>
  <si>
    <t>Pulse Oxymeter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</si>
  <si>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</si>
  <si>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</si>
  <si>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</si>
  <si>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</si>
  <si>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</si>
  <si>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Negeri</t>
  </si>
  <si>
    <t>Alamat Pemilik</t>
  </si>
  <si>
    <t>Laboratorium Kalibrasi LPFK Banjarbaru</t>
  </si>
  <si>
    <t>Banjarbaru,</t>
  </si>
  <si>
    <t>Kepala Loka Pengamanan</t>
  </si>
  <si>
    <t>Fasilitas Kesehatan Banjarbaru</t>
  </si>
  <si>
    <t>Yuni Irmawati, SKM., MA</t>
  </si>
  <si>
    <t>NIP 197806222002122001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</si>
  <si>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</si>
  <si>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</si>
  <si>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</si>
  <si>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</si>
  <si>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</si>
  <si>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</si>
  <si>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</si>
  <si>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</si>
  <si>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</si>
  <si>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</si>
  <si>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</si>
  <si>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</si>
  <si>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</si>
  <si>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</si>
  <si>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t>Resistance</t>
  </si>
  <si>
    <t>D</t>
  </si>
  <si>
    <t>ESA 615 (2853078)</t>
  </si>
  <si>
    <t>E</t>
  </si>
  <si>
    <t>ESA 615 (3148907)</t>
  </si>
  <si>
    <t>F</t>
  </si>
  <si>
    <t>ESA 615 (3148908)</t>
  </si>
  <si>
    <t>G</t>
  </si>
  <si>
    <t>ESA 615 (3699030)</t>
  </si>
  <si>
    <t>H</t>
  </si>
  <si>
    <t>ESA 615 (4670010)</t>
  </si>
  <si>
    <t>ESA (4669058)</t>
  </si>
  <si>
    <t>No urut alat</t>
  </si>
  <si>
    <t>Tegangan jala-jala listrik</t>
  </si>
  <si>
    <t>Pembacaan Standar</t>
  </si>
  <si>
    <t>Pembacaan terkoreksi</t>
  </si>
  <si>
    <t>Hasil</t>
  </si>
  <si>
    <t>Tahanan isolasi kabel catu daya</t>
  </si>
  <si>
    <t>NO</t>
  </si>
  <si>
    <t>Resistansi pembumian protektif</t>
  </si>
  <si>
    <t>Arus bocor</t>
  </si>
  <si>
    <t>Hasil pengujian Keselamatan Listrik tertelusur ke Satuan Internasional ( SI ) melalui PT. Kaliman (LK-032-IDN)</t>
  </si>
  <si>
    <t>Hasil pengujian Keselamatan Listrik tertelusur ke Satuan Internasional ( SI ) melalui PT. CALTEK PTE LTD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</si>
  <si>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</si>
  <si>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</si>
  <si>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</si>
  <si>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</si>
  <si>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4669058</t>
  </si>
  <si>
    <t>INPUT SERTIFIKAT THERMOHYGROMETER</t>
  </si>
  <si>
    <t>KOREKSI KIMO THERMOHYGROMETER 15062873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</si>
  <si>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</si>
  <si>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</si>
  <si>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</si>
  <si>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</si>
  <si>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</si>
  <si>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</si>
  <si>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</si>
  <si>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</si>
  <si>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</si>
  <si>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</si>
  <si>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SD700/A.100609</t>
  </si>
  <si>
    <t>KOREKSI Extech SD700/A.100605</t>
  </si>
  <si>
    <t>KOREKSI Extech SD700/A.100611</t>
  </si>
  <si>
    <t>KOREKSI Extech SD700/A.100616</t>
  </si>
  <si>
    <t>KOREKSI Extech SD700/A.100617</t>
  </si>
  <si>
    <t>KOREKSI Extech SD700/A.100618</t>
  </si>
  <si>
    <t>KOREKSI Extech SD700/A.100586</t>
  </si>
  <si>
    <t>KOREKSI THERMOHYGROMETER</t>
  </si>
  <si>
    <t>Rata-rata standar</t>
  </si>
  <si>
    <t>Rata-rata Terkoreksi</t>
  </si>
  <si>
    <t>STDEV</t>
  </si>
  <si>
    <t>Konversi TEXT</t>
  </si>
  <si>
    <t xml:space="preserve"> °C</t>
  </si>
  <si>
    <t xml:space="preserve"> %RH</t>
  </si>
  <si>
    <t xml:space="preserve">( </t>
  </si>
  <si>
    <t xml:space="preserve"> ± </t>
  </si>
  <si>
    <t xml:space="preserve"> )</t>
  </si>
  <si>
    <t>INTERPOLASI KOREKSI SUHU</t>
  </si>
  <si>
    <t>INTERPOLASI KOREKSI KELEMBABAN</t>
  </si>
  <si>
    <t>Thermohygrolight, Merek : KIMO, Model : KH-210-AO, SN : 14082463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</si>
  <si>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</si>
  <si>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</si>
  <si>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</si>
  <si>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</si>
  <si>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</si>
  <si>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</si>
  <si>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Digital Thermohygro Barometer : EXTECH, SD700, SN : A.100609</t>
  </si>
  <si>
    <t>Digital Thermohygro Barometer : EXTECH, SD700, SN : A.100605</t>
  </si>
  <si>
    <t>Digital Thermohygro Barometer : EXTECH, SD700, SN : A.100611</t>
  </si>
  <si>
    <t>Digital Thermohygro Barometer : EXTECH, SD700, SN : A.100616</t>
  </si>
  <si>
    <t>Digital Thermohygro Barometer : EXTECH, SD700, SN : A.100617</t>
  </si>
  <si>
    <t>Digital Thermohygro Barometer : EXTECH, SD700, SN : A.100618</t>
  </si>
  <si>
    <t>Ketidakpastian pengukuran diperoleh dari sumber ketidakpastian tipe A dan tipe B</t>
  </si>
  <si>
    <t>Thermohygrometer, Merek : KIMO, KH-210-AO (14082463)</t>
  </si>
  <si>
    <t>≤ 500 µA</t>
  </si>
  <si>
    <t>SPO₂ Simulator, Merek : Fluke, Model : SPOT LIGHT, SN : 2799069</t>
  </si>
  <si>
    <t>Hasil Kalibrasi Saturasi Oksigen tertelusur ke Satuan Internasional ( SI ) melalui CALTEK PTE LTD</t>
  </si>
  <si>
    <t>Hasil Kalibrasi Frekuensi Heart Rate (BPM) tertelusur ke Satuan Internasional ( SI ) melalui CALTEK PTE LTD</t>
  </si>
  <si>
    <t>1. Ketidakpastian pengukuran diperoleh dari sumber ketidakpastian tipe A dan tipe B</t>
  </si>
  <si>
    <t xml:space="preserve">Electical Safety Analyzer, Merek : Fluke, Model : ESA 620 (1837056) </t>
  </si>
  <si>
    <t>2. Hasil pengukuran keselamatan listrik tertelusur ke Satuan Internasional ( SI ) melalui CALTEK PTE LTD</t>
  </si>
  <si>
    <t>Thermohygrometer, Merek : KIMO, KH-210-AO (15062872)</t>
  </si>
  <si>
    <t>≤ 100 µA</t>
  </si>
  <si>
    <t>SPO₂ Simulator, Merek : Fluke, Model : SPOT LIGHT, SN : 2812009</t>
  </si>
  <si>
    <t>Electical Safety Analyzer, Merek : Fluke, Model : ESA 620 ( 1834020 )</t>
  </si>
  <si>
    <t>SPO₂ Simulator, Merek : Fluke, Model : SPOT LIGHT, SN : 4403084</t>
  </si>
  <si>
    <t xml:space="preserve">Electical Safety Analyzer, Merek : Fluke, Model : ESA 615 (2853077) </t>
  </si>
  <si>
    <t>2. Hasil pengukuran keselamatan listrik tertelusur ke Satuan Internasional ( SI ) melalui PT. KALIMAN ( LK - 032 - IDN )</t>
  </si>
  <si>
    <t>Thermohygrometer, Merek : KIMO, KH-210-AO (15062875)</t>
  </si>
  <si>
    <t>Rangga Setya Hantoko</t>
  </si>
  <si>
    <t>SPO₂ Simulator, Merek : Fluke, Model : SPOT LIGHT, SN : 4352022</t>
  </si>
  <si>
    <t>Electical Safety Analyzer, Merek : Fluke, Model : ESA 615 (2853078)</t>
  </si>
  <si>
    <t>Thermohygrometer, Merek : SEKONIC, ST-50A (HE 21-000670)</t>
  </si>
  <si>
    <t>Hamdan Syarif</t>
  </si>
  <si>
    <t>Electical Safety Analyzer, Merek : Fluke, Model : ESA 615 (3148907)</t>
  </si>
  <si>
    <t>Thermohygrometer, Merek : SEKONIC, ST-50A (HE 21-000669)</t>
  </si>
  <si>
    <t>Vital Sign Simulator, Merek : Fluke Biomedical, Model : PROSIM 8, SN : 3217028</t>
  </si>
  <si>
    <t xml:space="preserve">Electical Safety Analyzer, Merek : Fluke, Model : ESA 615 (3148908) </t>
  </si>
  <si>
    <t>Thermohygrometer, Merek : GREISINGER,GFTB 200 (34903053)</t>
  </si>
  <si>
    <t xml:space="preserve">Electical Safety Analyzer, Merek : Fluke, Model : ESA 615 (3699030) </t>
  </si>
  <si>
    <t>Thermohygrometer, Merek : GREISINGER,GFTB 200 (34903046)</t>
  </si>
  <si>
    <t xml:space="preserve">Electical Safety Analyzer, Merek : Fluke, Model : ESA 615 (,,,,,) </t>
  </si>
  <si>
    <t>Thermohygrometer, Merek : GREISINGER,GFTB 200 (34903051)</t>
  </si>
  <si>
    <t>Hary Ernanto</t>
  </si>
  <si>
    <t>Vital Sign Simulator, Merek : RIGEL, Model : UNI-SIM, SN : 45K-1036</t>
  </si>
  <si>
    <t>Hasil Kalibrasi Saturasi Oksigen tertelusur ke Satuan Internasional ( SI ) melalui RIGEL</t>
  </si>
  <si>
    <t>Hasil Kalibrasi Frekuensi Heart Rate (BPM) tertelusur ke Satuan Internasional ( SI ) melalui RIGEL</t>
  </si>
  <si>
    <t xml:space="preserve">Electical Safety Analyzer, Merek : Fluke, Model : ESA 615 (,,,,) </t>
  </si>
  <si>
    <t>Thermohygrometer, Merek : GREISINGER,GFTB 202 (34904091)</t>
  </si>
  <si>
    <t>Gusti Arya Dinata</t>
  </si>
  <si>
    <t>Muhammad Irfan Husnuzhzhan</t>
  </si>
  <si>
    <t>Fatimah Novrianisa</t>
  </si>
  <si>
    <t>Taufik Priawan</t>
  </si>
  <si>
    <t>Muhammad Iqbal Saiful Rahman</t>
  </si>
  <si>
    <t>Wardimanul Abrar</t>
  </si>
  <si>
    <t>Venna Filosofia</t>
  </si>
  <si>
    <t>Muhammad Alpian Hadi</t>
  </si>
  <si>
    <t>Ryan Rama Chaesar R</t>
  </si>
  <si>
    <t>Siti Fathul Jannah</t>
  </si>
  <si>
    <t>KESIMPULAN</t>
  </si>
  <si>
    <t>SIMBOL</t>
  </si>
  <si>
    <t>Nomor Sertifikat : 42 /</t>
  </si>
  <si>
    <t>Alat yang dikalibrasi dalam batas toleransi dan dinyatakan LAIK PAKAI, dimana hasil atau skor akhir sama dengan atau melampaui 70 % berdasarkan Keputusan Direktur Jenderal Pelayanan Kesehatan No : HK.02.02/V/0412/2020</t>
  </si>
  <si>
    <t>Nomor Surat Keterangan : 42 / M -</t>
  </si>
  <si>
    <t>Alat yang dikalibrasi melebihi batas toleransi dan dinyatakan TIDAK LAIK PAKAI,  dimana hasil atau skor akhir dibawah 70 % berdasarkan Keputusan Direktur Jenderal Pelayanan Kesehatan No : HK.02.02/V/0412/2020</t>
  </si>
  <si>
    <t>SPOT LIGHT (2799069)</t>
  </si>
  <si>
    <t>SPOT LIGHT (2812009)</t>
  </si>
  <si>
    <t>SPOT LIGHT (4403084)</t>
  </si>
  <si>
    <t xml:space="preserve">Koreksi </t>
  </si>
  <si>
    <t>Setting BPM</t>
  </si>
  <si>
    <t>SPOT LIGHT (4352022)</t>
  </si>
  <si>
    <t>SPOT LIGHT (4404040)</t>
  </si>
  <si>
    <t>PROSIM 8 ( 3217028 )</t>
  </si>
  <si>
    <t>PROSIM 8 ( 3188428 )</t>
  </si>
  <si>
    <t>SPOT LIGHT ( 4589019 )</t>
  </si>
  <si>
    <t>UNI-SIM ( 45K-1036 )</t>
  </si>
  <si>
    <t>UNI-SIM ( 45K1059 )</t>
  </si>
  <si>
    <t>KOREKSI SPTLIGHT</t>
  </si>
  <si>
    <t>Setting O2%</t>
  </si>
  <si>
    <t>O2</t>
  </si>
  <si>
    <t>UNI-SIM ( 05J-0804 )</t>
  </si>
  <si>
    <t>PS320</t>
  </si>
  <si>
    <t>HASIL FORECAST</t>
  </si>
  <si>
    <t>Pembacaan Alat</t>
  </si>
  <si>
    <t>Rata Rata</t>
  </si>
  <si>
    <t>SPO2</t>
  </si>
  <si>
    <t>Rata rata</t>
  </si>
  <si>
    <t>SUHU dan KELEMBABAN</t>
  </si>
  <si>
    <t>SUHU</t>
  </si>
  <si>
    <t>PEMBACAAN STANDAR</t>
  </si>
  <si>
    <t>koreksi</t>
  </si>
  <si>
    <t>terkoreksi</t>
  </si>
  <si>
    <t>Convert TEXT</t>
  </si>
  <si>
    <t>VAC</t>
  </si>
  <si>
    <t>Terkoreksi</t>
  </si>
  <si>
    <t>MAIN - PE</t>
  </si>
  <si>
    <t>Rata - Rata</t>
  </si>
  <si>
    <t>Ua</t>
  </si>
  <si>
    <t>Tidak terdapat grounding diruangan</t>
  </si>
  <si>
    <t>sum</t>
  </si>
  <si>
    <t>±</t>
  </si>
  <si>
    <t>Datu Sanggul</t>
  </si>
  <si>
    <t>Jalan ABC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</si>
  <si>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</si>
  <si>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</si>
  <si>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</si>
  <si>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</si>
  <si>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</si>
  <si>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</si>
  <si>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</si>
  <si>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</si>
  <si>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</si>
  <si>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</si>
  <si>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</si>
  <si>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</si>
  <si>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</si>
  <si>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OA.041-18</t>
  </si>
  <si>
    <t>Laik Pakai, disarankan untuk dikalibrasi ulang pada tanggal 27 Februari 2021</t>
  </si>
  <si>
    <t>Thermohygrometer, Merek : KIMO, KH-210-AO (15062874)</t>
  </si>
  <si>
    <t>Arus bocor peralatan untuk peralatan elektromedik kelas I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</si>
  <si>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</si>
  <si>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</si>
  <si>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</si>
  <si>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</si>
  <si>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Rev 7 : 5 April 2022</t>
  </si>
  <si>
    <t>8.4.2022</t>
  </si>
  <si>
    <t>Perbaikan error pada aplikasi
error internal forecast, error internal saat kelistrikan OL</t>
  </si>
  <si>
    <t>Done</t>
  </si>
  <si>
    <t>1 / IV - 21 / E - 050.000 DL</t>
  </si>
  <si>
    <t>( MΩ )</t>
  </si>
  <si>
    <t>( Ω )</t>
  </si>
  <si>
    <t>SPO₂ Simulator, Merek : Fluke, Model : SPOT LIGHT, SN : 4404040</t>
  </si>
  <si>
    <t>Vital Sign Simulator, Merek : Fluke Biomedical, Model : PROSIM 8, SN : 3188428</t>
  </si>
  <si>
    <t>Vital Sign Simulator, Merek : RIGEL, Model : UNI-SIM, SN : 45K1059</t>
  </si>
  <si>
    <t>Azhar Alamsyah</t>
  </si>
  <si>
    <t>Yurdha Algifari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</si>
  <si>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</si>
  <si>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</si>
  <si>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</si>
  <si>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</si>
  <si>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r>
      <rPr>
        <b/>
        <sz val="11"/>
        <rFont val="Arial"/>
        <family val="2"/>
      </rPr>
      <t>°</t>
    </r>
    <r>
      <rPr>
        <b/>
        <i/>
        <sz val="11"/>
        <rFont val="Arial"/>
        <family val="2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</si>
</sst>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0"/>
    <numFmt numFmtId="165" formatCode="0.0"/>
    <numFmt numFmtId="166" formatCode="0.000000"/>
    <numFmt numFmtId="167" formatCode="0.0000"/>
    <numFmt numFmtId="168" formatCode="\±\ 0.0"/>
    <numFmt numFmtId="169" formatCode="\±\ 0\ %"/>
    <numFmt numFmtId="170" formatCode="0.0;[Red]0.0"/>
    <numFmt numFmtId="171" formatCode="0.0\ \ &quot;Volt&quot;"/>
    <numFmt numFmtId="172" formatCode="0.0\ \µ\A"/>
    <numFmt numFmtId="173" formatCode="0.00000"/>
    <numFmt numFmtId="174" formatCode="0\ &quot;%&quot;"/>
    <numFmt numFmtId="175" formatCode="0\ &quot;MΩ&quot;"/>
    <numFmt numFmtId="176" formatCode="0.000\ &quot;Ω&quot;"/>
    <numFmt numFmtId="177" formatCode="0.0\ &quot;µA&quot;"/>
    <numFmt numFmtId="178" formatCode="0.0\ &quot;%&quot;"/>
    <numFmt numFmtId="179" formatCode="[$-421]dd\ mmmm\ yyyy;@"/>
    <numFmt numFmtId="180" formatCode="[$-F800]dddd\,\ mmmm\ dd\,\ yyyy"/>
    <numFmt numFmtId="181" formatCode="0.0000000"/>
    <numFmt numFmtId="182" formatCode="dd/mm/yy;@"/>
  </numFmts>
  <fonts count="8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8"/>
      <name val="Times New Roman"/>
      <family val="1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sz val="10"/>
      <color theme="0" tint="-0.249977111117893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i/>
      <sz val="26"/>
      <color rgb="FFFF0000"/>
      <name val="Arial"/>
      <family val="2"/>
    </font>
    <font>
      <i/>
      <sz val="10"/>
      <color rgb="FFFF0000"/>
      <name val="Arial"/>
      <family val="2"/>
    </font>
    <font>
      <sz val="28"/>
      <color rgb="FFFF0000"/>
      <name val="Arial"/>
      <family val="2"/>
    </font>
    <font>
      <sz val="9"/>
      <name val="Times New Roman"/>
      <family val="1"/>
    </font>
    <font>
      <b/>
      <i/>
      <sz val="12"/>
      <color rgb="FFFF0000"/>
      <name val="Times New Roman"/>
      <family val="1"/>
    </font>
    <font>
      <sz val="9"/>
      <name val="Calibri"/>
      <family val="2"/>
      <scheme val="minor"/>
    </font>
    <font>
      <sz val="16"/>
      <name val="Arial"/>
      <family val="2"/>
    </font>
    <font>
      <b/>
      <i/>
      <sz val="26"/>
      <color theme="2"/>
      <name val="Arial"/>
      <family val="2"/>
    </font>
    <font>
      <sz val="10"/>
      <color theme="2"/>
      <name val="Arial"/>
      <family val="2"/>
    </font>
    <font>
      <sz val="12"/>
      <name val="Calibri"/>
      <family val="2"/>
      <scheme val="minor"/>
    </font>
    <font>
      <b/>
      <i/>
      <sz val="8"/>
      <name val="Arial"/>
      <family val="2"/>
    </font>
    <font>
      <b/>
      <i/>
      <sz val="12"/>
      <color rgb="FFFF0000"/>
      <name val="Arial"/>
      <family val="2"/>
    </font>
    <font>
      <sz val="8"/>
      <name val="Times New Roman"/>
      <family val="1"/>
    </font>
    <font>
      <sz val="8"/>
      <name val="Calibri"/>
      <family val="2"/>
      <scheme val="minor"/>
    </font>
    <font>
      <b/>
      <i/>
      <u/>
      <sz val="10"/>
      <name val="Arial"/>
      <family val="2"/>
    </font>
    <font>
      <b/>
      <u/>
      <sz val="14"/>
      <name val="Arial"/>
      <family val="2"/>
    </font>
    <font>
      <i/>
      <sz val="10"/>
      <name val="Arial"/>
      <family val="2"/>
    </font>
    <font>
      <b/>
      <sz val="11"/>
      <name val="Times New Roman"/>
      <family val="1"/>
    </font>
    <font>
      <b/>
      <i/>
      <u/>
      <sz val="20"/>
      <name val="Arial"/>
      <family val="2"/>
    </font>
    <font>
      <sz val="12"/>
      <name val="Arial"/>
      <family val="2"/>
    </font>
    <font>
      <sz val="10"/>
      <color theme="0" tint="-0.34998626667073579"/>
      <name val="Arial"/>
      <family val="2"/>
    </font>
    <font>
      <sz val="16"/>
      <color theme="0" tint="-0.34998626667073579"/>
      <name val="Arial"/>
      <family val="2"/>
    </font>
    <font>
      <b/>
      <sz val="12"/>
      <color theme="0" tint="-0.34998626667073579"/>
      <name val="Times New Roman"/>
      <family val="1"/>
    </font>
    <font>
      <b/>
      <sz val="8"/>
      <color theme="0" tint="-0.34998626667073579"/>
      <name val="Times New Roman"/>
      <family val="1"/>
    </font>
    <font>
      <sz val="8"/>
      <color theme="0" tint="-0.34998626667073579"/>
      <name val="Times New Roman"/>
      <family val="1"/>
    </font>
    <font>
      <sz val="10"/>
      <color theme="0" tint="-0.3499862666707357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sz val="11"/>
      <color theme="0"/>
      <name val="Arial"/>
      <family val="2"/>
    </font>
    <font>
      <u/>
      <sz val="11"/>
      <name val="Arial"/>
      <family val="2"/>
    </font>
    <font>
      <b/>
      <sz val="11"/>
      <color theme="0"/>
      <name val="Arial"/>
      <family val="2"/>
    </font>
    <font>
      <vertAlign val="superscript"/>
      <sz val="11"/>
      <color theme="0"/>
      <name val="Arial"/>
      <family val="2"/>
    </font>
    <font>
      <sz val="11"/>
      <color indexed="9"/>
      <name val="Arial"/>
      <family val="2"/>
    </font>
    <font>
      <sz val="11"/>
      <color theme="2"/>
      <name val="Arial"/>
      <family val="2"/>
    </font>
    <font>
      <sz val="11"/>
      <color theme="0" tint="-0.14999847407452621"/>
      <name val="Arial"/>
      <family val="2"/>
    </font>
    <font>
      <b/>
      <sz val="13"/>
      <name val="Arial"/>
      <family val="2"/>
    </font>
    <font>
      <b/>
      <i/>
      <u/>
      <sz val="11"/>
      <name val="Arial"/>
      <family val="2"/>
    </font>
    <font>
      <b/>
      <i/>
      <sz val="12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u/>
      <sz val="24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i/>
      <u/>
      <sz val="18"/>
      <name val="Arial"/>
      <family val="2"/>
    </font>
    <font>
      <b/>
      <u/>
      <sz val="18"/>
      <name val="Arial"/>
      <family val="2"/>
    </font>
    <font>
      <b/>
      <u/>
      <sz val="10"/>
      <name val="Arial"/>
      <family val="2"/>
    </font>
    <font>
      <sz val="24"/>
      <name val="Arial"/>
      <family val="2"/>
    </font>
    <font>
      <i/>
      <u/>
      <sz val="10"/>
      <name val="Arial"/>
      <family val="2"/>
    </font>
    <font>
      <sz val="14"/>
      <name val="Calibri"/>
      <family val="2"/>
    </font>
    <font>
      <sz val="16"/>
      <name val="Calibri"/>
      <family val="2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b/>
      <sz val="12"/>
      <color theme="2"/>
      <name val="Arial"/>
      <family val="2"/>
    </font>
    <font>
      <sz val="12"/>
      <color theme="2"/>
      <name val="Arial"/>
      <family val="2"/>
    </font>
    <font>
      <sz val="12"/>
      <color theme="0" tint="-0.14999847407452621"/>
      <name val="Arial"/>
      <family val="2"/>
    </font>
    <font>
      <b/>
      <sz val="12"/>
      <color rgb="FFFF0000"/>
      <name val="Arial"/>
      <family val="2"/>
    </font>
    <font>
      <sz val="12"/>
      <color theme="0" tint="-0.249977111117893"/>
      <name val="Arial"/>
      <family val="2"/>
    </font>
    <font>
      <b/>
      <u/>
      <sz val="1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i/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33">
    <xf numFmtId="0" fontId="0" fillId="0" borderId="0" xfId="0"/>
    <xf numFmtId="0" fontId="5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8" fillId="0" borderId="0" xfId="0" applyFont="1"/>
    <xf numFmtId="0" fontId="2" fillId="2" borderId="3" xfId="0" applyFont="1" applyFill="1" applyBorder="1"/>
    <xf numFmtId="0" fontId="15" fillId="0" borderId="0" xfId="0" applyFont="1"/>
    <xf numFmtId="0" fontId="7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165" fontId="16" fillId="2" borderId="3" xfId="0" applyNumberFormat="1" applyFont="1" applyFill="1" applyBorder="1" applyAlignment="1">
      <alignment horizontal="right"/>
    </xf>
    <xf numFmtId="0" fontId="9" fillId="2" borderId="3" xfId="0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right"/>
    </xf>
    <xf numFmtId="2" fontId="9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/>
    <xf numFmtId="0" fontId="0" fillId="0" borderId="3" xfId="0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2" fontId="2" fillId="2" borderId="3" xfId="0" applyNumberFormat="1" applyFont="1" applyFill="1" applyBorder="1"/>
    <xf numFmtId="2" fontId="0" fillId="2" borderId="3" xfId="0" applyNumberFormat="1" applyFill="1" applyBorder="1"/>
    <xf numFmtId="2" fontId="0" fillId="0" borderId="0" xfId="0" applyNumberFormat="1"/>
    <xf numFmtId="164" fontId="0" fillId="0" borderId="0" xfId="0" applyNumberFormat="1"/>
    <xf numFmtId="165" fontId="2" fillId="2" borderId="0" xfId="0" applyNumberFormat="1" applyFont="1" applyFill="1"/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9" fillId="0" borderId="0" xfId="0" applyFont="1"/>
    <xf numFmtId="0" fontId="10" fillId="2" borderId="0" xfId="1" applyFont="1" applyFill="1" applyAlignment="1">
      <alignment horizontal="left"/>
    </xf>
    <xf numFmtId="0" fontId="12" fillId="2" borderId="0" xfId="1" applyFont="1" applyFill="1" applyAlignment="1">
      <alignment horizontal="left"/>
    </xf>
    <xf numFmtId="0" fontId="6" fillId="2" borderId="0" xfId="0" applyFont="1" applyFill="1"/>
    <xf numFmtId="0" fontId="4" fillId="2" borderId="0" xfId="0" applyFont="1" applyFill="1"/>
    <xf numFmtId="0" fontId="9" fillId="2" borderId="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  <xf numFmtId="2" fontId="9" fillId="2" borderId="9" xfId="0" applyNumberFormat="1" applyFont="1" applyFill="1" applyBorder="1" applyAlignment="1">
      <alignment horizontal="center"/>
    </xf>
    <xf numFmtId="2" fontId="9" fillId="2" borderId="8" xfId="0" applyNumberFormat="1" applyFont="1" applyFill="1" applyBorder="1" applyAlignment="1">
      <alignment horizontal="center" vertical="center"/>
    </xf>
    <xf numFmtId="164" fontId="9" fillId="2" borderId="3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9" fillId="2" borderId="1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2" borderId="3" xfId="0" applyNumberFormat="1" applyFill="1" applyBorder="1" applyAlignment="1">
      <alignment horizontal="center"/>
    </xf>
    <xf numFmtId="2" fontId="6" fillId="2" borderId="3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right"/>
    </xf>
    <xf numFmtId="2" fontId="0" fillId="2" borderId="0" xfId="0" applyNumberForma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2" fontId="2" fillId="0" borderId="3" xfId="0" quotePrefix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21" fillId="2" borderId="7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4" fillId="0" borderId="0" xfId="0" applyFont="1"/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22" fillId="0" borderId="0" xfId="0" applyFont="1"/>
    <xf numFmtId="0" fontId="0" fillId="5" borderId="0" xfId="0" applyFill="1"/>
    <xf numFmtId="0" fontId="25" fillId="0" borderId="0" xfId="0" applyFont="1" applyAlignment="1">
      <alignment horizontal="center" vertical="center"/>
    </xf>
    <xf numFmtId="0" fontId="26" fillId="0" borderId="0" xfId="0" applyFont="1"/>
    <xf numFmtId="165" fontId="2" fillId="0" borderId="3" xfId="0" quotePrefix="1" applyNumberFormat="1" applyFont="1" applyBorder="1" applyAlignment="1">
      <alignment horizontal="center" vertical="center"/>
    </xf>
    <xf numFmtId="0" fontId="2" fillId="0" borderId="0" xfId="0" applyFont="1"/>
    <xf numFmtId="1" fontId="0" fillId="2" borderId="3" xfId="0" applyNumberFormat="1" applyFill="1" applyBorder="1" applyAlignment="1">
      <alignment horizontal="center"/>
    </xf>
    <xf numFmtId="0" fontId="0" fillId="0" borderId="3" xfId="0" applyBorder="1"/>
    <xf numFmtId="0" fontId="17" fillId="0" borderId="0" xfId="0" applyFont="1"/>
    <xf numFmtId="0" fontId="2" fillId="0" borderId="0" xfId="0" quotePrefix="1" applyFont="1"/>
    <xf numFmtId="0" fontId="6" fillId="0" borderId="3" xfId="0" applyFont="1" applyBorder="1" applyAlignment="1" applyProtection="1">
      <alignment horizontal="center"/>
      <protection hidden="1"/>
    </xf>
    <xf numFmtId="0" fontId="27" fillId="2" borderId="23" xfId="0" applyFont="1" applyFill="1" applyBorder="1" applyAlignment="1" applyProtection="1">
      <alignment horizontal="left" vertical="top" wrapText="1"/>
      <protection hidden="1"/>
    </xf>
    <xf numFmtId="0" fontId="27" fillId="8" borderId="3" xfId="0" applyFont="1" applyFill="1" applyBorder="1" applyAlignment="1" applyProtection="1">
      <alignment horizontal="left" vertical="top" wrapText="1"/>
      <protection hidden="1"/>
    </xf>
    <xf numFmtId="0" fontId="27" fillId="2" borderId="4" xfId="0" applyFont="1" applyFill="1" applyBorder="1" applyAlignment="1" applyProtection="1">
      <alignment horizontal="left" vertical="top"/>
      <protection hidden="1"/>
    </xf>
    <xf numFmtId="0" fontId="2" fillId="0" borderId="3" xfId="0" applyFont="1" applyBorder="1"/>
    <xf numFmtId="0" fontId="8" fillId="2" borderId="0" xfId="0" applyFont="1" applyFill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left"/>
    </xf>
    <xf numFmtId="0" fontId="7" fillId="2" borderId="0" xfId="0" applyFont="1" applyFill="1"/>
    <xf numFmtId="0" fontId="32" fillId="2" borderId="0" xfId="0" applyFont="1" applyFill="1"/>
    <xf numFmtId="0" fontId="2" fillId="0" borderId="0" xfId="1" applyAlignment="1" applyProtection="1">
      <alignment vertical="center"/>
      <protection locked="0"/>
    </xf>
    <xf numFmtId="164" fontId="2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0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 vertical="center"/>
    </xf>
    <xf numFmtId="0" fontId="34" fillId="0" borderId="0" xfId="0" applyFont="1"/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 vertical="center"/>
    </xf>
    <xf numFmtId="0" fontId="38" fillId="0" borderId="0" xfId="0" applyFont="1"/>
    <xf numFmtId="0" fontId="41" fillId="2" borderId="8" xfId="0" applyFont="1" applyFill="1" applyBorder="1" applyAlignment="1">
      <alignment horizontal="center" vertical="center"/>
    </xf>
    <xf numFmtId="0" fontId="41" fillId="2" borderId="3" xfId="0" applyFont="1" applyFill="1" applyBorder="1" applyAlignment="1">
      <alignment horizontal="center"/>
    </xf>
    <xf numFmtId="2" fontId="41" fillId="2" borderId="9" xfId="0" applyNumberFormat="1" applyFont="1" applyFill="1" applyBorder="1" applyAlignment="1">
      <alignment horizontal="center"/>
    </xf>
    <xf numFmtId="2" fontId="41" fillId="2" borderId="8" xfId="0" applyNumberFormat="1" applyFont="1" applyFill="1" applyBorder="1" applyAlignment="1">
      <alignment horizontal="center" vertical="center"/>
    </xf>
    <xf numFmtId="164" fontId="41" fillId="2" borderId="3" xfId="0" applyNumberFormat="1" applyFont="1" applyFill="1" applyBorder="1" applyAlignment="1">
      <alignment horizontal="center"/>
    </xf>
    <xf numFmtId="2" fontId="41" fillId="2" borderId="11" xfId="0" applyNumberFormat="1" applyFont="1" applyFill="1" applyBorder="1" applyAlignment="1">
      <alignment horizontal="center" vertical="center"/>
    </xf>
    <xf numFmtId="0" fontId="41" fillId="2" borderId="12" xfId="0" applyFont="1" applyFill="1" applyBorder="1" applyAlignment="1">
      <alignment horizontal="center"/>
    </xf>
    <xf numFmtId="2" fontId="41" fillId="2" borderId="13" xfId="0" applyNumberFormat="1" applyFont="1" applyFill="1" applyBorder="1" applyAlignment="1">
      <alignment horizontal="center"/>
    </xf>
    <xf numFmtId="0" fontId="41" fillId="2" borderId="0" xfId="0" applyFont="1" applyFill="1" applyAlignment="1">
      <alignment horizontal="center" vertical="center"/>
    </xf>
    <xf numFmtId="0" fontId="41" fillId="2" borderId="0" xfId="0" applyFont="1" applyFill="1" applyAlignment="1">
      <alignment horizontal="center"/>
    </xf>
    <xf numFmtId="2" fontId="41" fillId="2" borderId="0" xfId="0" applyNumberFormat="1" applyFont="1" applyFill="1" applyAlignment="1">
      <alignment horizontal="center"/>
    </xf>
    <xf numFmtId="0" fontId="38" fillId="5" borderId="0" xfId="0" applyFont="1" applyFill="1"/>
    <xf numFmtId="9" fontId="32" fillId="2" borderId="0" xfId="0" applyNumberFormat="1" applyFont="1" applyFill="1"/>
    <xf numFmtId="167" fontId="2" fillId="0" borderId="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164" fontId="42" fillId="2" borderId="3" xfId="0" applyNumberFormat="1" applyFont="1" applyFill="1" applyBorder="1" applyAlignment="1">
      <alignment horizontal="center" vertical="center"/>
    </xf>
    <xf numFmtId="164" fontId="43" fillId="0" borderId="3" xfId="0" applyNumberFormat="1" applyFont="1" applyBorder="1" applyAlignment="1">
      <alignment horizontal="center"/>
    </xf>
    <xf numFmtId="164" fontId="43" fillId="2" borderId="3" xfId="0" applyNumberFormat="1" applyFont="1" applyFill="1" applyBorder="1" applyAlignment="1">
      <alignment horizontal="center"/>
    </xf>
    <xf numFmtId="164" fontId="43" fillId="2" borderId="3" xfId="0" applyNumberFormat="1" applyFont="1" applyFill="1" applyBorder="1" applyAlignment="1">
      <alignment horizontal="center" vertical="center"/>
    </xf>
    <xf numFmtId="2" fontId="41" fillId="2" borderId="0" xfId="0" applyNumberFormat="1" applyFont="1" applyFill="1" applyAlignment="1">
      <alignment horizontal="center" vertical="center"/>
    </xf>
    <xf numFmtId="0" fontId="38" fillId="2" borderId="0" xfId="0" applyFont="1" applyFill="1"/>
    <xf numFmtId="0" fontId="12" fillId="2" borderId="3" xfId="1" applyFont="1" applyFill="1" applyBorder="1" applyAlignment="1">
      <alignment horizontal="center" vertical="center"/>
    </xf>
    <xf numFmtId="0" fontId="27" fillId="0" borderId="3" xfId="1" applyFont="1" applyBorder="1" applyAlignment="1">
      <alignment vertical="center"/>
    </xf>
    <xf numFmtId="0" fontId="3" fillId="2" borderId="3" xfId="1" applyFont="1" applyFill="1" applyBorder="1"/>
    <xf numFmtId="2" fontId="27" fillId="0" borderId="3" xfId="1" applyNumberFormat="1" applyFont="1" applyBorder="1" applyAlignment="1">
      <alignment horizontal="center" vertical="center"/>
    </xf>
    <xf numFmtId="0" fontId="46" fillId="2" borderId="4" xfId="0" applyFont="1" applyFill="1" applyBorder="1" applyAlignment="1">
      <alignment vertical="center"/>
    </xf>
    <xf numFmtId="0" fontId="46" fillId="0" borderId="0" xfId="2" applyFont="1" applyAlignment="1">
      <alignment vertical="top"/>
    </xf>
    <xf numFmtId="0" fontId="46" fillId="0" borderId="0" xfId="2" applyFont="1" applyAlignment="1">
      <alignment vertical="center"/>
    </xf>
    <xf numFmtId="0" fontId="46" fillId="0" borderId="3" xfId="2" applyFont="1" applyBorder="1" applyAlignment="1">
      <alignment horizontal="center" vertical="top" wrapText="1"/>
    </xf>
    <xf numFmtId="0" fontId="46" fillId="0" borderId="3" xfId="2" applyFont="1" applyBorder="1" applyAlignment="1">
      <alignment horizontal="center" vertical="center"/>
    </xf>
    <xf numFmtId="0" fontId="46" fillId="2" borderId="0" xfId="0" applyFont="1" applyFill="1" applyAlignment="1">
      <alignment vertical="center"/>
    </xf>
    <xf numFmtId="0" fontId="46" fillId="2" borderId="0" xfId="0" applyFont="1" applyFill="1"/>
    <xf numFmtId="0" fontId="46" fillId="0" borderId="0" xfId="0" applyFont="1"/>
    <xf numFmtId="0" fontId="47" fillId="2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0" fontId="47" fillId="2" borderId="3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8" fillId="2" borderId="0" xfId="0" applyFont="1" applyFill="1" applyAlignment="1">
      <alignment vertical="center"/>
    </xf>
    <xf numFmtId="0" fontId="46" fillId="2" borderId="5" xfId="0" applyFont="1" applyFill="1" applyBorder="1" applyAlignment="1">
      <alignment vertical="center"/>
    </xf>
    <xf numFmtId="0" fontId="47" fillId="2" borderId="0" xfId="0" applyFont="1" applyFill="1" applyAlignment="1">
      <alignment horizontal="center" vertical="center"/>
    </xf>
    <xf numFmtId="170" fontId="46" fillId="2" borderId="0" xfId="0" applyNumberFormat="1" applyFont="1" applyFill="1" applyAlignment="1">
      <alignment horizontal="left" vertical="center"/>
    </xf>
    <xf numFmtId="49" fontId="46" fillId="2" borderId="0" xfId="0" applyNumberFormat="1" applyFont="1" applyFill="1" applyAlignment="1">
      <alignment vertical="center"/>
    </xf>
    <xf numFmtId="0" fontId="47" fillId="2" borderId="7" xfId="0" applyFont="1" applyFill="1" applyBorder="1" applyAlignment="1">
      <alignment horizontal="center" vertical="center"/>
    </xf>
    <xf numFmtId="0" fontId="47" fillId="2" borderId="2" xfId="0" applyFont="1" applyFill="1" applyBorder="1" applyAlignment="1">
      <alignment horizontal="center" vertical="center"/>
    </xf>
    <xf numFmtId="0" fontId="46" fillId="2" borderId="6" xfId="0" applyFont="1" applyFill="1" applyBorder="1" applyAlignment="1">
      <alignment vertical="center"/>
    </xf>
    <xf numFmtId="0" fontId="46" fillId="2" borderId="0" xfId="0" applyFont="1" applyFill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46" fillId="2" borderId="3" xfId="0" applyFont="1" applyFill="1" applyBorder="1" applyAlignment="1">
      <alignment horizontal="center" vertical="center" wrapText="1"/>
    </xf>
    <xf numFmtId="49" fontId="46" fillId="2" borderId="3" xfId="0" applyNumberFormat="1" applyFont="1" applyFill="1" applyBorder="1" applyAlignment="1">
      <alignment horizontal="center" vertical="center"/>
    </xf>
    <xf numFmtId="1" fontId="46" fillId="2" borderId="3" xfId="0" applyNumberFormat="1" applyFont="1" applyFill="1" applyBorder="1" applyAlignment="1">
      <alignment horizontal="center" vertical="center"/>
    </xf>
    <xf numFmtId="1" fontId="49" fillId="2" borderId="3" xfId="0" applyNumberFormat="1" applyFont="1" applyFill="1" applyBorder="1" applyAlignment="1">
      <alignment vertical="center"/>
    </xf>
    <xf numFmtId="1" fontId="49" fillId="2" borderId="3" xfId="0" applyNumberFormat="1" applyFont="1" applyFill="1" applyBorder="1" applyAlignment="1">
      <alignment horizontal="center" vertical="center"/>
    </xf>
    <xf numFmtId="49" fontId="46" fillId="2" borderId="0" xfId="0" applyNumberFormat="1" applyFont="1" applyFill="1" applyAlignment="1">
      <alignment horizontal="center" vertical="center"/>
    </xf>
    <xf numFmtId="0" fontId="46" fillId="2" borderId="0" xfId="0" applyFont="1" applyFill="1" applyAlignment="1">
      <alignment horizontal="center" vertical="center" wrapText="1"/>
    </xf>
    <xf numFmtId="1" fontId="46" fillId="2" borderId="0" xfId="0" applyNumberFormat="1" applyFont="1" applyFill="1" applyAlignment="1">
      <alignment horizontal="center" vertical="center"/>
    </xf>
    <xf numFmtId="1" fontId="49" fillId="2" borderId="0" xfId="0" applyNumberFormat="1" applyFont="1" applyFill="1" applyAlignment="1">
      <alignment vertical="center"/>
    </xf>
    <xf numFmtId="1" fontId="49" fillId="2" borderId="0" xfId="0" applyNumberFormat="1" applyFont="1" applyFill="1" applyAlignment="1">
      <alignment horizontal="center" vertical="center"/>
    </xf>
    <xf numFmtId="2" fontId="46" fillId="2" borderId="0" xfId="0" quotePrefix="1" applyNumberFormat="1" applyFont="1" applyFill="1" applyAlignment="1">
      <alignment horizontal="center" vertical="center" wrapText="1"/>
    </xf>
    <xf numFmtId="0" fontId="46" fillId="2" borderId="18" xfId="0" applyFont="1" applyFill="1" applyBorder="1" applyAlignment="1">
      <alignment horizontal="center" vertical="center"/>
    </xf>
    <xf numFmtId="0" fontId="46" fillId="2" borderId="0" xfId="0" applyFont="1" applyFill="1" applyAlignment="1">
      <alignment horizontal="left" vertical="center"/>
    </xf>
    <xf numFmtId="164" fontId="46" fillId="2" borderId="0" xfId="0" applyNumberFormat="1" applyFont="1" applyFill="1" applyAlignment="1">
      <alignment horizontal="center" vertical="center"/>
    </xf>
    <xf numFmtId="0" fontId="46" fillId="2" borderId="0" xfId="0" applyFont="1" applyFill="1" applyProtection="1">
      <protection hidden="1"/>
    </xf>
    <xf numFmtId="0" fontId="46" fillId="2" borderId="22" xfId="0" applyFont="1" applyFill="1" applyBorder="1" applyAlignment="1">
      <alignment vertical="center"/>
    </xf>
    <xf numFmtId="49" fontId="46" fillId="2" borderId="3" xfId="0" applyNumberFormat="1" applyFont="1" applyFill="1" applyBorder="1" applyAlignment="1">
      <alignment horizontal="center" vertical="center" wrapText="1"/>
    </xf>
    <xf numFmtId="0" fontId="46" fillId="2" borderId="4" xfId="0" applyFont="1" applyFill="1" applyBorder="1" applyAlignment="1">
      <alignment horizontal="center" vertical="center"/>
    </xf>
    <xf numFmtId="0" fontId="56" fillId="2" borderId="0" xfId="1" quotePrefix="1" applyFont="1" applyFill="1" applyAlignment="1">
      <alignment horizontal="center" vertical="center"/>
    </xf>
    <xf numFmtId="0" fontId="2" fillId="0" borderId="0" xfId="1" applyAlignment="1">
      <alignment vertical="center"/>
    </xf>
    <xf numFmtId="0" fontId="47" fillId="2" borderId="3" xfId="1" applyFont="1" applyFill="1" applyBorder="1" applyAlignment="1">
      <alignment horizontal="center" vertical="center" wrapText="1"/>
    </xf>
    <xf numFmtId="0" fontId="47" fillId="2" borderId="4" xfId="1" applyFont="1" applyFill="1" applyBorder="1" applyAlignment="1">
      <alignment horizontal="center" vertical="center" wrapText="1"/>
    </xf>
    <xf numFmtId="0" fontId="47" fillId="2" borderId="6" xfId="1" applyFont="1" applyFill="1" applyBorder="1" applyAlignment="1">
      <alignment horizontal="center" vertical="center" wrapText="1"/>
    </xf>
    <xf numFmtId="0" fontId="47" fillId="2" borderId="3" xfId="1" applyFont="1" applyFill="1" applyBorder="1" applyAlignment="1">
      <alignment horizontal="center" vertical="center"/>
    </xf>
    <xf numFmtId="0" fontId="46" fillId="2" borderId="3" xfId="1" applyFont="1" applyFill="1" applyBorder="1" applyAlignment="1" applyProtection="1">
      <alignment horizontal="right" vertical="center"/>
      <protection locked="0"/>
    </xf>
    <xf numFmtId="0" fontId="46" fillId="2" borderId="0" xfId="1" applyFont="1" applyFill="1" applyAlignment="1" applyProtection="1">
      <alignment vertical="center"/>
      <protection locked="0"/>
    </xf>
    <xf numFmtId="164" fontId="46" fillId="2" borderId="0" xfId="1" applyNumberFormat="1" applyFont="1" applyFill="1" applyAlignment="1" applyProtection="1">
      <alignment horizontal="center" vertical="center"/>
      <protection locked="0"/>
    </xf>
    <xf numFmtId="167" fontId="46" fillId="2" borderId="0" xfId="1" applyNumberFormat="1" applyFont="1" applyFill="1" applyAlignment="1" applyProtection="1">
      <alignment horizontal="center" vertical="center"/>
      <protection locked="0"/>
    </xf>
    <xf numFmtId="0" fontId="46" fillId="2" borderId="0" xfId="1" applyFont="1" applyFill="1" applyAlignment="1">
      <alignment vertical="center"/>
    </xf>
    <xf numFmtId="0" fontId="46" fillId="0" borderId="0" xfId="1" applyFont="1" applyAlignment="1" applyProtection="1">
      <alignment vertical="center"/>
      <protection locked="0"/>
    </xf>
    <xf numFmtId="0" fontId="46" fillId="0" borderId="0" xfId="1" applyFont="1" applyAlignment="1">
      <alignment vertical="center"/>
    </xf>
    <xf numFmtId="0" fontId="46" fillId="2" borderId="0" xfId="1" applyFont="1" applyFill="1" applyAlignment="1">
      <alignment horizontal="right" vertical="center"/>
    </xf>
    <xf numFmtId="0" fontId="46" fillId="2" borderId="0" xfId="1" applyFont="1" applyFill="1" applyAlignment="1">
      <alignment horizontal="left" vertical="center"/>
    </xf>
    <xf numFmtId="0" fontId="47" fillId="2" borderId="0" xfId="1" applyFont="1" applyFill="1" applyAlignment="1">
      <alignment vertical="center"/>
    </xf>
    <xf numFmtId="0" fontId="46" fillId="0" borderId="0" xfId="1" applyFont="1" applyAlignment="1">
      <alignment horizontal="right" vertical="center"/>
    </xf>
    <xf numFmtId="171" fontId="46" fillId="2" borderId="0" xfId="1" applyNumberFormat="1" applyFont="1" applyFill="1" applyAlignment="1">
      <alignment horizontal="center" vertical="center"/>
    </xf>
    <xf numFmtId="0" fontId="47" fillId="2" borderId="0" xfId="1" applyFont="1" applyFill="1" applyAlignment="1">
      <alignment horizontal="center" vertical="center"/>
    </xf>
    <xf numFmtId="170" fontId="47" fillId="2" borderId="0" xfId="1" applyNumberFormat="1" applyFont="1" applyFill="1" applyAlignment="1">
      <alignment horizontal="left" vertical="center"/>
    </xf>
    <xf numFmtId="0" fontId="46" fillId="0" borderId="5" xfId="1" applyFont="1" applyBorder="1" applyAlignment="1" applyProtection="1">
      <alignment vertical="center"/>
      <protection locked="0"/>
    </xf>
    <xf numFmtId="0" fontId="46" fillId="2" borderId="6" xfId="2" applyFont="1" applyFill="1" applyBorder="1" applyAlignment="1">
      <alignment horizontal="center" vertical="center"/>
    </xf>
    <xf numFmtId="0" fontId="46" fillId="2" borderId="0" xfId="1" applyFont="1" applyFill="1" applyAlignment="1">
      <alignment horizontal="center" vertical="center"/>
    </xf>
    <xf numFmtId="172" fontId="46" fillId="2" borderId="0" xfId="1" quotePrefix="1" applyNumberFormat="1" applyFont="1" applyFill="1" applyAlignment="1">
      <alignment horizontal="center" vertical="center"/>
    </xf>
    <xf numFmtId="49" fontId="46" fillId="2" borderId="3" xfId="1" applyNumberFormat="1" applyFont="1" applyFill="1" applyBorder="1" applyAlignment="1">
      <alignment horizontal="center" vertical="center"/>
    </xf>
    <xf numFmtId="1" fontId="46" fillId="0" borderId="6" xfId="1" applyNumberFormat="1" applyFont="1" applyBorder="1" applyAlignment="1">
      <alignment horizontal="center" vertical="center"/>
    </xf>
    <xf numFmtId="165" fontId="46" fillId="0" borderId="3" xfId="1" applyNumberFormat="1" applyFont="1" applyBorder="1" applyAlignment="1">
      <alignment horizontal="center" vertical="center"/>
    </xf>
    <xf numFmtId="49" fontId="46" fillId="2" borderId="0" xfId="1" applyNumberFormat="1" applyFont="1" applyFill="1" applyAlignment="1">
      <alignment horizontal="center" vertical="center"/>
    </xf>
    <xf numFmtId="0" fontId="46" fillId="2" borderId="0" xfId="1" applyFont="1" applyFill="1" applyAlignment="1">
      <alignment horizontal="center" vertical="center" wrapText="1"/>
    </xf>
    <xf numFmtId="1" fontId="46" fillId="0" borderId="0" xfId="1" applyNumberFormat="1" applyFont="1" applyAlignment="1">
      <alignment horizontal="center" vertical="center"/>
    </xf>
    <xf numFmtId="165" fontId="46" fillId="0" borderId="0" xfId="1" applyNumberFormat="1" applyFont="1" applyAlignment="1">
      <alignment horizontal="center" vertical="center"/>
    </xf>
    <xf numFmtId="168" fontId="46" fillId="2" borderId="0" xfId="1" applyNumberFormat="1" applyFont="1" applyFill="1" applyAlignment="1">
      <alignment horizontal="center" vertical="center"/>
    </xf>
    <xf numFmtId="1" fontId="46" fillId="0" borderId="3" xfId="1" applyNumberFormat="1" applyFont="1" applyBorder="1" applyAlignment="1">
      <alignment horizontal="center" vertical="center"/>
    </xf>
    <xf numFmtId="0" fontId="46" fillId="2" borderId="0" xfId="1" applyFont="1" applyFill="1" applyAlignment="1" applyProtection="1">
      <alignment horizontal="left" vertical="center"/>
      <protection locked="0"/>
    </xf>
    <xf numFmtId="0" fontId="47" fillId="2" borderId="0" xfId="1" applyFont="1" applyFill="1" applyAlignment="1" applyProtection="1">
      <alignment vertical="center"/>
      <protection locked="0"/>
    </xf>
    <xf numFmtId="2" fontId="46" fillId="2" borderId="0" xfId="1" applyNumberFormat="1" applyFont="1" applyFill="1" applyAlignment="1" applyProtection="1">
      <alignment vertical="center"/>
      <protection locked="0"/>
    </xf>
    <xf numFmtId="0" fontId="47" fillId="2" borderId="0" xfId="1" applyFont="1" applyFill="1" applyAlignment="1" applyProtection="1">
      <alignment horizontal="left" vertical="center"/>
      <protection locked="0"/>
    </xf>
    <xf numFmtId="0" fontId="47" fillId="2" borderId="0" xfId="1" applyFont="1" applyFill="1" applyAlignment="1" applyProtection="1">
      <alignment horizontal="center" vertical="center"/>
      <protection locked="0"/>
    </xf>
    <xf numFmtId="0" fontId="46" fillId="0" borderId="3" xfId="1" applyFont="1" applyBorder="1" applyAlignment="1" applyProtection="1">
      <alignment vertical="center"/>
      <protection locked="0"/>
    </xf>
    <xf numFmtId="167" fontId="47" fillId="2" borderId="0" xfId="1" applyNumberFormat="1" applyFont="1" applyFill="1" applyAlignment="1" applyProtection="1">
      <alignment horizontal="center" vertical="center"/>
      <protection locked="0"/>
    </xf>
    <xf numFmtId="164" fontId="46" fillId="2" borderId="0" xfId="1" applyNumberFormat="1" applyFont="1" applyFill="1" applyAlignment="1" applyProtection="1">
      <alignment horizontal="left" vertical="center"/>
      <protection locked="0"/>
    </xf>
    <xf numFmtId="0" fontId="46" fillId="2" borderId="0" xfId="1" applyFont="1" applyFill="1" applyAlignment="1" applyProtection="1">
      <alignment horizontal="center" vertical="center"/>
      <protection locked="0"/>
    </xf>
    <xf numFmtId="0" fontId="46" fillId="2" borderId="0" xfId="2" applyFont="1" applyFill="1" applyAlignment="1" applyProtection="1">
      <alignment vertical="center"/>
      <protection locked="0"/>
    </xf>
    <xf numFmtId="0" fontId="46" fillId="2" borderId="0" xfId="1" applyFont="1" applyFill="1" applyAlignment="1" applyProtection="1">
      <alignment vertical="center"/>
      <protection locked="0" hidden="1"/>
    </xf>
    <xf numFmtId="1" fontId="46" fillId="2" borderId="0" xfId="1" applyNumberFormat="1" applyFont="1" applyFill="1" applyAlignment="1">
      <alignment horizontal="center" vertical="center"/>
    </xf>
    <xf numFmtId="168" fontId="46" fillId="0" borderId="0" xfId="1" applyNumberFormat="1" applyFont="1" applyAlignment="1">
      <alignment horizontal="center" vertical="center"/>
    </xf>
    <xf numFmtId="0" fontId="46" fillId="2" borderId="5" xfId="0" applyFont="1" applyFill="1" applyBorder="1" applyAlignment="1">
      <alignment horizontal="right" vertical="center"/>
    </xf>
    <xf numFmtId="164" fontId="46" fillId="2" borderId="5" xfId="0" applyNumberFormat="1" applyFont="1" applyFill="1" applyBorder="1" applyAlignment="1">
      <alignment horizontal="right" vertical="center"/>
    </xf>
    <xf numFmtId="165" fontId="46" fillId="2" borderId="5" xfId="0" applyNumberFormat="1" applyFont="1" applyFill="1" applyBorder="1" applyAlignment="1">
      <alignment horizontal="right" vertical="center"/>
    </xf>
    <xf numFmtId="0" fontId="2" fillId="0" borderId="0" xfId="1" applyAlignment="1" applyProtection="1">
      <alignment horizontal="right"/>
      <protection locked="0"/>
    </xf>
    <xf numFmtId="0" fontId="47" fillId="2" borderId="0" xfId="2" applyFont="1" applyFill="1" applyAlignment="1" applyProtection="1">
      <alignment vertical="center"/>
      <protection locked="0"/>
    </xf>
    <xf numFmtId="0" fontId="46" fillId="2" borderId="0" xfId="1" applyFont="1" applyFill="1" applyAlignment="1">
      <alignment vertical="top" wrapText="1"/>
    </xf>
    <xf numFmtId="0" fontId="31" fillId="0" borderId="0" xfId="0" applyFont="1" applyAlignment="1" applyProtection="1">
      <alignment horizontal="right"/>
      <protection locked="0"/>
    </xf>
    <xf numFmtId="0" fontId="47" fillId="2" borderId="4" xfId="1" applyFont="1" applyFill="1" applyBorder="1" applyAlignment="1">
      <alignment horizontal="center" vertical="center"/>
    </xf>
    <xf numFmtId="0" fontId="47" fillId="2" borderId="0" xfId="1" applyFont="1" applyFill="1" applyAlignment="1">
      <alignment horizontal="center" vertical="center" wrapText="1"/>
    </xf>
    <xf numFmtId="0" fontId="46" fillId="0" borderId="0" xfId="1" applyFont="1" applyAlignment="1">
      <alignment horizontal="center" vertical="center"/>
    </xf>
    <xf numFmtId="174" fontId="1" fillId="2" borderId="3" xfId="0" applyNumberFormat="1" applyFont="1" applyFill="1" applyBorder="1" applyAlignment="1">
      <alignment horizontal="center"/>
    </xf>
    <xf numFmtId="168" fontId="46" fillId="2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2" fillId="0" borderId="3" xfId="0" applyFont="1" applyBorder="1"/>
    <xf numFmtId="164" fontId="0" fillId="0" borderId="3" xfId="0" applyNumberFormat="1" applyBorder="1" applyAlignment="1">
      <alignment horizontal="center"/>
    </xf>
    <xf numFmtId="0" fontId="4" fillId="0" borderId="7" xfId="0" applyFont="1" applyBorder="1"/>
    <xf numFmtId="164" fontId="0" fillId="0" borderId="3" xfId="0" applyNumberFormat="1" applyBorder="1"/>
    <xf numFmtId="0" fontId="6" fillId="0" borderId="3" xfId="0" applyFont="1" applyBorder="1" applyAlignment="1">
      <alignment horizontal="center" vertical="center"/>
    </xf>
    <xf numFmtId="175" fontId="46" fillId="0" borderId="3" xfId="1" applyNumberFormat="1" applyFont="1" applyBorder="1" applyAlignment="1" applyProtection="1">
      <alignment horizontal="center" vertical="center"/>
      <protection locked="0"/>
    </xf>
    <xf numFmtId="174" fontId="1" fillId="2" borderId="3" xfId="0" applyNumberFormat="1" applyFont="1" applyFill="1" applyBorder="1" applyAlignment="1">
      <alignment vertical="center"/>
    </xf>
    <xf numFmtId="0" fontId="2" fillId="2" borderId="0" xfId="1" applyFill="1" applyAlignment="1" applyProtection="1">
      <alignment vertical="center"/>
      <protection locked="0"/>
    </xf>
    <xf numFmtId="0" fontId="2" fillId="0" borderId="3" xfId="1" applyBorder="1" applyAlignment="1" applyProtection="1">
      <alignment horizontal="center" vertical="center"/>
      <protection locked="0"/>
    </xf>
    <xf numFmtId="178" fontId="2" fillId="0" borderId="3" xfId="1" applyNumberFormat="1" applyBorder="1" applyAlignment="1" applyProtection="1">
      <alignment horizontal="center" vertical="center"/>
      <protection locked="0"/>
    </xf>
    <xf numFmtId="174" fontId="46" fillId="0" borderId="3" xfId="1" applyNumberFormat="1" applyFont="1" applyBorder="1" applyAlignment="1" applyProtection="1">
      <alignment horizontal="center" vertical="center"/>
      <protection locked="0"/>
    </xf>
    <xf numFmtId="0" fontId="47" fillId="0" borderId="0" xfId="1" applyFont="1" applyAlignment="1" applyProtection="1">
      <alignment vertical="center"/>
      <protection locked="0"/>
    </xf>
    <xf numFmtId="0" fontId="47" fillId="2" borderId="0" xfId="1" applyFont="1" applyFill="1" applyAlignment="1">
      <alignment horizontal="left" vertical="center"/>
    </xf>
    <xf numFmtId="0" fontId="57" fillId="0" borderId="3" xfId="1" applyFont="1" applyBorder="1" applyAlignment="1" applyProtection="1">
      <alignment horizontal="center" vertical="center"/>
      <protection locked="0"/>
    </xf>
    <xf numFmtId="174" fontId="2" fillId="0" borderId="3" xfId="1" applyNumberFormat="1" applyBorder="1" applyAlignment="1" applyProtection="1">
      <alignment horizontal="center" vertical="center"/>
      <protection locked="0"/>
    </xf>
    <xf numFmtId="2" fontId="37" fillId="14" borderId="3" xfId="0" applyNumberFormat="1" applyFont="1" applyFill="1" applyBorder="1" applyAlignment="1" applyProtection="1">
      <alignment vertical="center"/>
      <protection locked="0"/>
    </xf>
    <xf numFmtId="2" fontId="37" fillId="14" borderId="3" xfId="0" quotePrefix="1" applyNumberFormat="1" applyFont="1" applyFill="1" applyBorder="1" applyAlignment="1" applyProtection="1">
      <alignment vertical="center"/>
      <protection locked="0"/>
    </xf>
    <xf numFmtId="2" fontId="37" fillId="14" borderId="0" xfId="0" applyNumberFormat="1" applyFont="1" applyFill="1" applyAlignment="1" applyProtection="1">
      <alignment vertical="center"/>
      <protection locked="0"/>
    </xf>
    <xf numFmtId="0" fontId="37" fillId="0" borderId="3" xfId="0" applyFont="1" applyBorder="1" applyAlignment="1" applyProtection="1">
      <alignment vertical="center"/>
      <protection locked="0"/>
    </xf>
    <xf numFmtId="2" fontId="37" fillId="14" borderId="4" xfId="0" applyNumberFormat="1" applyFont="1" applyFill="1" applyBorder="1" applyAlignment="1" applyProtection="1">
      <alignment vertical="center"/>
      <protection locked="0"/>
    </xf>
    <xf numFmtId="2" fontId="37" fillId="14" borderId="0" xfId="0" quotePrefix="1" applyNumberFormat="1" applyFont="1" applyFill="1" applyAlignment="1" applyProtection="1">
      <alignment horizontal="center" vertical="center"/>
      <protection locked="0"/>
    </xf>
    <xf numFmtId="2" fontId="37" fillId="14" borderId="0" xfId="0" applyNumberFormat="1" applyFont="1" applyFill="1" applyAlignment="1" applyProtection="1">
      <alignment horizontal="right" vertical="center"/>
      <protection locked="0"/>
    </xf>
    <xf numFmtId="0" fontId="37" fillId="0" borderId="0" xfId="0" applyFont="1" applyAlignment="1" applyProtection="1">
      <alignment vertical="center"/>
      <protection locked="0"/>
    </xf>
    <xf numFmtId="0" fontId="37" fillId="2" borderId="0" xfId="0" applyFont="1" applyFill="1" applyAlignment="1" applyProtection="1">
      <alignment horizontal="left" vertical="center"/>
      <protection locked="0"/>
    </xf>
    <xf numFmtId="1" fontId="37" fillId="0" borderId="0" xfId="0" applyNumberFormat="1" applyFont="1" applyAlignment="1" applyProtection="1">
      <alignment vertical="center"/>
      <protection locked="0"/>
    </xf>
    <xf numFmtId="178" fontId="46" fillId="0" borderId="0" xfId="1" applyNumberFormat="1" applyFont="1" applyAlignment="1" applyProtection="1">
      <alignment vertical="center"/>
      <protection locked="0"/>
    </xf>
    <xf numFmtId="174" fontId="46" fillId="0" borderId="0" xfId="1" applyNumberFormat="1" applyFont="1" applyAlignment="1" applyProtection="1">
      <alignment horizontal="center" vertical="center"/>
      <protection locked="0"/>
    </xf>
    <xf numFmtId="178" fontId="46" fillId="0" borderId="0" xfId="1" applyNumberFormat="1" applyFont="1" applyAlignment="1" applyProtection="1">
      <alignment horizontal="center" vertical="center"/>
      <protection locked="0"/>
    </xf>
    <xf numFmtId="0" fontId="46" fillId="2" borderId="6" xfId="0" applyFont="1" applyFill="1" applyBorder="1" applyAlignment="1">
      <alignment horizontal="right" vertical="center"/>
    </xf>
    <xf numFmtId="0" fontId="46" fillId="0" borderId="3" xfId="0" applyFont="1" applyBorder="1"/>
    <xf numFmtId="174" fontId="46" fillId="0" borderId="3" xfId="0" applyNumberFormat="1" applyFont="1" applyBorder="1" applyAlignment="1">
      <alignment horizontal="center" vertical="center"/>
    </xf>
    <xf numFmtId="174" fontId="0" fillId="0" borderId="3" xfId="0" applyNumberFormat="1" applyBorder="1" applyAlignment="1">
      <alignment horizontal="center" vertical="center"/>
    </xf>
    <xf numFmtId="0" fontId="46" fillId="0" borderId="3" xfId="0" applyFont="1" applyBorder="1" applyAlignment="1">
      <alignment horizontal="center"/>
    </xf>
    <xf numFmtId="0" fontId="46" fillId="0" borderId="3" xfId="0" applyFont="1" applyBorder="1" applyAlignment="1">
      <alignment horizontal="center" vertical="center"/>
    </xf>
    <xf numFmtId="0" fontId="37" fillId="0" borderId="36" xfId="0" applyFont="1" applyBorder="1" applyAlignment="1" applyProtection="1">
      <alignment vertical="center"/>
      <protection locked="0"/>
    </xf>
    <xf numFmtId="0" fontId="37" fillId="0" borderId="32" xfId="0" applyFont="1" applyBorder="1" applyAlignment="1" applyProtection="1">
      <alignment horizontal="center" vertical="center"/>
      <protection locked="0"/>
    </xf>
    <xf numFmtId="0" fontId="37" fillId="0" borderId="29" xfId="0" quotePrefix="1" applyFont="1" applyBorder="1" applyAlignment="1" applyProtection="1">
      <alignment horizontal="center" vertical="center"/>
      <protection locked="0"/>
    </xf>
    <xf numFmtId="0" fontId="37" fillId="0" borderId="29" xfId="0" applyFont="1" applyBorder="1" applyAlignment="1" applyProtection="1">
      <alignment vertical="center"/>
      <protection locked="0"/>
    </xf>
    <xf numFmtId="0" fontId="37" fillId="0" borderId="30" xfId="0" applyFont="1" applyBorder="1" applyAlignment="1" applyProtection="1">
      <alignment vertical="center"/>
      <protection locked="0"/>
    </xf>
    <xf numFmtId="1" fontId="58" fillId="0" borderId="54" xfId="0" applyNumberFormat="1" applyFont="1" applyBorder="1" applyAlignment="1" applyProtection="1">
      <alignment horizontal="center" vertical="center"/>
      <protection locked="0"/>
    </xf>
    <xf numFmtId="0" fontId="37" fillId="0" borderId="48" xfId="0" applyFont="1" applyBorder="1" applyAlignment="1" applyProtection="1">
      <alignment horizontal="center" vertical="center"/>
      <protection locked="0"/>
    </xf>
    <xf numFmtId="0" fontId="37" fillId="0" borderId="27" xfId="0" applyFont="1" applyBorder="1" applyAlignment="1" applyProtection="1">
      <alignment vertical="center"/>
      <protection locked="0"/>
    </xf>
    <xf numFmtId="0" fontId="37" fillId="0" borderId="59" xfId="0" applyFont="1" applyBorder="1" applyAlignment="1" applyProtection="1">
      <alignment vertical="center"/>
      <protection locked="0"/>
    </xf>
    <xf numFmtId="0" fontId="37" fillId="0" borderId="49" xfId="0" applyFont="1" applyBorder="1" applyAlignment="1" applyProtection="1">
      <alignment horizontal="center" vertical="center"/>
      <protection locked="0"/>
    </xf>
    <xf numFmtId="0" fontId="37" fillId="0" borderId="38" xfId="0" quotePrefix="1" applyFont="1" applyBorder="1" applyAlignment="1" applyProtection="1">
      <alignment horizontal="center" vertical="center"/>
      <protection locked="0"/>
    </xf>
    <xf numFmtId="0" fontId="37" fillId="0" borderId="38" xfId="0" applyFont="1" applyBorder="1" applyAlignment="1" applyProtection="1">
      <alignment vertical="center"/>
      <protection locked="0"/>
    </xf>
    <xf numFmtId="0" fontId="37" fillId="0" borderId="39" xfId="0" applyFont="1" applyBorder="1" applyAlignment="1" applyProtection="1">
      <alignment vertical="center"/>
      <protection locked="0"/>
    </xf>
    <xf numFmtId="0" fontId="46" fillId="2" borderId="36" xfId="0" applyFont="1" applyFill="1" applyBorder="1" applyAlignment="1">
      <alignment vertical="center"/>
    </xf>
    <xf numFmtId="0" fontId="46" fillId="2" borderId="54" xfId="0" applyFont="1" applyFill="1" applyBorder="1" applyAlignment="1">
      <alignment vertical="center"/>
    </xf>
    <xf numFmtId="0" fontId="46" fillId="2" borderId="59" xfId="0" applyFont="1" applyFill="1" applyBorder="1" applyAlignment="1">
      <alignment vertical="center"/>
    </xf>
    <xf numFmtId="0" fontId="16" fillId="0" borderId="3" xfId="0" applyFont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0" fontId="59" fillId="0" borderId="3" xfId="0" quotePrefix="1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179" fontId="16" fillId="0" borderId="3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37" fillId="2" borderId="0" xfId="0" applyFont="1" applyFill="1" applyProtection="1">
      <protection locked="0"/>
    </xf>
    <xf numFmtId="0" fontId="46" fillId="2" borderId="0" xfId="0" applyFont="1" applyFill="1" applyAlignment="1" applyProtection="1">
      <alignment vertical="center"/>
      <protection locked="0"/>
    </xf>
    <xf numFmtId="0" fontId="46" fillId="0" borderId="0" xfId="0" applyFont="1" applyProtection="1">
      <protection locked="0"/>
    </xf>
    <xf numFmtId="0" fontId="46" fillId="2" borderId="0" xfId="0" applyFont="1" applyFill="1" applyProtection="1">
      <protection locked="0"/>
    </xf>
    <xf numFmtId="0" fontId="46" fillId="2" borderId="0" xfId="0" applyFont="1" applyFill="1" applyAlignment="1" applyProtection="1">
      <alignment horizontal="right"/>
      <protection locked="0"/>
    </xf>
    <xf numFmtId="0" fontId="46" fillId="6" borderId="0" xfId="0" applyFont="1" applyFill="1" applyProtection="1">
      <protection locked="0"/>
    </xf>
    <xf numFmtId="0" fontId="46" fillId="6" borderId="0" xfId="0" quotePrefix="1" applyFont="1" applyFill="1" applyAlignment="1" applyProtection="1">
      <alignment horizontal="left"/>
      <protection locked="0"/>
    </xf>
    <xf numFmtId="0" fontId="46" fillId="6" borderId="0" xfId="0" applyFont="1" applyFill="1" applyAlignment="1" applyProtection="1">
      <alignment horizontal="center"/>
      <protection locked="0"/>
    </xf>
    <xf numFmtId="0" fontId="46" fillId="6" borderId="0" xfId="0" applyFont="1" applyFill="1" applyAlignment="1" applyProtection="1">
      <alignment horizontal="right"/>
      <protection locked="0"/>
    </xf>
    <xf numFmtId="0" fontId="46" fillId="2" borderId="0" xfId="0" quotePrefix="1" applyFont="1" applyFill="1" applyAlignment="1" applyProtection="1">
      <alignment horizontal="left"/>
      <protection locked="0"/>
    </xf>
    <xf numFmtId="0" fontId="46" fillId="2" borderId="0" xfId="0" applyFont="1" applyFill="1" applyAlignment="1" applyProtection="1">
      <alignment horizontal="left"/>
      <protection locked="0"/>
    </xf>
    <xf numFmtId="0" fontId="47" fillId="2" borderId="0" xfId="0" applyFont="1" applyFill="1" applyAlignment="1" applyProtection="1">
      <alignment horizontal="left" vertical="center"/>
      <protection locked="0"/>
    </xf>
    <xf numFmtId="0" fontId="47" fillId="2" borderId="0" xfId="0" applyFont="1" applyFill="1" applyProtection="1">
      <protection locked="0"/>
    </xf>
    <xf numFmtId="0" fontId="51" fillId="2" borderId="0" xfId="0" applyFont="1" applyFill="1" applyProtection="1">
      <protection locked="0"/>
    </xf>
    <xf numFmtId="0" fontId="47" fillId="2" borderId="3" xfId="0" applyFont="1" applyFill="1" applyBorder="1" applyAlignment="1" applyProtection="1">
      <alignment horizontal="left" vertical="center"/>
      <protection locked="0"/>
    </xf>
    <xf numFmtId="165" fontId="46" fillId="6" borderId="3" xfId="0" applyNumberFormat="1" applyFont="1" applyFill="1" applyBorder="1" applyAlignment="1" applyProtection="1">
      <alignment horizontal="center" vertical="center"/>
      <protection locked="0"/>
    </xf>
    <xf numFmtId="0" fontId="52" fillId="2" borderId="0" xfId="0" applyFont="1" applyFill="1" applyProtection="1">
      <protection locked="0"/>
    </xf>
    <xf numFmtId="0" fontId="49" fillId="2" borderId="0" xfId="0" applyFont="1" applyFill="1" applyProtection="1">
      <protection locked="0"/>
    </xf>
    <xf numFmtId="165" fontId="46" fillId="7" borderId="0" xfId="0" quotePrefix="1" applyNumberFormat="1" applyFont="1" applyFill="1" applyAlignment="1" applyProtection="1">
      <alignment horizontal="center"/>
      <protection locked="0"/>
    </xf>
    <xf numFmtId="165" fontId="46" fillId="2" borderId="0" xfId="0" applyNumberFormat="1" applyFont="1" applyFill="1" applyAlignment="1" applyProtection="1">
      <alignment horizontal="left"/>
      <protection locked="0"/>
    </xf>
    <xf numFmtId="165" fontId="54" fillId="2" borderId="0" xfId="0" applyNumberFormat="1" applyFont="1" applyFill="1" applyAlignment="1" applyProtection="1">
      <alignment horizontal="center"/>
      <protection locked="0"/>
    </xf>
    <xf numFmtId="165" fontId="54" fillId="2" borderId="0" xfId="0" applyNumberFormat="1" applyFont="1" applyFill="1" applyProtection="1">
      <protection locked="0"/>
    </xf>
    <xf numFmtId="0" fontId="47" fillId="2" borderId="0" xfId="0" applyFont="1" applyFill="1" applyAlignment="1" applyProtection="1">
      <alignment horizontal="left"/>
      <protection locked="0"/>
    </xf>
    <xf numFmtId="0" fontId="47" fillId="2" borderId="0" xfId="0" applyFont="1" applyFill="1" applyAlignment="1" applyProtection="1">
      <alignment vertical="center"/>
      <protection locked="0"/>
    </xf>
    <xf numFmtId="0" fontId="47" fillId="2" borderId="0" xfId="0" applyFont="1" applyFill="1" applyAlignment="1" applyProtection="1">
      <alignment horizontal="center" vertical="center"/>
      <protection locked="0"/>
    </xf>
    <xf numFmtId="170" fontId="46" fillId="2" borderId="0" xfId="0" applyNumberFormat="1" applyFont="1" applyFill="1" applyAlignment="1" applyProtection="1">
      <alignment horizontal="left" vertical="center"/>
      <protection locked="0"/>
    </xf>
    <xf numFmtId="49" fontId="46" fillId="2" borderId="0" xfId="0" applyNumberFormat="1" applyFont="1" applyFill="1" applyAlignment="1" applyProtection="1">
      <alignment vertical="center"/>
      <protection locked="0"/>
    </xf>
    <xf numFmtId="0" fontId="47" fillId="2" borderId="7" xfId="0" applyFont="1" applyFill="1" applyBorder="1" applyAlignment="1" applyProtection="1">
      <alignment horizontal="center" vertical="center"/>
      <protection locked="0"/>
    </xf>
    <xf numFmtId="0" fontId="47" fillId="2" borderId="2" xfId="0" applyFont="1" applyFill="1" applyBorder="1" applyAlignment="1" applyProtection="1">
      <alignment horizontal="center" vertical="center"/>
      <protection locked="0"/>
    </xf>
    <xf numFmtId="0" fontId="46" fillId="2" borderId="5" xfId="0" applyFont="1" applyFill="1" applyBorder="1" applyAlignment="1" applyProtection="1">
      <alignment vertical="center"/>
      <protection locked="0"/>
    </xf>
    <xf numFmtId="0" fontId="46" fillId="2" borderId="0" xfId="0" applyFont="1" applyFill="1" applyAlignment="1" applyProtection="1">
      <alignment horizontal="center" vertical="center"/>
      <protection locked="0"/>
    </xf>
    <xf numFmtId="0" fontId="51" fillId="2" borderId="0" xfId="2" applyFont="1" applyFill="1" applyAlignment="1" applyProtection="1">
      <alignment horizontal="center" vertical="center" wrapText="1"/>
      <protection locked="0"/>
    </xf>
    <xf numFmtId="0" fontId="46" fillId="2" borderId="0" xfId="2" applyFont="1" applyFill="1" applyAlignment="1" applyProtection="1">
      <alignment horizontal="center" vertical="center" wrapText="1"/>
      <protection locked="0"/>
    </xf>
    <xf numFmtId="0" fontId="55" fillId="2" borderId="0" xfId="0" applyFont="1" applyFill="1" applyAlignment="1" applyProtection="1">
      <alignment vertical="center" wrapText="1"/>
      <protection locked="0"/>
    </xf>
    <xf numFmtId="0" fontId="46" fillId="2" borderId="2" xfId="0" applyFont="1" applyFill="1" applyBorder="1" applyAlignment="1" applyProtection="1">
      <alignment horizontal="center" vertical="center"/>
      <protection locked="0"/>
    </xf>
    <xf numFmtId="49" fontId="46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46" fillId="2" borderId="3" xfId="0" applyNumberFormat="1" applyFont="1" applyFill="1" applyBorder="1" applyAlignment="1" applyProtection="1">
      <alignment horizontal="center"/>
      <protection locked="0"/>
    </xf>
    <xf numFmtId="1" fontId="46" fillId="7" borderId="3" xfId="0" applyNumberFormat="1" applyFont="1" applyFill="1" applyBorder="1" applyAlignment="1" applyProtection="1">
      <alignment horizontal="center"/>
      <protection locked="0"/>
    </xf>
    <xf numFmtId="1" fontId="46" fillId="2" borderId="0" xfId="0" applyNumberFormat="1" applyFont="1" applyFill="1" applyAlignment="1" applyProtection="1">
      <alignment horizontal="center"/>
      <protection locked="0"/>
    </xf>
    <xf numFmtId="49" fontId="46" fillId="2" borderId="0" xfId="0" applyNumberFormat="1" applyFont="1" applyFill="1" applyAlignment="1" applyProtection="1">
      <alignment horizontal="center" vertical="center" wrapText="1"/>
      <protection locked="0"/>
    </xf>
    <xf numFmtId="0" fontId="46" fillId="2" borderId="0" xfId="0" applyFont="1" applyFill="1" applyAlignment="1" applyProtection="1">
      <alignment horizontal="center" vertical="center" wrapText="1"/>
      <protection locked="0"/>
    </xf>
    <xf numFmtId="1" fontId="46" fillId="7" borderId="0" xfId="0" quotePrefix="1" applyNumberFormat="1" applyFont="1" applyFill="1" applyAlignment="1" applyProtection="1">
      <alignment horizontal="center"/>
      <protection locked="0"/>
    </xf>
    <xf numFmtId="1" fontId="46" fillId="2" borderId="0" xfId="0" quotePrefix="1" applyNumberFormat="1" applyFont="1" applyFill="1" applyAlignment="1" applyProtection="1">
      <alignment horizontal="center"/>
      <protection locked="0"/>
    </xf>
    <xf numFmtId="49" fontId="46" fillId="2" borderId="3" xfId="0" applyNumberFormat="1" applyFont="1" applyFill="1" applyBorder="1" applyAlignment="1" applyProtection="1">
      <alignment horizontal="center" vertical="center"/>
      <protection locked="0"/>
    </xf>
    <xf numFmtId="1" fontId="46" fillId="2" borderId="3" xfId="0" applyNumberFormat="1" applyFont="1" applyFill="1" applyBorder="1" applyAlignment="1" applyProtection="1">
      <alignment horizontal="center" vertical="center"/>
      <protection locked="0"/>
    </xf>
    <xf numFmtId="1" fontId="46" fillId="6" borderId="3" xfId="0" applyNumberFormat="1" applyFont="1" applyFill="1" applyBorder="1" applyAlignment="1" applyProtection="1">
      <alignment horizontal="center" vertical="center"/>
      <protection locked="0"/>
    </xf>
    <xf numFmtId="166" fontId="46" fillId="2" borderId="0" xfId="0" applyNumberFormat="1" applyFont="1" applyFill="1" applyAlignment="1" applyProtection="1">
      <alignment horizontal="center"/>
      <protection locked="0"/>
    </xf>
    <xf numFmtId="167" fontId="46" fillId="2" borderId="0" xfId="0" applyNumberFormat="1" applyFont="1" applyFill="1" applyAlignment="1" applyProtection="1">
      <alignment horizontal="center"/>
      <protection locked="0"/>
    </xf>
    <xf numFmtId="0" fontId="47" fillId="6" borderId="0" xfId="0" applyFont="1" applyFill="1" applyAlignment="1" applyProtection="1">
      <alignment horizontal="left"/>
      <protection locked="0"/>
    </xf>
    <xf numFmtId="174" fontId="2" fillId="0" borderId="0" xfId="1" applyNumberFormat="1" applyAlignment="1" applyProtection="1">
      <alignment horizontal="center" vertical="center"/>
      <protection locked="0"/>
    </xf>
    <xf numFmtId="0" fontId="60" fillId="0" borderId="3" xfId="0" applyFont="1" applyBorder="1" applyAlignment="1">
      <alignment horizontal="center" vertical="center"/>
    </xf>
    <xf numFmtId="0" fontId="2" fillId="0" borderId="0" xfId="5"/>
    <xf numFmtId="0" fontId="35" fillId="0" borderId="6" xfId="5" applyFont="1" applyBorder="1" applyAlignment="1">
      <alignment horizontal="left" vertical="top" wrapText="1"/>
    </xf>
    <xf numFmtId="0" fontId="35" fillId="0" borderId="0" xfId="5" applyFont="1" applyAlignment="1">
      <alignment vertical="center" wrapText="1"/>
    </xf>
    <xf numFmtId="0" fontId="35" fillId="0" borderId="0" xfId="5" applyFont="1" applyAlignment="1">
      <alignment horizontal="center" vertical="center" wrapText="1"/>
    </xf>
    <xf numFmtId="0" fontId="35" fillId="0" borderId="4" xfId="5" applyFont="1" applyBorder="1" applyAlignment="1">
      <alignment vertical="top"/>
    </xf>
    <xf numFmtId="0" fontId="35" fillId="0" borderId="6" xfId="5" applyFont="1" applyBorder="1" applyAlignment="1" applyProtection="1">
      <alignment vertical="top" wrapText="1"/>
      <protection locked="0"/>
    </xf>
    <xf numFmtId="0" fontId="35" fillId="0" borderId="6" xfId="5" applyFont="1" applyBorder="1" applyAlignment="1" applyProtection="1">
      <alignment vertical="top"/>
      <protection locked="0"/>
    </xf>
    <xf numFmtId="0" fontId="62" fillId="0" borderId="0" xfId="5" applyFont="1" applyAlignment="1">
      <alignment vertical="top"/>
    </xf>
    <xf numFmtId="0" fontId="35" fillId="0" borderId="0" xfId="5" applyFont="1" applyAlignment="1" applyProtection="1">
      <alignment horizontal="center" vertical="top" wrapText="1"/>
      <protection locked="0"/>
    </xf>
    <xf numFmtId="0" fontId="35" fillId="0" borderId="0" xfId="5" applyFont="1" applyAlignment="1">
      <alignment horizontal="center" vertical="top" wrapText="1"/>
    </xf>
    <xf numFmtId="0" fontId="35" fillId="0" borderId="0" xfId="5" applyFont="1" applyAlignment="1">
      <alignment vertical="top" wrapText="1"/>
    </xf>
    <xf numFmtId="0" fontId="63" fillId="0" borderId="0" xfId="5" applyFont="1" applyAlignment="1">
      <alignment vertical="center"/>
    </xf>
    <xf numFmtId="0" fontId="65" fillId="0" borderId="0" xfId="6" applyFont="1"/>
    <xf numFmtId="0" fontId="2" fillId="0" borderId="0" xfId="6"/>
    <xf numFmtId="0" fontId="2" fillId="0" borderId="28" xfId="6" applyBorder="1"/>
    <xf numFmtId="0" fontId="2" fillId="0" borderId="29" xfId="6" applyBorder="1"/>
    <xf numFmtId="0" fontId="2" fillId="0" borderId="30" xfId="6" applyBorder="1"/>
    <xf numFmtId="0" fontId="66" fillId="0" borderId="31" xfId="6" applyFont="1" applyBorder="1" applyAlignment="1">
      <alignment horizontal="center" vertical="center"/>
    </xf>
    <xf numFmtId="0" fontId="68" fillId="0" borderId="54" xfId="6" applyFont="1" applyBorder="1" applyAlignment="1">
      <alignment vertical="center"/>
    </xf>
    <xf numFmtId="0" fontId="2" fillId="0" borderId="31" xfId="6" applyBorder="1"/>
    <xf numFmtId="0" fontId="2" fillId="0" borderId="3" xfId="6" applyBorder="1" applyAlignment="1">
      <alignment horizontal="center"/>
    </xf>
    <xf numFmtId="0" fontId="2" fillId="0" borderId="3" xfId="6" applyBorder="1" applyAlignment="1">
      <alignment horizontal="center" vertical="center"/>
    </xf>
    <xf numFmtId="0" fontId="2" fillId="0" borderId="27" xfId="6" applyBorder="1"/>
    <xf numFmtId="0" fontId="2" fillId="0" borderId="0" xfId="6" applyAlignment="1">
      <alignment horizontal="center"/>
    </xf>
    <xf numFmtId="0" fontId="2" fillId="0" borderId="0" xfId="6" applyAlignment="1">
      <alignment horizontal="center" vertical="center"/>
    </xf>
    <xf numFmtId="0" fontId="2" fillId="0" borderId="3" xfId="6" applyBorder="1" applyAlignment="1">
      <alignment horizontal="center" vertical="center" wrapText="1"/>
    </xf>
    <xf numFmtId="164" fontId="2" fillId="0" borderId="3" xfId="6" applyNumberFormat="1" applyBorder="1" applyAlignment="1">
      <alignment horizontal="center" vertical="center"/>
    </xf>
    <xf numFmtId="0" fontId="2" fillId="0" borderId="3" xfId="6" applyBorder="1" applyAlignment="1">
      <alignment horizontal="center" wrapText="1"/>
    </xf>
    <xf numFmtId="164" fontId="2" fillId="0" borderId="0" xfId="6" applyNumberFormat="1" applyAlignment="1">
      <alignment horizontal="center" vertical="center"/>
    </xf>
    <xf numFmtId="0" fontId="2" fillId="0" borderId="37" xfId="6" applyBorder="1"/>
    <xf numFmtId="0" fontId="2" fillId="0" borderId="38" xfId="6" applyBorder="1"/>
    <xf numFmtId="0" fontId="2" fillId="0" borderId="39" xfId="6" applyBorder="1"/>
    <xf numFmtId="0" fontId="36" fillId="0" borderId="0" xfId="6" applyFont="1"/>
    <xf numFmtId="0" fontId="36" fillId="0" borderId="31" xfId="6" applyFont="1" applyBorder="1" applyAlignment="1">
      <alignment horizontal="center" vertical="center"/>
    </xf>
    <xf numFmtId="0" fontId="69" fillId="0" borderId="0" xfId="6" applyFont="1"/>
    <xf numFmtId="2" fontId="2" fillId="0" borderId="3" xfId="6" applyNumberFormat="1" applyBorder="1" applyAlignment="1">
      <alignment horizontal="center" vertical="center"/>
    </xf>
    <xf numFmtId="165" fontId="2" fillId="0" borderId="0" xfId="1" applyNumberFormat="1" applyAlignment="1" applyProtection="1">
      <alignment horizontal="center" vertical="center"/>
      <protection locked="0"/>
    </xf>
    <xf numFmtId="165" fontId="2" fillId="0" borderId="0" xfId="1" applyNumberFormat="1" applyAlignment="1" applyProtection="1">
      <alignment horizontal="left" vertical="center"/>
      <protection locked="0"/>
    </xf>
    <xf numFmtId="0" fontId="65" fillId="0" borderId="31" xfId="6" applyFont="1" applyBorder="1" applyAlignment="1">
      <alignment horizontal="center" vertical="center"/>
    </xf>
    <xf numFmtId="0" fontId="68" fillId="0" borderId="27" xfId="6" applyFont="1" applyBorder="1" applyAlignment="1">
      <alignment vertical="center"/>
    </xf>
    <xf numFmtId="0" fontId="68" fillId="0" borderId="0" xfId="6" applyFont="1" applyAlignment="1">
      <alignment vertical="center"/>
    </xf>
    <xf numFmtId="0" fontId="69" fillId="0" borderId="3" xfId="6" applyFont="1" applyBorder="1" applyAlignment="1">
      <alignment horizontal="center" vertical="center"/>
    </xf>
    <xf numFmtId="1" fontId="2" fillId="0" borderId="3" xfId="4" applyNumberFormat="1" applyBorder="1" applyAlignment="1">
      <alignment horizontal="center" vertical="center"/>
    </xf>
    <xf numFmtId="0" fontId="2" fillId="0" borderId="0" xfId="6" applyAlignment="1">
      <alignment horizontal="right"/>
    </xf>
    <xf numFmtId="0" fontId="69" fillId="0" borderId="3" xfId="6" applyFont="1" applyBorder="1" applyAlignment="1">
      <alignment horizontal="center" vertical="center" wrapText="1"/>
    </xf>
    <xf numFmtId="2" fontId="2" fillId="0" borderId="31" xfId="6" applyNumberFormat="1" applyBorder="1"/>
    <xf numFmtId="0" fontId="46" fillId="6" borderId="0" xfId="0" applyFont="1" applyFill="1" applyAlignment="1" applyProtection="1">
      <protection locked="0"/>
    </xf>
    <xf numFmtId="2" fontId="2" fillId="0" borderId="0" xfId="6" applyNumberFormat="1"/>
    <xf numFmtId="177" fontId="46" fillId="0" borderId="21" xfId="1" applyNumberFormat="1" applyFont="1" applyBorder="1" applyAlignment="1" applyProtection="1">
      <alignment horizontal="center" vertical="center"/>
      <protection locked="0"/>
    </xf>
    <xf numFmtId="175" fontId="46" fillId="0" borderId="6" xfId="1" applyNumberFormat="1" applyFont="1" applyBorder="1" applyAlignment="1" applyProtection="1">
      <alignment horizontal="center" vertical="center"/>
      <protection locked="0"/>
    </xf>
    <xf numFmtId="176" fontId="46" fillId="0" borderId="6" xfId="1" applyNumberFormat="1" applyFont="1" applyBorder="1" applyAlignment="1" applyProtection="1">
      <alignment horizontal="center" vertical="center"/>
      <protection locked="0"/>
    </xf>
    <xf numFmtId="0" fontId="47" fillId="2" borderId="0" xfId="1" applyFont="1" applyFill="1" applyBorder="1" applyAlignment="1">
      <alignment vertical="center" wrapText="1"/>
    </xf>
    <xf numFmtId="168" fontId="71" fillId="2" borderId="20" xfId="1" applyNumberFormat="1" applyFont="1" applyFill="1" applyBorder="1" applyAlignment="1">
      <alignment horizontal="right" vertical="center"/>
    </xf>
    <xf numFmtId="165" fontId="46" fillId="2" borderId="21" xfId="1" applyNumberFormat="1" applyFont="1" applyFill="1" applyBorder="1" applyAlignment="1">
      <alignment horizontal="left" vertical="center"/>
    </xf>
    <xf numFmtId="168" fontId="71" fillId="2" borderId="4" xfId="1" applyNumberFormat="1" applyFont="1" applyFill="1" applyBorder="1" applyAlignment="1">
      <alignment horizontal="right" vertical="center"/>
    </xf>
    <xf numFmtId="165" fontId="46" fillId="2" borderId="6" xfId="1" applyNumberFormat="1" applyFont="1" applyFill="1" applyBorder="1" applyAlignment="1">
      <alignment horizontal="left" vertical="center"/>
    </xf>
    <xf numFmtId="168" fontId="70" fillId="0" borderId="20" xfId="1" applyNumberFormat="1" applyFont="1" applyBorder="1" applyAlignment="1">
      <alignment horizontal="right" vertical="center"/>
    </xf>
    <xf numFmtId="165" fontId="46" fillId="0" borderId="21" xfId="1" applyNumberFormat="1" applyFont="1" applyBorder="1" applyAlignment="1">
      <alignment horizontal="left" vertical="center"/>
    </xf>
    <xf numFmtId="168" fontId="70" fillId="0" borderId="4" xfId="1" applyNumberFormat="1" applyFont="1" applyBorder="1" applyAlignment="1">
      <alignment horizontal="right" vertical="center"/>
    </xf>
    <xf numFmtId="165" fontId="46" fillId="0" borderId="6" xfId="1" applyNumberFormat="1" applyFont="1" applyBorder="1" applyAlignment="1">
      <alignment horizontal="left" vertical="center"/>
    </xf>
    <xf numFmtId="0" fontId="2" fillId="0" borderId="0" xfId="5" applyFont="1"/>
    <xf numFmtId="0" fontId="2" fillId="0" borderId="0" xfId="5" applyFont="1" applyAlignment="1">
      <alignment horizontal="left" vertical="top"/>
    </xf>
    <xf numFmtId="0" fontId="35" fillId="0" borderId="6" xfId="5" applyFont="1" applyBorder="1" applyAlignment="1" applyProtection="1">
      <alignment horizontal="left" vertical="top"/>
    </xf>
    <xf numFmtId="0" fontId="2" fillId="0" borderId="0" xfId="5" applyFont="1" applyAlignment="1">
      <alignment vertical="top" wrapText="1"/>
    </xf>
    <xf numFmtId="0" fontId="2" fillId="0" borderId="28" xfId="5" applyBorder="1"/>
    <xf numFmtId="0" fontId="72" fillId="0" borderId="30" xfId="5" applyFont="1" applyBorder="1"/>
    <xf numFmtId="0" fontId="2" fillId="0" borderId="31" xfId="5" applyBorder="1"/>
    <xf numFmtId="0" fontId="2" fillId="0" borderId="27" xfId="5" applyBorder="1"/>
    <xf numFmtId="0" fontId="2" fillId="0" borderId="31" xfId="5" applyBorder="1" applyAlignment="1">
      <alignment wrapText="1"/>
    </xf>
    <xf numFmtId="0" fontId="2" fillId="0" borderId="27" xfId="5" applyBorder="1" applyAlignment="1">
      <alignment wrapText="1"/>
    </xf>
    <xf numFmtId="0" fontId="72" fillId="0" borderId="27" xfId="5" applyFont="1" applyBorder="1"/>
    <xf numFmtId="0" fontId="64" fillId="0" borderId="27" xfId="5" applyFont="1" applyBorder="1" applyAlignment="1">
      <alignment horizontal="left" wrapText="1"/>
    </xf>
    <xf numFmtId="0" fontId="2" fillId="0" borderId="0" xfId="5" applyAlignment="1">
      <alignment wrapText="1"/>
    </xf>
    <xf numFmtId="0" fontId="64" fillId="0" borderId="31" xfId="5" applyFont="1" applyBorder="1" applyAlignment="1">
      <alignment wrapText="1"/>
    </xf>
    <xf numFmtId="179" fontId="64" fillId="0" borderId="27" xfId="5" applyNumberFormat="1" applyFont="1" applyBorder="1" applyAlignment="1">
      <alignment horizontal="left"/>
    </xf>
    <xf numFmtId="15" fontId="2" fillId="0" borderId="27" xfId="5" applyNumberFormat="1" applyBorder="1"/>
    <xf numFmtId="0" fontId="73" fillId="0" borderId="27" xfId="5" applyFont="1" applyBorder="1" applyAlignment="1">
      <alignment horizontal="left" wrapText="1"/>
    </xf>
    <xf numFmtId="0" fontId="64" fillId="0" borderId="27" xfId="5" applyFont="1" applyBorder="1" applyAlignment="1">
      <alignment wrapText="1"/>
    </xf>
    <xf numFmtId="0" fontId="64" fillId="0" borderId="31" xfId="5" applyFont="1" applyBorder="1"/>
    <xf numFmtId="0" fontId="64" fillId="0" borderId="37" xfId="5" applyFont="1" applyBorder="1"/>
    <xf numFmtId="0" fontId="64" fillId="0" borderId="39" xfId="5" applyFont="1" applyBorder="1" applyAlignment="1">
      <alignment wrapText="1"/>
    </xf>
    <xf numFmtId="0" fontId="35" fillId="0" borderId="0" xfId="5" applyFont="1" applyAlignment="1">
      <alignment horizontal="justify" vertical="center" wrapText="1"/>
    </xf>
    <xf numFmtId="0" fontId="35" fillId="0" borderId="4" xfId="5" applyFont="1" applyBorder="1" applyAlignment="1">
      <alignment horizontal="left" vertical="top" wrapText="1"/>
    </xf>
    <xf numFmtId="0" fontId="2" fillId="0" borderId="0" xfId="6" applyBorder="1" applyAlignment="1">
      <alignment horizontal="center" vertical="center"/>
    </xf>
    <xf numFmtId="165" fontId="2" fillId="0" borderId="0" xfId="6" applyNumberFormat="1" applyBorder="1" applyAlignment="1">
      <alignment horizontal="center" vertical="center"/>
    </xf>
    <xf numFmtId="0" fontId="46" fillId="0" borderId="4" xfId="1" applyNumberFormat="1" applyFont="1" applyBorder="1" applyAlignment="1" applyProtection="1">
      <alignment horizontal="center" vertical="center"/>
      <protection locked="0"/>
    </xf>
    <xf numFmtId="165" fontId="46" fillId="2" borderId="0" xfId="1" applyNumberFormat="1" applyFont="1" applyFill="1" applyAlignment="1">
      <alignment horizontal="left" vertical="center"/>
    </xf>
    <xf numFmtId="0" fontId="46" fillId="0" borderId="20" xfId="1" applyNumberFormat="1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/>
    </xf>
    <xf numFmtId="171" fontId="46" fillId="2" borderId="0" xfId="1" applyNumberFormat="1" applyFont="1" applyFill="1" applyAlignment="1">
      <alignment vertical="center"/>
    </xf>
    <xf numFmtId="2" fontId="46" fillId="2" borderId="0" xfId="1" applyNumberFormat="1" applyFont="1" applyFill="1" applyAlignment="1">
      <alignment vertical="center"/>
    </xf>
    <xf numFmtId="1" fontId="46" fillId="2" borderId="0" xfId="1" applyNumberFormat="1" applyFont="1" applyFill="1" applyAlignment="1">
      <alignment horizontal="left" vertical="center"/>
    </xf>
    <xf numFmtId="2" fontId="48" fillId="2" borderId="0" xfId="1" applyNumberFormat="1" applyFont="1" applyFill="1" applyAlignment="1">
      <alignment vertical="center"/>
    </xf>
    <xf numFmtId="166" fontId="2" fillId="0" borderId="3" xfId="6" applyNumberFormat="1" applyBorder="1" applyAlignment="1">
      <alignment horizontal="center" vertical="center"/>
    </xf>
    <xf numFmtId="0" fontId="46" fillId="2" borderId="3" xfId="0" applyFont="1" applyFill="1" applyBorder="1" applyAlignment="1" applyProtection="1">
      <alignment horizontal="center" vertical="center"/>
      <protection locked="0"/>
    </xf>
    <xf numFmtId="0" fontId="46" fillId="2" borderId="0" xfId="1" applyFont="1" applyFill="1" applyAlignment="1">
      <alignment horizontal="center" vertical="center"/>
    </xf>
    <xf numFmtId="0" fontId="46" fillId="2" borderId="0" xfId="0" applyFont="1" applyFill="1" applyAlignment="1" applyProtection="1">
      <alignment horizontal="center"/>
      <protection locked="0"/>
    </xf>
    <xf numFmtId="0" fontId="47" fillId="2" borderId="3" xfId="0" applyFont="1" applyFill="1" applyBorder="1" applyAlignment="1" applyProtection="1">
      <alignment horizontal="center" vertical="center"/>
      <protection locked="0"/>
    </xf>
    <xf numFmtId="0" fontId="46" fillId="2" borderId="3" xfId="0" applyFont="1" applyFill="1" applyBorder="1" applyAlignment="1" applyProtection="1">
      <alignment horizontal="center" vertical="center" wrapText="1"/>
      <protection locked="0"/>
    </xf>
    <xf numFmtId="0" fontId="46" fillId="6" borderId="0" xfId="0" applyFont="1" applyFill="1" applyAlignment="1" applyProtection="1">
      <alignment horizontal="left"/>
      <protection locked="0"/>
    </xf>
    <xf numFmtId="0" fontId="47" fillId="2" borderId="18" xfId="0" applyFont="1" applyFill="1" applyBorder="1" applyAlignment="1" applyProtection="1">
      <alignment horizontal="center" vertical="center"/>
      <protection locked="0"/>
    </xf>
    <xf numFmtId="0" fontId="47" fillId="2" borderId="1" xfId="0" applyFont="1" applyFill="1" applyBorder="1" applyAlignment="1" applyProtection="1">
      <alignment horizontal="center" vertical="center"/>
      <protection locked="0"/>
    </xf>
    <xf numFmtId="0" fontId="47" fillId="2" borderId="21" xfId="0" applyFont="1" applyFill="1" applyBorder="1" applyAlignment="1" applyProtection="1">
      <alignment horizontal="center" vertical="center"/>
      <protection locked="0"/>
    </xf>
    <xf numFmtId="0" fontId="46" fillId="2" borderId="4" xfId="0" applyFont="1" applyFill="1" applyBorder="1" applyAlignment="1" applyProtection="1">
      <alignment horizontal="center" vertical="center"/>
      <protection locked="0"/>
    </xf>
    <xf numFmtId="0" fontId="46" fillId="2" borderId="6" xfId="0" applyFont="1" applyFill="1" applyBorder="1" applyAlignment="1" applyProtection="1">
      <alignment horizontal="center" vertical="center"/>
      <protection locked="0"/>
    </xf>
    <xf numFmtId="0" fontId="46" fillId="2" borderId="0" xfId="1" applyFont="1" applyFill="1" applyAlignment="1">
      <alignment horizontal="center" vertical="center"/>
    </xf>
    <xf numFmtId="0" fontId="74" fillId="2" borderId="0" xfId="0" applyFont="1" applyFill="1" applyAlignment="1" applyProtection="1">
      <alignment horizontal="center" vertical="center"/>
      <protection locked="0"/>
    </xf>
    <xf numFmtId="165" fontId="75" fillId="2" borderId="0" xfId="0" applyNumberFormat="1" applyFont="1" applyFill="1" applyAlignment="1" applyProtection="1">
      <alignment horizontal="center"/>
      <protection locked="0"/>
    </xf>
    <xf numFmtId="165" fontId="75" fillId="2" borderId="0" xfId="0" applyNumberFormat="1" applyFont="1" applyFill="1" applyProtection="1">
      <protection locked="0"/>
    </xf>
    <xf numFmtId="0" fontId="37" fillId="0" borderId="0" xfId="0" applyFont="1" applyProtection="1">
      <protection locked="0"/>
    </xf>
    <xf numFmtId="0" fontId="37" fillId="0" borderId="0" xfId="0" applyFont="1"/>
    <xf numFmtId="10" fontId="37" fillId="2" borderId="0" xfId="0" applyNumberFormat="1" applyFont="1" applyFill="1" applyProtection="1">
      <protection locked="0"/>
    </xf>
    <xf numFmtId="0" fontId="76" fillId="2" borderId="0" xfId="0" applyFont="1" applyFill="1" applyAlignment="1" applyProtection="1">
      <alignment vertical="center" wrapText="1"/>
      <protection locked="0"/>
    </xf>
    <xf numFmtId="0" fontId="77" fillId="2" borderId="3" xfId="0" applyFont="1" applyFill="1" applyBorder="1" applyAlignment="1" applyProtection="1">
      <alignment vertical="center" wrapText="1"/>
      <protection locked="0"/>
    </xf>
    <xf numFmtId="166" fontId="76" fillId="2" borderId="0" xfId="0" quotePrefix="1" applyNumberFormat="1" applyFont="1" applyFill="1" applyAlignment="1" applyProtection="1">
      <alignment horizontal="center"/>
      <protection locked="0"/>
    </xf>
    <xf numFmtId="1" fontId="76" fillId="2" borderId="0" xfId="0" applyNumberFormat="1" applyFont="1" applyFill="1" applyAlignment="1" applyProtection="1">
      <alignment horizontal="center"/>
      <protection locked="0"/>
    </xf>
    <xf numFmtId="1" fontId="37" fillId="2" borderId="0" xfId="0" applyNumberFormat="1" applyFont="1" applyFill="1" applyProtection="1">
      <protection locked="0"/>
    </xf>
    <xf numFmtId="0" fontId="37" fillId="2" borderId="0" xfId="0" applyFont="1" applyFill="1"/>
    <xf numFmtId="0" fontId="37" fillId="2" borderId="0" xfId="0" applyFont="1" applyFill="1" applyAlignment="1">
      <alignment horizontal="left"/>
    </xf>
    <xf numFmtId="167" fontId="37" fillId="2" borderId="0" xfId="0" applyNumberFormat="1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37" fillId="2" borderId="6" xfId="0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center" vertical="center"/>
    </xf>
    <xf numFmtId="0" fontId="37" fillId="2" borderId="4" xfId="0" applyFont="1" applyFill="1" applyBorder="1" applyAlignment="1">
      <alignment horizontal="center" vertical="center"/>
    </xf>
    <xf numFmtId="49" fontId="37" fillId="2" borderId="3" xfId="0" applyNumberFormat="1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6" borderId="6" xfId="0" applyFont="1" applyFill="1" applyBorder="1" applyAlignment="1">
      <alignment horizontal="center" vertical="center"/>
    </xf>
    <xf numFmtId="1" fontId="37" fillId="2" borderId="3" xfId="0" applyNumberFormat="1" applyFont="1" applyFill="1" applyBorder="1" applyAlignment="1">
      <alignment horizontal="center"/>
    </xf>
    <xf numFmtId="165" fontId="37" fillId="0" borderId="3" xfId="0" applyNumberFormat="1" applyFont="1" applyBorder="1" applyAlignment="1" applyProtection="1">
      <alignment horizontal="center"/>
      <protection locked="0"/>
    </xf>
    <xf numFmtId="166" fontId="37" fillId="0" borderId="0" xfId="0" applyNumberFormat="1" applyFont="1" applyAlignment="1">
      <alignment horizontal="center"/>
    </xf>
    <xf numFmtId="166" fontId="37" fillId="0" borderId="0" xfId="0" applyNumberFormat="1" applyFont="1" applyProtection="1">
      <protection locked="0"/>
    </xf>
    <xf numFmtId="166" fontId="37" fillId="0" borderId="0" xfId="0" applyNumberFormat="1" applyFont="1"/>
    <xf numFmtId="167" fontId="37" fillId="0" borderId="0" xfId="0" applyNumberFormat="1" applyFont="1" applyAlignment="1" applyProtection="1">
      <alignment horizontal="center"/>
      <protection locked="0"/>
    </xf>
    <xf numFmtId="167" fontId="37" fillId="0" borderId="0" xfId="0" applyNumberFormat="1" applyFont="1" applyAlignment="1">
      <alignment horizontal="center"/>
    </xf>
    <xf numFmtId="1" fontId="37" fillId="2" borderId="0" xfId="0" quotePrefix="1" applyNumberFormat="1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7" fillId="0" borderId="0" xfId="0" quotePrefix="1" applyFont="1"/>
    <xf numFmtId="0" fontId="37" fillId="6" borderId="0" xfId="0" applyFont="1" applyFill="1" applyAlignment="1">
      <alignment horizontal="left" vertical="center"/>
    </xf>
    <xf numFmtId="0" fontId="37" fillId="6" borderId="0" xfId="0" applyFont="1" applyFill="1" applyAlignment="1">
      <alignment horizontal="left"/>
    </xf>
    <xf numFmtId="0" fontId="37" fillId="0" borderId="7" xfId="0" applyFont="1" applyBorder="1" applyAlignment="1">
      <alignment vertical="center"/>
    </xf>
    <xf numFmtId="0" fontId="37" fillId="2" borderId="7" xfId="0" applyFont="1" applyFill="1" applyBorder="1" applyAlignment="1">
      <alignment vertical="center" wrapText="1"/>
    </xf>
    <xf numFmtId="0" fontId="37" fillId="0" borderId="7" xfId="0" applyFont="1" applyBorder="1" applyAlignment="1">
      <alignment vertical="center" wrapText="1"/>
    </xf>
    <xf numFmtId="0" fontId="37" fillId="2" borderId="3" xfId="0" applyFont="1" applyFill="1" applyBorder="1" applyAlignment="1">
      <alignment horizontal="center"/>
    </xf>
    <xf numFmtId="0" fontId="37" fillId="0" borderId="2" xfId="0" applyFont="1" applyBorder="1" applyAlignment="1">
      <alignment vertical="center"/>
    </xf>
    <xf numFmtId="0" fontId="37" fillId="2" borderId="2" xfId="0" applyFont="1" applyFill="1" applyBorder="1" applyAlignment="1">
      <alignment vertical="center" wrapText="1"/>
    </xf>
    <xf numFmtId="0" fontId="37" fillId="0" borderId="2" xfId="0" applyFont="1" applyBorder="1" applyAlignment="1">
      <alignment vertical="center" wrapText="1"/>
    </xf>
    <xf numFmtId="0" fontId="37" fillId="2" borderId="3" xfId="0" applyFont="1" applyFill="1" applyBorder="1" applyAlignment="1">
      <alignment horizontal="center" vertical="center" wrapText="1"/>
    </xf>
    <xf numFmtId="0" fontId="37" fillId="2" borderId="21" xfId="0" applyFont="1" applyFill="1" applyBorder="1" applyAlignment="1">
      <alignment horizontal="center" vertical="center" wrapText="1"/>
    </xf>
    <xf numFmtId="165" fontId="37" fillId="2" borderId="21" xfId="0" applyNumberFormat="1" applyFont="1" applyFill="1" applyBorder="1" applyAlignment="1">
      <alignment horizontal="center"/>
    </xf>
    <xf numFmtId="165" fontId="37" fillId="2" borderId="4" xfId="0" applyNumberFormat="1" applyFont="1" applyFill="1" applyBorder="1" applyAlignment="1">
      <alignment horizontal="center"/>
    </xf>
    <xf numFmtId="165" fontId="37" fillId="0" borderId="3" xfId="0" applyNumberFormat="1" applyFont="1" applyBorder="1" applyAlignment="1">
      <alignment horizontal="center"/>
    </xf>
    <xf numFmtId="0" fontId="37" fillId="2" borderId="3" xfId="0" applyFont="1" applyFill="1" applyBorder="1" applyAlignment="1">
      <alignment horizontal="center" vertical="center"/>
    </xf>
    <xf numFmtId="2" fontId="37" fillId="0" borderId="3" xfId="0" applyNumberFormat="1" applyFont="1" applyBorder="1" applyAlignment="1">
      <alignment horizontal="center"/>
    </xf>
    <xf numFmtId="2" fontId="37" fillId="2" borderId="3" xfId="0" applyNumberFormat="1" applyFont="1" applyFill="1" applyBorder="1" applyAlignment="1">
      <alignment horizontal="center"/>
    </xf>
    <xf numFmtId="0" fontId="37" fillId="2" borderId="6" xfId="0" applyFont="1" applyFill="1" applyBorder="1" applyAlignment="1">
      <alignment horizontal="center" vertical="center" wrapText="1"/>
    </xf>
    <xf numFmtId="165" fontId="37" fillId="2" borderId="3" xfId="0" applyNumberFormat="1" applyFont="1" applyFill="1" applyBorder="1" applyAlignment="1">
      <alignment horizontal="center"/>
    </xf>
    <xf numFmtId="49" fontId="37" fillId="2" borderId="3" xfId="0" applyNumberFormat="1" applyFont="1" applyFill="1" applyBorder="1" applyAlignment="1">
      <alignment horizontal="center"/>
    </xf>
    <xf numFmtId="0" fontId="37" fillId="0" borderId="6" xfId="0" applyFont="1" applyBorder="1" applyAlignment="1">
      <alignment horizontal="center" vertical="center"/>
    </xf>
    <xf numFmtId="165" fontId="37" fillId="2" borderId="3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horizontal="left"/>
    </xf>
    <xf numFmtId="0" fontId="37" fillId="2" borderId="7" xfId="0" applyFont="1" applyFill="1" applyBorder="1"/>
    <xf numFmtId="0" fontId="37" fillId="2" borderId="2" xfId="0" applyFont="1" applyFill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78" fillId="0" borderId="0" xfId="0" applyFont="1"/>
    <xf numFmtId="0" fontId="78" fillId="0" borderId="0" xfId="0" quotePrefix="1" applyFont="1"/>
    <xf numFmtId="0" fontId="78" fillId="0" borderId="0" xfId="0" quotePrefix="1" applyFont="1" applyAlignment="1">
      <alignment horizontal="center" vertical="center"/>
    </xf>
    <xf numFmtId="0" fontId="78" fillId="0" borderId="0" xfId="0" applyFont="1" applyAlignment="1" applyProtection="1">
      <alignment horizontal="left"/>
      <protection locked="0"/>
    </xf>
    <xf numFmtId="0" fontId="46" fillId="14" borderId="0" xfId="0" applyFont="1" applyFill="1" applyProtection="1">
      <protection locked="0"/>
    </xf>
    <xf numFmtId="0" fontId="46" fillId="0" borderId="0" xfId="0" applyFont="1" applyAlignment="1" applyProtection="1">
      <alignment horizontal="left"/>
      <protection locked="0"/>
    </xf>
    <xf numFmtId="0" fontId="80" fillId="12" borderId="0" xfId="4" applyFont="1" applyFill="1" applyAlignment="1" applyProtection="1">
      <alignment vertical="center"/>
      <protection locked="0"/>
    </xf>
    <xf numFmtId="0" fontId="80" fillId="12" borderId="0" xfId="4" applyFont="1" applyFill="1" applyAlignment="1" applyProtection="1">
      <alignment horizontal="center" vertical="center"/>
      <protection locked="0"/>
    </xf>
    <xf numFmtId="0" fontId="47" fillId="12" borderId="0" xfId="4" applyFont="1" applyFill="1" applyProtection="1">
      <protection locked="0"/>
    </xf>
    <xf numFmtId="0" fontId="47" fillId="12" borderId="0" xfId="4" applyFont="1" applyFill="1" applyAlignment="1" applyProtection="1">
      <alignment horizontal="center"/>
      <protection locked="0"/>
    </xf>
    <xf numFmtId="0" fontId="47" fillId="12" borderId="3" xfId="4" applyFont="1" applyFill="1" applyBorder="1" applyAlignment="1" applyProtection="1">
      <alignment horizontal="center" vertical="center"/>
      <protection locked="0"/>
    </xf>
    <xf numFmtId="0" fontId="46" fillId="12" borderId="3" xfId="4" applyFont="1" applyFill="1" applyBorder="1" applyAlignment="1" applyProtection="1">
      <alignment horizontal="center" vertical="center"/>
      <protection locked="0"/>
    </xf>
    <xf numFmtId="0" fontId="47" fillId="2" borderId="29" xfId="4" applyFont="1" applyFill="1" applyBorder="1"/>
    <xf numFmtId="0" fontId="47" fillId="2" borderId="0" xfId="4" applyFont="1" applyFill="1"/>
    <xf numFmtId="0" fontId="47" fillId="12" borderId="3" xfId="4" applyFont="1" applyFill="1" applyBorder="1" applyAlignment="1">
      <alignment horizontal="center" vertical="center"/>
    </xf>
    <xf numFmtId="0" fontId="46" fillId="12" borderId="3" xfId="4" applyFont="1" applyFill="1" applyBorder="1" applyAlignment="1">
      <alignment horizontal="center" vertical="center"/>
    </xf>
    <xf numFmtId="2" fontId="46" fillId="12" borderId="3" xfId="4" applyNumberFormat="1" applyFont="1" applyFill="1" applyBorder="1" applyAlignment="1">
      <alignment horizontal="center" vertical="center"/>
    </xf>
    <xf numFmtId="1" fontId="46" fillId="12" borderId="3" xfId="4" applyNumberFormat="1" applyFont="1" applyFill="1" applyBorder="1" applyAlignment="1">
      <alignment horizontal="center" vertical="center"/>
    </xf>
    <xf numFmtId="0" fontId="47" fillId="2" borderId="0" xfId="4" applyFont="1" applyFill="1" applyAlignment="1">
      <alignment horizontal="center"/>
    </xf>
    <xf numFmtId="0" fontId="47" fillId="2" borderId="8" xfId="4" applyFont="1" applyFill="1" applyBorder="1" applyAlignment="1">
      <alignment horizontal="center" vertical="center"/>
    </xf>
    <xf numFmtId="1" fontId="46" fillId="2" borderId="8" xfId="4" applyNumberFormat="1" applyFont="1" applyFill="1" applyBorder="1" applyAlignment="1">
      <alignment horizontal="center" vertical="center"/>
    </xf>
    <xf numFmtId="2" fontId="46" fillId="2" borderId="3" xfId="4" applyNumberFormat="1" applyFont="1" applyFill="1" applyBorder="1" applyAlignment="1">
      <alignment horizontal="center" vertical="center"/>
    </xf>
    <xf numFmtId="2" fontId="46" fillId="2" borderId="9" xfId="4" applyNumberFormat="1" applyFont="1" applyFill="1" applyBorder="1" applyAlignment="1">
      <alignment horizontal="center" vertical="center"/>
    </xf>
    <xf numFmtId="0" fontId="46" fillId="2" borderId="8" xfId="4" applyFont="1" applyFill="1" applyBorder="1" applyAlignment="1">
      <alignment horizontal="center" vertical="center"/>
    </xf>
    <xf numFmtId="164" fontId="46" fillId="2" borderId="3" xfId="4" applyNumberFormat="1" applyFont="1" applyFill="1" applyBorder="1" applyAlignment="1">
      <alignment horizontal="center" vertical="center"/>
    </xf>
    <xf numFmtId="0" fontId="46" fillId="2" borderId="9" xfId="4" applyFont="1" applyFill="1" applyBorder="1" applyAlignment="1">
      <alignment horizontal="center" vertical="center"/>
    </xf>
    <xf numFmtId="0" fontId="46" fillId="2" borderId="11" xfId="4" applyFont="1" applyFill="1" applyBorder="1" applyAlignment="1">
      <alignment horizontal="center" vertical="center"/>
    </xf>
    <xf numFmtId="0" fontId="46" fillId="2" borderId="12" xfId="4" applyFont="1" applyFill="1" applyBorder="1" applyAlignment="1">
      <alignment horizontal="center" vertical="center"/>
    </xf>
    <xf numFmtId="164" fontId="46" fillId="2" borderId="12" xfId="4" applyNumberFormat="1" applyFont="1" applyFill="1" applyBorder="1" applyAlignment="1">
      <alignment horizontal="center" vertical="center"/>
    </xf>
    <xf numFmtId="0" fontId="46" fillId="2" borderId="13" xfId="4" applyFont="1" applyFill="1" applyBorder="1" applyAlignment="1">
      <alignment horizontal="center" vertical="center"/>
    </xf>
    <xf numFmtId="0" fontId="46" fillId="0" borderId="34" xfId="4" applyFont="1" applyBorder="1" applyProtection="1">
      <protection locked="0"/>
    </xf>
    <xf numFmtId="0" fontId="46" fillId="0" borderId="5" xfId="4" applyFont="1" applyBorder="1" applyAlignment="1" applyProtection="1">
      <alignment horizontal="center" vertical="center"/>
      <protection locked="0"/>
    </xf>
    <xf numFmtId="0" fontId="46" fillId="0" borderId="0" xfId="4" applyFont="1"/>
    <xf numFmtId="0" fontId="46" fillId="12" borderId="0" xfId="4" applyFont="1" applyFill="1" applyProtection="1">
      <protection locked="0"/>
    </xf>
    <xf numFmtId="1" fontId="46" fillId="12" borderId="3" xfId="4" applyNumberFormat="1" applyFont="1" applyFill="1" applyBorder="1" applyAlignment="1" applyProtection="1">
      <alignment horizontal="center" vertical="center"/>
      <protection locked="0"/>
    </xf>
    <xf numFmtId="2" fontId="46" fillId="12" borderId="3" xfId="4" quotePrefix="1" applyNumberFormat="1" applyFont="1" applyFill="1" applyBorder="1" applyAlignment="1" applyProtection="1">
      <alignment horizontal="center" vertical="center"/>
      <protection locked="0"/>
    </xf>
    <xf numFmtId="2" fontId="46" fillId="11" borderId="3" xfId="4" applyNumberFormat="1" applyFont="1" applyFill="1" applyBorder="1" applyAlignment="1" applyProtection="1">
      <alignment horizontal="center"/>
      <protection locked="0"/>
    </xf>
    <xf numFmtId="2" fontId="46" fillId="12" borderId="3" xfId="4" applyNumberFormat="1" applyFont="1" applyFill="1" applyBorder="1" applyAlignment="1" applyProtection="1">
      <alignment horizontal="center" vertical="center"/>
      <protection locked="0"/>
    </xf>
    <xf numFmtId="165" fontId="46" fillId="12" borderId="3" xfId="4" applyNumberFormat="1" applyFont="1" applyFill="1" applyBorder="1" applyAlignment="1" applyProtection="1">
      <alignment horizontal="center" vertical="center"/>
      <protection locked="0"/>
    </xf>
    <xf numFmtId="164" fontId="46" fillId="12" borderId="3" xfId="4" applyNumberFormat="1" applyFont="1" applyFill="1" applyBorder="1" applyAlignment="1" applyProtection="1">
      <alignment horizontal="center" vertical="center"/>
      <protection locked="0"/>
    </xf>
    <xf numFmtId="164" fontId="46" fillId="12" borderId="3" xfId="4" quotePrefix="1" applyNumberFormat="1" applyFont="1" applyFill="1" applyBorder="1" applyAlignment="1" applyProtection="1">
      <alignment horizontal="center" vertical="center"/>
      <protection locked="0"/>
    </xf>
    <xf numFmtId="0" fontId="46" fillId="12" borderId="31" xfId="4" applyFont="1" applyFill="1" applyBorder="1" applyProtection="1">
      <protection locked="0"/>
    </xf>
    <xf numFmtId="0" fontId="46" fillId="12" borderId="27" xfId="4" applyFont="1" applyFill="1" applyBorder="1" applyProtection="1">
      <protection locked="0"/>
    </xf>
    <xf numFmtId="0" fontId="47" fillId="12" borderId="0" xfId="4" applyFont="1" applyFill="1" applyAlignment="1" applyProtection="1">
      <alignment vertical="center"/>
      <protection locked="0"/>
    </xf>
    <xf numFmtId="0" fontId="46" fillId="12" borderId="3" xfId="4" applyFont="1" applyFill="1" applyBorder="1" applyAlignment="1" applyProtection="1">
      <alignment horizontal="right" vertical="center"/>
      <protection locked="0"/>
    </xf>
    <xf numFmtId="0" fontId="47" fillId="12" borderId="31" xfId="4" applyFont="1" applyFill="1" applyBorder="1" applyAlignment="1" applyProtection="1">
      <alignment horizontal="center" vertical="center" wrapText="1"/>
      <protection locked="0"/>
    </xf>
    <xf numFmtId="0" fontId="46" fillId="12" borderId="0" xfId="4" applyFont="1" applyFill="1" applyAlignment="1" applyProtection="1">
      <alignment horizontal="center" vertical="center"/>
      <protection locked="0"/>
    </xf>
    <xf numFmtId="164" fontId="46" fillId="12" borderId="0" xfId="4" applyNumberFormat="1" applyFont="1" applyFill="1" applyAlignment="1" applyProtection="1">
      <alignment horizontal="center" vertical="center"/>
      <protection locked="0"/>
    </xf>
    <xf numFmtId="0" fontId="47" fillId="12" borderId="0" xfId="4" applyFont="1" applyFill="1" applyAlignment="1" applyProtection="1">
      <alignment horizontal="center" vertical="center" wrapText="1"/>
      <protection locked="0"/>
    </xf>
    <xf numFmtId="0" fontId="46" fillId="12" borderId="0" xfId="4" applyFont="1" applyFill="1" applyAlignment="1" applyProtection="1">
      <alignment horizontal="right" vertical="center"/>
      <protection locked="0"/>
    </xf>
    <xf numFmtId="0" fontId="46" fillId="12" borderId="3" xfId="4" quotePrefix="1" applyFont="1" applyFill="1" applyBorder="1" applyAlignment="1" applyProtection="1">
      <alignment horizontal="center" vertical="center"/>
      <protection locked="0"/>
    </xf>
    <xf numFmtId="165" fontId="46" fillId="12" borderId="3" xfId="4" quotePrefix="1" applyNumberFormat="1" applyFont="1" applyFill="1" applyBorder="1" applyAlignment="1" applyProtection="1">
      <alignment horizontal="center" vertical="center"/>
      <protection locked="0"/>
    </xf>
    <xf numFmtId="0" fontId="46" fillId="9" borderId="41" xfId="4" applyFont="1" applyFill="1" applyBorder="1" applyProtection="1">
      <protection locked="0"/>
    </xf>
    <xf numFmtId="0" fontId="46" fillId="9" borderId="42" xfId="4" applyFont="1" applyFill="1" applyBorder="1" applyProtection="1">
      <protection locked="0"/>
    </xf>
    <xf numFmtId="0" fontId="46" fillId="0" borderId="31" xfId="4" applyFont="1" applyBorder="1"/>
    <xf numFmtId="0" fontId="46" fillId="0" borderId="0" xfId="4" applyFont="1" applyAlignment="1">
      <alignment horizontal="center" vertical="center"/>
    </xf>
    <xf numFmtId="0" fontId="46" fillId="0" borderId="0" xfId="4" applyFont="1" applyAlignment="1">
      <alignment horizontal="center"/>
    </xf>
    <xf numFmtId="2" fontId="46" fillId="12" borderId="3" xfId="4" applyNumberFormat="1" applyFont="1" applyFill="1" applyBorder="1" applyAlignment="1">
      <alignment horizontal="center"/>
    </xf>
    <xf numFmtId="2" fontId="46" fillId="12" borderId="3" xfId="4" quotePrefix="1" applyNumberFormat="1" applyFont="1" applyFill="1" applyBorder="1" applyAlignment="1">
      <alignment horizontal="center" vertical="center"/>
    </xf>
    <xf numFmtId="0" fontId="46" fillId="0" borderId="27" xfId="4" applyFont="1" applyBorder="1"/>
    <xf numFmtId="0" fontId="80" fillId="2" borderId="24" xfId="4" applyFont="1" applyFill="1" applyBorder="1" applyAlignment="1">
      <alignment horizontal="center" vertical="center"/>
    </xf>
    <xf numFmtId="0" fontId="46" fillId="2" borderId="29" xfId="4" applyFont="1" applyFill="1" applyBorder="1"/>
    <xf numFmtId="0" fontId="46" fillId="2" borderId="0" xfId="4" applyFont="1" applyFill="1"/>
    <xf numFmtId="0" fontId="47" fillId="2" borderId="3" xfId="4" applyFont="1" applyFill="1" applyBorder="1" applyAlignment="1">
      <alignment horizontal="center" vertical="center"/>
    </xf>
    <xf numFmtId="2" fontId="47" fillId="2" borderId="9" xfId="4" applyNumberFormat="1" applyFont="1" applyFill="1" applyBorder="1" applyAlignment="1">
      <alignment horizontal="center" vertical="center"/>
    </xf>
    <xf numFmtId="2" fontId="47" fillId="2" borderId="8" xfId="4" applyNumberFormat="1" applyFont="1" applyFill="1" applyBorder="1" applyAlignment="1">
      <alignment horizontal="center" vertical="center"/>
    </xf>
    <xf numFmtId="164" fontId="47" fillId="2" borderId="3" xfId="4" applyNumberFormat="1" applyFont="1" applyFill="1" applyBorder="1" applyAlignment="1">
      <alignment horizontal="center" vertical="center"/>
    </xf>
    <xf numFmtId="165" fontId="46" fillId="3" borderId="24" xfId="4" applyNumberFormat="1" applyFont="1" applyFill="1" applyBorder="1" applyAlignment="1">
      <alignment horizontal="center" vertical="center" wrapText="1"/>
    </xf>
    <xf numFmtId="2" fontId="46" fillId="0" borderId="43" xfId="4" applyNumberFormat="1" applyFont="1" applyBorder="1" applyAlignment="1">
      <alignment horizontal="center" vertical="center"/>
    </xf>
    <xf numFmtId="165" fontId="46" fillId="0" borderId="26" xfId="4" applyNumberFormat="1" applyFont="1" applyBorder="1" applyAlignment="1">
      <alignment horizontal="center" vertical="center"/>
    </xf>
    <xf numFmtId="0" fontId="46" fillId="2" borderId="0" xfId="4" applyFont="1" applyFill="1" applyAlignment="1">
      <alignment vertical="center"/>
    </xf>
    <xf numFmtId="1" fontId="46" fillId="3" borderId="8" xfId="4" applyNumberFormat="1" applyFont="1" applyFill="1" applyBorder="1" applyAlignment="1">
      <alignment horizontal="center" vertical="center" wrapText="1"/>
    </xf>
    <xf numFmtId="164" fontId="46" fillId="0" borderId="4" xfId="4" applyNumberFormat="1" applyFont="1" applyBorder="1" applyAlignment="1">
      <alignment horizontal="center" vertical="center"/>
    </xf>
    <xf numFmtId="164" fontId="46" fillId="0" borderId="45" xfId="4" applyNumberFormat="1" applyFont="1" applyBorder="1" applyAlignment="1">
      <alignment horizontal="center" vertical="center"/>
    </xf>
    <xf numFmtId="167" fontId="46" fillId="0" borderId="4" xfId="4" applyNumberFormat="1" applyFont="1" applyBorder="1" applyAlignment="1">
      <alignment horizontal="center" vertical="center"/>
    </xf>
    <xf numFmtId="167" fontId="46" fillId="0" borderId="45" xfId="4" applyNumberFormat="1" applyFont="1" applyBorder="1" applyAlignment="1">
      <alignment horizontal="center" vertical="center"/>
    </xf>
    <xf numFmtId="0" fontId="46" fillId="2" borderId="0" xfId="4" applyFont="1" applyFill="1" applyAlignment="1">
      <alignment horizontal="center" vertical="center"/>
    </xf>
    <xf numFmtId="167" fontId="46" fillId="0" borderId="46" xfId="4" applyNumberFormat="1" applyFont="1" applyBorder="1" applyAlignment="1">
      <alignment horizontal="center" vertical="center"/>
    </xf>
    <xf numFmtId="2" fontId="46" fillId="0" borderId="47" xfId="4" applyNumberFormat="1" applyFont="1" applyBorder="1" applyAlignment="1">
      <alignment horizontal="center" vertical="center"/>
    </xf>
    <xf numFmtId="165" fontId="46" fillId="3" borderId="8" xfId="4" applyNumberFormat="1" applyFont="1" applyFill="1" applyBorder="1" applyAlignment="1">
      <alignment horizontal="center" vertical="center" wrapText="1"/>
    </xf>
    <xf numFmtId="2" fontId="49" fillId="2" borderId="0" xfId="4" applyNumberFormat="1" applyFont="1" applyFill="1" applyAlignment="1">
      <alignment horizontal="center" vertical="center" wrapText="1"/>
    </xf>
    <xf numFmtId="2" fontId="49" fillId="2" borderId="0" xfId="4" applyNumberFormat="1" applyFont="1" applyFill="1" applyAlignment="1">
      <alignment horizontal="center" vertical="center"/>
    </xf>
    <xf numFmtId="2" fontId="49" fillId="2" borderId="27" xfId="4" applyNumberFormat="1" applyFont="1" applyFill="1" applyBorder="1" applyAlignment="1">
      <alignment horizontal="center" vertical="center"/>
    </xf>
    <xf numFmtId="1" fontId="46" fillId="2" borderId="11" xfId="4" applyNumberFormat="1" applyFont="1" applyFill="1" applyBorder="1" applyAlignment="1">
      <alignment horizontal="center" vertical="center"/>
    </xf>
    <xf numFmtId="2" fontId="46" fillId="2" borderId="12" xfId="4" applyNumberFormat="1" applyFont="1" applyFill="1" applyBorder="1" applyAlignment="1">
      <alignment horizontal="center" vertical="center"/>
    </xf>
    <xf numFmtId="2" fontId="46" fillId="2" borderId="13" xfId="4" applyNumberFormat="1" applyFont="1" applyFill="1" applyBorder="1" applyAlignment="1">
      <alignment horizontal="center" vertical="center"/>
    </xf>
    <xf numFmtId="164" fontId="47" fillId="2" borderId="9" xfId="4" applyNumberFormat="1" applyFont="1" applyFill="1" applyBorder="1" applyAlignment="1">
      <alignment horizontal="center" vertical="center"/>
    </xf>
    <xf numFmtId="0" fontId="47" fillId="2" borderId="25" xfId="4" applyFont="1" applyFill="1" applyBorder="1" applyAlignment="1">
      <alignment horizontal="center" vertical="center"/>
    </xf>
    <xf numFmtId="0" fontId="47" fillId="2" borderId="26" xfId="4" applyFont="1" applyFill="1" applyBorder="1" applyAlignment="1">
      <alignment horizontal="center" vertical="center"/>
    </xf>
    <xf numFmtId="164" fontId="47" fillId="2" borderId="8" xfId="4" applyNumberFormat="1" applyFont="1" applyFill="1" applyBorder="1" applyAlignment="1">
      <alignment horizontal="center" vertical="center"/>
    </xf>
    <xf numFmtId="165" fontId="46" fillId="0" borderId="0" xfId="4" applyNumberFormat="1" applyFont="1"/>
    <xf numFmtId="0" fontId="47" fillId="2" borderId="9" xfId="4" applyFont="1" applyFill="1" applyBorder="1" applyAlignment="1">
      <alignment horizontal="center" vertical="center"/>
    </xf>
    <xf numFmtId="0" fontId="49" fillId="2" borderId="0" xfId="4" applyFont="1" applyFill="1"/>
    <xf numFmtId="0" fontId="49" fillId="2" borderId="27" xfId="4" applyFont="1" applyFill="1" applyBorder="1"/>
    <xf numFmtId="165" fontId="47" fillId="2" borderId="8" xfId="4" applyNumberFormat="1" applyFont="1" applyFill="1" applyBorder="1" applyAlignment="1">
      <alignment horizontal="center" vertical="center"/>
    </xf>
    <xf numFmtId="2" fontId="47" fillId="2" borderId="3" xfId="4" applyNumberFormat="1" applyFont="1" applyFill="1" applyBorder="1" applyAlignment="1">
      <alignment horizontal="center" vertical="center"/>
    </xf>
    <xf numFmtId="0" fontId="46" fillId="2" borderId="27" xfId="4" applyFont="1" applyFill="1" applyBorder="1"/>
    <xf numFmtId="0" fontId="47" fillId="2" borderId="11" xfId="4" applyFont="1" applyFill="1" applyBorder="1" applyAlignment="1">
      <alignment horizontal="center" vertical="center"/>
    </xf>
    <xf numFmtId="0" fontId="47" fillId="2" borderId="12" xfId="4" applyFont="1" applyFill="1" applyBorder="1" applyAlignment="1">
      <alignment horizontal="center" vertical="center"/>
    </xf>
    <xf numFmtId="2" fontId="47" fillId="2" borderId="13" xfId="4" applyNumberFormat="1" applyFont="1" applyFill="1" applyBorder="1" applyAlignment="1">
      <alignment horizontal="center" vertical="center"/>
    </xf>
    <xf numFmtId="0" fontId="47" fillId="2" borderId="27" xfId="4" applyFont="1" applyFill="1" applyBorder="1"/>
    <xf numFmtId="0" fontId="47" fillId="0" borderId="0" xfId="4" applyFont="1"/>
    <xf numFmtId="0" fontId="47" fillId="2" borderId="0" xfId="4" applyFont="1" applyFill="1" applyAlignment="1">
      <alignment horizontal="center" vertical="center"/>
    </xf>
    <xf numFmtId="0" fontId="47" fillId="2" borderId="27" xfId="4" applyFont="1" applyFill="1" applyBorder="1" applyAlignment="1">
      <alignment horizontal="center" vertical="center"/>
    </xf>
    <xf numFmtId="0" fontId="47" fillId="0" borderId="0" xfId="4" applyFont="1" applyAlignment="1">
      <alignment horizontal="center" vertical="center"/>
    </xf>
    <xf numFmtId="2" fontId="47" fillId="2" borderId="0" xfId="4" applyNumberFormat="1" applyFont="1" applyFill="1" applyAlignment="1">
      <alignment horizontal="center" vertical="center"/>
    </xf>
    <xf numFmtId="2" fontId="47" fillId="2" borderId="27" xfId="4" applyNumberFormat="1" applyFont="1" applyFill="1" applyBorder="1" applyAlignment="1">
      <alignment horizontal="center" vertical="center"/>
    </xf>
    <xf numFmtId="2" fontId="47" fillId="0" borderId="0" xfId="4" applyNumberFormat="1" applyFont="1" applyAlignment="1">
      <alignment horizontal="center" vertical="center"/>
    </xf>
    <xf numFmtId="0" fontId="51" fillId="2" borderId="0" xfId="4" applyFont="1" applyFill="1" applyAlignment="1">
      <alignment horizontal="center" vertical="center"/>
    </xf>
    <xf numFmtId="2" fontId="51" fillId="2" borderId="0" xfId="4" applyNumberFormat="1" applyFont="1" applyFill="1" applyAlignment="1">
      <alignment horizontal="center" vertical="center"/>
    </xf>
    <xf numFmtId="0" fontId="46" fillId="2" borderId="31" xfId="4" applyFont="1" applyFill="1" applyBorder="1"/>
    <xf numFmtId="0" fontId="46" fillId="2" borderId="37" xfId="4" applyFont="1" applyFill="1" applyBorder="1"/>
    <xf numFmtId="0" fontId="46" fillId="2" borderId="38" xfId="4" applyFont="1" applyFill="1" applyBorder="1"/>
    <xf numFmtId="0" fontId="51" fillId="2" borderId="38" xfId="4" applyFont="1" applyFill="1" applyBorder="1" applyAlignment="1">
      <alignment horizontal="center" vertical="center"/>
    </xf>
    <xf numFmtId="2" fontId="51" fillId="2" borderId="38" xfId="4" applyNumberFormat="1" applyFont="1" applyFill="1" applyBorder="1" applyAlignment="1">
      <alignment horizontal="center" vertical="center"/>
    </xf>
    <xf numFmtId="0" fontId="46" fillId="2" borderId="39" xfId="4" applyFont="1" applyFill="1" applyBorder="1"/>
    <xf numFmtId="0" fontId="46" fillId="0" borderId="0" xfId="4" applyFont="1" applyProtection="1">
      <protection locked="0"/>
    </xf>
    <xf numFmtId="0" fontId="46" fillId="0" borderId="5" xfId="4" applyFont="1" applyBorder="1" applyAlignment="1" applyProtection="1">
      <alignment vertical="center"/>
      <protection locked="0"/>
    </xf>
    <xf numFmtId="0" fontId="46" fillId="0" borderId="3" xfId="4" applyFont="1" applyBorder="1" applyAlignment="1" applyProtection="1">
      <alignment vertical="center"/>
      <protection locked="0"/>
    </xf>
    <xf numFmtId="0" fontId="46" fillId="0" borderId="9" xfId="4" applyFont="1" applyBorder="1" applyAlignment="1" applyProtection="1">
      <alignment horizontal="center" vertical="center"/>
      <protection locked="0"/>
    </xf>
    <xf numFmtId="0" fontId="46" fillId="0" borderId="8" xfId="4" applyFont="1" applyBorder="1" applyAlignment="1" applyProtection="1">
      <alignment horizontal="center" vertical="center"/>
      <protection locked="0"/>
    </xf>
    <xf numFmtId="0" fontId="46" fillId="0" borderId="4" xfId="4" applyFont="1" applyBorder="1" applyProtection="1">
      <protection locked="0"/>
    </xf>
    <xf numFmtId="0" fontId="46" fillId="0" borderId="5" xfId="4" applyFont="1" applyBorder="1" applyProtection="1">
      <protection locked="0"/>
    </xf>
    <xf numFmtId="0" fontId="46" fillId="0" borderId="62" xfId="4" applyFont="1" applyBorder="1" applyProtection="1">
      <protection locked="0"/>
    </xf>
    <xf numFmtId="0" fontId="46" fillId="0" borderId="37" xfId="4" applyFont="1" applyBorder="1" applyProtection="1">
      <protection locked="0"/>
    </xf>
    <xf numFmtId="0" fontId="46" fillId="0" borderId="38" xfId="4" applyFont="1" applyBorder="1" applyProtection="1">
      <protection locked="0"/>
    </xf>
    <xf numFmtId="0" fontId="46" fillId="0" borderId="39" xfId="4" applyFont="1" applyBorder="1" applyProtection="1">
      <protection locked="0"/>
    </xf>
    <xf numFmtId="0" fontId="46" fillId="0" borderId="15" xfId="4" applyFont="1" applyFill="1" applyBorder="1" applyAlignment="1" applyProtection="1">
      <alignment vertical="center"/>
      <protection locked="0"/>
    </xf>
    <xf numFmtId="0" fontId="46" fillId="0" borderId="16" xfId="4" applyFont="1" applyFill="1" applyBorder="1" applyAlignment="1" applyProtection="1">
      <alignment vertical="center"/>
      <protection locked="0"/>
    </xf>
    <xf numFmtId="167" fontId="2" fillId="0" borderId="3" xfId="6" applyNumberFormat="1" applyBorder="1" applyAlignment="1">
      <alignment horizontal="center" vertical="center"/>
    </xf>
    <xf numFmtId="0" fontId="17" fillId="0" borderId="0" xfId="6" applyFont="1" applyBorder="1" applyAlignment="1">
      <alignment horizontal="center"/>
    </xf>
    <xf numFmtId="167" fontId="27" fillId="2" borderId="3" xfId="0" applyNumberFormat="1" applyFont="1" applyFill="1" applyBorder="1" applyAlignment="1">
      <alignment horizontal="center" vertical="center" wrapText="1"/>
    </xf>
    <xf numFmtId="167" fontId="27" fillId="2" borderId="3" xfId="0" applyNumberFormat="1" applyFont="1" applyFill="1" applyBorder="1" applyAlignment="1">
      <alignment horizontal="center"/>
    </xf>
    <xf numFmtId="167" fontId="2" fillId="0" borderId="3" xfId="6" applyNumberFormat="1" applyBorder="1" applyAlignment="1">
      <alignment horizontal="center"/>
    </xf>
    <xf numFmtId="167" fontId="17" fillId="0" borderId="3" xfId="6" applyNumberFormat="1" applyFont="1" applyBorder="1" applyAlignment="1">
      <alignment horizontal="center"/>
    </xf>
    <xf numFmtId="0" fontId="81" fillId="0" borderId="0" xfId="6" applyFont="1"/>
    <xf numFmtId="2" fontId="81" fillId="0" borderId="0" xfId="6" applyNumberFormat="1" applyFont="1" applyAlignment="1">
      <alignment horizontal="right"/>
    </xf>
    <xf numFmtId="0" fontId="81" fillId="0" borderId="0" xfId="6" applyFont="1" applyAlignment="1">
      <alignment horizontal="center"/>
    </xf>
    <xf numFmtId="2" fontId="46" fillId="0" borderId="0" xfId="6" applyNumberFormat="1" applyFont="1" applyBorder="1" applyAlignment="1">
      <alignment horizontal="center" vertical="center"/>
    </xf>
    <xf numFmtId="167" fontId="46" fillId="0" borderId="3" xfId="0" applyNumberFormat="1" applyFont="1" applyBorder="1" applyAlignment="1">
      <alignment horizontal="center" vertical="center"/>
    </xf>
    <xf numFmtId="167" fontId="2" fillId="0" borderId="4" xfId="6" applyNumberFormat="1" applyBorder="1" applyAlignment="1">
      <alignment horizontal="center" vertical="center"/>
    </xf>
    <xf numFmtId="166" fontId="2" fillId="0" borderId="3" xfId="6" applyNumberFormat="1" applyBorder="1" applyAlignment="1">
      <alignment horizontal="center"/>
    </xf>
    <xf numFmtId="0" fontId="46" fillId="6" borderId="0" xfId="0" applyFont="1" applyFill="1"/>
    <xf numFmtId="0" fontId="46" fillId="3" borderId="0" xfId="0" applyFont="1" applyFill="1"/>
    <xf numFmtId="0" fontId="46" fillId="7" borderId="0" xfId="0" applyFont="1" applyFill="1"/>
    <xf numFmtId="0" fontId="46" fillId="3" borderId="0" xfId="0" applyFont="1" applyFill="1" applyAlignment="1">
      <alignment horizontal="center"/>
    </xf>
    <xf numFmtId="0" fontId="46" fillId="0" borderId="0" xfId="3" applyFont="1"/>
    <xf numFmtId="0" fontId="17" fillId="2" borderId="0" xfId="0" applyFont="1" applyFill="1"/>
    <xf numFmtId="0" fontId="17" fillId="0" borderId="0" xfId="0" applyFont="1" applyProtection="1">
      <protection locked="0"/>
    </xf>
    <xf numFmtId="0" fontId="46" fillId="7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165" fontId="2" fillId="0" borderId="0" xfId="6" applyNumberFormat="1"/>
    <xf numFmtId="0" fontId="2" fillId="0" borderId="0" xfId="1" applyAlignment="1" applyProtection="1">
      <alignment horizontal="center" vertical="center"/>
      <protection locked="0"/>
    </xf>
    <xf numFmtId="165" fontId="46" fillId="2" borderId="0" xfId="1" applyNumberFormat="1" applyFont="1" applyFill="1" applyAlignment="1">
      <alignment horizontal="center" vertical="center"/>
    </xf>
    <xf numFmtId="165" fontId="46" fillId="0" borderId="6" xfId="1" applyNumberFormat="1" applyFont="1" applyBorder="1" applyAlignment="1">
      <alignment horizontal="center" vertical="center"/>
    </xf>
    <xf numFmtId="1" fontId="46" fillId="6" borderId="20" xfId="2" quotePrefix="1" applyNumberFormat="1" applyFont="1" applyFill="1" applyBorder="1" applyAlignment="1" applyProtection="1">
      <alignment horizontal="center" vertical="center" wrapText="1"/>
      <protection locked="0"/>
    </xf>
    <xf numFmtId="1" fontId="46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46" fillId="7" borderId="2" xfId="0" applyNumberFormat="1" applyFont="1" applyFill="1" applyBorder="1" applyAlignment="1" applyProtection="1">
      <alignment horizontal="center" vertical="center" wrapText="1"/>
      <protection locked="0"/>
    </xf>
    <xf numFmtId="1" fontId="46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46" fillId="6" borderId="3" xfId="0" quotePrefix="1" applyNumberFormat="1" applyFont="1" applyFill="1" applyBorder="1" applyAlignment="1" applyProtection="1">
      <alignment horizontal="center" vertical="center"/>
      <protection locked="0"/>
    </xf>
    <xf numFmtId="167" fontId="17" fillId="0" borderId="3" xfId="6" applyNumberFormat="1" applyFont="1" applyBorder="1" applyAlignment="1">
      <alignment horizontal="center" vertical="center"/>
    </xf>
    <xf numFmtId="173" fontId="2" fillId="0" borderId="3" xfId="6" applyNumberFormat="1" applyBorder="1" applyAlignment="1">
      <alignment horizontal="center"/>
    </xf>
    <xf numFmtId="173" fontId="2" fillId="0" borderId="3" xfId="6" applyNumberFormat="1" applyBorder="1" applyAlignment="1">
      <alignment horizontal="center" vertical="center"/>
    </xf>
    <xf numFmtId="166" fontId="27" fillId="2" borderId="3" xfId="0" applyNumberFormat="1" applyFont="1" applyFill="1" applyBorder="1" applyAlignment="1">
      <alignment horizontal="center" vertical="center" wrapText="1"/>
    </xf>
    <xf numFmtId="166" fontId="27" fillId="2" borderId="3" xfId="0" applyNumberFormat="1" applyFont="1" applyFill="1" applyBorder="1" applyAlignment="1">
      <alignment horizontal="center"/>
    </xf>
    <xf numFmtId="164" fontId="2" fillId="0" borderId="3" xfId="1" applyNumberFormat="1" applyBorder="1" applyAlignment="1" applyProtection="1">
      <alignment horizontal="center" vertical="center"/>
      <protection locked="0"/>
    </xf>
    <xf numFmtId="166" fontId="2" fillId="0" borderId="3" xfId="1" applyNumberFormat="1" applyBorder="1" applyAlignment="1" applyProtection="1">
      <alignment horizontal="center" vertical="center"/>
      <protection locked="0"/>
    </xf>
    <xf numFmtId="164" fontId="2" fillId="0" borderId="3" xfId="1" applyNumberFormat="1" applyBorder="1" applyAlignment="1" applyProtection="1">
      <alignment horizontal="center"/>
      <protection locked="0"/>
    </xf>
    <xf numFmtId="165" fontId="2" fillId="0" borderId="0" xfId="6" applyNumberFormat="1" applyAlignment="1">
      <alignment horizontal="center"/>
    </xf>
    <xf numFmtId="167" fontId="12" fillId="0" borderId="3" xfId="4" applyNumberFormat="1" applyFont="1" applyBorder="1" applyAlignment="1">
      <alignment horizontal="center" vertical="center"/>
    </xf>
    <xf numFmtId="167" fontId="2" fillId="0" borderId="3" xfId="4" applyNumberFormat="1" applyBorder="1" applyAlignment="1">
      <alignment horizontal="center" vertical="center"/>
    </xf>
    <xf numFmtId="173" fontId="2" fillId="0" borderId="3" xfId="4" applyNumberFormat="1" applyBorder="1" applyAlignment="1">
      <alignment horizontal="center" vertical="center"/>
    </xf>
    <xf numFmtId="173" fontId="2" fillId="0" borderId="3" xfId="4" applyNumberFormat="1" applyBorder="1" applyAlignment="1">
      <alignment horizontal="center"/>
    </xf>
    <xf numFmtId="167" fontId="46" fillId="0" borderId="3" xfId="6" applyNumberFormat="1" applyFont="1" applyBorder="1" applyAlignment="1">
      <alignment horizontal="center" vertical="center"/>
    </xf>
    <xf numFmtId="167" fontId="46" fillId="2" borderId="26" xfId="0" applyNumberFormat="1" applyFont="1" applyFill="1" applyBorder="1" applyAlignment="1">
      <alignment horizontal="center" vertical="center"/>
    </xf>
    <xf numFmtId="167" fontId="46" fillId="2" borderId="45" xfId="0" applyNumberFormat="1" applyFont="1" applyFill="1" applyBorder="1" applyAlignment="1">
      <alignment horizontal="center" vertical="center"/>
    </xf>
    <xf numFmtId="167" fontId="46" fillId="2" borderId="13" xfId="0" applyNumberFormat="1" applyFont="1" applyFill="1" applyBorder="1" applyAlignment="1">
      <alignment horizontal="center" vertical="center"/>
    </xf>
    <xf numFmtId="173" fontId="46" fillId="0" borderId="3" xfId="0" applyNumberFormat="1" applyFont="1" applyBorder="1" applyAlignment="1">
      <alignment horizontal="center" vertical="center"/>
    </xf>
    <xf numFmtId="15" fontId="46" fillId="6" borderId="0" xfId="0" quotePrefix="1" applyNumberFormat="1" applyFont="1" applyFill="1" applyAlignment="1" applyProtection="1">
      <alignment horizontal="left"/>
      <protection locked="0"/>
    </xf>
    <xf numFmtId="0" fontId="46" fillId="11" borderId="34" xfId="1" applyNumberFormat="1" applyFont="1" applyFill="1" applyBorder="1" applyAlignment="1" applyProtection="1">
      <alignment vertical="center"/>
      <protection locked="0"/>
    </xf>
    <xf numFmtId="0" fontId="46" fillId="11" borderId="14" xfId="1" applyFont="1" applyFill="1" applyBorder="1" applyAlignment="1" applyProtection="1">
      <alignment vertical="center"/>
      <protection locked="0"/>
    </xf>
    <xf numFmtId="0" fontId="46" fillId="11" borderId="15" xfId="1" applyFont="1" applyFill="1" applyBorder="1" applyAlignment="1" applyProtection="1">
      <alignment vertical="center"/>
      <protection locked="0"/>
    </xf>
    <xf numFmtId="0" fontId="46" fillId="11" borderId="29" xfId="1" applyFont="1" applyFill="1" applyBorder="1" applyAlignment="1" applyProtection="1">
      <alignment vertical="center"/>
      <protection locked="0"/>
    </xf>
    <xf numFmtId="0" fontId="46" fillId="11" borderId="16" xfId="1" applyFont="1" applyFill="1" applyBorder="1" applyAlignment="1" applyProtection="1">
      <alignment vertical="center"/>
      <protection locked="0"/>
    </xf>
    <xf numFmtId="173" fontId="46" fillId="0" borderId="3" xfId="0" applyNumberFormat="1" applyFont="1" applyBorder="1" applyAlignment="1">
      <alignment horizontal="center"/>
    </xf>
    <xf numFmtId="173" fontId="46" fillId="10" borderId="3" xfId="1" applyNumberFormat="1" applyFont="1" applyFill="1" applyBorder="1" applyAlignment="1">
      <alignment horizontal="center" vertical="center"/>
    </xf>
    <xf numFmtId="173" fontId="46" fillId="10" borderId="12" xfId="1" applyNumberFormat="1" applyFont="1" applyFill="1" applyBorder="1" applyAlignment="1">
      <alignment horizontal="center" vertical="center"/>
    </xf>
    <xf numFmtId="173" fontId="46" fillId="10" borderId="25" xfId="1" applyNumberFormat="1" applyFont="1" applyFill="1" applyBorder="1" applyAlignment="1">
      <alignment horizontal="center" vertical="center"/>
    </xf>
    <xf numFmtId="173" fontId="46" fillId="10" borderId="7" xfId="1" applyNumberFormat="1" applyFont="1" applyFill="1" applyBorder="1" applyAlignment="1">
      <alignment horizontal="center" vertical="center"/>
    </xf>
    <xf numFmtId="173" fontId="46" fillId="10" borderId="43" xfId="1" applyNumberFormat="1" applyFont="1" applyFill="1" applyBorder="1" applyAlignment="1">
      <alignment horizontal="center" vertical="center"/>
    </xf>
    <xf numFmtId="173" fontId="46" fillId="10" borderId="4" xfId="1" applyNumberFormat="1" applyFont="1" applyFill="1" applyBorder="1" applyAlignment="1">
      <alignment horizontal="center" vertical="center"/>
    </xf>
    <xf numFmtId="173" fontId="46" fillId="10" borderId="46" xfId="1" applyNumberFormat="1" applyFont="1" applyFill="1" applyBorder="1" applyAlignment="1">
      <alignment horizontal="center" vertical="center"/>
    </xf>
    <xf numFmtId="173" fontId="46" fillId="0" borderId="0" xfId="0" applyNumberFormat="1" applyFont="1"/>
    <xf numFmtId="1" fontId="46" fillId="0" borderId="0" xfId="0" applyNumberFormat="1" applyFont="1"/>
    <xf numFmtId="173" fontId="46" fillId="0" borderId="3" xfId="0" quotePrefix="1" applyNumberFormat="1" applyFont="1" applyBorder="1" applyAlignment="1">
      <alignment horizontal="center" vertical="center"/>
    </xf>
    <xf numFmtId="173" fontId="46" fillId="10" borderId="9" xfId="1" applyNumberFormat="1" applyFont="1" applyFill="1" applyBorder="1" applyAlignment="1">
      <alignment horizontal="center" vertical="center"/>
    </xf>
    <xf numFmtId="173" fontId="46" fillId="10" borderId="13" xfId="1" applyNumberFormat="1" applyFont="1" applyFill="1" applyBorder="1" applyAlignment="1">
      <alignment horizontal="center" vertical="center"/>
    </xf>
    <xf numFmtId="173" fontId="46" fillId="10" borderId="25" xfId="1" quotePrefix="1" applyNumberFormat="1" applyFont="1" applyFill="1" applyBorder="1" applyAlignment="1">
      <alignment horizontal="center" vertical="center"/>
    </xf>
    <xf numFmtId="173" fontId="46" fillId="10" borderId="26" xfId="1" quotePrefix="1" applyNumberFormat="1" applyFont="1" applyFill="1" applyBorder="1" applyAlignment="1">
      <alignment horizontal="center" vertical="center"/>
    </xf>
    <xf numFmtId="173" fontId="46" fillId="10" borderId="3" xfId="1" quotePrefix="1" applyNumberFormat="1" applyFont="1" applyFill="1" applyBorder="1" applyAlignment="1">
      <alignment horizontal="center" vertical="center"/>
    </xf>
    <xf numFmtId="173" fontId="46" fillId="10" borderId="9" xfId="1" quotePrefix="1" applyNumberFormat="1" applyFont="1" applyFill="1" applyBorder="1" applyAlignment="1">
      <alignment horizontal="center" vertical="center"/>
    </xf>
    <xf numFmtId="173" fontId="46" fillId="10" borderId="2" xfId="1" quotePrefix="1" applyNumberFormat="1" applyFont="1" applyFill="1" applyBorder="1" applyAlignment="1">
      <alignment horizontal="center" vertical="center"/>
    </xf>
    <xf numFmtId="173" fontId="46" fillId="10" borderId="45" xfId="1" quotePrefix="1" applyNumberFormat="1" applyFont="1" applyFill="1" applyBorder="1" applyAlignment="1">
      <alignment horizontal="center" vertical="center"/>
    </xf>
    <xf numFmtId="173" fontId="46" fillId="10" borderId="50" xfId="1" applyNumberFormat="1" applyFont="1" applyFill="1" applyBorder="1" applyAlignment="1">
      <alignment horizontal="center" vertical="center"/>
    </xf>
    <xf numFmtId="173" fontId="46" fillId="10" borderId="25" xfId="0" applyNumberFormat="1" applyFont="1" applyFill="1" applyBorder="1" applyAlignment="1">
      <alignment horizontal="center" vertical="center"/>
    </xf>
    <xf numFmtId="173" fontId="46" fillId="10" borderId="3" xfId="0" applyNumberFormat="1" applyFont="1" applyFill="1" applyBorder="1" applyAlignment="1">
      <alignment horizontal="center" vertical="center"/>
    </xf>
    <xf numFmtId="173" fontId="46" fillId="10" borderId="7" xfId="1" quotePrefix="1" applyNumberFormat="1" applyFont="1" applyFill="1" applyBorder="1" applyAlignment="1">
      <alignment horizontal="center" vertical="center"/>
    </xf>
    <xf numFmtId="173" fontId="46" fillId="10" borderId="12" xfId="0" applyNumberFormat="1" applyFont="1" applyFill="1" applyBorder="1" applyAlignment="1">
      <alignment horizontal="center" vertical="center"/>
    </xf>
    <xf numFmtId="173" fontId="46" fillId="10" borderId="51" xfId="1" applyNumberFormat="1" applyFont="1" applyFill="1" applyBorder="1" applyAlignment="1">
      <alignment horizontal="center" vertical="center"/>
    </xf>
    <xf numFmtId="173" fontId="46" fillId="0" borderId="0" xfId="0" applyNumberFormat="1" applyFont="1" applyAlignment="1">
      <alignment horizontal="left"/>
    </xf>
    <xf numFmtId="1" fontId="46" fillId="0" borderId="0" xfId="0" applyNumberFormat="1" applyFont="1" applyAlignment="1">
      <alignment horizontal="left"/>
    </xf>
    <xf numFmtId="166" fontId="46" fillId="0" borderId="3" xfId="0" applyNumberFormat="1" applyFont="1" applyBorder="1" applyAlignment="1">
      <alignment horizontal="center"/>
    </xf>
    <xf numFmtId="166" fontId="46" fillId="0" borderId="0" xfId="0" applyNumberFormat="1" applyFont="1" applyAlignment="1">
      <alignment horizontal="center"/>
    </xf>
    <xf numFmtId="166" fontId="46" fillId="10" borderId="3" xfId="1" applyNumberFormat="1" applyFont="1" applyFill="1" applyBorder="1" applyAlignment="1">
      <alignment horizontal="center" vertical="center"/>
    </xf>
    <xf numFmtId="166" fontId="46" fillId="10" borderId="9" xfId="1" applyNumberFormat="1" applyFont="1" applyFill="1" applyBorder="1" applyAlignment="1">
      <alignment horizontal="center" vertical="center"/>
    </xf>
    <xf numFmtId="166" fontId="46" fillId="10" borderId="12" xfId="1" applyNumberFormat="1" applyFont="1" applyFill="1" applyBorder="1" applyAlignment="1">
      <alignment horizontal="center" vertical="center"/>
    </xf>
    <xf numFmtId="166" fontId="46" fillId="10" borderId="25" xfId="1" applyNumberFormat="1" applyFont="1" applyFill="1" applyBorder="1" applyAlignment="1">
      <alignment horizontal="center" vertical="center"/>
    </xf>
    <xf numFmtId="166" fontId="46" fillId="10" borderId="7" xfId="1" applyNumberFormat="1" applyFont="1" applyFill="1" applyBorder="1" applyAlignment="1">
      <alignment horizontal="center" vertical="center"/>
    </xf>
    <xf numFmtId="166" fontId="46" fillId="10" borderId="43" xfId="1" applyNumberFormat="1" applyFont="1" applyFill="1" applyBorder="1" applyAlignment="1">
      <alignment horizontal="center" vertical="center"/>
    </xf>
    <xf numFmtId="166" fontId="46" fillId="10" borderId="4" xfId="1" applyNumberFormat="1" applyFont="1" applyFill="1" applyBorder="1" applyAlignment="1">
      <alignment horizontal="center" vertical="center"/>
    </xf>
    <xf numFmtId="166" fontId="46" fillId="10" borderId="46" xfId="1" applyNumberFormat="1" applyFont="1" applyFill="1" applyBorder="1" applyAlignment="1">
      <alignment horizontal="center" vertical="center"/>
    </xf>
    <xf numFmtId="166" fontId="46" fillId="6" borderId="0" xfId="1" applyNumberFormat="1" applyFont="1" applyFill="1" applyAlignment="1">
      <alignment horizontal="center" vertical="center"/>
    </xf>
    <xf numFmtId="166" fontId="46" fillId="0" borderId="0" xfId="0" applyNumberFormat="1" applyFont="1"/>
    <xf numFmtId="166" fontId="46" fillId="0" borderId="3" xfId="0" quotePrefix="1" applyNumberFormat="1" applyFont="1" applyBorder="1" applyAlignment="1">
      <alignment horizontal="center" vertical="center"/>
    </xf>
    <xf numFmtId="166" fontId="46" fillId="0" borderId="0" xfId="0" applyNumberFormat="1" applyFont="1" applyAlignment="1">
      <alignment horizontal="center" vertical="center"/>
    </xf>
    <xf numFmtId="166" fontId="46" fillId="0" borderId="0" xfId="0" quotePrefix="1" applyNumberFormat="1" applyFont="1" applyAlignment="1">
      <alignment horizontal="center" vertical="center"/>
    </xf>
    <xf numFmtId="166" fontId="46" fillId="10" borderId="13" xfId="1" applyNumberFormat="1" applyFont="1" applyFill="1" applyBorder="1" applyAlignment="1">
      <alignment horizontal="center" vertical="center"/>
    </xf>
    <xf numFmtId="166" fontId="46" fillId="10" borderId="25" xfId="1" quotePrefix="1" applyNumberFormat="1" applyFont="1" applyFill="1" applyBorder="1" applyAlignment="1">
      <alignment horizontal="center" vertical="center"/>
    </xf>
    <xf numFmtId="166" fontId="46" fillId="10" borderId="26" xfId="1" quotePrefix="1" applyNumberFormat="1" applyFont="1" applyFill="1" applyBorder="1" applyAlignment="1">
      <alignment horizontal="center" vertical="center"/>
    </xf>
    <xf numFmtId="166" fontId="46" fillId="10" borderId="3" xfId="1" quotePrefix="1" applyNumberFormat="1" applyFont="1" applyFill="1" applyBorder="1" applyAlignment="1">
      <alignment horizontal="center" vertical="center"/>
    </xf>
    <xf numFmtId="166" fontId="46" fillId="10" borderId="9" xfId="1" quotePrefix="1" applyNumberFormat="1" applyFont="1" applyFill="1" applyBorder="1" applyAlignment="1">
      <alignment horizontal="center" vertical="center"/>
    </xf>
    <xf numFmtId="166" fontId="46" fillId="10" borderId="2" xfId="1" quotePrefix="1" applyNumberFormat="1" applyFont="1" applyFill="1" applyBorder="1" applyAlignment="1">
      <alignment horizontal="center" vertical="center"/>
    </xf>
    <xf numFmtId="166" fontId="46" fillId="10" borderId="45" xfId="1" quotePrefix="1" applyNumberFormat="1" applyFont="1" applyFill="1" applyBorder="1" applyAlignment="1">
      <alignment horizontal="center" vertical="center"/>
    </xf>
    <xf numFmtId="166" fontId="46" fillId="10" borderId="50" xfId="1" applyNumberFormat="1" applyFont="1" applyFill="1" applyBorder="1" applyAlignment="1">
      <alignment horizontal="center" vertical="center"/>
    </xf>
    <xf numFmtId="166" fontId="46" fillId="10" borderId="25" xfId="0" applyNumberFormat="1" applyFont="1" applyFill="1" applyBorder="1" applyAlignment="1">
      <alignment horizontal="center" vertical="center"/>
    </xf>
    <xf numFmtId="166" fontId="46" fillId="10" borderId="3" xfId="0" applyNumberFormat="1" applyFont="1" applyFill="1" applyBorder="1" applyAlignment="1">
      <alignment horizontal="center" vertical="center"/>
    </xf>
    <xf numFmtId="166" fontId="46" fillId="10" borderId="7" xfId="1" quotePrefix="1" applyNumberFormat="1" applyFont="1" applyFill="1" applyBorder="1" applyAlignment="1">
      <alignment horizontal="center" vertical="center"/>
    </xf>
    <xf numFmtId="166" fontId="46" fillId="10" borderId="51" xfId="1" applyNumberFormat="1" applyFont="1" applyFill="1" applyBorder="1" applyAlignment="1">
      <alignment horizontal="center" vertical="center"/>
    </xf>
    <xf numFmtId="166" fontId="46" fillId="10" borderId="6" xfId="1" applyNumberFormat="1" applyFont="1" applyFill="1" applyBorder="1" applyAlignment="1">
      <alignment horizontal="center" vertical="center"/>
    </xf>
    <xf numFmtId="166" fontId="46" fillId="6" borderId="0" xfId="0" applyNumberFormat="1" applyFont="1" applyFill="1" applyAlignment="1">
      <alignment horizontal="center" vertical="center"/>
    </xf>
    <xf numFmtId="166" fontId="46" fillId="0" borderId="0" xfId="0" applyNumberFormat="1" applyFont="1" applyAlignment="1">
      <alignment horizontal="left"/>
    </xf>
    <xf numFmtId="166" fontId="46" fillId="0" borderId="3" xfId="0" applyNumberFormat="1" applyFont="1" applyBorder="1" applyAlignment="1">
      <alignment horizontal="center" vertical="center"/>
    </xf>
    <xf numFmtId="181" fontId="46" fillId="0" borderId="3" xfId="0" applyNumberFormat="1" applyFont="1" applyBorder="1" applyAlignment="1">
      <alignment horizontal="center"/>
    </xf>
    <xf numFmtId="0" fontId="82" fillId="11" borderId="3" xfId="1" applyFont="1" applyFill="1" applyBorder="1" applyAlignment="1">
      <alignment horizontal="center" vertical="center"/>
    </xf>
    <xf numFmtId="0" fontId="82" fillId="2" borderId="8" xfId="1" applyFont="1" applyFill="1" applyBorder="1" applyAlignment="1">
      <alignment horizontal="center" vertical="center"/>
    </xf>
    <xf numFmtId="0" fontId="47" fillId="2" borderId="8" xfId="1" applyFont="1" applyFill="1" applyBorder="1" applyAlignment="1">
      <alignment horizontal="center" vertical="center"/>
    </xf>
    <xf numFmtId="0" fontId="46" fillId="2" borderId="3" xfId="1" applyFont="1" applyFill="1" applyBorder="1" applyAlignment="1">
      <alignment horizontal="center" vertical="center"/>
    </xf>
    <xf numFmtId="0" fontId="47" fillId="2" borderId="27" xfId="1" applyFont="1" applyFill="1" applyBorder="1"/>
    <xf numFmtId="173" fontId="46" fillId="2" borderId="27" xfId="1" applyNumberFormat="1" applyFont="1" applyFill="1" applyBorder="1" applyAlignment="1">
      <alignment horizontal="center"/>
    </xf>
    <xf numFmtId="0" fontId="46" fillId="2" borderId="0" xfId="1" applyFont="1" applyFill="1"/>
    <xf numFmtId="0" fontId="47" fillId="2" borderId="0" xfId="1" applyFont="1" applyFill="1"/>
    <xf numFmtId="167" fontId="47" fillId="2" borderId="27" xfId="1" applyNumberFormat="1" applyFont="1" applyFill="1" applyBorder="1" applyAlignment="1">
      <alignment horizontal="center"/>
    </xf>
    <xf numFmtId="2" fontId="82" fillId="2" borderId="27" xfId="1" applyNumberFormat="1" applyFont="1" applyFill="1" applyBorder="1" applyAlignment="1">
      <alignment horizontal="center"/>
    </xf>
    <xf numFmtId="0" fontId="46" fillId="0" borderId="0" xfId="1" applyFont="1"/>
    <xf numFmtId="0" fontId="46" fillId="0" borderId="29" xfId="1" applyFont="1" applyBorder="1" applyProtection="1">
      <protection locked="0"/>
    </xf>
    <xf numFmtId="0" fontId="46" fillId="0" borderId="0" xfId="1" applyFont="1" applyProtection="1">
      <protection locked="0"/>
    </xf>
    <xf numFmtId="0" fontId="47" fillId="15" borderId="3" xfId="1" applyFont="1" applyFill="1" applyBorder="1" applyAlignment="1" applyProtection="1">
      <alignment horizontal="center" vertical="center"/>
      <protection locked="0"/>
    </xf>
    <xf numFmtId="165" fontId="47" fillId="13" borderId="3" xfId="1" applyNumberFormat="1" applyFont="1" applyFill="1" applyBorder="1" applyAlignment="1" applyProtection="1">
      <alignment horizontal="center" vertical="center"/>
      <protection locked="0"/>
    </xf>
    <xf numFmtId="0" fontId="82" fillId="13" borderId="3" xfId="1" applyFont="1" applyFill="1" applyBorder="1" applyAlignment="1" applyProtection="1">
      <alignment horizontal="center" vertical="center"/>
      <protection locked="0"/>
    </xf>
    <xf numFmtId="0" fontId="82" fillId="15" borderId="3" xfId="1" applyFont="1" applyFill="1" applyBorder="1" applyAlignment="1" applyProtection="1">
      <alignment horizontal="center" vertical="center"/>
      <protection locked="0"/>
    </xf>
    <xf numFmtId="0" fontId="46" fillId="0" borderId="3" xfId="1" applyFont="1" applyBorder="1" applyProtection="1">
      <protection locked="0"/>
    </xf>
    <xf numFmtId="165" fontId="46" fillId="13" borderId="3" xfId="1" applyNumberFormat="1" applyFont="1" applyFill="1" applyBorder="1" applyAlignment="1" applyProtection="1">
      <alignment horizontal="center" vertical="center"/>
      <protection locked="0"/>
    </xf>
    <xf numFmtId="2" fontId="46" fillId="15" borderId="3" xfId="1" applyNumberFormat="1" applyFont="1" applyFill="1" applyBorder="1" applyAlignment="1" applyProtection="1">
      <alignment horizontal="center"/>
      <protection locked="0"/>
    </xf>
    <xf numFmtId="0" fontId="46" fillId="0" borderId="27" xfId="1" applyFont="1" applyBorder="1" applyProtection="1">
      <protection locked="0"/>
    </xf>
    <xf numFmtId="0" fontId="46" fillId="13" borderId="0" xfId="1" applyFont="1" applyFill="1"/>
    <xf numFmtId="165" fontId="46" fillId="13" borderId="3" xfId="1" applyNumberFormat="1" applyFont="1" applyFill="1" applyBorder="1" applyAlignment="1" applyProtection="1">
      <alignment horizontal="center"/>
      <protection locked="0"/>
    </xf>
    <xf numFmtId="165" fontId="46" fillId="13" borderId="3" xfId="1" quotePrefix="1" applyNumberFormat="1" applyFont="1" applyFill="1" applyBorder="1" applyAlignment="1" applyProtection="1">
      <alignment horizontal="center"/>
      <protection locked="0"/>
    </xf>
    <xf numFmtId="0" fontId="46" fillId="13" borderId="3" xfId="1" quotePrefix="1" applyFont="1" applyFill="1" applyBorder="1" applyAlignment="1" applyProtection="1">
      <alignment horizontal="center"/>
      <protection locked="0"/>
    </xf>
    <xf numFmtId="0" fontId="46" fillId="0" borderId="38" xfId="1" applyFont="1" applyBorder="1" applyProtection="1">
      <protection locked="0"/>
    </xf>
    <xf numFmtId="0" fontId="46" fillId="0" borderId="39" xfId="1" applyFont="1" applyBorder="1" applyProtection="1">
      <protection locked="0"/>
    </xf>
    <xf numFmtId="0" fontId="46" fillId="0" borderId="31" xfId="1" applyFont="1" applyBorder="1" applyProtection="1">
      <protection locked="0"/>
    </xf>
    <xf numFmtId="0" fontId="47" fillId="13" borderId="3" xfId="1" applyFont="1" applyFill="1" applyBorder="1" applyAlignment="1" applyProtection="1">
      <alignment horizontal="center" vertical="center"/>
      <protection locked="0"/>
    </xf>
    <xf numFmtId="0" fontId="46" fillId="13" borderId="0" xfId="1" applyFont="1" applyFill="1" applyAlignment="1" applyProtection="1">
      <alignment horizontal="center"/>
      <protection locked="0"/>
    </xf>
    <xf numFmtId="0" fontId="47" fillId="15" borderId="24" xfId="1" applyFont="1" applyFill="1" applyBorder="1" applyAlignment="1" applyProtection="1">
      <alignment horizontal="center" vertical="center"/>
      <protection locked="0"/>
    </xf>
    <xf numFmtId="0" fontId="47" fillId="13" borderId="26" xfId="1" applyFont="1" applyFill="1" applyBorder="1" applyAlignment="1" applyProtection="1">
      <alignment horizontal="center" vertical="center"/>
      <protection locked="0"/>
    </xf>
    <xf numFmtId="0" fontId="82" fillId="13" borderId="58" xfId="1" applyFont="1" applyFill="1" applyBorder="1" applyAlignment="1" applyProtection="1">
      <alignment horizontal="center" vertical="center"/>
      <protection locked="0"/>
    </xf>
    <xf numFmtId="0" fontId="82" fillId="15" borderId="58" xfId="1" applyFont="1" applyFill="1" applyBorder="1" applyAlignment="1" applyProtection="1">
      <alignment horizontal="center" vertical="center"/>
      <protection locked="0"/>
    </xf>
    <xf numFmtId="0" fontId="47" fillId="15" borderId="11" xfId="1" applyFont="1" applyFill="1" applyBorder="1" applyAlignment="1" applyProtection="1">
      <alignment horizontal="center" vertical="center"/>
      <protection locked="0"/>
    </xf>
    <xf numFmtId="0" fontId="47" fillId="13" borderId="13" xfId="1" applyFont="1" applyFill="1" applyBorder="1" applyAlignment="1" applyProtection="1">
      <alignment horizontal="center" vertical="center"/>
      <protection locked="0"/>
    </xf>
    <xf numFmtId="165" fontId="46" fillId="13" borderId="52" xfId="1" applyNumberFormat="1" applyFont="1" applyFill="1" applyBorder="1" applyAlignment="1" applyProtection="1">
      <alignment horizontal="center" vertical="center"/>
      <protection locked="0"/>
    </xf>
    <xf numFmtId="165" fontId="46" fillId="13" borderId="2" xfId="1" applyNumberFormat="1" applyFont="1" applyFill="1" applyBorder="1" applyAlignment="1" applyProtection="1">
      <alignment horizontal="center" vertical="center"/>
      <protection locked="0"/>
    </xf>
    <xf numFmtId="2" fontId="46" fillId="15" borderId="45" xfId="1" applyNumberFormat="1" applyFont="1" applyFill="1" applyBorder="1" applyAlignment="1" applyProtection="1">
      <alignment horizontal="center"/>
      <protection locked="0"/>
    </xf>
    <xf numFmtId="165" fontId="46" fillId="13" borderId="8" xfId="1" applyNumberFormat="1" applyFont="1" applyFill="1" applyBorder="1" applyAlignment="1" applyProtection="1">
      <alignment horizontal="center" vertical="center"/>
      <protection locked="0"/>
    </xf>
    <xf numFmtId="2" fontId="46" fillId="15" borderId="9" xfId="1" applyNumberFormat="1" applyFont="1" applyFill="1" applyBorder="1" applyAlignment="1" applyProtection="1">
      <alignment horizontal="center"/>
      <protection locked="0"/>
    </xf>
    <xf numFmtId="165" fontId="46" fillId="13" borderId="34" xfId="1" applyNumberFormat="1" applyFont="1" applyFill="1" applyBorder="1" applyAlignment="1" applyProtection="1">
      <alignment horizontal="center"/>
      <protection locked="0"/>
    </xf>
    <xf numFmtId="165" fontId="46" fillId="13" borderId="35" xfId="1" applyNumberFormat="1" applyFont="1" applyFill="1" applyBorder="1" applyAlignment="1" applyProtection="1">
      <alignment horizontal="center"/>
      <protection locked="0"/>
    </xf>
    <xf numFmtId="165" fontId="46" fillId="13" borderId="12" xfId="1" applyNumberFormat="1" applyFont="1" applyFill="1" applyBorder="1" applyAlignment="1" applyProtection="1">
      <alignment horizontal="center"/>
      <protection locked="0"/>
    </xf>
    <xf numFmtId="2" fontId="46" fillId="15" borderId="13" xfId="1" applyNumberFormat="1" applyFont="1" applyFill="1" applyBorder="1" applyAlignment="1" applyProtection="1">
      <alignment horizontal="center"/>
      <protection locked="0"/>
    </xf>
    <xf numFmtId="0" fontId="46" fillId="0" borderId="37" xfId="1" applyFont="1" applyBorder="1" applyProtection="1">
      <protection locked="0"/>
    </xf>
    <xf numFmtId="0" fontId="46" fillId="13" borderId="12" xfId="1" quotePrefix="1" applyFont="1" applyFill="1" applyBorder="1" applyAlignment="1" applyProtection="1">
      <alignment horizontal="center"/>
      <protection locked="0"/>
    </xf>
    <xf numFmtId="0" fontId="46" fillId="2" borderId="31" xfId="1" applyFont="1" applyFill="1" applyBorder="1" applyAlignment="1" applyProtection="1">
      <alignment horizontal="center" vertical="center"/>
      <protection locked="0"/>
    </xf>
    <xf numFmtId="165" fontId="46" fillId="2" borderId="0" xfId="1" applyNumberFormat="1" applyFont="1" applyFill="1" applyAlignment="1" applyProtection="1">
      <alignment horizontal="center"/>
      <protection locked="0"/>
    </xf>
    <xf numFmtId="0" fontId="46" fillId="2" borderId="0" xfId="1" quotePrefix="1" applyFont="1" applyFill="1" applyAlignment="1" applyProtection="1">
      <alignment horizontal="center"/>
      <protection locked="0"/>
    </xf>
    <xf numFmtId="164" fontId="46" fillId="2" borderId="0" xfId="1" applyNumberFormat="1" applyFont="1" applyFill="1" applyAlignment="1" applyProtection="1">
      <alignment horizontal="center"/>
      <protection locked="0"/>
    </xf>
    <xf numFmtId="0" fontId="46" fillId="2" borderId="0" xfId="1" applyFont="1" applyFill="1" applyProtection="1">
      <protection locked="0"/>
    </xf>
    <xf numFmtId="165" fontId="47" fillId="13" borderId="13" xfId="1" applyNumberFormat="1" applyFont="1" applyFill="1" applyBorder="1" applyAlignment="1" applyProtection="1">
      <alignment horizontal="center" vertical="center"/>
      <protection locked="0"/>
    </xf>
    <xf numFmtId="165" fontId="47" fillId="13" borderId="26" xfId="1" applyNumberFormat="1" applyFont="1" applyFill="1" applyBorder="1" applyAlignment="1" applyProtection="1">
      <alignment horizontal="center" vertical="center"/>
      <protection locked="0"/>
    </xf>
    <xf numFmtId="1" fontId="46" fillId="13" borderId="52" xfId="1" applyNumberFormat="1" applyFont="1" applyFill="1" applyBorder="1" applyAlignment="1" applyProtection="1">
      <alignment horizontal="center" vertical="center"/>
      <protection locked="0"/>
    </xf>
    <xf numFmtId="1" fontId="46" fillId="13" borderId="8" xfId="1" applyNumberFormat="1" applyFont="1" applyFill="1" applyBorder="1" applyAlignment="1" applyProtection="1">
      <alignment horizontal="center" vertical="center"/>
      <protection locked="0"/>
    </xf>
    <xf numFmtId="1" fontId="46" fillId="13" borderId="34" xfId="1" applyNumberFormat="1" applyFont="1" applyFill="1" applyBorder="1" applyAlignment="1" applyProtection="1">
      <alignment horizontal="center"/>
      <protection locked="0"/>
    </xf>
    <xf numFmtId="1" fontId="46" fillId="13" borderId="35" xfId="1" applyNumberFormat="1" applyFont="1" applyFill="1" applyBorder="1" applyAlignment="1" applyProtection="1">
      <alignment horizontal="center"/>
      <protection locked="0"/>
    </xf>
    <xf numFmtId="2" fontId="46" fillId="2" borderId="0" xfId="1" applyNumberFormat="1" applyFont="1" applyFill="1" applyAlignment="1" applyProtection="1">
      <alignment horizontal="center"/>
      <protection locked="0"/>
    </xf>
    <xf numFmtId="0" fontId="82" fillId="13" borderId="58" xfId="1" quotePrefix="1" applyFont="1" applyFill="1" applyBorder="1" applyAlignment="1" applyProtection="1">
      <alignment horizontal="center" vertical="center"/>
      <protection locked="0"/>
    </xf>
    <xf numFmtId="164" fontId="46" fillId="13" borderId="2" xfId="1" applyNumberFormat="1" applyFont="1" applyFill="1" applyBorder="1" applyAlignment="1" applyProtection="1">
      <alignment horizontal="center" vertical="center"/>
      <protection locked="0"/>
    </xf>
    <xf numFmtId="164" fontId="46" fillId="13" borderId="3" xfId="1" applyNumberFormat="1" applyFont="1" applyFill="1" applyBorder="1" applyAlignment="1" applyProtection="1">
      <alignment horizontal="center" vertical="center"/>
      <protection locked="0"/>
    </xf>
    <xf numFmtId="165" fontId="46" fillId="13" borderId="57" xfId="1" applyNumberFormat="1" applyFont="1" applyFill="1" applyBorder="1" applyAlignment="1" applyProtection="1">
      <alignment horizontal="center" vertical="center"/>
      <protection locked="0"/>
    </xf>
    <xf numFmtId="165" fontId="46" fillId="13" borderId="35" xfId="1" applyNumberFormat="1" applyFont="1" applyFill="1" applyBorder="1" applyAlignment="1" applyProtection="1">
      <alignment horizontal="center" vertical="center"/>
      <protection locked="0"/>
    </xf>
    <xf numFmtId="0" fontId="46" fillId="0" borderId="66" xfId="1" applyFont="1" applyBorder="1" applyProtection="1">
      <protection locked="0"/>
    </xf>
    <xf numFmtId="0" fontId="46" fillId="0" borderId="31" xfId="1" applyFont="1" applyBorder="1" applyAlignment="1" applyProtection="1">
      <alignment horizontal="center" vertical="center"/>
      <protection locked="0"/>
    </xf>
    <xf numFmtId="165" fontId="46" fillId="13" borderId="0" xfId="1" applyNumberFormat="1" applyFont="1" applyFill="1" applyAlignment="1" applyProtection="1">
      <alignment horizontal="center"/>
      <protection locked="0"/>
    </xf>
    <xf numFmtId="0" fontId="46" fillId="13" borderId="0" xfId="1" quotePrefix="1" applyFont="1" applyFill="1" applyAlignment="1" applyProtection="1">
      <alignment horizontal="center"/>
      <protection locked="0"/>
    </xf>
    <xf numFmtId="2" fontId="46" fillId="15" borderId="0" xfId="1" applyNumberFormat="1" applyFont="1" applyFill="1" applyAlignment="1" applyProtection="1">
      <alignment horizontal="center"/>
      <protection locked="0"/>
    </xf>
    <xf numFmtId="0" fontId="47" fillId="2" borderId="29" xfId="1" applyFont="1" applyFill="1" applyBorder="1" applyAlignment="1">
      <alignment vertical="center"/>
    </xf>
    <xf numFmtId="0" fontId="47" fillId="2" borderId="29" xfId="1" applyFont="1" applyFill="1" applyBorder="1" applyAlignment="1">
      <alignment horizontal="center" vertical="center"/>
    </xf>
    <xf numFmtId="0" fontId="46" fillId="3" borderId="3" xfId="1" applyFont="1" applyFill="1" applyBorder="1" applyAlignment="1">
      <alignment horizontal="center" vertical="center"/>
    </xf>
    <xf numFmtId="0" fontId="46" fillId="11" borderId="3" xfId="1" applyFont="1" applyFill="1" applyBorder="1" applyAlignment="1">
      <alignment horizontal="center" vertical="center"/>
    </xf>
    <xf numFmtId="2" fontId="46" fillId="11" borderId="3" xfId="1" applyNumberFormat="1" applyFont="1" applyFill="1" applyBorder="1" applyAlignment="1">
      <alignment horizontal="center" vertical="center"/>
    </xf>
    <xf numFmtId="0" fontId="46" fillId="3" borderId="3" xfId="1" applyFont="1" applyFill="1" applyBorder="1" applyAlignment="1">
      <alignment horizontal="center"/>
    </xf>
    <xf numFmtId="2" fontId="46" fillId="11" borderId="3" xfId="1" applyNumberFormat="1" applyFont="1" applyFill="1" applyBorder="1" applyAlignment="1">
      <alignment horizontal="center"/>
    </xf>
    <xf numFmtId="0" fontId="46" fillId="2" borderId="48" xfId="1" applyFont="1" applyFill="1" applyBorder="1" applyAlignment="1">
      <alignment horizontal="center" vertical="center"/>
    </xf>
    <xf numFmtId="0" fontId="46" fillId="2" borderId="10" xfId="1" applyFont="1" applyFill="1" applyBorder="1" applyAlignment="1">
      <alignment horizontal="center" vertical="center"/>
    </xf>
    <xf numFmtId="2" fontId="46" fillId="2" borderId="53" xfId="1" applyNumberFormat="1" applyFont="1" applyFill="1" applyBorder="1" applyAlignment="1">
      <alignment horizontal="center"/>
    </xf>
    <xf numFmtId="2" fontId="46" fillId="2" borderId="27" xfId="1" applyNumberFormat="1" applyFont="1" applyFill="1" applyBorder="1" applyAlignment="1">
      <alignment horizontal="center"/>
    </xf>
    <xf numFmtId="2" fontId="46" fillId="2" borderId="3" xfId="1" applyNumberFormat="1" applyFont="1" applyFill="1" applyBorder="1" applyAlignment="1">
      <alignment horizontal="center"/>
    </xf>
    <xf numFmtId="165" fontId="46" fillId="3" borderId="3" xfId="1" applyNumberFormat="1" applyFont="1" applyFill="1" applyBorder="1" applyAlignment="1">
      <alignment horizontal="center" vertical="center"/>
    </xf>
    <xf numFmtId="2" fontId="46" fillId="2" borderId="23" xfId="1" applyNumberFormat="1" applyFont="1" applyFill="1" applyBorder="1" applyAlignment="1">
      <alignment horizontal="center" vertical="center"/>
    </xf>
    <xf numFmtId="2" fontId="46" fillId="2" borderId="44" xfId="1" applyNumberFormat="1" applyFont="1" applyFill="1" applyBorder="1" applyAlignment="1">
      <alignment horizontal="center" vertical="center"/>
    </xf>
    <xf numFmtId="0" fontId="46" fillId="0" borderId="27" xfId="1" applyFont="1" applyBorder="1"/>
    <xf numFmtId="0" fontId="46" fillId="2" borderId="53" xfId="1" applyFont="1" applyFill="1" applyBorder="1" applyAlignment="1">
      <alignment horizontal="center" vertical="center"/>
    </xf>
    <xf numFmtId="0" fontId="46" fillId="2" borderId="31" xfId="1" applyFont="1" applyFill="1" applyBorder="1" applyAlignment="1">
      <alignment horizontal="center" vertical="center"/>
    </xf>
    <xf numFmtId="2" fontId="46" fillId="11" borderId="7" xfId="1" applyNumberFormat="1" applyFont="1" applyFill="1" applyBorder="1" applyAlignment="1">
      <alignment horizontal="center" vertical="center"/>
    </xf>
    <xf numFmtId="2" fontId="46" fillId="11" borderId="4" xfId="1" applyNumberFormat="1" applyFont="1" applyFill="1" applyBorder="1" applyAlignment="1">
      <alignment horizontal="center" vertical="center"/>
    </xf>
    <xf numFmtId="2" fontId="46" fillId="11" borderId="0" xfId="1" applyNumberFormat="1" applyFont="1" applyFill="1" applyAlignment="1">
      <alignment horizontal="center" vertical="center"/>
    </xf>
    <xf numFmtId="2" fontId="46" fillId="11" borderId="2" xfId="1" applyNumberFormat="1" applyFont="1" applyFill="1" applyBorder="1" applyAlignment="1">
      <alignment horizontal="center" vertical="center"/>
    </xf>
    <xf numFmtId="0" fontId="46" fillId="0" borderId="31" xfId="1" applyFont="1" applyBorder="1" applyAlignment="1">
      <alignment horizontal="center" vertical="center"/>
    </xf>
    <xf numFmtId="0" fontId="47" fillId="2" borderId="24" xfId="1" applyFont="1" applyFill="1" applyBorder="1" applyAlignment="1">
      <alignment horizontal="center" vertical="center"/>
    </xf>
    <xf numFmtId="0" fontId="47" fillId="2" borderId="29" xfId="1" applyFont="1" applyFill="1" applyBorder="1" applyAlignment="1">
      <alignment horizontal="left" vertical="center" wrapText="1"/>
    </xf>
    <xf numFmtId="0" fontId="82" fillId="2" borderId="3" xfId="1" applyFont="1" applyFill="1" applyBorder="1" applyAlignment="1">
      <alignment horizontal="center" vertical="center"/>
    </xf>
    <xf numFmtId="165" fontId="46" fillId="2" borderId="8" xfId="1" applyNumberFormat="1" applyFont="1" applyFill="1" applyBorder="1" applyAlignment="1">
      <alignment horizontal="center" vertical="center"/>
    </xf>
    <xf numFmtId="165" fontId="46" fillId="2" borderId="3" xfId="1" applyNumberFormat="1" applyFont="1" applyFill="1" applyBorder="1" applyAlignment="1">
      <alignment horizontal="center" vertical="center"/>
    </xf>
    <xf numFmtId="165" fontId="46" fillId="2" borderId="9" xfId="1" applyNumberFormat="1" applyFont="1" applyFill="1" applyBorder="1" applyAlignment="1">
      <alignment horizontal="center" vertical="center"/>
    </xf>
    <xf numFmtId="1" fontId="46" fillId="2" borderId="8" xfId="1" applyNumberFormat="1" applyFont="1" applyFill="1" applyBorder="1" applyAlignment="1">
      <alignment horizontal="center"/>
    </xf>
    <xf numFmtId="165" fontId="46" fillId="3" borderId="3" xfId="1" applyNumberFormat="1" applyFont="1" applyFill="1" applyBorder="1" applyAlignment="1">
      <alignment horizontal="center"/>
    </xf>
    <xf numFmtId="165" fontId="46" fillId="2" borderId="3" xfId="1" applyNumberFormat="1" applyFont="1" applyFill="1" applyBorder="1" applyAlignment="1">
      <alignment horizontal="center"/>
    </xf>
    <xf numFmtId="165" fontId="46" fillId="2" borderId="9" xfId="1" applyNumberFormat="1" applyFont="1" applyFill="1" applyBorder="1" applyAlignment="1">
      <alignment horizontal="center"/>
    </xf>
    <xf numFmtId="11" fontId="46" fillId="2" borderId="27" xfId="1" applyNumberFormat="1" applyFont="1" applyFill="1" applyBorder="1" applyAlignment="1">
      <alignment horizontal="center"/>
    </xf>
    <xf numFmtId="1" fontId="46" fillId="2" borderId="11" xfId="1" applyNumberFormat="1" applyFont="1" applyFill="1" applyBorder="1" applyAlignment="1">
      <alignment horizontal="center"/>
    </xf>
    <xf numFmtId="165" fontId="46" fillId="3" borderId="12" xfId="1" applyNumberFormat="1" applyFont="1" applyFill="1" applyBorder="1" applyAlignment="1">
      <alignment horizontal="center"/>
    </xf>
    <xf numFmtId="165" fontId="46" fillId="2" borderId="12" xfId="1" applyNumberFormat="1" applyFont="1" applyFill="1" applyBorder="1" applyAlignment="1">
      <alignment horizontal="center"/>
    </xf>
    <xf numFmtId="165" fontId="46" fillId="2" borderId="13" xfId="1" applyNumberFormat="1" applyFont="1" applyFill="1" applyBorder="1" applyAlignment="1">
      <alignment horizontal="center"/>
    </xf>
    <xf numFmtId="0" fontId="46" fillId="2" borderId="0" xfId="1" applyFont="1" applyFill="1" applyAlignment="1">
      <alignment horizontal="center"/>
    </xf>
    <xf numFmtId="167" fontId="46" fillId="2" borderId="0" xfId="1" applyNumberFormat="1" applyFont="1" applyFill="1" applyAlignment="1">
      <alignment horizontal="center"/>
    </xf>
    <xf numFmtId="167" fontId="46" fillId="2" borderId="27" xfId="1" applyNumberFormat="1" applyFont="1" applyFill="1" applyBorder="1" applyAlignment="1">
      <alignment horizontal="center"/>
    </xf>
    <xf numFmtId="165" fontId="46" fillId="2" borderId="0" xfId="1" applyNumberFormat="1" applyFont="1" applyFill="1"/>
    <xf numFmtId="0" fontId="46" fillId="0" borderId="3" xfId="1" applyFont="1" applyBorder="1" applyAlignment="1">
      <alignment vertical="center"/>
    </xf>
    <xf numFmtId="165" fontId="46" fillId="2" borderId="11" xfId="1" applyNumberFormat="1" applyFont="1" applyFill="1" applyBorder="1" applyAlignment="1">
      <alignment horizontal="center" vertical="center"/>
    </xf>
    <xf numFmtId="165" fontId="46" fillId="2" borderId="12" xfId="1" applyNumberFormat="1" applyFont="1" applyFill="1" applyBorder="1" applyAlignment="1">
      <alignment horizontal="center" vertical="center"/>
    </xf>
    <xf numFmtId="165" fontId="46" fillId="2" borderId="13" xfId="1" applyNumberFormat="1" applyFont="1" applyFill="1" applyBorder="1" applyAlignment="1">
      <alignment horizontal="center" vertical="center"/>
    </xf>
    <xf numFmtId="0" fontId="46" fillId="2" borderId="31" xfId="1" applyFont="1" applyFill="1" applyBorder="1"/>
    <xf numFmtId="0" fontId="46" fillId="2" borderId="3" xfId="1" applyFont="1" applyFill="1" applyBorder="1"/>
    <xf numFmtId="2" fontId="46" fillId="0" borderId="3" xfId="1" applyNumberFormat="1" applyFont="1" applyBorder="1" applyAlignment="1">
      <alignment horizontal="center" vertical="center"/>
    </xf>
    <xf numFmtId="164" fontId="46" fillId="2" borderId="27" xfId="1" applyNumberFormat="1" applyFont="1" applyFill="1" applyBorder="1" applyAlignment="1">
      <alignment horizontal="center"/>
    </xf>
    <xf numFmtId="165" fontId="47" fillId="2" borderId="25" xfId="1" applyNumberFormat="1" applyFont="1" applyFill="1" applyBorder="1" applyAlignment="1">
      <alignment horizontal="center"/>
    </xf>
    <xf numFmtId="165" fontId="47" fillId="2" borderId="26" xfId="1" applyNumberFormat="1" applyFont="1" applyFill="1" applyBorder="1" applyAlignment="1">
      <alignment horizontal="center"/>
    </xf>
    <xf numFmtId="0" fontId="82" fillId="2" borderId="0" xfId="1" applyFont="1" applyFill="1" applyAlignment="1">
      <alignment vertical="center"/>
    </xf>
    <xf numFmtId="0" fontId="47" fillId="2" borderId="52" xfId="1" applyFont="1" applyFill="1" applyBorder="1" applyAlignment="1">
      <alignment horizontal="center" vertical="center"/>
    </xf>
    <xf numFmtId="0" fontId="46" fillId="2" borderId="27" xfId="1" applyFont="1" applyFill="1" applyBorder="1"/>
    <xf numFmtId="165" fontId="47" fillId="2" borderId="8" xfId="1" applyNumberFormat="1" applyFont="1" applyFill="1" applyBorder="1" applyAlignment="1">
      <alignment horizontal="center" vertical="center"/>
    </xf>
    <xf numFmtId="165" fontId="47" fillId="2" borderId="3" xfId="1" applyNumberFormat="1" applyFont="1" applyFill="1" applyBorder="1" applyAlignment="1">
      <alignment horizontal="center"/>
    </xf>
    <xf numFmtId="165" fontId="47" fillId="2" borderId="9" xfId="1" applyNumberFormat="1" applyFont="1" applyFill="1" applyBorder="1" applyAlignment="1">
      <alignment horizontal="center"/>
    </xf>
    <xf numFmtId="0" fontId="47" fillId="2" borderId="11" xfId="1" applyFont="1" applyFill="1" applyBorder="1" applyAlignment="1">
      <alignment horizontal="center" vertical="center"/>
    </xf>
    <xf numFmtId="165" fontId="47" fillId="2" borderId="57" xfId="1" applyNumberFormat="1" applyFont="1" applyFill="1" applyBorder="1" applyAlignment="1">
      <alignment horizontal="center"/>
    </xf>
    <xf numFmtId="165" fontId="47" fillId="2" borderId="12" xfId="1" applyNumberFormat="1" applyFont="1" applyFill="1" applyBorder="1" applyAlignment="1">
      <alignment horizontal="center"/>
    </xf>
    <xf numFmtId="165" fontId="47" fillId="2" borderId="47" xfId="1" applyNumberFormat="1" applyFont="1" applyFill="1" applyBorder="1" applyAlignment="1">
      <alignment horizontal="center"/>
    </xf>
    <xf numFmtId="164" fontId="46" fillId="2" borderId="38" xfId="1" applyNumberFormat="1" applyFont="1" applyFill="1" applyBorder="1" applyAlignment="1">
      <alignment horizontal="center"/>
    </xf>
    <xf numFmtId="0" fontId="46" fillId="2" borderId="38" xfId="1" applyFont="1" applyFill="1" applyBorder="1"/>
    <xf numFmtId="0" fontId="46" fillId="2" borderId="39" xfId="1" applyFont="1" applyFill="1" applyBorder="1"/>
    <xf numFmtId="2" fontId="46" fillId="2" borderId="39" xfId="1" applyNumberFormat="1" applyFont="1" applyFill="1" applyBorder="1" applyAlignment="1">
      <alignment horizontal="center"/>
    </xf>
    <xf numFmtId="1" fontId="46" fillId="11" borderId="5" xfId="1" applyNumberFormat="1" applyFont="1" applyFill="1" applyBorder="1" applyAlignment="1" applyProtection="1">
      <alignment horizontal="center" vertical="center"/>
      <protection locked="0"/>
    </xf>
    <xf numFmtId="1" fontId="46" fillId="11" borderId="5" xfId="1" applyNumberFormat="1" applyFont="1" applyFill="1" applyBorder="1" applyAlignment="1" applyProtection="1">
      <alignment vertical="center"/>
      <protection locked="0"/>
    </xf>
    <xf numFmtId="1" fontId="46" fillId="11" borderId="6" xfId="1" applyNumberFormat="1" applyFont="1" applyFill="1" applyBorder="1" applyAlignment="1" applyProtection="1">
      <alignment vertical="center"/>
      <protection locked="0"/>
    </xf>
    <xf numFmtId="1" fontId="46" fillId="11" borderId="4" xfId="1" applyNumberFormat="1" applyFont="1" applyFill="1" applyBorder="1" applyAlignment="1" applyProtection="1">
      <alignment vertical="center"/>
      <protection locked="0"/>
    </xf>
    <xf numFmtId="1" fontId="46" fillId="11" borderId="24" xfId="1" applyNumberFormat="1" applyFont="1" applyFill="1" applyBorder="1" applyAlignment="1" applyProtection="1">
      <alignment horizontal="center" vertical="center"/>
      <protection locked="0"/>
    </xf>
    <xf numFmtId="1" fontId="46" fillId="11" borderId="26" xfId="1" applyNumberFormat="1" applyFont="1" applyFill="1" applyBorder="1" applyAlignment="1" applyProtection="1">
      <alignment horizontal="center" vertical="center"/>
      <protection locked="0"/>
    </xf>
    <xf numFmtId="1" fontId="46" fillId="11" borderId="62" xfId="1" applyNumberFormat="1" applyFont="1" applyFill="1" applyBorder="1" applyAlignment="1" applyProtection="1">
      <alignment horizontal="center" vertical="center"/>
      <protection locked="0"/>
    </xf>
    <xf numFmtId="1" fontId="46" fillId="11" borderId="8" xfId="1" applyNumberFormat="1" applyFont="1" applyFill="1" applyBorder="1" applyAlignment="1" applyProtection="1">
      <alignment horizontal="center" vertical="center"/>
      <protection locked="0"/>
    </xf>
    <xf numFmtId="1" fontId="46" fillId="11" borderId="9" xfId="1" applyNumberFormat="1" applyFont="1" applyFill="1" applyBorder="1" applyAlignment="1" applyProtection="1">
      <alignment horizontal="center" vertical="center"/>
      <protection locked="0"/>
    </xf>
    <xf numFmtId="1" fontId="46" fillId="11" borderId="61" xfId="1" applyNumberFormat="1" applyFont="1" applyFill="1" applyBorder="1" applyAlignment="1" applyProtection="1">
      <alignment horizontal="center" vertical="center"/>
      <protection locked="0"/>
    </xf>
    <xf numFmtId="1" fontId="46" fillId="11" borderId="50" xfId="1" quotePrefix="1" applyNumberFormat="1" applyFont="1" applyFill="1" applyBorder="1" applyAlignment="1" applyProtection="1">
      <alignment horizontal="center" vertical="center"/>
      <protection locked="0"/>
    </xf>
    <xf numFmtId="1" fontId="46" fillId="11" borderId="9" xfId="1" quotePrefix="1" applyNumberFormat="1" applyFont="1" applyFill="1" applyBorder="1" applyAlignment="1" applyProtection="1">
      <alignment horizontal="center" vertical="center"/>
      <protection locked="0"/>
    </xf>
    <xf numFmtId="165" fontId="46" fillId="3" borderId="9" xfId="1" applyNumberFormat="1" applyFont="1" applyFill="1" applyBorder="1" applyAlignment="1">
      <alignment horizontal="center" vertical="center"/>
    </xf>
    <xf numFmtId="0" fontId="46" fillId="3" borderId="9" xfId="1" applyFont="1" applyFill="1" applyBorder="1" applyAlignment="1">
      <alignment horizontal="center" vertical="center"/>
    </xf>
    <xf numFmtId="0" fontId="46" fillId="3" borderId="9" xfId="1" applyFont="1" applyFill="1" applyBorder="1" applyAlignment="1">
      <alignment horizontal="center"/>
    </xf>
    <xf numFmtId="182" fontId="46" fillId="0" borderId="3" xfId="1" applyNumberFormat="1" applyFont="1" applyBorder="1" applyAlignment="1" applyProtection="1">
      <alignment horizontal="center" vertical="center"/>
      <protection locked="0"/>
    </xf>
    <xf numFmtId="49" fontId="47" fillId="2" borderId="1" xfId="0" applyNumberFormat="1" applyFont="1" applyFill="1" applyBorder="1" applyAlignment="1">
      <alignment horizontal="left" vertical="center"/>
    </xf>
    <xf numFmtId="0" fontId="46" fillId="2" borderId="7" xfId="0" applyFont="1" applyFill="1" applyBorder="1" applyAlignment="1">
      <alignment horizontal="center" vertical="center" wrapText="1"/>
    </xf>
    <xf numFmtId="0" fontId="46" fillId="2" borderId="10" xfId="0" applyFont="1" applyFill="1" applyBorder="1" applyAlignment="1">
      <alignment horizontal="center" vertical="center" wrapText="1"/>
    </xf>
    <xf numFmtId="2" fontId="46" fillId="2" borderId="3" xfId="0" quotePrefix="1" applyNumberFormat="1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 wrapText="1"/>
    </xf>
    <xf numFmtId="178" fontId="2" fillId="0" borderId="10" xfId="0" applyNumberFormat="1" applyFont="1" applyBorder="1" applyAlignment="1">
      <alignment horizontal="center" vertical="center" wrapText="1"/>
    </xf>
    <xf numFmtId="178" fontId="2" fillId="0" borderId="2" xfId="0" applyNumberFormat="1" applyFont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0" fontId="37" fillId="2" borderId="0" xfId="0" quotePrefix="1" applyFont="1" applyFill="1" applyAlignment="1">
      <alignment horizontal="center" vertical="center"/>
    </xf>
    <xf numFmtId="2" fontId="46" fillId="2" borderId="7" xfId="0" quotePrefix="1" applyNumberFormat="1" applyFont="1" applyFill="1" applyBorder="1" applyAlignment="1">
      <alignment horizontal="center" vertical="center" wrapText="1"/>
    </xf>
    <xf numFmtId="2" fontId="46" fillId="2" borderId="10" xfId="0" quotePrefix="1" applyNumberFormat="1" applyFont="1" applyFill="1" applyBorder="1" applyAlignment="1">
      <alignment horizontal="center" vertical="center" wrapText="1"/>
    </xf>
    <xf numFmtId="2" fontId="46" fillId="2" borderId="2" xfId="0" quotePrefix="1" applyNumberFormat="1" applyFont="1" applyFill="1" applyBorder="1" applyAlignment="1">
      <alignment horizontal="center" vertical="center" wrapText="1"/>
    </xf>
    <xf numFmtId="0" fontId="46" fillId="2" borderId="0" xfId="0" applyFont="1" applyFill="1" applyAlignment="1">
      <alignment horizontal="center" vertical="center"/>
    </xf>
    <xf numFmtId="0" fontId="47" fillId="2" borderId="7" xfId="0" applyFont="1" applyFill="1" applyBorder="1" applyAlignment="1">
      <alignment horizontal="center" vertical="center"/>
    </xf>
    <xf numFmtId="0" fontId="47" fillId="2" borderId="2" xfId="0" applyFont="1" applyFill="1" applyBorder="1" applyAlignment="1">
      <alignment horizontal="center" vertical="center"/>
    </xf>
    <xf numFmtId="0" fontId="47" fillId="2" borderId="17" xfId="0" applyFont="1" applyFill="1" applyBorder="1" applyAlignment="1">
      <alignment horizontal="center" vertical="center"/>
    </xf>
    <xf numFmtId="0" fontId="47" fillId="2" borderId="18" xfId="0" applyFont="1" applyFill="1" applyBorder="1" applyAlignment="1">
      <alignment horizontal="center" vertical="center"/>
    </xf>
    <xf numFmtId="0" fontId="47" fillId="2" borderId="19" xfId="0" applyFont="1" applyFill="1" applyBorder="1" applyAlignment="1">
      <alignment horizontal="center" vertical="center"/>
    </xf>
    <xf numFmtId="0" fontId="47" fillId="2" borderId="20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47" fillId="2" borderId="21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 wrapText="1"/>
    </xf>
    <xf numFmtId="0" fontId="47" fillId="0" borderId="17" xfId="2" applyFont="1" applyBorder="1" applyAlignment="1">
      <alignment horizontal="center" vertical="center"/>
    </xf>
    <xf numFmtId="0" fontId="47" fillId="0" borderId="20" xfId="2" applyFont="1" applyBorder="1" applyAlignment="1">
      <alignment horizontal="center" vertical="center"/>
    </xf>
    <xf numFmtId="174" fontId="46" fillId="0" borderId="7" xfId="0" applyNumberFormat="1" applyFont="1" applyBorder="1" applyAlignment="1">
      <alignment horizontal="center" vertical="center" wrapText="1"/>
    </xf>
    <xf numFmtId="174" fontId="46" fillId="0" borderId="10" xfId="0" applyNumberFormat="1" applyFont="1" applyBorder="1" applyAlignment="1">
      <alignment horizontal="center" vertical="center" wrapText="1"/>
    </xf>
    <xf numFmtId="174" fontId="46" fillId="0" borderId="2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39" fillId="3" borderId="0" xfId="0" applyFont="1" applyFill="1" applyAlignment="1">
      <alignment horizontal="center" vertical="center"/>
    </xf>
    <xf numFmtId="0" fontId="40" fillId="2" borderId="14" xfId="0" applyFont="1" applyFill="1" applyBorder="1" applyAlignment="1">
      <alignment horizontal="center"/>
    </xf>
    <xf numFmtId="0" fontId="40" fillId="2" borderId="15" xfId="0" applyFont="1" applyFill="1" applyBorder="1" applyAlignment="1">
      <alignment horizontal="center"/>
    </xf>
    <xf numFmtId="0" fontId="40" fillId="2" borderId="16" xfId="0" applyFont="1" applyFill="1" applyBorder="1" applyAlignment="1">
      <alignment horizontal="center"/>
    </xf>
    <xf numFmtId="0" fontId="10" fillId="2" borderId="3" xfId="1" applyFont="1" applyFill="1" applyBorder="1" applyAlignment="1">
      <alignment horizontal="left"/>
    </xf>
    <xf numFmtId="0" fontId="12" fillId="2" borderId="3" xfId="1" applyFont="1" applyFill="1" applyBorder="1" applyAlignment="1">
      <alignment horizontal="left"/>
    </xf>
    <xf numFmtId="0" fontId="13" fillId="2" borderId="3" xfId="1" applyFont="1" applyFill="1" applyBorder="1" applyAlignment="1">
      <alignment horizontal="left"/>
    </xf>
    <xf numFmtId="0" fontId="11" fillId="2" borderId="3" xfId="1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7" fillId="2" borderId="0" xfId="1" applyFont="1" applyFill="1" applyAlignment="1" applyProtection="1">
      <alignment horizontal="center" vertical="center"/>
      <protection locked="0"/>
    </xf>
    <xf numFmtId="167" fontId="47" fillId="2" borderId="0" xfId="1" applyNumberFormat="1" applyFont="1" applyFill="1" applyAlignment="1" applyProtection="1">
      <alignment horizontal="center" vertical="center"/>
      <protection locked="0"/>
    </xf>
    <xf numFmtId="0" fontId="47" fillId="2" borderId="3" xfId="1" applyFont="1" applyFill="1" applyBorder="1" applyAlignment="1">
      <alignment horizontal="center" vertical="center" wrapText="1"/>
    </xf>
    <xf numFmtId="0" fontId="46" fillId="2" borderId="7" xfId="1" applyFont="1" applyFill="1" applyBorder="1" applyAlignment="1">
      <alignment horizontal="center" vertical="center" wrapText="1"/>
    </xf>
    <xf numFmtId="0" fontId="46" fillId="2" borderId="10" xfId="1" applyFont="1" applyFill="1" applyBorder="1" applyAlignment="1">
      <alignment horizontal="center" vertical="center" wrapText="1"/>
    </xf>
    <xf numFmtId="0" fontId="46" fillId="2" borderId="2" xfId="1" applyFont="1" applyFill="1" applyBorder="1" applyAlignment="1">
      <alignment horizontal="center" vertical="center" wrapText="1"/>
    </xf>
    <xf numFmtId="1" fontId="46" fillId="2" borderId="3" xfId="1" applyNumberFormat="1" applyFont="1" applyFill="1" applyBorder="1" applyAlignment="1">
      <alignment horizontal="center" vertical="center"/>
    </xf>
    <xf numFmtId="0" fontId="46" fillId="2" borderId="3" xfId="1" applyFont="1" applyFill="1" applyBorder="1" applyAlignment="1" applyProtection="1">
      <alignment horizontal="center" vertical="center"/>
      <protection locked="0"/>
    </xf>
    <xf numFmtId="0" fontId="47" fillId="2" borderId="3" xfId="1" applyFont="1" applyFill="1" applyBorder="1" applyAlignment="1" applyProtection="1">
      <alignment horizontal="center" vertical="center"/>
      <protection locked="0"/>
    </xf>
    <xf numFmtId="0" fontId="33" fillId="2" borderId="0" xfId="1" applyFont="1" applyFill="1" applyAlignment="1">
      <alignment horizontal="center" vertical="center"/>
    </xf>
    <xf numFmtId="0" fontId="46" fillId="2" borderId="0" xfId="1" applyFont="1" applyFill="1" applyAlignment="1">
      <alignment horizontal="center" vertical="center"/>
    </xf>
    <xf numFmtId="178" fontId="2" fillId="0" borderId="3" xfId="1" applyNumberFormat="1" applyBorder="1" applyAlignment="1" applyProtection="1">
      <alignment horizontal="center" vertical="center"/>
      <protection locked="0"/>
    </xf>
    <xf numFmtId="0" fontId="47" fillId="2" borderId="7" xfId="1" applyFont="1" applyFill="1" applyBorder="1" applyAlignment="1">
      <alignment horizontal="center" vertical="center" wrapText="1"/>
    </xf>
    <xf numFmtId="0" fontId="47" fillId="2" borderId="2" xfId="1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1" fontId="46" fillId="2" borderId="3" xfId="0" applyNumberFormat="1" applyFont="1" applyFill="1" applyBorder="1" applyAlignment="1">
      <alignment horizontal="center" vertical="center"/>
    </xf>
    <xf numFmtId="1" fontId="46" fillId="2" borderId="17" xfId="1" quotePrefix="1" applyNumberFormat="1" applyFont="1" applyFill="1" applyBorder="1" applyAlignment="1">
      <alignment horizontal="center" vertical="center"/>
    </xf>
    <xf numFmtId="1" fontId="46" fillId="2" borderId="23" xfId="1" quotePrefix="1" applyNumberFormat="1" applyFont="1" applyFill="1" applyBorder="1" applyAlignment="1">
      <alignment horizontal="center" vertical="center"/>
    </xf>
    <xf numFmtId="1" fontId="46" fillId="2" borderId="20" xfId="1" quotePrefix="1" applyNumberFormat="1" applyFont="1" applyFill="1" applyBorder="1" applyAlignment="1">
      <alignment horizontal="center" vertical="center"/>
    </xf>
    <xf numFmtId="0" fontId="47" fillId="2" borderId="7" xfId="1" applyFont="1" applyFill="1" applyBorder="1" applyAlignment="1">
      <alignment horizontal="center" vertical="center"/>
    </xf>
    <xf numFmtId="0" fontId="47" fillId="2" borderId="2" xfId="1" applyFont="1" applyFill="1" applyBorder="1" applyAlignment="1">
      <alignment horizontal="center" vertical="center"/>
    </xf>
    <xf numFmtId="174" fontId="2" fillId="0" borderId="3" xfId="1" applyNumberFormat="1" applyBorder="1" applyAlignment="1" applyProtection="1">
      <alignment horizontal="center" vertical="center"/>
      <protection locked="0"/>
    </xf>
    <xf numFmtId="0" fontId="2" fillId="0" borderId="3" xfId="1" applyBorder="1" applyAlignment="1" applyProtection="1">
      <alignment horizontal="center" vertical="center"/>
      <protection locked="0"/>
    </xf>
    <xf numFmtId="0" fontId="46" fillId="2" borderId="3" xfId="0" applyFont="1" applyFill="1" applyBorder="1" applyAlignment="1" applyProtection="1">
      <alignment horizontal="center" vertical="center"/>
      <protection locked="0"/>
    </xf>
    <xf numFmtId="0" fontId="46" fillId="2" borderId="0" xfId="1" applyFont="1" applyFill="1" applyAlignment="1">
      <alignment horizontal="left" vertical="top" wrapText="1"/>
    </xf>
    <xf numFmtId="0" fontId="47" fillId="2" borderId="3" xfId="1" applyFont="1" applyFill="1" applyBorder="1" applyAlignment="1">
      <alignment horizontal="center" vertical="center"/>
    </xf>
    <xf numFmtId="0" fontId="47" fillId="2" borderId="17" xfId="2" applyFont="1" applyFill="1" applyBorder="1" applyAlignment="1">
      <alignment horizontal="center" vertical="center" wrapText="1"/>
    </xf>
    <xf numFmtId="0" fontId="47" fillId="2" borderId="23" xfId="2" applyFont="1" applyFill="1" applyBorder="1" applyAlignment="1">
      <alignment horizontal="center" vertical="center" wrapText="1"/>
    </xf>
    <xf numFmtId="169" fontId="46" fillId="2" borderId="17" xfId="1" applyNumberFormat="1" applyFont="1" applyFill="1" applyBorder="1" applyAlignment="1">
      <alignment horizontal="center" vertical="center"/>
    </xf>
    <xf numFmtId="169" fontId="46" fillId="2" borderId="23" xfId="1" applyNumberFormat="1" applyFont="1" applyFill="1" applyBorder="1" applyAlignment="1">
      <alignment horizontal="center" vertical="center"/>
    </xf>
    <xf numFmtId="169" fontId="46" fillId="2" borderId="20" xfId="1" applyNumberFormat="1" applyFont="1" applyFill="1" applyBorder="1" applyAlignment="1">
      <alignment horizontal="center" vertical="center"/>
    </xf>
    <xf numFmtId="0" fontId="2" fillId="0" borderId="7" xfId="1" applyBorder="1" applyAlignment="1" applyProtection="1">
      <alignment horizontal="center" vertical="center"/>
      <protection locked="0"/>
    </xf>
    <xf numFmtId="0" fontId="2" fillId="0" borderId="10" xfId="1" applyBorder="1" applyAlignment="1" applyProtection="1">
      <alignment horizontal="center" vertical="center"/>
      <protection locked="0"/>
    </xf>
    <xf numFmtId="0" fontId="2" fillId="0" borderId="2" xfId="1" applyBorder="1" applyAlignment="1" applyProtection="1">
      <alignment horizontal="center" vertical="center"/>
      <protection locked="0"/>
    </xf>
    <xf numFmtId="178" fontId="2" fillId="0" borderId="7" xfId="1" applyNumberFormat="1" applyBorder="1" applyAlignment="1" applyProtection="1">
      <alignment horizontal="center" vertical="center"/>
      <protection locked="0"/>
    </xf>
    <xf numFmtId="0" fontId="79" fillId="2" borderId="0" xfId="0" applyFont="1" applyFill="1" applyAlignment="1" applyProtection="1">
      <alignment horizontal="center"/>
      <protection locked="0"/>
    </xf>
    <xf numFmtId="0" fontId="47" fillId="2" borderId="17" xfId="2" applyFont="1" applyFill="1" applyBorder="1" applyAlignment="1" applyProtection="1">
      <alignment horizontal="center" vertical="center" wrapText="1"/>
      <protection locked="0"/>
    </xf>
    <xf numFmtId="0" fontId="47" fillId="2" borderId="19" xfId="2" applyFont="1" applyFill="1" applyBorder="1" applyAlignment="1" applyProtection="1">
      <alignment horizontal="center" vertical="center" wrapText="1"/>
      <protection locked="0"/>
    </xf>
    <xf numFmtId="0" fontId="47" fillId="2" borderId="20" xfId="2" applyFont="1" applyFill="1" applyBorder="1" applyAlignment="1" applyProtection="1">
      <alignment horizontal="center" vertical="center" wrapText="1"/>
      <protection locked="0"/>
    </xf>
    <xf numFmtId="0" fontId="47" fillId="2" borderId="21" xfId="2" applyFont="1" applyFill="1" applyBorder="1" applyAlignment="1" applyProtection="1">
      <alignment horizontal="center" vertical="center" wrapText="1"/>
      <protection locked="0"/>
    </xf>
    <xf numFmtId="0" fontId="47" fillId="2" borderId="17" xfId="0" applyFont="1" applyFill="1" applyBorder="1" applyAlignment="1" applyProtection="1">
      <alignment horizontal="center" vertical="center"/>
      <protection locked="0"/>
    </xf>
    <xf numFmtId="0" fontId="47" fillId="2" borderId="18" xfId="0" applyFont="1" applyFill="1" applyBorder="1" applyAlignment="1" applyProtection="1">
      <alignment horizontal="center" vertical="center"/>
      <protection locked="0"/>
    </xf>
    <xf numFmtId="0" fontId="47" fillId="2" borderId="19" xfId="0" applyFont="1" applyFill="1" applyBorder="1" applyAlignment="1" applyProtection="1">
      <alignment horizontal="center" vertical="center"/>
      <protection locked="0"/>
    </xf>
    <xf numFmtId="0" fontId="47" fillId="2" borderId="20" xfId="0" applyFont="1" applyFill="1" applyBorder="1" applyAlignment="1" applyProtection="1">
      <alignment horizontal="center" vertical="center"/>
      <protection locked="0"/>
    </xf>
    <xf numFmtId="0" fontId="47" fillId="2" borderId="1" xfId="0" applyFont="1" applyFill="1" applyBorder="1" applyAlignment="1" applyProtection="1">
      <alignment horizontal="center" vertical="center"/>
      <protection locked="0"/>
    </xf>
    <xf numFmtId="0" fontId="47" fillId="2" borderId="21" xfId="0" applyFont="1" applyFill="1" applyBorder="1" applyAlignment="1" applyProtection="1">
      <alignment horizontal="center" vertical="center"/>
      <protection locked="0"/>
    </xf>
    <xf numFmtId="0" fontId="46" fillId="2" borderId="4" xfId="0" applyFont="1" applyFill="1" applyBorder="1" applyAlignment="1" applyProtection="1">
      <alignment horizontal="center" vertical="center"/>
      <protection locked="0"/>
    </xf>
    <xf numFmtId="0" fontId="46" fillId="2" borderId="5" xfId="0" applyFont="1" applyFill="1" applyBorder="1" applyAlignment="1" applyProtection="1">
      <alignment horizontal="center" vertical="center"/>
      <protection locked="0"/>
    </xf>
    <xf numFmtId="0" fontId="46" fillId="2" borderId="6" xfId="0" applyFont="1" applyFill="1" applyBorder="1" applyAlignment="1" applyProtection="1">
      <alignment horizontal="center" vertical="center"/>
      <protection locked="0"/>
    </xf>
    <xf numFmtId="0" fontId="46" fillId="2" borderId="3" xfId="0" applyFont="1" applyFill="1" applyBorder="1" applyAlignment="1" applyProtection="1">
      <alignment horizontal="center" vertical="center" wrapText="1"/>
      <protection locked="0"/>
    </xf>
    <xf numFmtId="0" fontId="46" fillId="2" borderId="4" xfId="0" applyFont="1" applyFill="1" applyBorder="1" applyAlignment="1" applyProtection="1">
      <alignment horizontal="left" vertical="center"/>
      <protection locked="0"/>
    </xf>
    <xf numFmtId="0" fontId="46" fillId="2" borderId="5" xfId="0" applyFont="1" applyFill="1" applyBorder="1" applyAlignment="1" applyProtection="1">
      <alignment horizontal="left" vertical="center"/>
      <protection locked="0"/>
    </xf>
    <xf numFmtId="179" fontId="46" fillId="6" borderId="0" xfId="0" quotePrefix="1" applyNumberFormat="1" applyFont="1" applyFill="1" applyAlignment="1" applyProtection="1">
      <alignment horizontal="left"/>
      <protection locked="0"/>
    </xf>
    <xf numFmtId="0" fontId="37" fillId="2" borderId="7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3" xfId="0" applyFont="1" applyFill="1" applyBorder="1" applyAlignment="1">
      <alignment horizontal="center" vertical="center" wrapText="1"/>
    </xf>
    <xf numFmtId="0" fontId="46" fillId="6" borderId="0" xfId="0" applyFont="1" applyFill="1" applyAlignment="1" applyProtection="1">
      <alignment horizontal="left"/>
      <protection locked="0"/>
    </xf>
    <xf numFmtId="0" fontId="46" fillId="2" borderId="0" xfId="0" applyFont="1" applyFill="1" applyAlignment="1" applyProtection="1">
      <alignment horizontal="left" vertical="top" wrapText="1"/>
      <protection locked="0"/>
    </xf>
    <xf numFmtId="0" fontId="37" fillId="0" borderId="7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29" xfId="0" applyFont="1" applyBorder="1" applyAlignment="1" applyProtection="1">
      <alignment horizontal="left" vertical="center"/>
      <protection locked="0"/>
    </xf>
    <xf numFmtId="0" fontId="46" fillId="2" borderId="7" xfId="0" applyFont="1" applyFill="1" applyBorder="1" applyAlignment="1" applyProtection="1">
      <alignment horizontal="center" vertical="center" wrapText="1"/>
      <protection locked="0"/>
    </xf>
    <xf numFmtId="0" fontId="46" fillId="2" borderId="10" xfId="0" applyFont="1" applyFill="1" applyBorder="1" applyAlignment="1" applyProtection="1">
      <alignment horizontal="center" vertical="center" wrapText="1"/>
      <protection locked="0"/>
    </xf>
    <xf numFmtId="0" fontId="46" fillId="2" borderId="2" xfId="0" applyFont="1" applyFill="1" applyBorder="1" applyAlignment="1" applyProtection="1">
      <alignment horizontal="center" vertical="center" wrapText="1"/>
      <protection locked="0"/>
    </xf>
    <xf numFmtId="0" fontId="37" fillId="2" borderId="3" xfId="0" applyFont="1" applyFill="1" applyBorder="1" applyAlignment="1">
      <alignment horizontal="center" vertical="center"/>
    </xf>
    <xf numFmtId="0" fontId="37" fillId="2" borderId="7" xfId="0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center" vertical="center"/>
    </xf>
    <xf numFmtId="0" fontId="46" fillId="2" borderId="0" xfId="0" applyFont="1" applyFill="1" applyAlignment="1" applyProtection="1">
      <alignment horizontal="center"/>
      <protection locked="0"/>
    </xf>
    <xf numFmtId="0" fontId="74" fillId="2" borderId="0" xfId="0" applyFont="1" applyFill="1" applyAlignment="1" applyProtection="1">
      <alignment horizontal="center" vertical="center"/>
      <protection locked="0"/>
    </xf>
    <xf numFmtId="0" fontId="47" fillId="2" borderId="3" xfId="0" applyFont="1" applyFill="1" applyBorder="1" applyAlignment="1" applyProtection="1">
      <alignment horizontal="center" vertical="center"/>
      <protection locked="0"/>
    </xf>
    <xf numFmtId="0" fontId="37" fillId="2" borderId="10" xfId="0" applyFont="1" applyFill="1" applyBorder="1" applyAlignment="1">
      <alignment horizontal="center" vertical="center" wrapText="1"/>
    </xf>
    <xf numFmtId="0" fontId="37" fillId="2" borderId="4" xfId="0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center" vertical="center"/>
    </xf>
    <xf numFmtId="0" fontId="37" fillId="2" borderId="6" xfId="0" applyFont="1" applyFill="1" applyBorder="1" applyAlignment="1">
      <alignment horizontal="center" vertical="center"/>
    </xf>
    <xf numFmtId="0" fontId="37" fillId="2" borderId="19" xfId="0" applyFont="1" applyFill="1" applyBorder="1" applyAlignment="1">
      <alignment horizontal="center" vertical="center"/>
    </xf>
    <xf numFmtId="0" fontId="37" fillId="2" borderId="21" xfId="0" applyFont="1" applyFill="1" applyBorder="1" applyAlignment="1">
      <alignment horizontal="center" vertical="center"/>
    </xf>
    <xf numFmtId="0" fontId="37" fillId="2" borderId="17" xfId="0" applyFont="1" applyFill="1" applyBorder="1" applyAlignment="1">
      <alignment horizontal="center" vertical="center" wrapText="1"/>
    </xf>
    <xf numFmtId="0" fontId="37" fillId="2" borderId="20" xfId="0" applyFont="1" applyFill="1" applyBorder="1" applyAlignment="1">
      <alignment horizontal="center" vertical="center" wrapText="1"/>
    </xf>
    <xf numFmtId="0" fontId="47" fillId="2" borderId="19" xfId="2" applyFont="1" applyFill="1" applyBorder="1" applyAlignment="1">
      <alignment horizontal="center" vertical="center" wrapText="1"/>
    </xf>
    <xf numFmtId="0" fontId="47" fillId="2" borderId="53" xfId="2" applyFont="1" applyFill="1" applyBorder="1" applyAlignment="1">
      <alignment horizontal="center" vertical="center" wrapText="1"/>
    </xf>
    <xf numFmtId="0" fontId="47" fillId="2" borderId="4" xfId="1" applyFont="1" applyFill="1" applyBorder="1" applyAlignment="1">
      <alignment horizontal="center" vertical="center" wrapText="1"/>
    </xf>
    <xf numFmtId="0" fontId="47" fillId="2" borderId="6" xfId="1" applyFont="1" applyFill="1" applyBorder="1" applyAlignment="1">
      <alignment horizontal="center" vertical="center" wrapText="1"/>
    </xf>
    <xf numFmtId="0" fontId="47" fillId="0" borderId="17" xfId="1" applyFont="1" applyBorder="1" applyAlignment="1">
      <alignment horizontal="center" vertical="center" wrapText="1"/>
    </xf>
    <xf numFmtId="0" fontId="47" fillId="0" borderId="19" xfId="1" applyFont="1" applyBorder="1" applyAlignment="1">
      <alignment horizontal="center" vertical="center" wrapText="1"/>
    </xf>
    <xf numFmtId="0" fontId="47" fillId="0" borderId="20" xfId="1" applyFont="1" applyBorder="1" applyAlignment="1">
      <alignment horizontal="center" vertical="center" wrapText="1"/>
    </xf>
    <xf numFmtId="0" fontId="47" fillId="0" borderId="21" xfId="1" applyFont="1" applyBorder="1" applyAlignment="1">
      <alignment horizontal="center" vertical="center" wrapText="1"/>
    </xf>
    <xf numFmtId="0" fontId="47" fillId="2" borderId="0" xfId="1" applyFont="1" applyFill="1" applyAlignment="1">
      <alignment horizontal="center" vertical="center" wrapText="1"/>
    </xf>
    <xf numFmtId="1" fontId="46" fillId="2" borderId="17" xfId="1" applyNumberFormat="1" applyFont="1" applyFill="1" applyBorder="1" applyAlignment="1">
      <alignment horizontal="center" vertical="center"/>
    </xf>
    <xf numFmtId="1" fontId="46" fillId="2" borderId="23" xfId="1" applyNumberFormat="1" applyFont="1" applyFill="1" applyBorder="1" applyAlignment="1">
      <alignment horizontal="center" vertical="center"/>
    </xf>
    <xf numFmtId="1" fontId="46" fillId="2" borderId="20" xfId="1" applyNumberFormat="1" applyFont="1" applyFill="1" applyBorder="1" applyAlignment="1">
      <alignment horizontal="center" vertical="center"/>
    </xf>
    <xf numFmtId="0" fontId="47" fillId="2" borderId="17" xfId="1" applyFont="1" applyFill="1" applyBorder="1" applyAlignment="1">
      <alignment horizontal="center" vertical="center"/>
    </xf>
    <xf numFmtId="0" fontId="47" fillId="2" borderId="20" xfId="1" applyFont="1" applyFill="1" applyBorder="1" applyAlignment="1">
      <alignment horizontal="center" vertical="center"/>
    </xf>
    <xf numFmtId="0" fontId="61" fillId="0" borderId="0" xfId="5" applyFont="1" applyAlignment="1" applyProtection="1">
      <alignment horizontal="center" vertical="center"/>
      <protection locked="0"/>
    </xf>
    <xf numFmtId="0" fontId="35" fillId="0" borderId="0" xfId="5" applyFont="1" applyAlignment="1">
      <alignment horizontal="center"/>
    </xf>
    <xf numFmtId="0" fontId="23" fillId="0" borderId="0" xfId="5" applyFont="1" applyAlignment="1">
      <alignment horizontal="right" vertical="center"/>
    </xf>
    <xf numFmtId="0" fontId="35" fillId="0" borderId="4" xfId="5" applyFont="1" applyBorder="1" applyAlignment="1">
      <alignment horizontal="left" vertical="top" wrapText="1"/>
    </xf>
    <xf numFmtId="0" fontId="35" fillId="0" borderId="5" xfId="5" applyFont="1" applyBorder="1" applyAlignment="1">
      <alignment horizontal="left" vertical="top" wrapText="1"/>
    </xf>
    <xf numFmtId="0" fontId="35" fillId="0" borderId="0" xfId="5" applyFont="1" applyAlignment="1">
      <alignment horizontal="left" vertical="center" wrapText="1"/>
    </xf>
    <xf numFmtId="180" fontId="35" fillId="0" borderId="0" xfId="5" applyNumberFormat="1" applyFont="1" applyAlignment="1">
      <alignment horizontal="left" vertical="center" wrapText="1"/>
    </xf>
    <xf numFmtId="0" fontId="35" fillId="0" borderId="0" xfId="5" applyFont="1" applyAlignment="1" applyProtection="1">
      <alignment horizontal="left" vertical="top" wrapText="1"/>
      <protection locked="0"/>
    </xf>
    <xf numFmtId="0" fontId="35" fillId="0" borderId="0" xfId="5" applyFont="1" applyAlignment="1" applyProtection="1">
      <alignment horizontal="justify" vertical="top" wrapText="1"/>
      <protection locked="0"/>
    </xf>
    <xf numFmtId="0" fontId="35" fillId="0" borderId="0" xfId="5" applyFont="1" applyAlignment="1" applyProtection="1">
      <alignment horizontal="left" vertical="top" wrapText="1"/>
    </xf>
    <xf numFmtId="0" fontId="35" fillId="0" borderId="0" xfId="5" applyFont="1" applyAlignment="1" applyProtection="1">
      <alignment horizontal="left" vertical="center" wrapText="1"/>
    </xf>
    <xf numFmtId="0" fontId="12" fillId="0" borderId="0" xfId="5" applyFont="1" applyAlignment="1">
      <alignment horizontal="left" vertical="center" wrapText="1"/>
    </xf>
    <xf numFmtId="0" fontId="35" fillId="0" borderId="0" xfId="5" applyFont="1" applyAlignment="1">
      <alignment horizontal="left" vertical="top" wrapText="1"/>
    </xf>
    <xf numFmtId="0" fontId="35" fillId="0" borderId="0" xfId="5" applyFont="1" applyAlignment="1">
      <alignment horizontal="justify" vertical="center" wrapText="1"/>
    </xf>
    <xf numFmtId="179" fontId="35" fillId="0" borderId="0" xfId="5" applyNumberFormat="1" applyFont="1" applyAlignment="1">
      <alignment horizontal="left" vertical="top" wrapText="1"/>
    </xf>
    <xf numFmtId="0" fontId="2" fillId="0" borderId="0" xfId="6" applyAlignment="1">
      <alignment horizontal="left" vertical="center" wrapText="1"/>
    </xf>
    <xf numFmtId="0" fontId="68" fillId="3" borderId="40" xfId="6" applyFont="1" applyFill="1" applyBorder="1" applyAlignment="1">
      <alignment horizontal="center" vertical="center"/>
    </xf>
    <xf numFmtId="0" fontId="68" fillId="3" borderId="41" xfId="6" applyFont="1" applyFill="1" applyBorder="1" applyAlignment="1">
      <alignment horizontal="center" vertical="center"/>
    </xf>
    <xf numFmtId="0" fontId="68" fillId="3" borderId="42" xfId="6" applyFont="1" applyFill="1" applyBorder="1" applyAlignment="1">
      <alignment horizontal="center" vertical="center"/>
    </xf>
    <xf numFmtId="0" fontId="67" fillId="0" borderId="0" xfId="6" applyFont="1" applyAlignment="1">
      <alignment horizontal="center" wrapText="1"/>
    </xf>
    <xf numFmtId="0" fontId="2" fillId="0" borderId="0" xfId="6" applyAlignment="1">
      <alignment horizontal="center" vertical="center" wrapText="1"/>
    </xf>
    <xf numFmtId="0" fontId="2" fillId="0" borderId="0" xfId="6" applyAlignment="1">
      <alignment horizontal="center" vertical="center"/>
    </xf>
    <xf numFmtId="0" fontId="46" fillId="0" borderId="14" xfId="4" applyFont="1" applyBorder="1" applyAlignment="1" applyProtection="1">
      <alignment horizontal="center"/>
      <protection locked="0"/>
    </xf>
    <xf numFmtId="0" fontId="46" fillId="0" borderId="15" xfId="4" applyFont="1" applyBorder="1" applyAlignment="1" applyProtection="1">
      <alignment horizontal="center"/>
      <protection locked="0"/>
    </xf>
    <xf numFmtId="0" fontId="46" fillId="0" borderId="16" xfId="4" applyFont="1" applyBorder="1" applyAlignment="1" applyProtection="1">
      <alignment horizontal="center"/>
      <protection locked="0"/>
    </xf>
    <xf numFmtId="0" fontId="47" fillId="0" borderId="35" xfId="4" applyFont="1" applyBorder="1" applyAlignment="1" applyProtection="1">
      <alignment horizontal="center"/>
      <protection locked="0"/>
    </xf>
    <xf numFmtId="0" fontId="47" fillId="0" borderId="64" xfId="4" applyFont="1" applyBorder="1" applyAlignment="1" applyProtection="1">
      <alignment horizontal="center"/>
      <protection locked="0"/>
    </xf>
    <xf numFmtId="0" fontId="47" fillId="0" borderId="65" xfId="4" applyFont="1" applyBorder="1" applyAlignment="1" applyProtection="1">
      <alignment horizontal="center"/>
      <protection locked="0"/>
    </xf>
    <xf numFmtId="0" fontId="51" fillId="2" borderId="0" xfId="4" applyFont="1" applyFill="1" applyAlignment="1">
      <alignment horizontal="center" vertical="center" wrapText="1"/>
    </xf>
    <xf numFmtId="0" fontId="47" fillId="2" borderId="24" xfId="4" applyFont="1" applyFill="1" applyBorder="1" applyAlignment="1">
      <alignment horizontal="center" vertical="center" wrapText="1"/>
    </xf>
    <xf numFmtId="0" fontId="47" fillId="2" borderId="25" xfId="4" applyFont="1" applyFill="1" applyBorder="1" applyAlignment="1">
      <alignment horizontal="center" vertical="center" wrapText="1"/>
    </xf>
    <xf numFmtId="0" fontId="47" fillId="0" borderId="8" xfId="4" applyFont="1" applyBorder="1" applyAlignment="1">
      <alignment horizontal="center" vertical="center" wrapText="1"/>
    </xf>
    <xf numFmtId="0" fontId="47" fillId="0" borderId="3" xfId="4" applyFont="1" applyBorder="1" applyAlignment="1">
      <alignment horizontal="center" vertical="center" wrapText="1"/>
    </xf>
    <xf numFmtId="0" fontId="47" fillId="0" borderId="9" xfId="4" applyFont="1" applyBorder="1" applyAlignment="1">
      <alignment horizontal="center" vertical="center" wrapText="1"/>
    </xf>
    <xf numFmtId="0" fontId="80" fillId="2" borderId="25" xfId="4" applyFont="1" applyFill="1" applyBorder="1" applyAlignment="1">
      <alignment horizontal="left" vertical="center" wrapText="1"/>
    </xf>
    <xf numFmtId="0" fontId="80" fillId="2" borderId="26" xfId="4" applyFont="1" applyFill="1" applyBorder="1" applyAlignment="1">
      <alignment horizontal="left" vertical="center" wrapText="1"/>
    </xf>
    <xf numFmtId="0" fontId="47" fillId="0" borderId="24" xfId="4" applyFont="1" applyBorder="1" applyAlignment="1">
      <alignment horizontal="center" vertical="center"/>
    </xf>
    <xf numFmtId="0" fontId="47" fillId="0" borderId="25" xfId="4" applyFont="1" applyBorder="1" applyAlignment="1">
      <alignment horizontal="center" vertical="center"/>
    </xf>
    <xf numFmtId="0" fontId="47" fillId="0" borderId="26" xfId="4" applyFont="1" applyBorder="1" applyAlignment="1">
      <alignment horizontal="center" vertical="center"/>
    </xf>
    <xf numFmtId="0" fontId="47" fillId="2" borderId="8" xfId="4" applyFont="1" applyFill="1" applyBorder="1" applyAlignment="1">
      <alignment horizontal="center" vertical="center" wrapText="1"/>
    </xf>
    <xf numFmtId="0" fontId="47" fillId="2" borderId="61" xfId="4" applyFont="1" applyFill="1" applyBorder="1" applyAlignment="1">
      <alignment horizontal="center" vertical="center" wrapText="1"/>
    </xf>
    <xf numFmtId="0" fontId="47" fillId="2" borderId="43" xfId="4" applyFont="1" applyFill="1" applyBorder="1" applyAlignment="1">
      <alignment horizontal="center" vertical="center" wrapText="1"/>
    </xf>
    <xf numFmtId="0" fontId="47" fillId="2" borderId="4" xfId="4" applyFont="1" applyFill="1" applyBorder="1" applyAlignment="1">
      <alignment horizontal="center" vertical="center" wrapText="1"/>
    </xf>
    <xf numFmtId="0" fontId="47" fillId="2" borderId="17" xfId="4" applyFont="1" applyFill="1" applyBorder="1" applyAlignment="1">
      <alignment horizontal="center" vertical="center" wrapText="1"/>
    </xf>
    <xf numFmtId="0" fontId="47" fillId="2" borderId="33" xfId="4" applyFont="1" applyFill="1" applyBorder="1" applyAlignment="1">
      <alignment horizontal="center" vertical="center" wrapText="1"/>
    </xf>
    <xf numFmtId="0" fontId="47" fillId="2" borderId="44" xfId="4" applyFont="1" applyFill="1" applyBorder="1" applyAlignment="1">
      <alignment horizontal="center" vertical="center" wrapText="1"/>
    </xf>
    <xf numFmtId="0" fontId="47" fillId="2" borderId="7" xfId="4" applyFont="1" applyFill="1" applyBorder="1" applyAlignment="1">
      <alignment horizontal="center" vertical="center" wrapText="1"/>
    </xf>
    <xf numFmtId="0" fontId="47" fillId="2" borderId="50" xfId="4" applyFont="1" applyFill="1" applyBorder="1" applyAlignment="1">
      <alignment horizontal="center" vertical="center" wrapText="1"/>
    </xf>
    <xf numFmtId="0" fontId="47" fillId="2" borderId="24" xfId="4" applyFont="1" applyFill="1" applyBorder="1" applyAlignment="1">
      <alignment horizontal="center" vertical="center"/>
    </xf>
    <xf numFmtId="0" fontId="47" fillId="2" borderId="25" xfId="4" applyFont="1" applyFill="1" applyBorder="1" applyAlignment="1">
      <alignment horizontal="center" vertical="center"/>
    </xf>
    <xf numFmtId="0" fontId="47" fillId="2" borderId="63" xfId="4" applyFont="1" applyFill="1" applyBorder="1" applyAlignment="1">
      <alignment horizontal="center" vertical="center"/>
    </xf>
    <xf numFmtId="0" fontId="47" fillId="2" borderId="2" xfId="4" applyFont="1" applyFill="1" applyBorder="1" applyAlignment="1">
      <alignment horizontal="center" vertical="center"/>
    </xf>
    <xf numFmtId="0" fontId="47" fillId="2" borderId="33" xfId="4" applyFont="1" applyFill="1" applyBorder="1" applyAlignment="1">
      <alignment horizontal="center" vertical="center"/>
    </xf>
    <xf numFmtId="0" fontId="47" fillId="2" borderId="45" xfId="4" applyFont="1" applyFill="1" applyBorder="1" applyAlignment="1">
      <alignment horizontal="center" vertical="center"/>
    </xf>
    <xf numFmtId="0" fontId="46" fillId="12" borderId="3" xfId="4" applyFont="1" applyFill="1" applyBorder="1" applyAlignment="1">
      <alignment horizontal="center" vertical="center" wrapText="1"/>
    </xf>
    <xf numFmtId="0" fontId="80" fillId="12" borderId="3" xfId="4" applyFont="1" applyFill="1" applyBorder="1" applyAlignment="1">
      <alignment horizontal="center" vertical="center" wrapText="1"/>
    </xf>
    <xf numFmtId="0" fontId="47" fillId="12" borderId="3" xfId="4" applyFont="1" applyFill="1" applyBorder="1" applyAlignment="1">
      <alignment horizontal="center" vertical="center"/>
    </xf>
    <xf numFmtId="0" fontId="47" fillId="2" borderId="3" xfId="4" applyFont="1" applyFill="1" applyBorder="1" applyAlignment="1">
      <alignment horizontal="center" vertical="center" wrapText="1"/>
    </xf>
    <xf numFmtId="0" fontId="46" fillId="12" borderId="3" xfId="4" applyFont="1" applyFill="1" applyBorder="1" applyAlignment="1">
      <alignment horizontal="center" vertical="center"/>
    </xf>
    <xf numFmtId="0" fontId="47" fillId="12" borderId="3" xfId="4" applyFont="1" applyFill="1" applyBorder="1" applyAlignment="1">
      <alignment horizontal="center"/>
    </xf>
    <xf numFmtId="0" fontId="47" fillId="2" borderId="3" xfId="4" applyFont="1" applyFill="1" applyBorder="1" applyAlignment="1">
      <alignment horizontal="center" vertical="center"/>
    </xf>
    <xf numFmtId="0" fontId="47" fillId="12" borderId="3" xfId="4" applyFont="1" applyFill="1" applyBorder="1" applyAlignment="1" applyProtection="1">
      <alignment horizontal="center" vertical="center" wrapText="1"/>
      <protection locked="0"/>
    </xf>
    <xf numFmtId="0" fontId="47" fillId="12" borderId="3" xfId="4" applyFont="1" applyFill="1" applyBorder="1" applyAlignment="1" applyProtection="1">
      <alignment horizontal="center" vertical="center"/>
      <protection locked="0"/>
    </xf>
    <xf numFmtId="0" fontId="47" fillId="9" borderId="40" xfId="4" applyFont="1" applyFill="1" applyBorder="1" applyAlignment="1" applyProtection="1">
      <alignment horizontal="center" vertical="center" wrapText="1"/>
      <protection locked="0"/>
    </xf>
    <xf numFmtId="0" fontId="47" fillId="9" borderId="41" xfId="4" applyFont="1" applyFill="1" applyBorder="1" applyAlignment="1" applyProtection="1">
      <alignment horizontal="center" vertical="center" wrapText="1"/>
      <protection locked="0"/>
    </xf>
    <xf numFmtId="0" fontId="80" fillId="12" borderId="3" xfId="4" applyFont="1" applyFill="1" applyBorder="1" applyAlignment="1" applyProtection="1">
      <alignment horizontal="center" vertical="center"/>
      <protection locked="0"/>
    </xf>
    <xf numFmtId="0" fontId="47" fillId="12" borderId="3" xfId="4" applyFont="1" applyFill="1" applyBorder="1" applyAlignment="1" applyProtection="1">
      <alignment horizontal="center"/>
      <protection locked="0"/>
    </xf>
    <xf numFmtId="0" fontId="79" fillId="9" borderId="28" xfId="4" applyFont="1" applyFill="1" applyBorder="1" applyAlignment="1">
      <alignment horizontal="center" vertical="center"/>
    </xf>
    <xf numFmtId="0" fontId="79" fillId="9" borderId="29" xfId="4" applyFont="1" applyFill="1" applyBorder="1" applyAlignment="1">
      <alignment horizontal="center" vertical="center"/>
    </xf>
    <xf numFmtId="0" fontId="79" fillId="9" borderId="30" xfId="4" applyFont="1" applyFill="1" applyBorder="1" applyAlignment="1">
      <alignment horizontal="center" vertical="center"/>
    </xf>
    <xf numFmtId="0" fontId="47" fillId="2" borderId="40" xfId="1" applyFont="1" applyFill="1" applyBorder="1" applyAlignment="1">
      <alignment horizontal="center" vertical="center"/>
    </xf>
    <xf numFmtId="0" fontId="47" fillId="2" borderId="41" xfId="1" applyFont="1" applyFill="1" applyBorder="1" applyAlignment="1">
      <alignment horizontal="center" vertical="center"/>
    </xf>
    <xf numFmtId="0" fontId="47" fillId="2" borderId="42" xfId="1" applyFont="1" applyFill="1" applyBorder="1" applyAlignment="1">
      <alignment horizontal="center" vertical="center"/>
    </xf>
    <xf numFmtId="1" fontId="47" fillId="11" borderId="11" xfId="1" applyNumberFormat="1" applyFont="1" applyFill="1" applyBorder="1" applyAlignment="1" applyProtection="1">
      <alignment horizontal="center" vertical="center"/>
      <protection locked="0"/>
    </xf>
    <xf numFmtId="1" fontId="47" fillId="11" borderId="12" xfId="1" applyNumberFormat="1" applyFont="1" applyFill="1" applyBorder="1" applyAlignment="1" applyProtection="1">
      <alignment horizontal="center" vertical="center"/>
      <protection locked="0"/>
    </xf>
    <xf numFmtId="1" fontId="47" fillId="11" borderId="57" xfId="1" applyNumberFormat="1" applyFont="1" applyFill="1" applyBorder="1" applyAlignment="1" applyProtection="1">
      <alignment horizontal="center" vertical="center"/>
      <protection locked="0"/>
    </xf>
    <xf numFmtId="1" fontId="47" fillId="11" borderId="13" xfId="1" applyNumberFormat="1" applyFont="1" applyFill="1" applyBorder="1" applyAlignment="1" applyProtection="1">
      <alignment horizontal="center" vertical="center"/>
      <protection locked="0"/>
    </xf>
    <xf numFmtId="0" fontId="82" fillId="2" borderId="3" xfId="1" applyFont="1" applyFill="1" applyBorder="1" applyAlignment="1">
      <alignment horizontal="center" vertical="center"/>
    </xf>
    <xf numFmtId="0" fontId="82" fillId="2" borderId="9" xfId="1" applyFont="1" applyFill="1" applyBorder="1" applyAlignment="1">
      <alignment horizontal="center" vertical="center"/>
    </xf>
    <xf numFmtId="0" fontId="47" fillId="2" borderId="61" xfId="1" applyFont="1" applyFill="1" applyBorder="1" applyAlignment="1">
      <alignment horizontal="center" vertical="center" wrapText="1"/>
    </xf>
    <xf numFmtId="0" fontId="47" fillId="2" borderId="48" xfId="1" applyFont="1" applyFill="1" applyBorder="1" applyAlignment="1">
      <alignment horizontal="center" vertical="center" wrapText="1"/>
    </xf>
    <xf numFmtId="0" fontId="47" fillId="2" borderId="52" xfId="1" applyFont="1" applyFill="1" applyBorder="1" applyAlignment="1">
      <alignment horizontal="center" vertical="center" wrapText="1"/>
    </xf>
    <xf numFmtId="0" fontId="47" fillId="2" borderId="9" xfId="1" applyFont="1" applyFill="1" applyBorder="1" applyAlignment="1">
      <alignment horizontal="center" vertical="center" wrapText="1"/>
    </xf>
    <xf numFmtId="0" fontId="46" fillId="11" borderId="8" xfId="1" applyFont="1" applyFill="1" applyBorder="1" applyAlignment="1">
      <alignment horizontal="center" vertical="center"/>
    </xf>
    <xf numFmtId="0" fontId="46" fillId="11" borderId="3" xfId="1" applyFont="1" applyFill="1" applyBorder="1" applyAlignment="1">
      <alignment horizontal="center" vertical="center"/>
    </xf>
    <xf numFmtId="0" fontId="47" fillId="2" borderId="25" xfId="1" applyFont="1" applyFill="1" applyBorder="1" applyAlignment="1">
      <alignment horizontal="left" vertical="center" wrapText="1"/>
    </xf>
    <xf numFmtId="0" fontId="47" fillId="2" borderId="26" xfId="1" applyFont="1" applyFill="1" applyBorder="1" applyAlignment="1">
      <alignment horizontal="left" vertical="center" wrapText="1"/>
    </xf>
    <xf numFmtId="0" fontId="47" fillId="2" borderId="43" xfId="1" applyFont="1" applyFill="1" applyBorder="1" applyAlignment="1">
      <alignment horizontal="left" vertical="center" wrapText="1"/>
    </xf>
    <xf numFmtId="0" fontId="47" fillId="2" borderId="15" xfId="1" applyFont="1" applyFill="1" applyBorder="1" applyAlignment="1">
      <alignment horizontal="left" vertical="center" wrapText="1"/>
    </xf>
    <xf numFmtId="0" fontId="47" fillId="2" borderId="16" xfId="1" applyFont="1" applyFill="1" applyBorder="1" applyAlignment="1">
      <alignment horizontal="left" vertical="center" wrapText="1"/>
    </xf>
    <xf numFmtId="1" fontId="46" fillId="3" borderId="4" xfId="1" applyNumberFormat="1" applyFont="1" applyFill="1" applyBorder="1" applyAlignment="1">
      <alignment horizontal="center" vertical="center"/>
    </xf>
    <xf numFmtId="1" fontId="46" fillId="3" borderId="62" xfId="1" applyNumberFormat="1" applyFont="1" applyFill="1" applyBorder="1" applyAlignment="1">
      <alignment horizontal="center" vertical="center"/>
    </xf>
    <xf numFmtId="0" fontId="46" fillId="3" borderId="4" xfId="1" applyFont="1" applyFill="1" applyBorder="1" applyAlignment="1">
      <alignment horizontal="center" vertical="center"/>
    </xf>
    <xf numFmtId="0" fontId="46" fillId="3" borderId="62" xfId="1" applyFont="1" applyFill="1" applyBorder="1" applyAlignment="1">
      <alignment horizontal="center" vertical="center"/>
    </xf>
    <xf numFmtId="0" fontId="47" fillId="11" borderId="24" xfId="1" applyFont="1" applyFill="1" applyBorder="1" applyAlignment="1">
      <alignment horizontal="center" vertical="center"/>
    </xf>
    <xf numFmtId="0" fontId="47" fillId="11" borderId="8" xfId="1" applyFont="1" applyFill="1" applyBorder="1" applyAlignment="1">
      <alignment horizontal="center" vertical="center"/>
    </xf>
    <xf numFmtId="0" fontId="47" fillId="11" borderId="25" xfId="1" applyFont="1" applyFill="1" applyBorder="1" applyAlignment="1">
      <alignment horizontal="center" vertical="center" wrapText="1"/>
    </xf>
    <xf numFmtId="0" fontId="47" fillId="11" borderId="3" xfId="1" applyFont="1" applyFill="1" applyBorder="1" applyAlignment="1">
      <alignment horizontal="center" vertical="center" wrapText="1"/>
    </xf>
    <xf numFmtId="0" fontId="47" fillId="11" borderId="25" xfId="1" applyFont="1" applyFill="1" applyBorder="1" applyAlignment="1">
      <alignment horizontal="center" vertical="center"/>
    </xf>
    <xf numFmtId="0" fontId="47" fillId="11" borderId="3" xfId="1" applyFont="1" applyFill="1" applyBorder="1" applyAlignment="1">
      <alignment horizontal="center" vertical="center"/>
    </xf>
    <xf numFmtId="1" fontId="46" fillId="3" borderId="25" xfId="1" applyNumberFormat="1" applyFont="1" applyFill="1" applyBorder="1" applyAlignment="1">
      <alignment horizontal="center" vertical="center"/>
    </xf>
    <xf numFmtId="1" fontId="46" fillId="3" borderId="26" xfId="1" applyNumberFormat="1" applyFont="1" applyFill="1" applyBorder="1" applyAlignment="1">
      <alignment horizontal="center" vertical="center"/>
    </xf>
    <xf numFmtId="0" fontId="82" fillId="11" borderId="3" xfId="1" applyFont="1" applyFill="1" applyBorder="1" applyAlignment="1">
      <alignment horizontal="center" vertical="center"/>
    </xf>
    <xf numFmtId="0" fontId="46" fillId="3" borderId="3" xfId="1" applyFont="1" applyFill="1" applyBorder="1" applyAlignment="1">
      <alignment horizontal="center" vertical="center"/>
    </xf>
    <xf numFmtId="0" fontId="46" fillId="3" borderId="9" xfId="1" applyFont="1" applyFill="1" applyBorder="1" applyAlignment="1">
      <alignment horizontal="center" vertical="center"/>
    </xf>
    <xf numFmtId="1" fontId="47" fillId="15" borderId="28" xfId="1" applyNumberFormat="1" applyFont="1" applyFill="1" applyBorder="1" applyAlignment="1" applyProtection="1">
      <alignment horizontal="center" vertical="center"/>
      <protection locked="0"/>
    </xf>
    <xf numFmtId="1" fontId="47" fillId="15" borderId="30" xfId="1" applyNumberFormat="1" applyFont="1" applyFill="1" applyBorder="1" applyAlignment="1" applyProtection="1">
      <alignment horizontal="center" vertical="center"/>
      <protection locked="0"/>
    </xf>
    <xf numFmtId="0" fontId="82" fillId="15" borderId="40" xfId="1" applyFont="1" applyFill="1" applyBorder="1" applyAlignment="1" applyProtection="1">
      <alignment horizontal="center" vertical="center"/>
      <protection locked="0"/>
    </xf>
    <xf numFmtId="0" fontId="82" fillId="15" borderId="55" xfId="1" applyFont="1" applyFill="1" applyBorder="1" applyAlignment="1" applyProtection="1">
      <alignment horizontal="center" vertical="center"/>
      <protection locked="0"/>
    </xf>
    <xf numFmtId="0" fontId="82" fillId="15" borderId="56" xfId="1" applyFont="1" applyFill="1" applyBorder="1" applyAlignment="1" applyProtection="1">
      <alignment horizontal="center" vertical="center"/>
      <protection locked="0"/>
    </xf>
    <xf numFmtId="0" fontId="82" fillId="15" borderId="41" xfId="1" applyFont="1" applyFill="1" applyBorder="1" applyAlignment="1" applyProtection="1">
      <alignment horizontal="center" vertical="center"/>
      <protection locked="0"/>
    </xf>
    <xf numFmtId="0" fontId="82" fillId="15" borderId="36" xfId="1" applyFont="1" applyFill="1" applyBorder="1" applyAlignment="1" applyProtection="1">
      <alignment horizontal="center" vertical="center"/>
      <protection locked="0"/>
    </xf>
    <xf numFmtId="0" fontId="82" fillId="15" borderId="59" xfId="1" applyFont="1" applyFill="1" applyBorder="1" applyAlignment="1" applyProtection="1">
      <alignment horizontal="center" vertical="center"/>
      <protection locked="0"/>
    </xf>
    <xf numFmtId="0" fontId="47" fillId="15" borderId="37" xfId="1" applyFont="1" applyFill="1" applyBorder="1" applyAlignment="1" applyProtection="1">
      <alignment horizontal="center" vertical="center"/>
      <protection locked="0"/>
    </xf>
    <xf numFmtId="0" fontId="82" fillId="15" borderId="60" xfId="1" applyFont="1" applyFill="1" applyBorder="1" applyAlignment="1" applyProtection="1">
      <alignment horizontal="center" vertical="center"/>
      <protection locked="0"/>
    </xf>
    <xf numFmtId="0" fontId="46" fillId="0" borderId="36" xfId="1" applyFont="1" applyBorder="1" applyAlignment="1" applyProtection="1">
      <alignment horizontal="center" vertical="center"/>
      <protection locked="0"/>
    </xf>
    <xf numFmtId="0" fontId="46" fillId="0" borderId="54" xfId="1" applyFont="1" applyBorder="1" applyAlignment="1" applyProtection="1">
      <alignment horizontal="center" vertical="center"/>
      <protection locked="0"/>
    </xf>
    <xf numFmtId="0" fontId="46" fillId="0" borderId="59" xfId="1" applyFont="1" applyBorder="1" applyAlignment="1" applyProtection="1">
      <alignment horizontal="center" vertical="center"/>
      <protection locked="0"/>
    </xf>
    <xf numFmtId="0" fontId="47" fillId="15" borderId="28" xfId="1" applyFont="1" applyFill="1" applyBorder="1" applyAlignment="1" applyProtection="1">
      <alignment horizontal="center" vertical="center"/>
      <protection locked="0"/>
    </xf>
    <xf numFmtId="0" fontId="47" fillId="15" borderId="29" xfId="1" applyFont="1" applyFill="1" applyBorder="1" applyAlignment="1" applyProtection="1">
      <alignment horizontal="center" vertical="center"/>
      <protection locked="0"/>
    </xf>
    <xf numFmtId="0" fontId="47" fillId="15" borderId="30" xfId="1" applyFont="1" applyFill="1" applyBorder="1" applyAlignment="1" applyProtection="1">
      <alignment horizontal="center" vertical="center"/>
      <protection locked="0"/>
    </xf>
    <xf numFmtId="0" fontId="47" fillId="15" borderId="40" xfId="1" applyFont="1" applyFill="1" applyBorder="1" applyAlignment="1" applyProtection="1">
      <alignment horizontal="center" vertical="center"/>
      <protection locked="0"/>
    </xf>
    <xf numFmtId="0" fontId="47" fillId="15" borderId="41" xfId="1" applyFont="1" applyFill="1" applyBorder="1" applyAlignment="1" applyProtection="1">
      <alignment horizontal="center" vertical="center"/>
      <protection locked="0"/>
    </xf>
    <xf numFmtId="0" fontId="47" fillId="15" borderId="42" xfId="1" applyFont="1" applyFill="1" applyBorder="1" applyAlignment="1" applyProtection="1">
      <alignment horizontal="center" vertical="center"/>
      <protection locked="0"/>
    </xf>
    <xf numFmtId="0" fontId="82" fillId="15" borderId="3" xfId="1" applyFont="1" applyFill="1" applyBorder="1" applyAlignment="1" applyProtection="1">
      <alignment horizontal="center" vertical="center"/>
      <protection locked="0"/>
    </xf>
    <xf numFmtId="0" fontId="47" fillId="15" borderId="3" xfId="1" applyFont="1" applyFill="1" applyBorder="1" applyAlignment="1" applyProtection="1">
      <alignment horizontal="center" vertical="center"/>
      <protection locked="0"/>
    </xf>
    <xf numFmtId="0" fontId="46" fillId="0" borderId="28" xfId="1" applyFont="1" applyBorder="1" applyAlignment="1" applyProtection="1">
      <alignment horizontal="center" vertical="center"/>
      <protection locked="0"/>
    </xf>
    <xf numFmtId="0" fontId="46" fillId="0" borderId="31" xfId="1" applyFont="1" applyBorder="1" applyAlignment="1" applyProtection="1">
      <alignment horizontal="center" vertical="center"/>
      <protection locked="0"/>
    </xf>
    <xf numFmtId="0" fontId="46" fillId="0" borderId="37" xfId="1" applyFont="1" applyBorder="1" applyAlignment="1" applyProtection="1">
      <alignment horizontal="center" vertical="center"/>
      <protection locked="0"/>
    </xf>
    <xf numFmtId="1" fontId="47" fillId="15" borderId="3" xfId="1" applyNumberFormat="1" applyFont="1" applyFill="1" applyBorder="1" applyAlignment="1" applyProtection="1">
      <alignment horizontal="center" vertical="center"/>
      <protection locked="0"/>
    </xf>
    <xf numFmtId="0" fontId="47" fillId="9" borderId="40" xfId="1" applyFont="1" applyFill="1" applyBorder="1" applyAlignment="1" applyProtection="1">
      <alignment horizontal="center" vertical="center"/>
      <protection locked="0"/>
    </xf>
    <xf numFmtId="0" fontId="47" fillId="9" borderId="29" xfId="1" applyFont="1" applyFill="1" applyBorder="1" applyAlignment="1" applyProtection="1">
      <alignment horizontal="center" vertical="center"/>
      <protection locked="0"/>
    </xf>
    <xf numFmtId="0" fontId="47" fillId="9" borderId="41" xfId="1" applyFont="1" applyFill="1" applyBorder="1" applyAlignment="1" applyProtection="1">
      <alignment horizontal="center" vertical="center"/>
      <protection locked="0"/>
    </xf>
    <xf numFmtId="0" fontId="47" fillId="9" borderId="30" xfId="1" applyFont="1" applyFill="1" applyBorder="1" applyAlignment="1" applyProtection="1">
      <alignment horizontal="center" vertical="center"/>
      <protection locked="0"/>
    </xf>
    <xf numFmtId="173" fontId="46" fillId="0" borderId="3" xfId="0" applyNumberFormat="1" applyFont="1" applyBorder="1" applyAlignment="1">
      <alignment horizontal="center"/>
    </xf>
    <xf numFmtId="173" fontId="46" fillId="0" borderId="4" xfId="0" applyNumberFormat="1" applyFont="1" applyBorder="1" applyAlignment="1">
      <alignment horizontal="center"/>
    </xf>
    <xf numFmtId="173" fontId="46" fillId="0" borderId="5" xfId="0" applyNumberFormat="1" applyFont="1" applyBorder="1" applyAlignment="1">
      <alignment horizontal="center"/>
    </xf>
    <xf numFmtId="173" fontId="46" fillId="0" borderId="6" xfId="0" applyNumberFormat="1" applyFont="1" applyBorder="1" applyAlignment="1">
      <alignment horizontal="center"/>
    </xf>
    <xf numFmtId="173" fontId="46" fillId="0" borderId="7" xfId="0" applyNumberFormat="1" applyFont="1" applyBorder="1" applyAlignment="1">
      <alignment horizontal="center" vertical="center"/>
    </xf>
    <xf numFmtId="173" fontId="46" fillId="0" borderId="2" xfId="0" applyNumberFormat="1" applyFont="1" applyBorder="1" applyAlignment="1">
      <alignment horizontal="center" vertical="center"/>
    </xf>
    <xf numFmtId="173" fontId="46" fillId="0" borderId="4" xfId="0" applyNumberFormat="1" applyFont="1" applyBorder="1" applyAlignment="1">
      <alignment horizontal="center" vertical="center" wrapText="1"/>
    </xf>
    <xf numFmtId="173" fontId="46" fillId="0" borderId="5" xfId="0" applyNumberFormat="1" applyFont="1" applyBorder="1" applyAlignment="1">
      <alignment horizontal="center" vertical="center" wrapText="1"/>
    </xf>
    <xf numFmtId="173" fontId="46" fillId="0" borderId="6" xfId="0" applyNumberFormat="1" applyFont="1" applyBorder="1" applyAlignment="1">
      <alignment horizontal="center" vertical="center" wrapText="1"/>
    </xf>
    <xf numFmtId="173" fontId="46" fillId="0" borderId="4" xfId="0" applyNumberFormat="1" applyFont="1" applyBorder="1" applyAlignment="1">
      <alignment horizontal="center" vertical="center"/>
    </xf>
    <xf numFmtId="173" fontId="46" fillId="0" borderId="5" xfId="0" applyNumberFormat="1" applyFont="1" applyBorder="1" applyAlignment="1">
      <alignment horizontal="center" vertical="center"/>
    </xf>
    <xf numFmtId="173" fontId="46" fillId="0" borderId="6" xfId="0" applyNumberFormat="1" applyFont="1" applyBorder="1" applyAlignment="1">
      <alignment horizontal="center" vertical="center"/>
    </xf>
    <xf numFmtId="173" fontId="46" fillId="10" borderId="32" xfId="0" applyNumberFormat="1" applyFont="1" applyFill="1" applyBorder="1" applyAlignment="1">
      <alignment horizontal="center" vertical="center"/>
    </xf>
    <xf numFmtId="173" fontId="46" fillId="10" borderId="48" xfId="0" applyNumberFormat="1" applyFont="1" applyFill="1" applyBorder="1" applyAlignment="1">
      <alignment horizontal="center" vertical="center"/>
    </xf>
    <xf numFmtId="173" fontId="46" fillId="10" borderId="49" xfId="0" applyNumberFormat="1" applyFont="1" applyFill="1" applyBorder="1" applyAlignment="1">
      <alignment horizontal="center" vertical="center"/>
    </xf>
    <xf numFmtId="173" fontId="59" fillId="10" borderId="25" xfId="1" applyNumberFormat="1" applyFont="1" applyFill="1" applyBorder="1" applyAlignment="1">
      <alignment horizontal="center" vertical="center" wrapText="1"/>
    </xf>
    <xf numFmtId="173" fontId="59" fillId="10" borderId="3" xfId="1" applyNumberFormat="1" applyFont="1" applyFill="1" applyBorder="1" applyAlignment="1">
      <alignment horizontal="center" vertical="center" wrapText="1"/>
    </xf>
    <xf numFmtId="173" fontId="46" fillId="10" borderId="25" xfId="1" applyNumberFormat="1" applyFont="1" applyFill="1" applyBorder="1" applyAlignment="1">
      <alignment horizontal="center"/>
    </xf>
    <xf numFmtId="173" fontId="46" fillId="10" borderId="26" xfId="1" applyNumberFormat="1" applyFont="1" applyFill="1" applyBorder="1" applyAlignment="1">
      <alignment horizontal="center"/>
    </xf>
    <xf numFmtId="173" fontId="46" fillId="10" borderId="3" xfId="1" applyNumberFormat="1" applyFont="1" applyFill="1" applyBorder="1" applyAlignment="1">
      <alignment horizontal="center" vertical="center"/>
    </xf>
    <xf numFmtId="173" fontId="46" fillId="10" borderId="7" xfId="1" applyNumberFormat="1" applyFont="1" applyFill="1" applyBorder="1" applyAlignment="1">
      <alignment horizontal="center" vertical="center"/>
    </xf>
    <xf numFmtId="173" fontId="46" fillId="10" borderId="2" xfId="1" applyNumberFormat="1" applyFont="1" applyFill="1" applyBorder="1" applyAlignment="1">
      <alignment horizontal="center" vertical="center"/>
    </xf>
    <xf numFmtId="173" fontId="46" fillId="10" borderId="50" xfId="1" applyNumberFormat="1" applyFont="1" applyFill="1" applyBorder="1" applyAlignment="1">
      <alignment horizontal="center" vertical="center"/>
    </xf>
    <xf numFmtId="173" fontId="46" fillId="10" borderId="45" xfId="1" applyNumberFormat="1" applyFont="1" applyFill="1" applyBorder="1" applyAlignment="1">
      <alignment horizontal="center" vertical="center"/>
    </xf>
    <xf numFmtId="166" fontId="46" fillId="10" borderId="32" xfId="0" applyNumberFormat="1" applyFont="1" applyFill="1" applyBorder="1" applyAlignment="1">
      <alignment horizontal="center" vertical="center"/>
    </xf>
    <xf numFmtId="166" fontId="46" fillId="10" borderId="48" xfId="0" applyNumberFormat="1" applyFont="1" applyFill="1" applyBorder="1" applyAlignment="1">
      <alignment horizontal="center" vertical="center"/>
    </xf>
    <xf numFmtId="166" fontId="46" fillId="10" borderId="49" xfId="0" applyNumberFormat="1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 wrapText="1"/>
    </xf>
    <xf numFmtId="166" fontId="46" fillId="0" borderId="5" xfId="0" applyNumberFormat="1" applyFont="1" applyBorder="1" applyAlignment="1">
      <alignment horizontal="center" vertical="center" wrapText="1"/>
    </xf>
    <xf numFmtId="166" fontId="46" fillId="0" borderId="6" xfId="0" applyNumberFormat="1" applyFont="1" applyBorder="1" applyAlignment="1">
      <alignment horizontal="center" vertical="center" wrapText="1"/>
    </xf>
    <xf numFmtId="166" fontId="46" fillId="0" borderId="3" xfId="0" applyNumberFormat="1" applyFont="1" applyBorder="1" applyAlignment="1">
      <alignment horizontal="center"/>
    </xf>
    <xf numFmtId="166" fontId="46" fillId="0" borderId="4" xfId="0" applyNumberFormat="1" applyFont="1" applyBorder="1" applyAlignment="1">
      <alignment horizontal="center"/>
    </xf>
    <xf numFmtId="166" fontId="46" fillId="0" borderId="5" xfId="0" applyNumberFormat="1" applyFont="1" applyBorder="1" applyAlignment="1">
      <alignment horizontal="center"/>
    </xf>
    <xf numFmtId="166" fontId="46" fillId="0" borderId="6" xfId="0" applyNumberFormat="1" applyFont="1" applyBorder="1" applyAlignment="1">
      <alignment horizontal="center"/>
    </xf>
    <xf numFmtId="166" fontId="46" fillId="0" borderId="7" xfId="0" applyNumberFormat="1" applyFont="1" applyBorder="1" applyAlignment="1">
      <alignment horizontal="center" vertical="center"/>
    </xf>
    <xf numFmtId="166" fontId="46" fillId="0" borderId="2" xfId="0" applyNumberFormat="1" applyFont="1" applyBorder="1" applyAlignment="1">
      <alignment horizontal="center" vertical="center"/>
    </xf>
    <xf numFmtId="166" fontId="46" fillId="10" borderId="52" xfId="0" applyNumberFormat="1" applyFont="1" applyFill="1" applyBorder="1" applyAlignment="1">
      <alignment horizontal="center" vertical="center"/>
    </xf>
    <xf numFmtId="166" fontId="59" fillId="10" borderId="25" xfId="1" applyNumberFormat="1" applyFont="1" applyFill="1" applyBorder="1" applyAlignment="1">
      <alignment horizontal="center" vertical="center" wrapText="1"/>
    </xf>
    <xf numFmtId="166" fontId="59" fillId="10" borderId="3" xfId="1" applyNumberFormat="1" applyFont="1" applyFill="1" applyBorder="1" applyAlignment="1">
      <alignment horizontal="center" vertical="center" wrapText="1"/>
    </xf>
    <xf numFmtId="166" fontId="46" fillId="10" borderId="25" xfId="1" applyNumberFormat="1" applyFont="1" applyFill="1" applyBorder="1" applyAlignment="1">
      <alignment horizontal="center"/>
    </xf>
    <xf numFmtId="166" fontId="46" fillId="10" borderId="26" xfId="1" applyNumberFormat="1" applyFont="1" applyFill="1" applyBorder="1" applyAlignment="1">
      <alignment horizontal="center"/>
    </xf>
    <xf numFmtId="166" fontId="46" fillId="10" borderId="3" xfId="1" applyNumberFormat="1" applyFont="1" applyFill="1" applyBorder="1" applyAlignment="1">
      <alignment horizontal="center" vertical="center"/>
    </xf>
    <xf numFmtId="166" fontId="46" fillId="10" borderId="7" xfId="1" applyNumberFormat="1" applyFont="1" applyFill="1" applyBorder="1" applyAlignment="1">
      <alignment horizontal="center" vertical="center"/>
    </xf>
    <xf numFmtId="166" fontId="46" fillId="10" borderId="2" xfId="1" applyNumberFormat="1" applyFont="1" applyFill="1" applyBorder="1" applyAlignment="1">
      <alignment horizontal="center" vertical="center"/>
    </xf>
    <xf numFmtId="166" fontId="46" fillId="10" borderId="50" xfId="1" applyNumberFormat="1" applyFont="1" applyFill="1" applyBorder="1" applyAlignment="1">
      <alignment horizontal="center" vertical="center"/>
    </xf>
    <xf numFmtId="166" fontId="46" fillId="10" borderId="45" xfId="1" applyNumberFormat="1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46" fillId="0" borderId="5" xfId="0" applyNumberFormat="1" applyFont="1" applyBorder="1" applyAlignment="1">
      <alignment horizontal="center" vertical="center"/>
    </xf>
    <xf numFmtId="166" fontId="46" fillId="0" borderId="6" xfId="0" applyNumberFormat="1" applyFont="1" applyBorder="1" applyAlignment="1">
      <alignment horizontal="center" vertical="center"/>
    </xf>
  </cellXfs>
  <cellStyles count="7">
    <cellStyle name="Normal" xfId="0" builtinId="0"/>
    <cellStyle name="Normal 2" xfId="1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 4" xfId="6" xr:uid="{00000000-0005-0000-0000-000005000000}"/>
    <cellStyle name="Normal_Daftar kelistrikan (ecg)" xfId="2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00000000-0008-0000-05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3" name="Picture 11">
          <a:extLst>
            <a:ext uri="{FF2B5EF4-FFF2-40B4-BE49-F238E27FC236}">
              <a16:creationId xmlns:a16="http://schemas.microsoft.com/office/drawing/2014/main" id="{00000000-0008-0000-05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4" name="Picture 12">
          <a:extLst>
            <a:ext uri="{FF2B5EF4-FFF2-40B4-BE49-F238E27FC236}">
              <a16:creationId xmlns:a16="http://schemas.microsoft.com/office/drawing/2014/main" id="{00000000-0008-0000-05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5" name="Picture 13">
          <a:extLst>
            <a:ext uri="{FF2B5EF4-FFF2-40B4-BE49-F238E27FC236}">
              <a16:creationId xmlns:a16="http://schemas.microsoft.com/office/drawing/2014/main" id="{00000000-0008-0000-05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0000000-0008-0000-05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0000000-0008-0000-05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00000000-0008-0000-05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00000000-0008-0000-05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00000000-0008-0000-05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</xdr:colOff>
          <xdr:row>28</xdr:row>
          <xdr:rowOff>0</xdr:rowOff>
        </xdr:from>
        <xdr:to>
          <xdr:col>12</xdr:col>
          <xdr:colOff>411480</xdr:colOff>
          <xdr:row>28</xdr:row>
          <xdr:rowOff>0</xdr:rowOff>
        </xdr:to>
        <xdr:sp macro="" textlink="">
          <xdr:nvSpPr>
            <xdr:cNvPr id="2" name="Object -1022" hidden="1">
              <a:extLst>
                <a:ext uri="{63B3BB69-23CF-44E3-9099-C40C66FF867C}">
                  <a14:compatExt spid="_x0000_s2"/>
                </a:ex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</xdr:colOff>
          <xdr:row>28</xdr:row>
          <xdr:rowOff>0</xdr:rowOff>
        </xdr:from>
        <xdr:to>
          <xdr:col>12</xdr:col>
          <xdr:colOff>411480</xdr:colOff>
          <xdr:row>28</xdr:row>
          <xdr:rowOff>0</xdr:rowOff>
        </xdr:to>
        <xdr:sp macro="" textlink="">
          <xdr:nvSpPr>
            <xdr:cNvPr id="3" name="Object -1021" hidden="1">
              <a:extLst>
                <a:ext uri="{63B3BB69-23CF-44E3-9099-C40C66FF867C}">
                  <a14:compatExt spid="_x0000_s3"/>
                </a:ex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</xdr:colOff>
          <xdr:row>28</xdr:row>
          <xdr:rowOff>0</xdr:rowOff>
        </xdr:from>
        <xdr:to>
          <xdr:col>12</xdr:col>
          <xdr:colOff>411480</xdr:colOff>
          <xdr:row>28</xdr:row>
          <xdr:rowOff>0</xdr:rowOff>
        </xdr:to>
        <xdr:sp macro="" textlink="">
          <xdr:nvSpPr>
            <xdr:cNvPr id="4" name="Object -1020" hidden="1">
              <a:extLst>
                <a:ext uri="{63B3BB69-23CF-44E3-9099-C40C66FF867C}">
                  <a14:compatExt spid="_x0000_s4"/>
                </a:ex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</xdr:colOff>
          <xdr:row>28</xdr:row>
          <xdr:rowOff>0</xdr:rowOff>
        </xdr:from>
        <xdr:to>
          <xdr:col>12</xdr:col>
          <xdr:colOff>411480</xdr:colOff>
          <xdr:row>28</xdr:row>
          <xdr:rowOff>0</xdr:rowOff>
        </xdr:to>
        <xdr:sp macro="" textlink="">
          <xdr:nvSpPr>
            <xdr:cNvPr id="5" name="Object -1019" hidden="1">
              <a:extLst>
                <a:ext uri="{63B3BB69-23CF-44E3-9099-C40C66FF867C}">
                  <a14:compatExt spid="_x0000_s5"/>
                </a:ex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</xdr:colOff>
          <xdr:row>28</xdr:row>
          <xdr:rowOff>0</xdr:rowOff>
        </xdr:from>
        <xdr:to>
          <xdr:col>12</xdr:col>
          <xdr:colOff>411480</xdr:colOff>
          <xdr:row>28</xdr:row>
          <xdr:rowOff>0</xdr:rowOff>
        </xdr:to>
        <xdr:sp macro="" textlink="">
          <xdr:nvSpPr>
            <xdr:cNvPr id="6" name="Object -1018" hidden="1">
              <a:extLst>
                <a:ext uri="{63B3BB69-23CF-44E3-9099-C40C66FF867C}">
                  <a14:compatExt spid="_x0000_s6"/>
                </a:ex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</xdr:colOff>
          <xdr:row>28</xdr:row>
          <xdr:rowOff>0</xdr:rowOff>
        </xdr:from>
        <xdr:to>
          <xdr:col>12</xdr:col>
          <xdr:colOff>411480</xdr:colOff>
          <xdr:row>28</xdr:row>
          <xdr:rowOff>0</xdr:rowOff>
        </xdr:to>
        <xdr:sp macro="" textlink="">
          <xdr:nvSpPr>
            <xdr:cNvPr id="7" name="Object -1017" hidden="1">
              <a:extLst>
                <a:ext uri="{63B3BB69-23CF-44E3-9099-C40C66FF867C}">
                  <a14:compatExt spid="_x0000_s7"/>
                </a:ex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</xdr:colOff>
          <xdr:row>28</xdr:row>
          <xdr:rowOff>0</xdr:rowOff>
        </xdr:from>
        <xdr:to>
          <xdr:col>12</xdr:col>
          <xdr:colOff>411480</xdr:colOff>
          <xdr:row>28</xdr:row>
          <xdr:rowOff>0</xdr:rowOff>
        </xdr:to>
        <xdr:sp macro="" textlink="">
          <xdr:nvSpPr>
            <xdr:cNvPr id="8" name="Object -1016" hidden="1">
              <a:extLst>
                <a:ext uri="{63B3BB69-23CF-44E3-9099-C40C66FF867C}">
                  <a14:compatExt spid="_x0000_s8"/>
                </a:ex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1" name="Object -1013" hidden="1">
              <a:extLst>
                <a:ext uri="{63B3BB69-23CF-44E3-9099-C40C66FF867C}">
                  <a14:compatExt spid="_x0000_s11"/>
                </a:ex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2" name="Object -1012" hidden="1">
              <a:extLst>
                <a:ext uri="{63B3BB69-23CF-44E3-9099-C40C66FF867C}">
                  <a14:compatExt spid="_x0000_s12"/>
                </a:ex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3" name="Object -1011" hidden="1">
              <a:extLst>
                <a:ext uri="{63B3BB69-23CF-44E3-9099-C40C66FF867C}">
                  <a14:compatExt spid="_x0000_s13"/>
                </a:ex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4" name="Object -1010" hidden="1">
              <a:extLst>
                <a:ext uri="{63B3BB69-23CF-44E3-9099-C40C66FF867C}">
                  <a14:compatExt spid="_x0000_s14"/>
                </a:ex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5" name="Object -1009" hidden="1">
              <a:extLst>
                <a:ext uri="{63B3BB69-23CF-44E3-9099-C40C66FF867C}">
                  <a14:compatExt spid="_x0000_s15"/>
                </a:ex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6" name="Object -1008" hidden="1">
              <a:extLst>
                <a:ext uri="{63B3BB69-23CF-44E3-9099-C40C66FF867C}">
                  <a14:compatExt spid="_x0000_s16"/>
                </a:ex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7" name="Object -1007" hidden="1">
              <a:extLst>
                <a:ext uri="{63B3BB69-23CF-44E3-9099-C40C66FF867C}">
                  <a14:compatExt spid="_x0000_s17"/>
                </a:ex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8" name="Object -1006" hidden="1">
              <a:extLst>
                <a:ext uri="{63B3BB69-23CF-44E3-9099-C40C66FF867C}">
                  <a14:compatExt spid="_x0000_s18"/>
                </a:ex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9" name="Object -1005" hidden="1">
              <a:extLst>
                <a:ext uri="{63B3BB69-23CF-44E3-9099-C40C66FF867C}">
                  <a14:compatExt spid="_x0000_s19"/>
                </a:ex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9" name="Picture 16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10" name="Picture 15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0" name="Picture 14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1" name="Picture 13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2" name="Picture 1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3" name="Picture 1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4" name="Picture 10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id="{00000000-0008-0000-05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00000000-0008-0000-05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00000000-0008-0000-05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00000000-0008-0000-05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00000000-0008-0000-05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5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00000000-0008-0000-05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5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5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5" name="Object -1022" hidden="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6" name="Object -1021" hidden="1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7" name="Object -1020" hidden="1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8" name="Object -1019" hidden="1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9" name="Object -1018" hidden="1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0" name="Object -1017" hidden="1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" name="Object -1016" hidden="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72" name="Object -1013" hidden="1">
          <a:extLst>
            <a:ext uri="{FF2B5EF4-FFF2-40B4-BE49-F238E27FC236}">
              <a16:creationId xmlns:a16="http://schemas.microsoft.com/office/drawing/2014/main" id="{00000000-0008-0000-05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1" name="Object -1012" hidden="1">
          <a:extLst>
            <a:ext uri="{FF2B5EF4-FFF2-40B4-BE49-F238E27FC236}">
              <a16:creationId xmlns:a16="http://schemas.microsoft.com/office/drawing/2014/main" id="{00000000-0008-0000-05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2" name="Object -1011" hidden="1">
          <a:extLst>
            <a:ext uri="{FF2B5EF4-FFF2-40B4-BE49-F238E27FC236}">
              <a16:creationId xmlns:a16="http://schemas.microsoft.com/office/drawing/2014/main" id="{00000000-0008-0000-05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3" name="Object -1010" hidden="1">
          <a:extLst>
            <a:ext uri="{FF2B5EF4-FFF2-40B4-BE49-F238E27FC236}">
              <a16:creationId xmlns:a16="http://schemas.microsoft.com/office/drawing/2014/main" id="{00000000-0008-0000-05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4" name="Object -1009" hidden="1">
          <a:extLst>
            <a:ext uri="{FF2B5EF4-FFF2-40B4-BE49-F238E27FC236}">
              <a16:creationId xmlns:a16="http://schemas.microsoft.com/office/drawing/2014/main" id="{00000000-0008-0000-05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5" name="Object -1008" hidden="1">
          <a:extLst>
            <a:ext uri="{FF2B5EF4-FFF2-40B4-BE49-F238E27FC236}">
              <a16:creationId xmlns:a16="http://schemas.microsoft.com/office/drawing/2014/main" id="{00000000-0008-0000-05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6" name="Object -1007" hidden="1">
          <a:extLst>
            <a:ext uri="{FF2B5EF4-FFF2-40B4-BE49-F238E27FC236}">
              <a16:creationId xmlns:a16="http://schemas.microsoft.com/office/drawing/2014/main" id="{00000000-0008-0000-05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7" name="Object -1006" hidden="1">
          <a:extLst>
            <a:ext uri="{FF2B5EF4-FFF2-40B4-BE49-F238E27FC236}">
              <a16:creationId xmlns:a16="http://schemas.microsoft.com/office/drawing/2014/main" id="{00000000-0008-0000-05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8" name="Object -1005" hidden="1">
          <a:extLst>
            <a:ext uri="{FF2B5EF4-FFF2-40B4-BE49-F238E27FC236}">
              <a16:creationId xmlns:a16="http://schemas.microsoft.com/office/drawing/2014/main" id="{00000000-0008-0000-05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099" name="Object -1022" hidden="1">
          <a:extLst>
            <a:ext uri="{FF2B5EF4-FFF2-40B4-BE49-F238E27FC236}">
              <a16:creationId xmlns:a16="http://schemas.microsoft.com/office/drawing/2014/main" id="{00000000-0008-0000-05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00" name="Object -1021" hidden="1">
          <a:extLst>
            <a:ext uri="{FF2B5EF4-FFF2-40B4-BE49-F238E27FC236}">
              <a16:creationId xmlns:a16="http://schemas.microsoft.com/office/drawing/2014/main" id="{00000000-0008-0000-05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01" name="Object -1020" hidden="1">
          <a:extLst>
            <a:ext uri="{FF2B5EF4-FFF2-40B4-BE49-F238E27FC236}">
              <a16:creationId xmlns:a16="http://schemas.microsoft.com/office/drawing/2014/main" id="{00000000-0008-0000-05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02" name="Object -1019" hidden="1">
          <a:extLst>
            <a:ext uri="{FF2B5EF4-FFF2-40B4-BE49-F238E27FC236}">
              <a16:creationId xmlns:a16="http://schemas.microsoft.com/office/drawing/2014/main" id="{00000000-0008-0000-05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03" name="Object -1018" hidden="1">
          <a:extLst>
            <a:ext uri="{FF2B5EF4-FFF2-40B4-BE49-F238E27FC236}">
              <a16:creationId xmlns:a16="http://schemas.microsoft.com/office/drawing/2014/main" id="{00000000-0008-0000-05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04" name="Object -1017" hidden="1">
          <a:extLst>
            <a:ext uri="{FF2B5EF4-FFF2-40B4-BE49-F238E27FC236}">
              <a16:creationId xmlns:a16="http://schemas.microsoft.com/office/drawing/2014/main" id="{00000000-0008-0000-05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05" name="Object -1016" hidden="1">
          <a:extLst>
            <a:ext uri="{FF2B5EF4-FFF2-40B4-BE49-F238E27FC236}">
              <a16:creationId xmlns:a16="http://schemas.microsoft.com/office/drawing/2014/main" id="{00000000-0008-0000-05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06" name="Object -1013" hidden="1">
          <a:extLst>
            <a:ext uri="{FF2B5EF4-FFF2-40B4-BE49-F238E27FC236}">
              <a16:creationId xmlns:a16="http://schemas.microsoft.com/office/drawing/2014/main" id="{00000000-0008-0000-05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07" name="Object -1012" hidden="1">
          <a:extLst>
            <a:ext uri="{FF2B5EF4-FFF2-40B4-BE49-F238E27FC236}">
              <a16:creationId xmlns:a16="http://schemas.microsoft.com/office/drawing/2014/main" id="{00000000-0008-0000-05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08" name="Object -1011" hidden="1">
          <a:extLst>
            <a:ext uri="{FF2B5EF4-FFF2-40B4-BE49-F238E27FC236}">
              <a16:creationId xmlns:a16="http://schemas.microsoft.com/office/drawing/2014/main" id="{00000000-0008-0000-05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09" name="Object -1010" hidden="1">
          <a:extLst>
            <a:ext uri="{FF2B5EF4-FFF2-40B4-BE49-F238E27FC236}">
              <a16:creationId xmlns:a16="http://schemas.microsoft.com/office/drawing/2014/main" id="{00000000-0008-0000-05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10" name="Object -1009" hidden="1">
          <a:extLst>
            <a:ext uri="{FF2B5EF4-FFF2-40B4-BE49-F238E27FC236}">
              <a16:creationId xmlns:a16="http://schemas.microsoft.com/office/drawing/2014/main" id="{00000000-0008-0000-05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11" name="Object -1008" hidden="1">
          <a:extLst>
            <a:ext uri="{FF2B5EF4-FFF2-40B4-BE49-F238E27FC236}">
              <a16:creationId xmlns:a16="http://schemas.microsoft.com/office/drawing/2014/main" id="{00000000-0008-0000-05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12" name="Object -1007" hidden="1">
          <a:extLst>
            <a:ext uri="{FF2B5EF4-FFF2-40B4-BE49-F238E27FC236}">
              <a16:creationId xmlns:a16="http://schemas.microsoft.com/office/drawing/2014/main" id="{00000000-0008-0000-05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13" name="Object -1006" hidden="1">
          <a:extLst>
            <a:ext uri="{FF2B5EF4-FFF2-40B4-BE49-F238E27FC236}">
              <a16:creationId xmlns:a16="http://schemas.microsoft.com/office/drawing/2014/main" id="{00000000-0008-0000-05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14" name="Object -1005" hidden="1">
          <a:extLst>
            <a:ext uri="{FF2B5EF4-FFF2-40B4-BE49-F238E27FC236}">
              <a16:creationId xmlns:a16="http://schemas.microsoft.com/office/drawing/2014/main" id="{00000000-0008-0000-05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15" name="Object -1022" hidden="1">
          <a:extLst>
            <a:ext uri="{FF2B5EF4-FFF2-40B4-BE49-F238E27FC236}">
              <a16:creationId xmlns:a16="http://schemas.microsoft.com/office/drawing/2014/main" id="{00000000-0008-0000-05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16" name="Object -1021" hidden="1">
          <a:extLst>
            <a:ext uri="{FF2B5EF4-FFF2-40B4-BE49-F238E27FC236}">
              <a16:creationId xmlns:a16="http://schemas.microsoft.com/office/drawing/2014/main" id="{00000000-0008-0000-05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17" name="Object -1020" hidden="1">
          <a:extLst>
            <a:ext uri="{FF2B5EF4-FFF2-40B4-BE49-F238E27FC236}">
              <a16:creationId xmlns:a16="http://schemas.microsoft.com/office/drawing/2014/main" id="{00000000-0008-0000-05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18" name="Object -1019" hidden="1">
          <a:extLst>
            <a:ext uri="{FF2B5EF4-FFF2-40B4-BE49-F238E27FC236}">
              <a16:creationId xmlns:a16="http://schemas.microsoft.com/office/drawing/2014/main" id="{00000000-0008-0000-05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19" name="Object -1018" hidden="1">
          <a:extLst>
            <a:ext uri="{FF2B5EF4-FFF2-40B4-BE49-F238E27FC236}">
              <a16:creationId xmlns:a16="http://schemas.microsoft.com/office/drawing/2014/main" id="{00000000-0008-0000-05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20" name="Object -1017" hidden="1">
          <a:extLst>
            <a:ext uri="{FF2B5EF4-FFF2-40B4-BE49-F238E27FC236}">
              <a16:creationId xmlns:a16="http://schemas.microsoft.com/office/drawing/2014/main" id="{00000000-0008-0000-05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21" name="Object -1016" hidden="1">
          <a:extLst>
            <a:ext uri="{FF2B5EF4-FFF2-40B4-BE49-F238E27FC236}">
              <a16:creationId xmlns:a16="http://schemas.microsoft.com/office/drawing/2014/main" id="{00000000-0008-0000-05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22" name="Object -1013" hidden="1">
          <a:extLst>
            <a:ext uri="{FF2B5EF4-FFF2-40B4-BE49-F238E27FC236}">
              <a16:creationId xmlns:a16="http://schemas.microsoft.com/office/drawing/2014/main" id="{00000000-0008-0000-05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23" name="Object -1012" hidden="1">
          <a:extLst>
            <a:ext uri="{FF2B5EF4-FFF2-40B4-BE49-F238E27FC236}">
              <a16:creationId xmlns:a16="http://schemas.microsoft.com/office/drawing/2014/main" id="{00000000-0008-0000-05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24" name="Object -1011" hidden="1">
          <a:extLst>
            <a:ext uri="{FF2B5EF4-FFF2-40B4-BE49-F238E27FC236}">
              <a16:creationId xmlns:a16="http://schemas.microsoft.com/office/drawing/2014/main" id="{00000000-0008-0000-05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25" name="Object -1010" hidden="1">
          <a:extLst>
            <a:ext uri="{FF2B5EF4-FFF2-40B4-BE49-F238E27FC236}">
              <a16:creationId xmlns:a16="http://schemas.microsoft.com/office/drawing/2014/main" id="{00000000-0008-0000-05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26" name="Object -1009" hidden="1">
          <a:extLst>
            <a:ext uri="{FF2B5EF4-FFF2-40B4-BE49-F238E27FC236}">
              <a16:creationId xmlns:a16="http://schemas.microsoft.com/office/drawing/2014/main" id="{00000000-0008-0000-05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27" name="Object -1008" hidden="1">
          <a:extLst>
            <a:ext uri="{FF2B5EF4-FFF2-40B4-BE49-F238E27FC236}">
              <a16:creationId xmlns:a16="http://schemas.microsoft.com/office/drawing/2014/main" id="{00000000-0008-0000-05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28" name="Object -1007" hidden="1">
          <a:extLst>
            <a:ext uri="{FF2B5EF4-FFF2-40B4-BE49-F238E27FC236}">
              <a16:creationId xmlns:a16="http://schemas.microsoft.com/office/drawing/2014/main" id="{00000000-0008-0000-05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29" name="Object -1006" hidden="1">
          <a:extLst>
            <a:ext uri="{FF2B5EF4-FFF2-40B4-BE49-F238E27FC236}">
              <a16:creationId xmlns:a16="http://schemas.microsoft.com/office/drawing/2014/main" id="{00000000-0008-0000-05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30" name="Object -1005" hidden="1">
          <a:extLst>
            <a:ext uri="{FF2B5EF4-FFF2-40B4-BE49-F238E27FC236}">
              <a16:creationId xmlns:a16="http://schemas.microsoft.com/office/drawing/2014/main" id="{00000000-0008-0000-05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31" name="Object -1022" hidden="1">
          <a:extLst>
            <a:ext uri="{FF2B5EF4-FFF2-40B4-BE49-F238E27FC236}">
              <a16:creationId xmlns:a16="http://schemas.microsoft.com/office/drawing/2014/main" id="{00000000-0008-0000-05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32" name="Object -1021" hidden="1">
          <a:extLst>
            <a:ext uri="{FF2B5EF4-FFF2-40B4-BE49-F238E27FC236}">
              <a16:creationId xmlns:a16="http://schemas.microsoft.com/office/drawing/2014/main" id="{00000000-0008-0000-05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33" name="Object -1020" hidden="1">
          <a:extLst>
            <a:ext uri="{FF2B5EF4-FFF2-40B4-BE49-F238E27FC236}">
              <a16:creationId xmlns:a16="http://schemas.microsoft.com/office/drawing/2014/main" id="{00000000-0008-0000-05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34" name="Object -1019" hidden="1">
          <a:extLst>
            <a:ext uri="{FF2B5EF4-FFF2-40B4-BE49-F238E27FC236}">
              <a16:creationId xmlns:a16="http://schemas.microsoft.com/office/drawing/2014/main" id="{00000000-0008-0000-05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35" name="Object -1018" hidden="1">
          <a:extLst>
            <a:ext uri="{FF2B5EF4-FFF2-40B4-BE49-F238E27FC236}">
              <a16:creationId xmlns:a16="http://schemas.microsoft.com/office/drawing/2014/main" id="{00000000-0008-0000-05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36" name="Object -1017" hidden="1">
          <a:extLst>
            <a:ext uri="{FF2B5EF4-FFF2-40B4-BE49-F238E27FC236}">
              <a16:creationId xmlns:a16="http://schemas.microsoft.com/office/drawing/2014/main" id="{00000000-0008-0000-05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37" name="Object -1016" hidden="1">
          <a:extLst>
            <a:ext uri="{FF2B5EF4-FFF2-40B4-BE49-F238E27FC236}">
              <a16:creationId xmlns:a16="http://schemas.microsoft.com/office/drawing/2014/main" id="{00000000-0008-0000-05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38" name="Object -1013" hidden="1">
          <a:extLst>
            <a:ext uri="{FF2B5EF4-FFF2-40B4-BE49-F238E27FC236}">
              <a16:creationId xmlns:a16="http://schemas.microsoft.com/office/drawing/2014/main" id="{00000000-0008-0000-05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39" name="Object -1012" hidden="1">
          <a:extLst>
            <a:ext uri="{FF2B5EF4-FFF2-40B4-BE49-F238E27FC236}">
              <a16:creationId xmlns:a16="http://schemas.microsoft.com/office/drawing/2014/main" id="{00000000-0008-0000-05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40" name="Object -1011" hidden="1">
          <a:extLst>
            <a:ext uri="{FF2B5EF4-FFF2-40B4-BE49-F238E27FC236}">
              <a16:creationId xmlns:a16="http://schemas.microsoft.com/office/drawing/2014/main" id="{00000000-0008-0000-05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41" name="Object -1010" hidden="1">
          <a:extLst>
            <a:ext uri="{FF2B5EF4-FFF2-40B4-BE49-F238E27FC236}">
              <a16:creationId xmlns:a16="http://schemas.microsoft.com/office/drawing/2014/main" id="{00000000-0008-0000-05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42" name="Object -1009" hidden="1">
          <a:extLst>
            <a:ext uri="{FF2B5EF4-FFF2-40B4-BE49-F238E27FC236}">
              <a16:creationId xmlns:a16="http://schemas.microsoft.com/office/drawing/2014/main" id="{00000000-0008-0000-05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43" name="Object -1008" hidden="1">
          <a:extLst>
            <a:ext uri="{FF2B5EF4-FFF2-40B4-BE49-F238E27FC236}">
              <a16:creationId xmlns:a16="http://schemas.microsoft.com/office/drawing/2014/main" id="{00000000-0008-0000-05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44" name="Object -1007" hidden="1">
          <a:extLst>
            <a:ext uri="{FF2B5EF4-FFF2-40B4-BE49-F238E27FC236}">
              <a16:creationId xmlns:a16="http://schemas.microsoft.com/office/drawing/2014/main" id="{00000000-0008-0000-05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45" name="Object -1006" hidden="1">
          <a:extLst>
            <a:ext uri="{FF2B5EF4-FFF2-40B4-BE49-F238E27FC236}">
              <a16:creationId xmlns:a16="http://schemas.microsoft.com/office/drawing/2014/main" id="{00000000-0008-0000-05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46" name="Object -1005" hidden="1">
          <a:extLst>
            <a:ext uri="{FF2B5EF4-FFF2-40B4-BE49-F238E27FC236}">
              <a16:creationId xmlns:a16="http://schemas.microsoft.com/office/drawing/2014/main" id="{00000000-0008-0000-05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47" name="Object -1022" hidden="1">
          <a:extLst>
            <a:ext uri="{FF2B5EF4-FFF2-40B4-BE49-F238E27FC236}">
              <a16:creationId xmlns:a16="http://schemas.microsoft.com/office/drawing/2014/main" id="{00000000-0008-0000-05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48" name="Object -1021" hidden="1">
          <a:extLst>
            <a:ext uri="{FF2B5EF4-FFF2-40B4-BE49-F238E27FC236}">
              <a16:creationId xmlns:a16="http://schemas.microsoft.com/office/drawing/2014/main" id="{00000000-0008-0000-05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49" name="Object -1020" hidden="1">
          <a:extLst>
            <a:ext uri="{FF2B5EF4-FFF2-40B4-BE49-F238E27FC236}">
              <a16:creationId xmlns:a16="http://schemas.microsoft.com/office/drawing/2014/main" id="{00000000-0008-0000-05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50" name="Object -1019" hidden="1">
          <a:extLst>
            <a:ext uri="{FF2B5EF4-FFF2-40B4-BE49-F238E27FC236}">
              <a16:creationId xmlns:a16="http://schemas.microsoft.com/office/drawing/2014/main" id="{00000000-0008-0000-05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51" name="Object -1018" hidden="1">
          <a:extLst>
            <a:ext uri="{FF2B5EF4-FFF2-40B4-BE49-F238E27FC236}">
              <a16:creationId xmlns:a16="http://schemas.microsoft.com/office/drawing/2014/main" id="{00000000-0008-0000-05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52" name="Object -1017" hidden="1">
          <a:extLst>
            <a:ext uri="{FF2B5EF4-FFF2-40B4-BE49-F238E27FC236}">
              <a16:creationId xmlns:a16="http://schemas.microsoft.com/office/drawing/2014/main" id="{00000000-0008-0000-05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53" name="Object -1016" hidden="1">
          <a:extLst>
            <a:ext uri="{FF2B5EF4-FFF2-40B4-BE49-F238E27FC236}">
              <a16:creationId xmlns:a16="http://schemas.microsoft.com/office/drawing/2014/main" id="{00000000-0008-0000-05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54" name="Object -1013" hidden="1">
          <a:extLst>
            <a:ext uri="{FF2B5EF4-FFF2-40B4-BE49-F238E27FC236}">
              <a16:creationId xmlns:a16="http://schemas.microsoft.com/office/drawing/2014/main" id="{00000000-0008-0000-05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55" name="Object -1012" hidden="1">
          <a:extLst>
            <a:ext uri="{FF2B5EF4-FFF2-40B4-BE49-F238E27FC236}">
              <a16:creationId xmlns:a16="http://schemas.microsoft.com/office/drawing/2014/main" id="{00000000-0008-0000-05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56" name="Object -1011" hidden="1">
          <a:extLst>
            <a:ext uri="{FF2B5EF4-FFF2-40B4-BE49-F238E27FC236}">
              <a16:creationId xmlns:a16="http://schemas.microsoft.com/office/drawing/2014/main" id="{00000000-0008-0000-05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57" name="Object -1010" hidden="1">
          <a:extLst>
            <a:ext uri="{FF2B5EF4-FFF2-40B4-BE49-F238E27FC236}">
              <a16:creationId xmlns:a16="http://schemas.microsoft.com/office/drawing/2014/main" id="{00000000-0008-0000-05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58" name="Object -1009" hidden="1">
          <a:extLst>
            <a:ext uri="{FF2B5EF4-FFF2-40B4-BE49-F238E27FC236}">
              <a16:creationId xmlns:a16="http://schemas.microsoft.com/office/drawing/2014/main" id="{00000000-0008-0000-05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59" name="Object -1008" hidden="1">
          <a:extLst>
            <a:ext uri="{FF2B5EF4-FFF2-40B4-BE49-F238E27FC236}">
              <a16:creationId xmlns:a16="http://schemas.microsoft.com/office/drawing/2014/main" id="{00000000-0008-0000-05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60" name="Object -1007" hidden="1">
          <a:extLst>
            <a:ext uri="{FF2B5EF4-FFF2-40B4-BE49-F238E27FC236}">
              <a16:creationId xmlns:a16="http://schemas.microsoft.com/office/drawing/2014/main" id="{00000000-0008-0000-05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61" name="Object -1006" hidden="1">
          <a:extLst>
            <a:ext uri="{FF2B5EF4-FFF2-40B4-BE49-F238E27FC236}">
              <a16:creationId xmlns:a16="http://schemas.microsoft.com/office/drawing/2014/main" id="{00000000-0008-0000-05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62" name="Object -1005" hidden="1">
          <a:extLst>
            <a:ext uri="{FF2B5EF4-FFF2-40B4-BE49-F238E27FC236}">
              <a16:creationId xmlns:a16="http://schemas.microsoft.com/office/drawing/2014/main" id="{00000000-0008-0000-05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63" name="Object -1022" hidden="1">
          <a:extLst>
            <a:ext uri="{FF2B5EF4-FFF2-40B4-BE49-F238E27FC236}">
              <a16:creationId xmlns:a16="http://schemas.microsoft.com/office/drawing/2014/main" id="{00000000-0008-0000-05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64" name="Object -1021" hidden="1">
          <a:extLst>
            <a:ext uri="{FF2B5EF4-FFF2-40B4-BE49-F238E27FC236}">
              <a16:creationId xmlns:a16="http://schemas.microsoft.com/office/drawing/2014/main" id="{00000000-0008-0000-05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65" name="Object -1020" hidden="1">
          <a:extLst>
            <a:ext uri="{FF2B5EF4-FFF2-40B4-BE49-F238E27FC236}">
              <a16:creationId xmlns:a16="http://schemas.microsoft.com/office/drawing/2014/main" id="{00000000-0008-0000-05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66" name="Object -1019" hidden="1">
          <a:extLst>
            <a:ext uri="{FF2B5EF4-FFF2-40B4-BE49-F238E27FC236}">
              <a16:creationId xmlns:a16="http://schemas.microsoft.com/office/drawing/2014/main" id="{00000000-0008-0000-05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67" name="Object -1018" hidden="1">
          <a:extLst>
            <a:ext uri="{FF2B5EF4-FFF2-40B4-BE49-F238E27FC236}">
              <a16:creationId xmlns:a16="http://schemas.microsoft.com/office/drawing/2014/main" id="{00000000-0008-0000-05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68" name="Object -1017" hidden="1">
          <a:extLst>
            <a:ext uri="{FF2B5EF4-FFF2-40B4-BE49-F238E27FC236}">
              <a16:creationId xmlns:a16="http://schemas.microsoft.com/office/drawing/2014/main" id="{00000000-0008-0000-05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69" name="Object -1016" hidden="1">
          <a:extLst>
            <a:ext uri="{FF2B5EF4-FFF2-40B4-BE49-F238E27FC236}">
              <a16:creationId xmlns:a16="http://schemas.microsoft.com/office/drawing/2014/main" id="{00000000-0008-0000-05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0" name="Object -1013" hidden="1">
          <a:extLst>
            <a:ext uri="{FF2B5EF4-FFF2-40B4-BE49-F238E27FC236}">
              <a16:creationId xmlns:a16="http://schemas.microsoft.com/office/drawing/2014/main" id="{00000000-0008-0000-05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1" name="Object -1012" hidden="1">
          <a:extLst>
            <a:ext uri="{FF2B5EF4-FFF2-40B4-BE49-F238E27FC236}">
              <a16:creationId xmlns:a16="http://schemas.microsoft.com/office/drawing/2014/main" id="{00000000-0008-0000-05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2" name="Object -1011" hidden="1">
          <a:extLst>
            <a:ext uri="{FF2B5EF4-FFF2-40B4-BE49-F238E27FC236}">
              <a16:creationId xmlns:a16="http://schemas.microsoft.com/office/drawing/2014/main" id="{00000000-0008-0000-05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3" name="Object -1010" hidden="1">
          <a:extLst>
            <a:ext uri="{FF2B5EF4-FFF2-40B4-BE49-F238E27FC236}">
              <a16:creationId xmlns:a16="http://schemas.microsoft.com/office/drawing/2014/main" id="{00000000-0008-0000-05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4" name="Object -1009" hidden="1">
          <a:extLst>
            <a:ext uri="{FF2B5EF4-FFF2-40B4-BE49-F238E27FC236}">
              <a16:creationId xmlns:a16="http://schemas.microsoft.com/office/drawing/2014/main" id="{00000000-0008-0000-05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5" name="Object -1008" hidden="1">
          <a:extLst>
            <a:ext uri="{FF2B5EF4-FFF2-40B4-BE49-F238E27FC236}">
              <a16:creationId xmlns:a16="http://schemas.microsoft.com/office/drawing/2014/main" id="{00000000-0008-0000-05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6" name="Object -1007" hidden="1">
          <a:extLst>
            <a:ext uri="{FF2B5EF4-FFF2-40B4-BE49-F238E27FC236}">
              <a16:creationId xmlns:a16="http://schemas.microsoft.com/office/drawing/2014/main" id="{00000000-0008-0000-05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7" name="Object -1006" hidden="1">
          <a:extLst>
            <a:ext uri="{FF2B5EF4-FFF2-40B4-BE49-F238E27FC236}">
              <a16:creationId xmlns:a16="http://schemas.microsoft.com/office/drawing/2014/main" id="{00000000-0008-0000-05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8" name="Object -1005" hidden="1">
          <a:extLst>
            <a:ext uri="{FF2B5EF4-FFF2-40B4-BE49-F238E27FC236}">
              <a16:creationId xmlns:a16="http://schemas.microsoft.com/office/drawing/2014/main" id="{00000000-0008-0000-05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79" name="Object -1022" hidden="1">
          <a:extLst>
            <a:ext uri="{FF2B5EF4-FFF2-40B4-BE49-F238E27FC236}">
              <a16:creationId xmlns:a16="http://schemas.microsoft.com/office/drawing/2014/main" id="{00000000-0008-0000-05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80" name="Object -1021" hidden="1">
          <a:extLst>
            <a:ext uri="{FF2B5EF4-FFF2-40B4-BE49-F238E27FC236}">
              <a16:creationId xmlns:a16="http://schemas.microsoft.com/office/drawing/2014/main" id="{00000000-0008-0000-05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81" name="Object -1020" hidden="1">
          <a:extLst>
            <a:ext uri="{FF2B5EF4-FFF2-40B4-BE49-F238E27FC236}">
              <a16:creationId xmlns:a16="http://schemas.microsoft.com/office/drawing/2014/main" id="{00000000-0008-0000-05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82" name="Object -1019" hidden="1">
          <a:extLst>
            <a:ext uri="{FF2B5EF4-FFF2-40B4-BE49-F238E27FC236}">
              <a16:creationId xmlns:a16="http://schemas.microsoft.com/office/drawing/2014/main" id="{00000000-0008-0000-05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83" name="Object -1018" hidden="1">
          <a:extLst>
            <a:ext uri="{FF2B5EF4-FFF2-40B4-BE49-F238E27FC236}">
              <a16:creationId xmlns:a16="http://schemas.microsoft.com/office/drawing/2014/main" id="{00000000-0008-0000-05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84" name="Object -1017" hidden="1">
          <a:extLst>
            <a:ext uri="{FF2B5EF4-FFF2-40B4-BE49-F238E27FC236}">
              <a16:creationId xmlns:a16="http://schemas.microsoft.com/office/drawing/2014/main" id="{00000000-0008-0000-05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85" name="Object -1016" hidden="1">
          <a:extLst>
            <a:ext uri="{FF2B5EF4-FFF2-40B4-BE49-F238E27FC236}">
              <a16:creationId xmlns:a16="http://schemas.microsoft.com/office/drawing/2014/main" id="{00000000-0008-0000-05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86" name="Object -1013" hidden="1">
          <a:extLst>
            <a:ext uri="{FF2B5EF4-FFF2-40B4-BE49-F238E27FC236}">
              <a16:creationId xmlns:a16="http://schemas.microsoft.com/office/drawing/2014/main" id="{00000000-0008-0000-05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87" name="Object -1012" hidden="1">
          <a:extLst>
            <a:ext uri="{FF2B5EF4-FFF2-40B4-BE49-F238E27FC236}">
              <a16:creationId xmlns:a16="http://schemas.microsoft.com/office/drawing/2014/main" id="{00000000-0008-0000-05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88" name="Object -1011" hidden="1">
          <a:extLst>
            <a:ext uri="{FF2B5EF4-FFF2-40B4-BE49-F238E27FC236}">
              <a16:creationId xmlns:a16="http://schemas.microsoft.com/office/drawing/2014/main" id="{00000000-0008-0000-05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89" name="Object -1010" hidden="1">
          <a:extLst>
            <a:ext uri="{FF2B5EF4-FFF2-40B4-BE49-F238E27FC236}">
              <a16:creationId xmlns:a16="http://schemas.microsoft.com/office/drawing/2014/main" id="{00000000-0008-0000-05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90" name="Object -1009" hidden="1">
          <a:extLst>
            <a:ext uri="{FF2B5EF4-FFF2-40B4-BE49-F238E27FC236}">
              <a16:creationId xmlns:a16="http://schemas.microsoft.com/office/drawing/2014/main" id="{00000000-0008-0000-05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91" name="Object -1008" hidden="1">
          <a:extLst>
            <a:ext uri="{FF2B5EF4-FFF2-40B4-BE49-F238E27FC236}">
              <a16:creationId xmlns:a16="http://schemas.microsoft.com/office/drawing/2014/main" id="{00000000-0008-0000-05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92" name="Object -1007" hidden="1">
          <a:extLst>
            <a:ext uri="{FF2B5EF4-FFF2-40B4-BE49-F238E27FC236}">
              <a16:creationId xmlns:a16="http://schemas.microsoft.com/office/drawing/2014/main" id="{00000000-0008-0000-05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93" name="Object -1006" hidden="1">
          <a:extLst>
            <a:ext uri="{FF2B5EF4-FFF2-40B4-BE49-F238E27FC236}">
              <a16:creationId xmlns:a16="http://schemas.microsoft.com/office/drawing/2014/main" id="{00000000-0008-0000-05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94" name="Object -1005" hidden="1">
          <a:extLst>
            <a:ext uri="{FF2B5EF4-FFF2-40B4-BE49-F238E27FC236}">
              <a16:creationId xmlns:a16="http://schemas.microsoft.com/office/drawing/2014/main" id="{00000000-0008-0000-05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95" name="Picture 16">
          <a:extLst>
            <a:ext uri="{FF2B5EF4-FFF2-40B4-BE49-F238E27FC236}">
              <a16:creationId xmlns:a16="http://schemas.microsoft.com/office/drawing/2014/main" id="{00000000-0008-0000-05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96" name="Picture 15">
          <a:extLst>
            <a:ext uri="{FF2B5EF4-FFF2-40B4-BE49-F238E27FC236}">
              <a16:creationId xmlns:a16="http://schemas.microsoft.com/office/drawing/2014/main" id="{00000000-0008-0000-05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97" name="Picture 14">
          <a:extLst>
            <a:ext uri="{FF2B5EF4-FFF2-40B4-BE49-F238E27FC236}">
              <a16:creationId xmlns:a16="http://schemas.microsoft.com/office/drawing/2014/main" id="{00000000-0008-0000-05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98" name="Picture 13">
          <a:extLst>
            <a:ext uri="{FF2B5EF4-FFF2-40B4-BE49-F238E27FC236}">
              <a16:creationId xmlns:a16="http://schemas.microsoft.com/office/drawing/2014/main" id="{00000000-0008-0000-05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99" name="Picture 12">
          <a:extLst>
            <a:ext uri="{FF2B5EF4-FFF2-40B4-BE49-F238E27FC236}">
              <a16:creationId xmlns:a16="http://schemas.microsoft.com/office/drawing/2014/main" id="{00000000-0008-0000-05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00" name="Picture 11">
          <a:extLst>
            <a:ext uri="{FF2B5EF4-FFF2-40B4-BE49-F238E27FC236}">
              <a16:creationId xmlns:a16="http://schemas.microsoft.com/office/drawing/2014/main" id="{00000000-0008-0000-05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01" name="Picture 10">
          <a:extLst>
            <a:ext uri="{FF2B5EF4-FFF2-40B4-BE49-F238E27FC236}">
              <a16:creationId xmlns:a16="http://schemas.microsoft.com/office/drawing/2014/main" id="{00000000-0008-0000-05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02" name="Picture 9">
          <a:extLst>
            <a:ext uri="{FF2B5EF4-FFF2-40B4-BE49-F238E27FC236}">
              <a16:creationId xmlns:a16="http://schemas.microsoft.com/office/drawing/2014/main" id="{00000000-0008-0000-05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03" name="Picture 8">
          <a:extLst>
            <a:ext uri="{FF2B5EF4-FFF2-40B4-BE49-F238E27FC236}">
              <a16:creationId xmlns:a16="http://schemas.microsoft.com/office/drawing/2014/main" id="{00000000-0008-0000-05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04" name="Picture 7">
          <a:extLst>
            <a:ext uri="{FF2B5EF4-FFF2-40B4-BE49-F238E27FC236}">
              <a16:creationId xmlns:a16="http://schemas.microsoft.com/office/drawing/2014/main" id="{00000000-0008-0000-05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05" name="Picture 6">
          <a:extLst>
            <a:ext uri="{FF2B5EF4-FFF2-40B4-BE49-F238E27FC236}">
              <a16:creationId xmlns:a16="http://schemas.microsoft.com/office/drawing/2014/main" id="{00000000-0008-0000-05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06" name="Picture 5">
          <a:extLst>
            <a:ext uri="{FF2B5EF4-FFF2-40B4-BE49-F238E27FC236}">
              <a16:creationId xmlns:a16="http://schemas.microsoft.com/office/drawing/2014/main" id="{00000000-0008-0000-05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07" name="Picture 4">
          <a:extLst>
            <a:ext uri="{FF2B5EF4-FFF2-40B4-BE49-F238E27FC236}">
              <a16:creationId xmlns:a16="http://schemas.microsoft.com/office/drawing/2014/main" id="{00000000-0008-0000-05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08" name="Picture 3">
          <a:extLst>
            <a:ext uri="{FF2B5EF4-FFF2-40B4-BE49-F238E27FC236}">
              <a16:creationId xmlns:a16="http://schemas.microsoft.com/office/drawing/2014/main" id="{00000000-0008-0000-05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09" name="Picture 2">
          <a:extLst>
            <a:ext uri="{FF2B5EF4-FFF2-40B4-BE49-F238E27FC236}">
              <a16:creationId xmlns:a16="http://schemas.microsoft.com/office/drawing/2014/main" id="{00000000-0008-0000-05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10" name="Picture 1">
          <a:extLst>
            <a:ext uri="{FF2B5EF4-FFF2-40B4-BE49-F238E27FC236}">
              <a16:creationId xmlns:a16="http://schemas.microsoft.com/office/drawing/2014/main" id="{00000000-0008-0000-05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11" name="Object -1022" hidden="1">
          <a:extLst>
            <a:ext uri="{FF2B5EF4-FFF2-40B4-BE49-F238E27FC236}">
              <a16:creationId xmlns:a16="http://schemas.microsoft.com/office/drawing/2014/main" id="{00000000-0008-0000-05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12" name="Object -1021" hidden="1">
          <a:extLst>
            <a:ext uri="{FF2B5EF4-FFF2-40B4-BE49-F238E27FC236}">
              <a16:creationId xmlns:a16="http://schemas.microsoft.com/office/drawing/2014/main" id="{00000000-0008-0000-05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13" name="Object -1020" hidden="1">
          <a:extLst>
            <a:ext uri="{FF2B5EF4-FFF2-40B4-BE49-F238E27FC236}">
              <a16:creationId xmlns:a16="http://schemas.microsoft.com/office/drawing/2014/main" id="{00000000-0008-0000-05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14" name="Object -1019" hidden="1">
          <a:extLst>
            <a:ext uri="{FF2B5EF4-FFF2-40B4-BE49-F238E27FC236}">
              <a16:creationId xmlns:a16="http://schemas.microsoft.com/office/drawing/2014/main" id="{00000000-0008-0000-05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15" name="Object -1018" hidden="1">
          <a:extLst>
            <a:ext uri="{FF2B5EF4-FFF2-40B4-BE49-F238E27FC236}">
              <a16:creationId xmlns:a16="http://schemas.microsoft.com/office/drawing/2014/main" id="{00000000-0008-0000-05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16" name="Object -1017" hidden="1">
          <a:extLst>
            <a:ext uri="{FF2B5EF4-FFF2-40B4-BE49-F238E27FC236}">
              <a16:creationId xmlns:a16="http://schemas.microsoft.com/office/drawing/2014/main" id="{00000000-0008-0000-05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17" name="Object -1016" hidden="1">
          <a:extLst>
            <a:ext uri="{FF2B5EF4-FFF2-40B4-BE49-F238E27FC236}">
              <a16:creationId xmlns:a16="http://schemas.microsoft.com/office/drawing/2014/main" id="{00000000-0008-0000-05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18" name="Object -1013" hidden="1">
          <a:extLst>
            <a:ext uri="{FF2B5EF4-FFF2-40B4-BE49-F238E27FC236}">
              <a16:creationId xmlns:a16="http://schemas.microsoft.com/office/drawing/2014/main" id="{00000000-0008-0000-05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19" name="Object -1012" hidden="1">
          <a:extLst>
            <a:ext uri="{FF2B5EF4-FFF2-40B4-BE49-F238E27FC236}">
              <a16:creationId xmlns:a16="http://schemas.microsoft.com/office/drawing/2014/main" id="{00000000-0008-0000-05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20" name="Object -1011" hidden="1">
          <a:extLst>
            <a:ext uri="{FF2B5EF4-FFF2-40B4-BE49-F238E27FC236}">
              <a16:creationId xmlns:a16="http://schemas.microsoft.com/office/drawing/2014/main" id="{00000000-0008-0000-05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21" name="Object -1010" hidden="1">
          <a:extLst>
            <a:ext uri="{FF2B5EF4-FFF2-40B4-BE49-F238E27FC236}">
              <a16:creationId xmlns:a16="http://schemas.microsoft.com/office/drawing/2014/main" id="{00000000-0008-0000-05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22" name="Object -1009" hidden="1">
          <a:extLst>
            <a:ext uri="{FF2B5EF4-FFF2-40B4-BE49-F238E27FC236}">
              <a16:creationId xmlns:a16="http://schemas.microsoft.com/office/drawing/2014/main" id="{00000000-0008-0000-05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23" name="Object -1008" hidden="1">
          <a:extLst>
            <a:ext uri="{FF2B5EF4-FFF2-40B4-BE49-F238E27FC236}">
              <a16:creationId xmlns:a16="http://schemas.microsoft.com/office/drawing/2014/main" id="{00000000-0008-0000-05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24" name="Object -1007" hidden="1">
          <a:extLst>
            <a:ext uri="{FF2B5EF4-FFF2-40B4-BE49-F238E27FC236}">
              <a16:creationId xmlns:a16="http://schemas.microsoft.com/office/drawing/2014/main" id="{00000000-0008-0000-05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25" name="Object -1006" hidden="1">
          <a:extLst>
            <a:ext uri="{FF2B5EF4-FFF2-40B4-BE49-F238E27FC236}">
              <a16:creationId xmlns:a16="http://schemas.microsoft.com/office/drawing/2014/main" id="{00000000-0008-0000-05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26" name="Object -1005" hidden="1">
          <a:extLst>
            <a:ext uri="{FF2B5EF4-FFF2-40B4-BE49-F238E27FC236}">
              <a16:creationId xmlns:a16="http://schemas.microsoft.com/office/drawing/2014/main" id="{00000000-0008-0000-05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27" name="Object -1022" hidden="1">
          <a:extLst>
            <a:ext uri="{FF2B5EF4-FFF2-40B4-BE49-F238E27FC236}">
              <a16:creationId xmlns:a16="http://schemas.microsoft.com/office/drawing/2014/main" id="{00000000-0008-0000-05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28" name="Object -1021" hidden="1">
          <a:extLst>
            <a:ext uri="{FF2B5EF4-FFF2-40B4-BE49-F238E27FC236}">
              <a16:creationId xmlns:a16="http://schemas.microsoft.com/office/drawing/2014/main" id="{00000000-0008-0000-05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29" name="Object -1020" hidden="1">
          <a:extLst>
            <a:ext uri="{FF2B5EF4-FFF2-40B4-BE49-F238E27FC236}">
              <a16:creationId xmlns:a16="http://schemas.microsoft.com/office/drawing/2014/main" id="{00000000-0008-0000-05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30" name="Object -1019" hidden="1">
          <a:extLst>
            <a:ext uri="{FF2B5EF4-FFF2-40B4-BE49-F238E27FC236}">
              <a16:creationId xmlns:a16="http://schemas.microsoft.com/office/drawing/2014/main" id="{00000000-0008-0000-05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31" name="Object -1018" hidden="1">
          <a:extLst>
            <a:ext uri="{FF2B5EF4-FFF2-40B4-BE49-F238E27FC236}">
              <a16:creationId xmlns:a16="http://schemas.microsoft.com/office/drawing/2014/main" id="{00000000-0008-0000-05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32" name="Object -1017" hidden="1">
          <a:extLst>
            <a:ext uri="{FF2B5EF4-FFF2-40B4-BE49-F238E27FC236}">
              <a16:creationId xmlns:a16="http://schemas.microsoft.com/office/drawing/2014/main" id="{00000000-0008-0000-05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33" name="Object -1016" hidden="1">
          <a:extLst>
            <a:ext uri="{FF2B5EF4-FFF2-40B4-BE49-F238E27FC236}">
              <a16:creationId xmlns:a16="http://schemas.microsoft.com/office/drawing/2014/main" id="{00000000-0008-0000-05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34" name="Object -1013" hidden="1">
          <a:extLst>
            <a:ext uri="{FF2B5EF4-FFF2-40B4-BE49-F238E27FC236}">
              <a16:creationId xmlns:a16="http://schemas.microsoft.com/office/drawing/2014/main" id="{00000000-0008-0000-05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35" name="Object -1012" hidden="1">
          <a:extLst>
            <a:ext uri="{FF2B5EF4-FFF2-40B4-BE49-F238E27FC236}">
              <a16:creationId xmlns:a16="http://schemas.microsoft.com/office/drawing/2014/main" id="{00000000-0008-0000-05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36" name="Object -1011" hidden="1">
          <a:extLst>
            <a:ext uri="{FF2B5EF4-FFF2-40B4-BE49-F238E27FC236}">
              <a16:creationId xmlns:a16="http://schemas.microsoft.com/office/drawing/2014/main" id="{00000000-0008-0000-05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37" name="Object -1010" hidden="1">
          <a:extLst>
            <a:ext uri="{FF2B5EF4-FFF2-40B4-BE49-F238E27FC236}">
              <a16:creationId xmlns:a16="http://schemas.microsoft.com/office/drawing/2014/main" id="{00000000-0008-0000-05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38" name="Object -1009" hidden="1">
          <a:extLst>
            <a:ext uri="{FF2B5EF4-FFF2-40B4-BE49-F238E27FC236}">
              <a16:creationId xmlns:a16="http://schemas.microsoft.com/office/drawing/2014/main" id="{00000000-0008-0000-05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39" name="Object -1008" hidden="1">
          <a:extLst>
            <a:ext uri="{FF2B5EF4-FFF2-40B4-BE49-F238E27FC236}">
              <a16:creationId xmlns:a16="http://schemas.microsoft.com/office/drawing/2014/main" id="{00000000-0008-0000-05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40" name="Object -1007" hidden="1">
          <a:extLst>
            <a:ext uri="{FF2B5EF4-FFF2-40B4-BE49-F238E27FC236}">
              <a16:creationId xmlns:a16="http://schemas.microsoft.com/office/drawing/2014/main" id="{00000000-0008-0000-05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41" name="Object -1006" hidden="1">
          <a:extLst>
            <a:ext uri="{FF2B5EF4-FFF2-40B4-BE49-F238E27FC236}">
              <a16:creationId xmlns:a16="http://schemas.microsoft.com/office/drawing/2014/main" id="{00000000-0008-0000-05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42" name="Object -1005" hidden="1">
          <a:extLst>
            <a:ext uri="{FF2B5EF4-FFF2-40B4-BE49-F238E27FC236}">
              <a16:creationId xmlns:a16="http://schemas.microsoft.com/office/drawing/2014/main" id="{00000000-0008-0000-05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43" name="Object -1022" hidden="1">
          <a:extLst>
            <a:ext uri="{FF2B5EF4-FFF2-40B4-BE49-F238E27FC236}">
              <a16:creationId xmlns:a16="http://schemas.microsoft.com/office/drawing/2014/main" id="{00000000-0008-0000-05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44" name="Object -1021" hidden="1">
          <a:extLst>
            <a:ext uri="{FF2B5EF4-FFF2-40B4-BE49-F238E27FC236}">
              <a16:creationId xmlns:a16="http://schemas.microsoft.com/office/drawing/2014/main" id="{00000000-0008-0000-05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45" name="Object -1020" hidden="1">
          <a:extLst>
            <a:ext uri="{FF2B5EF4-FFF2-40B4-BE49-F238E27FC236}">
              <a16:creationId xmlns:a16="http://schemas.microsoft.com/office/drawing/2014/main" id="{00000000-0008-0000-05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46" name="Object -1019" hidden="1">
          <a:extLst>
            <a:ext uri="{FF2B5EF4-FFF2-40B4-BE49-F238E27FC236}">
              <a16:creationId xmlns:a16="http://schemas.microsoft.com/office/drawing/2014/main" id="{00000000-0008-0000-05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47" name="Object -1018" hidden="1">
          <a:extLst>
            <a:ext uri="{FF2B5EF4-FFF2-40B4-BE49-F238E27FC236}">
              <a16:creationId xmlns:a16="http://schemas.microsoft.com/office/drawing/2014/main" id="{00000000-0008-0000-05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48" name="Object -1017" hidden="1">
          <a:extLst>
            <a:ext uri="{FF2B5EF4-FFF2-40B4-BE49-F238E27FC236}">
              <a16:creationId xmlns:a16="http://schemas.microsoft.com/office/drawing/2014/main" id="{00000000-0008-0000-05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49" name="Object -1016" hidden="1">
          <a:extLst>
            <a:ext uri="{FF2B5EF4-FFF2-40B4-BE49-F238E27FC236}">
              <a16:creationId xmlns:a16="http://schemas.microsoft.com/office/drawing/2014/main" id="{00000000-0008-0000-05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0" name="Object -1013" hidden="1">
          <a:extLst>
            <a:ext uri="{FF2B5EF4-FFF2-40B4-BE49-F238E27FC236}">
              <a16:creationId xmlns:a16="http://schemas.microsoft.com/office/drawing/2014/main" id="{00000000-0008-0000-05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1" name="Object -1012" hidden="1">
          <a:extLst>
            <a:ext uri="{FF2B5EF4-FFF2-40B4-BE49-F238E27FC236}">
              <a16:creationId xmlns:a16="http://schemas.microsoft.com/office/drawing/2014/main" id="{00000000-0008-0000-05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2" name="Object -1011" hidden="1">
          <a:extLst>
            <a:ext uri="{FF2B5EF4-FFF2-40B4-BE49-F238E27FC236}">
              <a16:creationId xmlns:a16="http://schemas.microsoft.com/office/drawing/2014/main" id="{00000000-0008-0000-05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3" name="Object -1010" hidden="1">
          <a:extLst>
            <a:ext uri="{FF2B5EF4-FFF2-40B4-BE49-F238E27FC236}">
              <a16:creationId xmlns:a16="http://schemas.microsoft.com/office/drawing/2014/main" id="{00000000-0008-0000-05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4" name="Object -1009" hidden="1">
          <a:extLst>
            <a:ext uri="{FF2B5EF4-FFF2-40B4-BE49-F238E27FC236}">
              <a16:creationId xmlns:a16="http://schemas.microsoft.com/office/drawing/2014/main" id="{00000000-0008-0000-05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5" name="Object -1008" hidden="1">
          <a:extLst>
            <a:ext uri="{FF2B5EF4-FFF2-40B4-BE49-F238E27FC236}">
              <a16:creationId xmlns:a16="http://schemas.microsoft.com/office/drawing/2014/main" id="{00000000-0008-0000-05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6" name="Object -1007" hidden="1">
          <a:extLst>
            <a:ext uri="{FF2B5EF4-FFF2-40B4-BE49-F238E27FC236}">
              <a16:creationId xmlns:a16="http://schemas.microsoft.com/office/drawing/2014/main" id="{00000000-0008-0000-05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7" name="Object -1006" hidden="1">
          <a:extLst>
            <a:ext uri="{FF2B5EF4-FFF2-40B4-BE49-F238E27FC236}">
              <a16:creationId xmlns:a16="http://schemas.microsoft.com/office/drawing/2014/main" id="{00000000-0008-0000-05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8" name="Object -1005" hidden="1">
          <a:extLst>
            <a:ext uri="{FF2B5EF4-FFF2-40B4-BE49-F238E27FC236}">
              <a16:creationId xmlns:a16="http://schemas.microsoft.com/office/drawing/2014/main" id="{00000000-0008-0000-05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59" name="Object -1022" hidden="1">
          <a:extLst>
            <a:ext uri="{FF2B5EF4-FFF2-40B4-BE49-F238E27FC236}">
              <a16:creationId xmlns:a16="http://schemas.microsoft.com/office/drawing/2014/main" id="{00000000-0008-0000-05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60" name="Object -1021" hidden="1">
          <a:extLst>
            <a:ext uri="{FF2B5EF4-FFF2-40B4-BE49-F238E27FC236}">
              <a16:creationId xmlns:a16="http://schemas.microsoft.com/office/drawing/2014/main" id="{00000000-0008-0000-05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61" name="Object -1020" hidden="1">
          <a:extLst>
            <a:ext uri="{FF2B5EF4-FFF2-40B4-BE49-F238E27FC236}">
              <a16:creationId xmlns:a16="http://schemas.microsoft.com/office/drawing/2014/main" id="{00000000-0008-0000-05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62" name="Object -1019" hidden="1">
          <a:extLst>
            <a:ext uri="{FF2B5EF4-FFF2-40B4-BE49-F238E27FC236}">
              <a16:creationId xmlns:a16="http://schemas.microsoft.com/office/drawing/2014/main" id="{00000000-0008-0000-05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63" name="Object -1018" hidden="1">
          <a:extLst>
            <a:ext uri="{FF2B5EF4-FFF2-40B4-BE49-F238E27FC236}">
              <a16:creationId xmlns:a16="http://schemas.microsoft.com/office/drawing/2014/main" id="{00000000-0008-0000-05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64" name="Object -1017" hidden="1">
          <a:extLst>
            <a:ext uri="{FF2B5EF4-FFF2-40B4-BE49-F238E27FC236}">
              <a16:creationId xmlns:a16="http://schemas.microsoft.com/office/drawing/2014/main" id="{00000000-0008-0000-05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65" name="Object -1016" hidden="1">
          <a:extLst>
            <a:ext uri="{FF2B5EF4-FFF2-40B4-BE49-F238E27FC236}">
              <a16:creationId xmlns:a16="http://schemas.microsoft.com/office/drawing/2014/main" id="{00000000-0008-0000-05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66" name="Object -1013" hidden="1">
          <a:extLst>
            <a:ext uri="{FF2B5EF4-FFF2-40B4-BE49-F238E27FC236}">
              <a16:creationId xmlns:a16="http://schemas.microsoft.com/office/drawing/2014/main" id="{00000000-0008-0000-05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67" name="Object -1012" hidden="1">
          <a:extLst>
            <a:ext uri="{FF2B5EF4-FFF2-40B4-BE49-F238E27FC236}">
              <a16:creationId xmlns:a16="http://schemas.microsoft.com/office/drawing/2014/main" id="{00000000-0008-0000-05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68" name="Object -1011" hidden="1">
          <a:extLst>
            <a:ext uri="{FF2B5EF4-FFF2-40B4-BE49-F238E27FC236}">
              <a16:creationId xmlns:a16="http://schemas.microsoft.com/office/drawing/2014/main" id="{00000000-0008-0000-05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69" name="Object -1010" hidden="1">
          <a:extLst>
            <a:ext uri="{FF2B5EF4-FFF2-40B4-BE49-F238E27FC236}">
              <a16:creationId xmlns:a16="http://schemas.microsoft.com/office/drawing/2014/main" id="{00000000-0008-0000-05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70" name="Object -1009" hidden="1">
          <a:extLst>
            <a:ext uri="{FF2B5EF4-FFF2-40B4-BE49-F238E27FC236}">
              <a16:creationId xmlns:a16="http://schemas.microsoft.com/office/drawing/2014/main" id="{00000000-0008-0000-05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71" name="Object -1008" hidden="1">
          <a:extLst>
            <a:ext uri="{FF2B5EF4-FFF2-40B4-BE49-F238E27FC236}">
              <a16:creationId xmlns:a16="http://schemas.microsoft.com/office/drawing/2014/main" id="{00000000-0008-0000-05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72" name="Object -1007" hidden="1">
          <a:extLst>
            <a:ext uri="{FF2B5EF4-FFF2-40B4-BE49-F238E27FC236}">
              <a16:creationId xmlns:a16="http://schemas.microsoft.com/office/drawing/2014/main" id="{00000000-0008-0000-05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73" name="Object -1006" hidden="1">
          <a:extLst>
            <a:ext uri="{FF2B5EF4-FFF2-40B4-BE49-F238E27FC236}">
              <a16:creationId xmlns:a16="http://schemas.microsoft.com/office/drawing/2014/main" id="{00000000-0008-0000-05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74" name="Object -1005" hidden="1">
          <a:extLst>
            <a:ext uri="{FF2B5EF4-FFF2-40B4-BE49-F238E27FC236}">
              <a16:creationId xmlns:a16="http://schemas.microsoft.com/office/drawing/2014/main" id="{00000000-0008-0000-05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75" name="Object -1022" hidden="1">
          <a:extLst>
            <a:ext uri="{FF2B5EF4-FFF2-40B4-BE49-F238E27FC236}">
              <a16:creationId xmlns:a16="http://schemas.microsoft.com/office/drawing/2014/main" id="{00000000-0008-0000-05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76" name="Object -1021" hidden="1">
          <a:extLst>
            <a:ext uri="{FF2B5EF4-FFF2-40B4-BE49-F238E27FC236}">
              <a16:creationId xmlns:a16="http://schemas.microsoft.com/office/drawing/2014/main" id="{00000000-0008-0000-05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77" name="Object -1020" hidden="1">
          <a:extLst>
            <a:ext uri="{FF2B5EF4-FFF2-40B4-BE49-F238E27FC236}">
              <a16:creationId xmlns:a16="http://schemas.microsoft.com/office/drawing/2014/main" id="{00000000-0008-0000-05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78" name="Object -1019" hidden="1">
          <a:extLst>
            <a:ext uri="{FF2B5EF4-FFF2-40B4-BE49-F238E27FC236}">
              <a16:creationId xmlns:a16="http://schemas.microsoft.com/office/drawing/2014/main" id="{00000000-0008-0000-05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79" name="Object -1018" hidden="1">
          <a:extLst>
            <a:ext uri="{FF2B5EF4-FFF2-40B4-BE49-F238E27FC236}">
              <a16:creationId xmlns:a16="http://schemas.microsoft.com/office/drawing/2014/main" id="{00000000-0008-0000-05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80" name="Object -1017" hidden="1">
          <a:extLst>
            <a:ext uri="{FF2B5EF4-FFF2-40B4-BE49-F238E27FC236}">
              <a16:creationId xmlns:a16="http://schemas.microsoft.com/office/drawing/2014/main" id="{00000000-0008-0000-05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81" name="Object -1016" hidden="1">
          <a:extLst>
            <a:ext uri="{FF2B5EF4-FFF2-40B4-BE49-F238E27FC236}">
              <a16:creationId xmlns:a16="http://schemas.microsoft.com/office/drawing/2014/main" id="{00000000-0008-0000-05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82" name="Object -1013" hidden="1">
          <a:extLst>
            <a:ext uri="{FF2B5EF4-FFF2-40B4-BE49-F238E27FC236}">
              <a16:creationId xmlns:a16="http://schemas.microsoft.com/office/drawing/2014/main" id="{00000000-0008-0000-05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83" name="Object -1012" hidden="1">
          <a:extLst>
            <a:ext uri="{FF2B5EF4-FFF2-40B4-BE49-F238E27FC236}">
              <a16:creationId xmlns:a16="http://schemas.microsoft.com/office/drawing/2014/main" id="{00000000-0008-0000-05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84" name="Object -1011" hidden="1">
          <a:extLst>
            <a:ext uri="{FF2B5EF4-FFF2-40B4-BE49-F238E27FC236}">
              <a16:creationId xmlns:a16="http://schemas.microsoft.com/office/drawing/2014/main" id="{00000000-0008-0000-05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85" name="Object -1010" hidden="1">
          <a:extLst>
            <a:ext uri="{FF2B5EF4-FFF2-40B4-BE49-F238E27FC236}">
              <a16:creationId xmlns:a16="http://schemas.microsoft.com/office/drawing/2014/main" id="{00000000-0008-0000-05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86" name="Object -1009" hidden="1">
          <a:extLst>
            <a:ext uri="{FF2B5EF4-FFF2-40B4-BE49-F238E27FC236}">
              <a16:creationId xmlns:a16="http://schemas.microsoft.com/office/drawing/2014/main" id="{00000000-0008-0000-05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87" name="Object -1008" hidden="1">
          <a:extLst>
            <a:ext uri="{FF2B5EF4-FFF2-40B4-BE49-F238E27FC236}">
              <a16:creationId xmlns:a16="http://schemas.microsoft.com/office/drawing/2014/main" id="{00000000-0008-0000-05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88" name="Object -1007" hidden="1">
          <a:extLst>
            <a:ext uri="{FF2B5EF4-FFF2-40B4-BE49-F238E27FC236}">
              <a16:creationId xmlns:a16="http://schemas.microsoft.com/office/drawing/2014/main" id="{00000000-0008-0000-05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89" name="Object -1006" hidden="1">
          <a:extLst>
            <a:ext uri="{FF2B5EF4-FFF2-40B4-BE49-F238E27FC236}">
              <a16:creationId xmlns:a16="http://schemas.microsoft.com/office/drawing/2014/main" id="{00000000-0008-0000-05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90" name="Object -1005" hidden="1">
          <a:extLst>
            <a:ext uri="{FF2B5EF4-FFF2-40B4-BE49-F238E27FC236}">
              <a16:creationId xmlns:a16="http://schemas.microsoft.com/office/drawing/2014/main" id="{00000000-0008-0000-05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91" name="Object -1022" hidden="1">
          <a:extLst>
            <a:ext uri="{FF2B5EF4-FFF2-40B4-BE49-F238E27FC236}">
              <a16:creationId xmlns:a16="http://schemas.microsoft.com/office/drawing/2014/main" id="{00000000-0008-0000-05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92" name="Object -1021" hidden="1">
          <a:extLst>
            <a:ext uri="{FF2B5EF4-FFF2-40B4-BE49-F238E27FC236}">
              <a16:creationId xmlns:a16="http://schemas.microsoft.com/office/drawing/2014/main" id="{00000000-0008-0000-05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93" name="Object -1020" hidden="1">
          <a:extLst>
            <a:ext uri="{FF2B5EF4-FFF2-40B4-BE49-F238E27FC236}">
              <a16:creationId xmlns:a16="http://schemas.microsoft.com/office/drawing/2014/main" id="{00000000-0008-0000-05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94" name="Object -1019" hidden="1">
          <a:extLst>
            <a:ext uri="{FF2B5EF4-FFF2-40B4-BE49-F238E27FC236}">
              <a16:creationId xmlns:a16="http://schemas.microsoft.com/office/drawing/2014/main" id="{00000000-0008-0000-05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95" name="Object -1018" hidden="1">
          <a:extLst>
            <a:ext uri="{FF2B5EF4-FFF2-40B4-BE49-F238E27FC236}">
              <a16:creationId xmlns:a16="http://schemas.microsoft.com/office/drawing/2014/main" id="{00000000-0008-0000-05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96" name="Object -1017" hidden="1">
          <a:extLst>
            <a:ext uri="{FF2B5EF4-FFF2-40B4-BE49-F238E27FC236}">
              <a16:creationId xmlns:a16="http://schemas.microsoft.com/office/drawing/2014/main" id="{00000000-0008-0000-05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97" name="Object -1016" hidden="1">
          <a:extLst>
            <a:ext uri="{FF2B5EF4-FFF2-40B4-BE49-F238E27FC236}">
              <a16:creationId xmlns:a16="http://schemas.microsoft.com/office/drawing/2014/main" id="{00000000-0008-0000-05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298" name="Object -1013" hidden="1">
          <a:extLst>
            <a:ext uri="{FF2B5EF4-FFF2-40B4-BE49-F238E27FC236}">
              <a16:creationId xmlns:a16="http://schemas.microsoft.com/office/drawing/2014/main" id="{00000000-0008-0000-05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299" name="Object -1012" hidden="1">
          <a:extLst>
            <a:ext uri="{FF2B5EF4-FFF2-40B4-BE49-F238E27FC236}">
              <a16:creationId xmlns:a16="http://schemas.microsoft.com/office/drawing/2014/main" id="{00000000-0008-0000-05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00" name="Object -1011" hidden="1">
          <a:extLst>
            <a:ext uri="{FF2B5EF4-FFF2-40B4-BE49-F238E27FC236}">
              <a16:creationId xmlns:a16="http://schemas.microsoft.com/office/drawing/2014/main" id="{00000000-0008-0000-05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01" name="Object -1010" hidden="1">
          <a:extLst>
            <a:ext uri="{FF2B5EF4-FFF2-40B4-BE49-F238E27FC236}">
              <a16:creationId xmlns:a16="http://schemas.microsoft.com/office/drawing/2014/main" id="{00000000-0008-0000-05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02" name="Object -1009" hidden="1">
          <a:extLst>
            <a:ext uri="{FF2B5EF4-FFF2-40B4-BE49-F238E27FC236}">
              <a16:creationId xmlns:a16="http://schemas.microsoft.com/office/drawing/2014/main" id="{00000000-0008-0000-05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03" name="Object -1008" hidden="1">
          <a:extLst>
            <a:ext uri="{FF2B5EF4-FFF2-40B4-BE49-F238E27FC236}">
              <a16:creationId xmlns:a16="http://schemas.microsoft.com/office/drawing/2014/main" id="{00000000-0008-0000-05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04" name="Object -1007" hidden="1">
          <a:extLst>
            <a:ext uri="{FF2B5EF4-FFF2-40B4-BE49-F238E27FC236}">
              <a16:creationId xmlns:a16="http://schemas.microsoft.com/office/drawing/2014/main" id="{00000000-0008-0000-05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05" name="Object -1006" hidden="1">
          <a:extLst>
            <a:ext uri="{FF2B5EF4-FFF2-40B4-BE49-F238E27FC236}">
              <a16:creationId xmlns:a16="http://schemas.microsoft.com/office/drawing/2014/main" id="{00000000-0008-0000-05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06" name="Object -1005" hidden="1">
          <a:extLst>
            <a:ext uri="{FF2B5EF4-FFF2-40B4-BE49-F238E27FC236}">
              <a16:creationId xmlns:a16="http://schemas.microsoft.com/office/drawing/2014/main" id="{00000000-0008-0000-05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07" name="Object -1022" hidden="1">
          <a:extLst>
            <a:ext uri="{FF2B5EF4-FFF2-40B4-BE49-F238E27FC236}">
              <a16:creationId xmlns:a16="http://schemas.microsoft.com/office/drawing/2014/main" id="{00000000-0008-0000-05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08" name="Object -1021" hidden="1">
          <a:extLst>
            <a:ext uri="{FF2B5EF4-FFF2-40B4-BE49-F238E27FC236}">
              <a16:creationId xmlns:a16="http://schemas.microsoft.com/office/drawing/2014/main" id="{00000000-0008-0000-05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09" name="Object -1020" hidden="1">
          <a:extLst>
            <a:ext uri="{FF2B5EF4-FFF2-40B4-BE49-F238E27FC236}">
              <a16:creationId xmlns:a16="http://schemas.microsoft.com/office/drawing/2014/main" id="{00000000-0008-0000-05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10" name="Object -1019" hidden="1">
          <a:extLst>
            <a:ext uri="{FF2B5EF4-FFF2-40B4-BE49-F238E27FC236}">
              <a16:creationId xmlns:a16="http://schemas.microsoft.com/office/drawing/2014/main" id="{00000000-0008-0000-05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11" name="Object -1018" hidden="1">
          <a:extLst>
            <a:ext uri="{FF2B5EF4-FFF2-40B4-BE49-F238E27FC236}">
              <a16:creationId xmlns:a16="http://schemas.microsoft.com/office/drawing/2014/main" id="{00000000-0008-0000-05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12" name="Object -1017" hidden="1">
          <a:extLst>
            <a:ext uri="{FF2B5EF4-FFF2-40B4-BE49-F238E27FC236}">
              <a16:creationId xmlns:a16="http://schemas.microsoft.com/office/drawing/2014/main" id="{00000000-0008-0000-05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13" name="Object -1016" hidden="1">
          <a:extLst>
            <a:ext uri="{FF2B5EF4-FFF2-40B4-BE49-F238E27FC236}">
              <a16:creationId xmlns:a16="http://schemas.microsoft.com/office/drawing/2014/main" id="{00000000-0008-0000-05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14" name="Object -1013" hidden="1">
          <a:extLst>
            <a:ext uri="{FF2B5EF4-FFF2-40B4-BE49-F238E27FC236}">
              <a16:creationId xmlns:a16="http://schemas.microsoft.com/office/drawing/2014/main" id="{00000000-0008-0000-05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15" name="Object -1012" hidden="1">
          <a:extLst>
            <a:ext uri="{FF2B5EF4-FFF2-40B4-BE49-F238E27FC236}">
              <a16:creationId xmlns:a16="http://schemas.microsoft.com/office/drawing/2014/main" id="{00000000-0008-0000-05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16" name="Object -1011" hidden="1">
          <a:extLst>
            <a:ext uri="{FF2B5EF4-FFF2-40B4-BE49-F238E27FC236}">
              <a16:creationId xmlns:a16="http://schemas.microsoft.com/office/drawing/2014/main" id="{00000000-0008-0000-05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17" name="Object -1010" hidden="1">
          <a:extLst>
            <a:ext uri="{FF2B5EF4-FFF2-40B4-BE49-F238E27FC236}">
              <a16:creationId xmlns:a16="http://schemas.microsoft.com/office/drawing/2014/main" id="{00000000-0008-0000-05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18" name="Object -1009" hidden="1">
          <a:extLst>
            <a:ext uri="{FF2B5EF4-FFF2-40B4-BE49-F238E27FC236}">
              <a16:creationId xmlns:a16="http://schemas.microsoft.com/office/drawing/2014/main" id="{00000000-0008-0000-05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19" name="Object -1008" hidden="1">
          <a:extLst>
            <a:ext uri="{FF2B5EF4-FFF2-40B4-BE49-F238E27FC236}">
              <a16:creationId xmlns:a16="http://schemas.microsoft.com/office/drawing/2014/main" id="{00000000-0008-0000-05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20" name="Object -1007" hidden="1">
          <a:extLst>
            <a:ext uri="{FF2B5EF4-FFF2-40B4-BE49-F238E27FC236}">
              <a16:creationId xmlns:a16="http://schemas.microsoft.com/office/drawing/2014/main" id="{00000000-0008-0000-05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21" name="Object -1006" hidden="1">
          <a:extLst>
            <a:ext uri="{FF2B5EF4-FFF2-40B4-BE49-F238E27FC236}">
              <a16:creationId xmlns:a16="http://schemas.microsoft.com/office/drawing/2014/main" id="{00000000-0008-0000-05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22" name="Object -1005" hidden="1">
          <a:extLst>
            <a:ext uri="{FF2B5EF4-FFF2-40B4-BE49-F238E27FC236}">
              <a16:creationId xmlns:a16="http://schemas.microsoft.com/office/drawing/2014/main" id="{00000000-0008-0000-05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23" name="Object -1022" hidden="1">
          <a:extLst>
            <a:ext uri="{FF2B5EF4-FFF2-40B4-BE49-F238E27FC236}">
              <a16:creationId xmlns:a16="http://schemas.microsoft.com/office/drawing/2014/main" id="{00000000-0008-0000-05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24" name="Object -1021" hidden="1">
          <a:extLst>
            <a:ext uri="{FF2B5EF4-FFF2-40B4-BE49-F238E27FC236}">
              <a16:creationId xmlns:a16="http://schemas.microsoft.com/office/drawing/2014/main" id="{00000000-0008-0000-05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25" name="Object -1020" hidden="1">
          <a:extLst>
            <a:ext uri="{FF2B5EF4-FFF2-40B4-BE49-F238E27FC236}">
              <a16:creationId xmlns:a16="http://schemas.microsoft.com/office/drawing/2014/main" id="{00000000-0008-0000-05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26" name="Object -1019" hidden="1">
          <a:extLst>
            <a:ext uri="{FF2B5EF4-FFF2-40B4-BE49-F238E27FC236}">
              <a16:creationId xmlns:a16="http://schemas.microsoft.com/office/drawing/2014/main" id="{00000000-0008-0000-05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27" name="Object -1018" hidden="1">
          <a:extLst>
            <a:ext uri="{FF2B5EF4-FFF2-40B4-BE49-F238E27FC236}">
              <a16:creationId xmlns:a16="http://schemas.microsoft.com/office/drawing/2014/main" id="{00000000-0008-0000-05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28" name="Object -1017" hidden="1">
          <a:extLst>
            <a:ext uri="{FF2B5EF4-FFF2-40B4-BE49-F238E27FC236}">
              <a16:creationId xmlns:a16="http://schemas.microsoft.com/office/drawing/2014/main" id="{00000000-0008-0000-05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29" name="Object -1016" hidden="1">
          <a:extLst>
            <a:ext uri="{FF2B5EF4-FFF2-40B4-BE49-F238E27FC236}">
              <a16:creationId xmlns:a16="http://schemas.microsoft.com/office/drawing/2014/main" id="{00000000-0008-0000-05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0" name="Object -1013" hidden="1">
          <a:extLst>
            <a:ext uri="{FF2B5EF4-FFF2-40B4-BE49-F238E27FC236}">
              <a16:creationId xmlns:a16="http://schemas.microsoft.com/office/drawing/2014/main" id="{00000000-0008-0000-05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1" name="Object -1012" hidden="1">
          <a:extLst>
            <a:ext uri="{FF2B5EF4-FFF2-40B4-BE49-F238E27FC236}">
              <a16:creationId xmlns:a16="http://schemas.microsoft.com/office/drawing/2014/main" id="{00000000-0008-0000-05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2" name="Object -1011" hidden="1">
          <a:extLst>
            <a:ext uri="{FF2B5EF4-FFF2-40B4-BE49-F238E27FC236}">
              <a16:creationId xmlns:a16="http://schemas.microsoft.com/office/drawing/2014/main" id="{00000000-0008-0000-05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3" name="Object -1010" hidden="1">
          <a:extLst>
            <a:ext uri="{FF2B5EF4-FFF2-40B4-BE49-F238E27FC236}">
              <a16:creationId xmlns:a16="http://schemas.microsoft.com/office/drawing/2014/main" id="{00000000-0008-0000-05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4" name="Object -1009" hidden="1">
          <a:extLst>
            <a:ext uri="{FF2B5EF4-FFF2-40B4-BE49-F238E27FC236}">
              <a16:creationId xmlns:a16="http://schemas.microsoft.com/office/drawing/2014/main" id="{00000000-0008-0000-05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5" name="Object -1008" hidden="1">
          <a:extLst>
            <a:ext uri="{FF2B5EF4-FFF2-40B4-BE49-F238E27FC236}">
              <a16:creationId xmlns:a16="http://schemas.microsoft.com/office/drawing/2014/main" id="{00000000-0008-0000-05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6" name="Object -1007" hidden="1">
          <a:extLst>
            <a:ext uri="{FF2B5EF4-FFF2-40B4-BE49-F238E27FC236}">
              <a16:creationId xmlns:a16="http://schemas.microsoft.com/office/drawing/2014/main" id="{00000000-0008-0000-05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7" name="Object -1006" hidden="1">
          <a:extLst>
            <a:ext uri="{FF2B5EF4-FFF2-40B4-BE49-F238E27FC236}">
              <a16:creationId xmlns:a16="http://schemas.microsoft.com/office/drawing/2014/main" id="{00000000-0008-0000-05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8" name="Object -1005" hidden="1">
          <a:extLst>
            <a:ext uri="{FF2B5EF4-FFF2-40B4-BE49-F238E27FC236}">
              <a16:creationId xmlns:a16="http://schemas.microsoft.com/office/drawing/2014/main" id="{00000000-0008-0000-05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39" name="Object -1022" hidden="1">
          <a:extLst>
            <a:ext uri="{FF2B5EF4-FFF2-40B4-BE49-F238E27FC236}">
              <a16:creationId xmlns:a16="http://schemas.microsoft.com/office/drawing/2014/main" id="{00000000-0008-0000-05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40" name="Object -1021" hidden="1">
          <a:extLst>
            <a:ext uri="{FF2B5EF4-FFF2-40B4-BE49-F238E27FC236}">
              <a16:creationId xmlns:a16="http://schemas.microsoft.com/office/drawing/2014/main" id="{00000000-0008-0000-05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41" name="Object -1020" hidden="1">
          <a:extLst>
            <a:ext uri="{FF2B5EF4-FFF2-40B4-BE49-F238E27FC236}">
              <a16:creationId xmlns:a16="http://schemas.microsoft.com/office/drawing/2014/main" id="{00000000-0008-0000-05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42" name="Object -1019" hidden="1">
          <a:extLst>
            <a:ext uri="{FF2B5EF4-FFF2-40B4-BE49-F238E27FC236}">
              <a16:creationId xmlns:a16="http://schemas.microsoft.com/office/drawing/2014/main" id="{00000000-0008-0000-05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43" name="Object -1018" hidden="1">
          <a:extLst>
            <a:ext uri="{FF2B5EF4-FFF2-40B4-BE49-F238E27FC236}">
              <a16:creationId xmlns:a16="http://schemas.microsoft.com/office/drawing/2014/main" id="{00000000-0008-0000-05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44" name="Object -1017" hidden="1">
          <a:extLst>
            <a:ext uri="{FF2B5EF4-FFF2-40B4-BE49-F238E27FC236}">
              <a16:creationId xmlns:a16="http://schemas.microsoft.com/office/drawing/2014/main" id="{00000000-0008-0000-05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45" name="Object -1016" hidden="1">
          <a:extLst>
            <a:ext uri="{FF2B5EF4-FFF2-40B4-BE49-F238E27FC236}">
              <a16:creationId xmlns:a16="http://schemas.microsoft.com/office/drawing/2014/main" id="{00000000-0008-0000-05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46" name="Object -1013" hidden="1">
          <a:extLst>
            <a:ext uri="{FF2B5EF4-FFF2-40B4-BE49-F238E27FC236}">
              <a16:creationId xmlns:a16="http://schemas.microsoft.com/office/drawing/2014/main" id="{00000000-0008-0000-05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47" name="Object -1012" hidden="1">
          <a:extLst>
            <a:ext uri="{FF2B5EF4-FFF2-40B4-BE49-F238E27FC236}">
              <a16:creationId xmlns:a16="http://schemas.microsoft.com/office/drawing/2014/main" id="{00000000-0008-0000-05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48" name="Object -1011" hidden="1">
          <a:extLst>
            <a:ext uri="{FF2B5EF4-FFF2-40B4-BE49-F238E27FC236}">
              <a16:creationId xmlns:a16="http://schemas.microsoft.com/office/drawing/2014/main" id="{00000000-0008-0000-05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49" name="Object -1010" hidden="1">
          <a:extLst>
            <a:ext uri="{FF2B5EF4-FFF2-40B4-BE49-F238E27FC236}">
              <a16:creationId xmlns:a16="http://schemas.microsoft.com/office/drawing/2014/main" id="{00000000-0008-0000-05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50" name="Object -1009" hidden="1">
          <a:extLst>
            <a:ext uri="{FF2B5EF4-FFF2-40B4-BE49-F238E27FC236}">
              <a16:creationId xmlns:a16="http://schemas.microsoft.com/office/drawing/2014/main" id="{00000000-0008-0000-05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51" name="Object -1008" hidden="1">
          <a:extLst>
            <a:ext uri="{FF2B5EF4-FFF2-40B4-BE49-F238E27FC236}">
              <a16:creationId xmlns:a16="http://schemas.microsoft.com/office/drawing/2014/main" id="{00000000-0008-0000-05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52" name="Object -1007" hidden="1">
          <a:extLst>
            <a:ext uri="{FF2B5EF4-FFF2-40B4-BE49-F238E27FC236}">
              <a16:creationId xmlns:a16="http://schemas.microsoft.com/office/drawing/2014/main" id="{00000000-0008-0000-05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53" name="Object -1006" hidden="1">
          <a:extLst>
            <a:ext uri="{FF2B5EF4-FFF2-40B4-BE49-F238E27FC236}">
              <a16:creationId xmlns:a16="http://schemas.microsoft.com/office/drawing/2014/main" id="{00000000-0008-0000-05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54" name="Object -1005" hidden="1">
          <a:extLst>
            <a:ext uri="{FF2B5EF4-FFF2-40B4-BE49-F238E27FC236}">
              <a16:creationId xmlns:a16="http://schemas.microsoft.com/office/drawing/2014/main" id="{00000000-0008-0000-05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55" name="Object -1022" hidden="1">
          <a:extLst>
            <a:ext uri="{FF2B5EF4-FFF2-40B4-BE49-F238E27FC236}">
              <a16:creationId xmlns:a16="http://schemas.microsoft.com/office/drawing/2014/main" id="{00000000-0008-0000-05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56" name="Object -1021" hidden="1">
          <a:extLst>
            <a:ext uri="{FF2B5EF4-FFF2-40B4-BE49-F238E27FC236}">
              <a16:creationId xmlns:a16="http://schemas.microsoft.com/office/drawing/2014/main" id="{00000000-0008-0000-05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57" name="Object -1020" hidden="1">
          <a:extLst>
            <a:ext uri="{FF2B5EF4-FFF2-40B4-BE49-F238E27FC236}">
              <a16:creationId xmlns:a16="http://schemas.microsoft.com/office/drawing/2014/main" id="{00000000-0008-0000-05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58" name="Object -1019" hidden="1">
          <a:extLst>
            <a:ext uri="{FF2B5EF4-FFF2-40B4-BE49-F238E27FC236}">
              <a16:creationId xmlns:a16="http://schemas.microsoft.com/office/drawing/2014/main" id="{00000000-0008-0000-05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59" name="Object -1018" hidden="1">
          <a:extLst>
            <a:ext uri="{FF2B5EF4-FFF2-40B4-BE49-F238E27FC236}">
              <a16:creationId xmlns:a16="http://schemas.microsoft.com/office/drawing/2014/main" id="{00000000-0008-0000-05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60" name="Object -1017" hidden="1">
          <a:extLst>
            <a:ext uri="{FF2B5EF4-FFF2-40B4-BE49-F238E27FC236}">
              <a16:creationId xmlns:a16="http://schemas.microsoft.com/office/drawing/2014/main" id="{00000000-0008-0000-05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61" name="Object -1016" hidden="1">
          <a:extLst>
            <a:ext uri="{FF2B5EF4-FFF2-40B4-BE49-F238E27FC236}">
              <a16:creationId xmlns:a16="http://schemas.microsoft.com/office/drawing/2014/main" id="{00000000-0008-0000-05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62" name="Object -1013" hidden="1">
          <a:extLst>
            <a:ext uri="{FF2B5EF4-FFF2-40B4-BE49-F238E27FC236}">
              <a16:creationId xmlns:a16="http://schemas.microsoft.com/office/drawing/2014/main" id="{00000000-0008-0000-05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63" name="Object -1012" hidden="1">
          <a:extLst>
            <a:ext uri="{FF2B5EF4-FFF2-40B4-BE49-F238E27FC236}">
              <a16:creationId xmlns:a16="http://schemas.microsoft.com/office/drawing/2014/main" id="{00000000-0008-0000-05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64" name="Object -1011" hidden="1">
          <a:extLst>
            <a:ext uri="{FF2B5EF4-FFF2-40B4-BE49-F238E27FC236}">
              <a16:creationId xmlns:a16="http://schemas.microsoft.com/office/drawing/2014/main" id="{00000000-0008-0000-05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65" name="Object -1010" hidden="1">
          <a:extLst>
            <a:ext uri="{FF2B5EF4-FFF2-40B4-BE49-F238E27FC236}">
              <a16:creationId xmlns:a16="http://schemas.microsoft.com/office/drawing/2014/main" id="{00000000-0008-0000-05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66" name="Object -1009" hidden="1">
          <a:extLst>
            <a:ext uri="{FF2B5EF4-FFF2-40B4-BE49-F238E27FC236}">
              <a16:creationId xmlns:a16="http://schemas.microsoft.com/office/drawing/2014/main" id="{00000000-0008-0000-05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67" name="Object -1008" hidden="1">
          <a:extLst>
            <a:ext uri="{FF2B5EF4-FFF2-40B4-BE49-F238E27FC236}">
              <a16:creationId xmlns:a16="http://schemas.microsoft.com/office/drawing/2014/main" id="{00000000-0008-0000-05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68" name="Object -1007" hidden="1">
          <a:extLst>
            <a:ext uri="{FF2B5EF4-FFF2-40B4-BE49-F238E27FC236}">
              <a16:creationId xmlns:a16="http://schemas.microsoft.com/office/drawing/2014/main" id="{00000000-0008-0000-05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69" name="Object -1006" hidden="1">
          <a:extLst>
            <a:ext uri="{FF2B5EF4-FFF2-40B4-BE49-F238E27FC236}">
              <a16:creationId xmlns:a16="http://schemas.microsoft.com/office/drawing/2014/main" id="{00000000-0008-0000-05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70" name="Object -1005" hidden="1">
          <a:extLst>
            <a:ext uri="{FF2B5EF4-FFF2-40B4-BE49-F238E27FC236}">
              <a16:creationId xmlns:a16="http://schemas.microsoft.com/office/drawing/2014/main" id="{00000000-0008-0000-05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71" name="Object -1022" hidden="1">
          <a:extLst>
            <a:ext uri="{FF2B5EF4-FFF2-40B4-BE49-F238E27FC236}">
              <a16:creationId xmlns:a16="http://schemas.microsoft.com/office/drawing/2014/main" id="{00000000-0008-0000-05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72" name="Object -1021" hidden="1">
          <a:extLst>
            <a:ext uri="{FF2B5EF4-FFF2-40B4-BE49-F238E27FC236}">
              <a16:creationId xmlns:a16="http://schemas.microsoft.com/office/drawing/2014/main" id="{00000000-0008-0000-05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73" name="Object -1020" hidden="1">
          <a:extLst>
            <a:ext uri="{FF2B5EF4-FFF2-40B4-BE49-F238E27FC236}">
              <a16:creationId xmlns:a16="http://schemas.microsoft.com/office/drawing/2014/main" id="{00000000-0008-0000-05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74" name="Object -1019" hidden="1">
          <a:extLst>
            <a:ext uri="{FF2B5EF4-FFF2-40B4-BE49-F238E27FC236}">
              <a16:creationId xmlns:a16="http://schemas.microsoft.com/office/drawing/2014/main" id="{00000000-0008-0000-05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75" name="Object -1018" hidden="1">
          <a:extLst>
            <a:ext uri="{FF2B5EF4-FFF2-40B4-BE49-F238E27FC236}">
              <a16:creationId xmlns:a16="http://schemas.microsoft.com/office/drawing/2014/main" id="{00000000-0008-0000-05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76" name="Object -1017" hidden="1">
          <a:extLst>
            <a:ext uri="{FF2B5EF4-FFF2-40B4-BE49-F238E27FC236}">
              <a16:creationId xmlns:a16="http://schemas.microsoft.com/office/drawing/2014/main" id="{00000000-0008-0000-05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77" name="Object -1016" hidden="1">
          <a:extLst>
            <a:ext uri="{FF2B5EF4-FFF2-40B4-BE49-F238E27FC236}">
              <a16:creationId xmlns:a16="http://schemas.microsoft.com/office/drawing/2014/main" id="{00000000-0008-0000-05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78" name="Object -1013" hidden="1">
          <a:extLst>
            <a:ext uri="{FF2B5EF4-FFF2-40B4-BE49-F238E27FC236}">
              <a16:creationId xmlns:a16="http://schemas.microsoft.com/office/drawing/2014/main" id="{00000000-0008-0000-05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79" name="Object -1012" hidden="1">
          <a:extLst>
            <a:ext uri="{FF2B5EF4-FFF2-40B4-BE49-F238E27FC236}">
              <a16:creationId xmlns:a16="http://schemas.microsoft.com/office/drawing/2014/main" id="{00000000-0008-0000-05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80" name="Object -1011" hidden="1">
          <a:extLst>
            <a:ext uri="{FF2B5EF4-FFF2-40B4-BE49-F238E27FC236}">
              <a16:creationId xmlns:a16="http://schemas.microsoft.com/office/drawing/2014/main" id="{00000000-0008-0000-05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81" name="Object -1010" hidden="1">
          <a:extLst>
            <a:ext uri="{FF2B5EF4-FFF2-40B4-BE49-F238E27FC236}">
              <a16:creationId xmlns:a16="http://schemas.microsoft.com/office/drawing/2014/main" id="{00000000-0008-0000-05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82" name="Object -1009" hidden="1">
          <a:extLst>
            <a:ext uri="{FF2B5EF4-FFF2-40B4-BE49-F238E27FC236}">
              <a16:creationId xmlns:a16="http://schemas.microsoft.com/office/drawing/2014/main" id="{00000000-0008-0000-05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83" name="Object -1008" hidden="1">
          <a:extLst>
            <a:ext uri="{FF2B5EF4-FFF2-40B4-BE49-F238E27FC236}">
              <a16:creationId xmlns:a16="http://schemas.microsoft.com/office/drawing/2014/main" id="{00000000-0008-0000-05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84" name="Object -1007" hidden="1">
          <a:extLst>
            <a:ext uri="{FF2B5EF4-FFF2-40B4-BE49-F238E27FC236}">
              <a16:creationId xmlns:a16="http://schemas.microsoft.com/office/drawing/2014/main" id="{00000000-0008-0000-05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85" name="Object -1006" hidden="1">
          <a:extLst>
            <a:ext uri="{FF2B5EF4-FFF2-40B4-BE49-F238E27FC236}">
              <a16:creationId xmlns:a16="http://schemas.microsoft.com/office/drawing/2014/main" id="{00000000-0008-0000-05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86" name="Object -1005" hidden="1">
          <a:extLst>
            <a:ext uri="{FF2B5EF4-FFF2-40B4-BE49-F238E27FC236}">
              <a16:creationId xmlns:a16="http://schemas.microsoft.com/office/drawing/2014/main" id="{00000000-0008-0000-05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87" name="Object -1022" hidden="1">
          <a:extLst>
            <a:ext uri="{FF2B5EF4-FFF2-40B4-BE49-F238E27FC236}">
              <a16:creationId xmlns:a16="http://schemas.microsoft.com/office/drawing/2014/main" id="{00000000-0008-0000-05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88" name="Object -1021" hidden="1">
          <a:extLst>
            <a:ext uri="{FF2B5EF4-FFF2-40B4-BE49-F238E27FC236}">
              <a16:creationId xmlns:a16="http://schemas.microsoft.com/office/drawing/2014/main" id="{00000000-0008-0000-05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89" name="Object -1020" hidden="1">
          <a:extLst>
            <a:ext uri="{FF2B5EF4-FFF2-40B4-BE49-F238E27FC236}">
              <a16:creationId xmlns:a16="http://schemas.microsoft.com/office/drawing/2014/main" id="{00000000-0008-0000-05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90" name="Object -1019" hidden="1">
          <a:extLst>
            <a:ext uri="{FF2B5EF4-FFF2-40B4-BE49-F238E27FC236}">
              <a16:creationId xmlns:a16="http://schemas.microsoft.com/office/drawing/2014/main" id="{00000000-0008-0000-05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91" name="Object -1018" hidden="1">
          <a:extLst>
            <a:ext uri="{FF2B5EF4-FFF2-40B4-BE49-F238E27FC236}">
              <a16:creationId xmlns:a16="http://schemas.microsoft.com/office/drawing/2014/main" id="{00000000-0008-0000-05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92" name="Object -1017" hidden="1">
          <a:extLst>
            <a:ext uri="{FF2B5EF4-FFF2-40B4-BE49-F238E27FC236}">
              <a16:creationId xmlns:a16="http://schemas.microsoft.com/office/drawing/2014/main" id="{00000000-0008-0000-05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93" name="Object -1016" hidden="1">
          <a:extLst>
            <a:ext uri="{FF2B5EF4-FFF2-40B4-BE49-F238E27FC236}">
              <a16:creationId xmlns:a16="http://schemas.microsoft.com/office/drawing/2014/main" id="{00000000-0008-0000-05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94" name="Object -1013" hidden="1">
          <a:extLst>
            <a:ext uri="{FF2B5EF4-FFF2-40B4-BE49-F238E27FC236}">
              <a16:creationId xmlns:a16="http://schemas.microsoft.com/office/drawing/2014/main" id="{00000000-0008-0000-05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95" name="Object -1012" hidden="1">
          <a:extLst>
            <a:ext uri="{FF2B5EF4-FFF2-40B4-BE49-F238E27FC236}">
              <a16:creationId xmlns:a16="http://schemas.microsoft.com/office/drawing/2014/main" id="{00000000-0008-0000-05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96" name="Object -1011" hidden="1">
          <a:extLst>
            <a:ext uri="{FF2B5EF4-FFF2-40B4-BE49-F238E27FC236}">
              <a16:creationId xmlns:a16="http://schemas.microsoft.com/office/drawing/2014/main" id="{00000000-0008-0000-05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97" name="Object -1010" hidden="1">
          <a:extLst>
            <a:ext uri="{FF2B5EF4-FFF2-40B4-BE49-F238E27FC236}">
              <a16:creationId xmlns:a16="http://schemas.microsoft.com/office/drawing/2014/main" id="{00000000-0008-0000-05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98" name="Object -1009" hidden="1">
          <a:extLst>
            <a:ext uri="{FF2B5EF4-FFF2-40B4-BE49-F238E27FC236}">
              <a16:creationId xmlns:a16="http://schemas.microsoft.com/office/drawing/2014/main" id="{00000000-0008-0000-05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99" name="Object -1008" hidden="1">
          <a:extLst>
            <a:ext uri="{FF2B5EF4-FFF2-40B4-BE49-F238E27FC236}">
              <a16:creationId xmlns:a16="http://schemas.microsoft.com/office/drawing/2014/main" id="{00000000-0008-0000-05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00" name="Object -1007" hidden="1">
          <a:extLst>
            <a:ext uri="{FF2B5EF4-FFF2-40B4-BE49-F238E27FC236}">
              <a16:creationId xmlns:a16="http://schemas.microsoft.com/office/drawing/2014/main" id="{00000000-0008-0000-05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01" name="Object -1006" hidden="1">
          <a:extLst>
            <a:ext uri="{FF2B5EF4-FFF2-40B4-BE49-F238E27FC236}">
              <a16:creationId xmlns:a16="http://schemas.microsoft.com/office/drawing/2014/main" id="{00000000-0008-0000-05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02" name="Object -1005" hidden="1">
          <a:extLst>
            <a:ext uri="{FF2B5EF4-FFF2-40B4-BE49-F238E27FC236}">
              <a16:creationId xmlns:a16="http://schemas.microsoft.com/office/drawing/2014/main" id="{00000000-0008-0000-05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03" name="Object -1022" hidden="1">
          <a:extLst>
            <a:ext uri="{FF2B5EF4-FFF2-40B4-BE49-F238E27FC236}">
              <a16:creationId xmlns:a16="http://schemas.microsoft.com/office/drawing/2014/main" id="{00000000-0008-0000-05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04" name="Object -1021" hidden="1">
          <a:extLst>
            <a:ext uri="{FF2B5EF4-FFF2-40B4-BE49-F238E27FC236}">
              <a16:creationId xmlns:a16="http://schemas.microsoft.com/office/drawing/2014/main" id="{00000000-0008-0000-05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05" name="Object -1020" hidden="1">
          <a:extLst>
            <a:ext uri="{FF2B5EF4-FFF2-40B4-BE49-F238E27FC236}">
              <a16:creationId xmlns:a16="http://schemas.microsoft.com/office/drawing/2014/main" id="{00000000-0008-0000-05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06" name="Object -1019" hidden="1">
          <a:extLst>
            <a:ext uri="{FF2B5EF4-FFF2-40B4-BE49-F238E27FC236}">
              <a16:creationId xmlns:a16="http://schemas.microsoft.com/office/drawing/2014/main" id="{00000000-0008-0000-05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07" name="Object -1018" hidden="1">
          <a:extLst>
            <a:ext uri="{FF2B5EF4-FFF2-40B4-BE49-F238E27FC236}">
              <a16:creationId xmlns:a16="http://schemas.microsoft.com/office/drawing/2014/main" id="{00000000-0008-0000-05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08" name="Object -1017" hidden="1">
          <a:extLst>
            <a:ext uri="{FF2B5EF4-FFF2-40B4-BE49-F238E27FC236}">
              <a16:creationId xmlns:a16="http://schemas.microsoft.com/office/drawing/2014/main" id="{00000000-0008-0000-05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09" name="Object -1016" hidden="1">
          <a:extLst>
            <a:ext uri="{FF2B5EF4-FFF2-40B4-BE49-F238E27FC236}">
              <a16:creationId xmlns:a16="http://schemas.microsoft.com/office/drawing/2014/main" id="{00000000-0008-0000-05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0" name="Object -1013" hidden="1">
          <a:extLst>
            <a:ext uri="{FF2B5EF4-FFF2-40B4-BE49-F238E27FC236}">
              <a16:creationId xmlns:a16="http://schemas.microsoft.com/office/drawing/2014/main" id="{00000000-0008-0000-05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1" name="Object -1012" hidden="1">
          <a:extLst>
            <a:ext uri="{FF2B5EF4-FFF2-40B4-BE49-F238E27FC236}">
              <a16:creationId xmlns:a16="http://schemas.microsoft.com/office/drawing/2014/main" id="{00000000-0008-0000-05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2" name="Object -1011" hidden="1">
          <a:extLst>
            <a:ext uri="{FF2B5EF4-FFF2-40B4-BE49-F238E27FC236}">
              <a16:creationId xmlns:a16="http://schemas.microsoft.com/office/drawing/2014/main" id="{00000000-0008-0000-05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3" name="Object -1010" hidden="1">
          <a:extLst>
            <a:ext uri="{FF2B5EF4-FFF2-40B4-BE49-F238E27FC236}">
              <a16:creationId xmlns:a16="http://schemas.microsoft.com/office/drawing/2014/main" id="{00000000-0008-0000-05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4" name="Object -1009" hidden="1">
          <a:extLst>
            <a:ext uri="{FF2B5EF4-FFF2-40B4-BE49-F238E27FC236}">
              <a16:creationId xmlns:a16="http://schemas.microsoft.com/office/drawing/2014/main" id="{00000000-0008-0000-05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5" name="Object -1008" hidden="1">
          <a:extLst>
            <a:ext uri="{FF2B5EF4-FFF2-40B4-BE49-F238E27FC236}">
              <a16:creationId xmlns:a16="http://schemas.microsoft.com/office/drawing/2014/main" id="{00000000-0008-0000-05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6" name="Object -1007" hidden="1">
          <a:extLst>
            <a:ext uri="{FF2B5EF4-FFF2-40B4-BE49-F238E27FC236}">
              <a16:creationId xmlns:a16="http://schemas.microsoft.com/office/drawing/2014/main" id="{00000000-0008-0000-05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7" name="Object -1006" hidden="1">
          <a:extLst>
            <a:ext uri="{FF2B5EF4-FFF2-40B4-BE49-F238E27FC236}">
              <a16:creationId xmlns:a16="http://schemas.microsoft.com/office/drawing/2014/main" id="{00000000-0008-0000-05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8" name="Object -1005" hidden="1">
          <a:extLst>
            <a:ext uri="{FF2B5EF4-FFF2-40B4-BE49-F238E27FC236}">
              <a16:creationId xmlns:a16="http://schemas.microsoft.com/office/drawing/2014/main" id="{00000000-0008-0000-05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19" name="Object -1022" hidden="1">
          <a:extLst>
            <a:ext uri="{FF2B5EF4-FFF2-40B4-BE49-F238E27FC236}">
              <a16:creationId xmlns:a16="http://schemas.microsoft.com/office/drawing/2014/main" id="{00000000-0008-0000-05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20" name="Object -1021" hidden="1">
          <a:extLst>
            <a:ext uri="{FF2B5EF4-FFF2-40B4-BE49-F238E27FC236}">
              <a16:creationId xmlns:a16="http://schemas.microsoft.com/office/drawing/2014/main" id="{00000000-0008-0000-05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21" name="Object -1020" hidden="1">
          <a:extLst>
            <a:ext uri="{FF2B5EF4-FFF2-40B4-BE49-F238E27FC236}">
              <a16:creationId xmlns:a16="http://schemas.microsoft.com/office/drawing/2014/main" id="{00000000-0008-0000-05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22" name="Object -1019" hidden="1">
          <a:extLst>
            <a:ext uri="{FF2B5EF4-FFF2-40B4-BE49-F238E27FC236}">
              <a16:creationId xmlns:a16="http://schemas.microsoft.com/office/drawing/2014/main" id="{00000000-0008-0000-05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23" name="Object -1018" hidden="1">
          <a:extLst>
            <a:ext uri="{FF2B5EF4-FFF2-40B4-BE49-F238E27FC236}">
              <a16:creationId xmlns:a16="http://schemas.microsoft.com/office/drawing/2014/main" id="{00000000-0008-0000-05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24" name="Object -1017" hidden="1">
          <a:extLst>
            <a:ext uri="{FF2B5EF4-FFF2-40B4-BE49-F238E27FC236}">
              <a16:creationId xmlns:a16="http://schemas.microsoft.com/office/drawing/2014/main" id="{00000000-0008-0000-05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25" name="Object -1016" hidden="1">
          <a:extLst>
            <a:ext uri="{FF2B5EF4-FFF2-40B4-BE49-F238E27FC236}">
              <a16:creationId xmlns:a16="http://schemas.microsoft.com/office/drawing/2014/main" id="{00000000-0008-0000-05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26" name="Object -1013" hidden="1">
          <a:extLst>
            <a:ext uri="{FF2B5EF4-FFF2-40B4-BE49-F238E27FC236}">
              <a16:creationId xmlns:a16="http://schemas.microsoft.com/office/drawing/2014/main" id="{00000000-0008-0000-05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27" name="Object -1012" hidden="1">
          <a:extLst>
            <a:ext uri="{FF2B5EF4-FFF2-40B4-BE49-F238E27FC236}">
              <a16:creationId xmlns:a16="http://schemas.microsoft.com/office/drawing/2014/main" id="{00000000-0008-0000-05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28" name="Object -1011" hidden="1">
          <a:extLst>
            <a:ext uri="{FF2B5EF4-FFF2-40B4-BE49-F238E27FC236}">
              <a16:creationId xmlns:a16="http://schemas.microsoft.com/office/drawing/2014/main" id="{00000000-0008-0000-05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29" name="Object -1010" hidden="1">
          <a:extLst>
            <a:ext uri="{FF2B5EF4-FFF2-40B4-BE49-F238E27FC236}">
              <a16:creationId xmlns:a16="http://schemas.microsoft.com/office/drawing/2014/main" id="{00000000-0008-0000-05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30" name="Object -1009" hidden="1">
          <a:extLst>
            <a:ext uri="{FF2B5EF4-FFF2-40B4-BE49-F238E27FC236}">
              <a16:creationId xmlns:a16="http://schemas.microsoft.com/office/drawing/2014/main" id="{00000000-0008-0000-05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31" name="Object -1008" hidden="1">
          <a:extLst>
            <a:ext uri="{FF2B5EF4-FFF2-40B4-BE49-F238E27FC236}">
              <a16:creationId xmlns:a16="http://schemas.microsoft.com/office/drawing/2014/main" id="{00000000-0008-0000-05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32" name="Object -1007" hidden="1">
          <a:extLst>
            <a:ext uri="{FF2B5EF4-FFF2-40B4-BE49-F238E27FC236}">
              <a16:creationId xmlns:a16="http://schemas.microsoft.com/office/drawing/2014/main" id="{00000000-0008-0000-05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33" name="Object -1006" hidden="1">
          <a:extLst>
            <a:ext uri="{FF2B5EF4-FFF2-40B4-BE49-F238E27FC236}">
              <a16:creationId xmlns:a16="http://schemas.microsoft.com/office/drawing/2014/main" id="{00000000-0008-0000-05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34" name="Object -1005" hidden="1">
          <a:extLst>
            <a:ext uri="{FF2B5EF4-FFF2-40B4-BE49-F238E27FC236}">
              <a16:creationId xmlns:a16="http://schemas.microsoft.com/office/drawing/2014/main" id="{00000000-0008-0000-05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35" name="Object -1022" hidden="1">
          <a:extLst>
            <a:ext uri="{FF2B5EF4-FFF2-40B4-BE49-F238E27FC236}">
              <a16:creationId xmlns:a16="http://schemas.microsoft.com/office/drawing/2014/main" id="{00000000-0008-0000-05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36" name="Object -1021" hidden="1">
          <a:extLst>
            <a:ext uri="{FF2B5EF4-FFF2-40B4-BE49-F238E27FC236}">
              <a16:creationId xmlns:a16="http://schemas.microsoft.com/office/drawing/2014/main" id="{00000000-0008-0000-05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37" name="Object -1020" hidden="1">
          <a:extLst>
            <a:ext uri="{FF2B5EF4-FFF2-40B4-BE49-F238E27FC236}">
              <a16:creationId xmlns:a16="http://schemas.microsoft.com/office/drawing/2014/main" id="{00000000-0008-0000-05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38" name="Object -1019" hidden="1">
          <a:extLst>
            <a:ext uri="{FF2B5EF4-FFF2-40B4-BE49-F238E27FC236}">
              <a16:creationId xmlns:a16="http://schemas.microsoft.com/office/drawing/2014/main" id="{00000000-0008-0000-05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39" name="Object -1018" hidden="1">
          <a:extLst>
            <a:ext uri="{FF2B5EF4-FFF2-40B4-BE49-F238E27FC236}">
              <a16:creationId xmlns:a16="http://schemas.microsoft.com/office/drawing/2014/main" id="{00000000-0008-0000-05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40" name="Object -1017" hidden="1">
          <a:extLst>
            <a:ext uri="{FF2B5EF4-FFF2-40B4-BE49-F238E27FC236}">
              <a16:creationId xmlns:a16="http://schemas.microsoft.com/office/drawing/2014/main" id="{00000000-0008-0000-05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41" name="Object -1016" hidden="1">
          <a:extLst>
            <a:ext uri="{FF2B5EF4-FFF2-40B4-BE49-F238E27FC236}">
              <a16:creationId xmlns:a16="http://schemas.microsoft.com/office/drawing/2014/main" id="{00000000-0008-0000-05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42" name="Object -1013" hidden="1">
          <a:extLst>
            <a:ext uri="{FF2B5EF4-FFF2-40B4-BE49-F238E27FC236}">
              <a16:creationId xmlns:a16="http://schemas.microsoft.com/office/drawing/2014/main" id="{00000000-0008-0000-05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43" name="Object -1012" hidden="1">
          <a:extLst>
            <a:ext uri="{FF2B5EF4-FFF2-40B4-BE49-F238E27FC236}">
              <a16:creationId xmlns:a16="http://schemas.microsoft.com/office/drawing/2014/main" id="{00000000-0008-0000-05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44" name="Object -1011" hidden="1">
          <a:extLst>
            <a:ext uri="{FF2B5EF4-FFF2-40B4-BE49-F238E27FC236}">
              <a16:creationId xmlns:a16="http://schemas.microsoft.com/office/drawing/2014/main" id="{00000000-0008-0000-05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45" name="Object -1010" hidden="1">
          <a:extLst>
            <a:ext uri="{FF2B5EF4-FFF2-40B4-BE49-F238E27FC236}">
              <a16:creationId xmlns:a16="http://schemas.microsoft.com/office/drawing/2014/main" id="{00000000-0008-0000-05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46" name="Object -1009" hidden="1">
          <a:extLst>
            <a:ext uri="{FF2B5EF4-FFF2-40B4-BE49-F238E27FC236}">
              <a16:creationId xmlns:a16="http://schemas.microsoft.com/office/drawing/2014/main" id="{00000000-0008-0000-05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47" name="Object -1008" hidden="1">
          <a:extLst>
            <a:ext uri="{FF2B5EF4-FFF2-40B4-BE49-F238E27FC236}">
              <a16:creationId xmlns:a16="http://schemas.microsoft.com/office/drawing/2014/main" id="{00000000-0008-0000-05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48" name="Object -1007" hidden="1">
          <a:extLst>
            <a:ext uri="{FF2B5EF4-FFF2-40B4-BE49-F238E27FC236}">
              <a16:creationId xmlns:a16="http://schemas.microsoft.com/office/drawing/2014/main" id="{00000000-0008-0000-05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49" name="Object -1006" hidden="1">
          <a:extLst>
            <a:ext uri="{FF2B5EF4-FFF2-40B4-BE49-F238E27FC236}">
              <a16:creationId xmlns:a16="http://schemas.microsoft.com/office/drawing/2014/main" id="{00000000-0008-0000-05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50" name="Object -1005" hidden="1">
          <a:extLst>
            <a:ext uri="{FF2B5EF4-FFF2-40B4-BE49-F238E27FC236}">
              <a16:creationId xmlns:a16="http://schemas.microsoft.com/office/drawing/2014/main" id="{00000000-0008-0000-05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51" name="Object -1022" hidden="1">
          <a:extLst>
            <a:ext uri="{FF2B5EF4-FFF2-40B4-BE49-F238E27FC236}">
              <a16:creationId xmlns:a16="http://schemas.microsoft.com/office/drawing/2014/main" id="{00000000-0008-0000-05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52" name="Object -1021" hidden="1">
          <a:extLst>
            <a:ext uri="{FF2B5EF4-FFF2-40B4-BE49-F238E27FC236}">
              <a16:creationId xmlns:a16="http://schemas.microsoft.com/office/drawing/2014/main" id="{00000000-0008-0000-05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53" name="Object -1020" hidden="1">
          <a:extLst>
            <a:ext uri="{FF2B5EF4-FFF2-40B4-BE49-F238E27FC236}">
              <a16:creationId xmlns:a16="http://schemas.microsoft.com/office/drawing/2014/main" id="{00000000-0008-0000-05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54" name="Object -1019" hidden="1">
          <a:extLst>
            <a:ext uri="{FF2B5EF4-FFF2-40B4-BE49-F238E27FC236}">
              <a16:creationId xmlns:a16="http://schemas.microsoft.com/office/drawing/2014/main" id="{00000000-0008-0000-05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55" name="Object -1018" hidden="1">
          <a:extLst>
            <a:ext uri="{FF2B5EF4-FFF2-40B4-BE49-F238E27FC236}">
              <a16:creationId xmlns:a16="http://schemas.microsoft.com/office/drawing/2014/main" id="{00000000-0008-0000-05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56" name="Object -1017" hidden="1">
          <a:extLst>
            <a:ext uri="{FF2B5EF4-FFF2-40B4-BE49-F238E27FC236}">
              <a16:creationId xmlns:a16="http://schemas.microsoft.com/office/drawing/2014/main" id="{00000000-0008-0000-05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57" name="Object -1016" hidden="1">
          <a:extLst>
            <a:ext uri="{FF2B5EF4-FFF2-40B4-BE49-F238E27FC236}">
              <a16:creationId xmlns:a16="http://schemas.microsoft.com/office/drawing/2014/main" id="{00000000-0008-0000-05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58" name="Object -1013" hidden="1">
          <a:extLst>
            <a:ext uri="{FF2B5EF4-FFF2-40B4-BE49-F238E27FC236}">
              <a16:creationId xmlns:a16="http://schemas.microsoft.com/office/drawing/2014/main" id="{00000000-0008-0000-05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59" name="Object -1012" hidden="1">
          <a:extLst>
            <a:ext uri="{FF2B5EF4-FFF2-40B4-BE49-F238E27FC236}">
              <a16:creationId xmlns:a16="http://schemas.microsoft.com/office/drawing/2014/main" id="{00000000-0008-0000-05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60" name="Object -1011" hidden="1">
          <a:extLst>
            <a:ext uri="{FF2B5EF4-FFF2-40B4-BE49-F238E27FC236}">
              <a16:creationId xmlns:a16="http://schemas.microsoft.com/office/drawing/2014/main" id="{00000000-0008-0000-05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61" name="Object -1010" hidden="1">
          <a:extLst>
            <a:ext uri="{FF2B5EF4-FFF2-40B4-BE49-F238E27FC236}">
              <a16:creationId xmlns:a16="http://schemas.microsoft.com/office/drawing/2014/main" id="{00000000-0008-0000-05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62" name="Object -1009" hidden="1">
          <a:extLst>
            <a:ext uri="{FF2B5EF4-FFF2-40B4-BE49-F238E27FC236}">
              <a16:creationId xmlns:a16="http://schemas.microsoft.com/office/drawing/2014/main" id="{00000000-0008-0000-05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63" name="Object -1008" hidden="1">
          <a:extLst>
            <a:ext uri="{FF2B5EF4-FFF2-40B4-BE49-F238E27FC236}">
              <a16:creationId xmlns:a16="http://schemas.microsoft.com/office/drawing/2014/main" id="{00000000-0008-0000-05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64" name="Object -1007" hidden="1">
          <a:extLst>
            <a:ext uri="{FF2B5EF4-FFF2-40B4-BE49-F238E27FC236}">
              <a16:creationId xmlns:a16="http://schemas.microsoft.com/office/drawing/2014/main" id="{00000000-0008-0000-05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65" name="Object -1006" hidden="1">
          <a:extLst>
            <a:ext uri="{FF2B5EF4-FFF2-40B4-BE49-F238E27FC236}">
              <a16:creationId xmlns:a16="http://schemas.microsoft.com/office/drawing/2014/main" id="{00000000-0008-0000-05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66" name="Object -1005" hidden="1">
          <a:extLst>
            <a:ext uri="{FF2B5EF4-FFF2-40B4-BE49-F238E27FC236}">
              <a16:creationId xmlns:a16="http://schemas.microsoft.com/office/drawing/2014/main" id="{00000000-0008-0000-05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" name="Object -1022" hidden="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" name="Object -1021" hidden="1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" name="Object -1020" hidden="1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" name="Object -1019" hidden="1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" name="Object -1018" hidden="1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" name="Object -1017" hidden="1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" name="Object -1016" hidden="1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" name="Object -1013" hidden="1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" name="Object -1012" hidden="1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" name="Object -1011" hidden="1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" name="Object -1010" hidden="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" name="Object -1009" hidden="1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" name="Object -1008" hidden="1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" name="Object -1007" hidden="1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" name="Object -1006" hidden="1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7" name="Object -1005" hidden="1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8" name="Object -1022" hidden="1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9" name="Object -1021" hidden="1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50" name="Object -1020" hidden="1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51" name="Object -1019" hidden="1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52" name="Object -1018" hidden="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53" name="Object -1017" hidden="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54" name="Object -1016" hidden="1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55" name="Object -1013" hidden="1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56" name="Object -1012" hidden="1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57" name="Object -1011" hidden="1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58" name="Object -1010" hidden="1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59" name="Object -1009" hidden="1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60" name="Object -1008" hidden="1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61" name="Object -1007" hidden="1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62" name="Object -1006" hidden="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63" name="Object -1005" hidden="1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67" name="Object -1022" hidden="1">
          <a:extLst>
            <a:ext uri="{FF2B5EF4-FFF2-40B4-BE49-F238E27FC236}">
              <a16:creationId xmlns:a16="http://schemas.microsoft.com/office/drawing/2014/main" id="{00000000-0008-0000-05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68" name="Object -1021" hidden="1">
          <a:extLst>
            <a:ext uri="{FF2B5EF4-FFF2-40B4-BE49-F238E27FC236}">
              <a16:creationId xmlns:a16="http://schemas.microsoft.com/office/drawing/2014/main" id="{00000000-0008-0000-05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69" name="Object -1020" hidden="1">
          <a:extLst>
            <a:ext uri="{FF2B5EF4-FFF2-40B4-BE49-F238E27FC236}">
              <a16:creationId xmlns:a16="http://schemas.microsoft.com/office/drawing/2014/main" id="{00000000-0008-0000-05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70" name="Object -1019" hidden="1">
          <a:extLst>
            <a:ext uri="{FF2B5EF4-FFF2-40B4-BE49-F238E27FC236}">
              <a16:creationId xmlns:a16="http://schemas.microsoft.com/office/drawing/2014/main" id="{00000000-0008-0000-05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71" name="Object -1018" hidden="1">
          <a:extLst>
            <a:ext uri="{FF2B5EF4-FFF2-40B4-BE49-F238E27FC236}">
              <a16:creationId xmlns:a16="http://schemas.microsoft.com/office/drawing/2014/main" id="{00000000-0008-0000-05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72" name="Object -1017" hidden="1">
          <a:extLst>
            <a:ext uri="{FF2B5EF4-FFF2-40B4-BE49-F238E27FC236}">
              <a16:creationId xmlns:a16="http://schemas.microsoft.com/office/drawing/2014/main" id="{00000000-0008-0000-05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73" name="Object -1016" hidden="1">
          <a:extLst>
            <a:ext uri="{FF2B5EF4-FFF2-40B4-BE49-F238E27FC236}">
              <a16:creationId xmlns:a16="http://schemas.microsoft.com/office/drawing/2014/main" id="{00000000-0008-0000-05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74" name="Object -1013" hidden="1">
          <a:extLst>
            <a:ext uri="{FF2B5EF4-FFF2-40B4-BE49-F238E27FC236}">
              <a16:creationId xmlns:a16="http://schemas.microsoft.com/office/drawing/2014/main" id="{00000000-0008-0000-05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75" name="Object -1012" hidden="1">
          <a:extLst>
            <a:ext uri="{FF2B5EF4-FFF2-40B4-BE49-F238E27FC236}">
              <a16:creationId xmlns:a16="http://schemas.microsoft.com/office/drawing/2014/main" id="{00000000-0008-0000-05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76" name="Object -1011" hidden="1">
          <a:extLst>
            <a:ext uri="{FF2B5EF4-FFF2-40B4-BE49-F238E27FC236}">
              <a16:creationId xmlns:a16="http://schemas.microsoft.com/office/drawing/2014/main" id="{00000000-0008-0000-05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77" name="Object -1010" hidden="1">
          <a:extLst>
            <a:ext uri="{FF2B5EF4-FFF2-40B4-BE49-F238E27FC236}">
              <a16:creationId xmlns:a16="http://schemas.microsoft.com/office/drawing/2014/main" id="{00000000-0008-0000-05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78" name="Object -1009" hidden="1">
          <a:extLst>
            <a:ext uri="{FF2B5EF4-FFF2-40B4-BE49-F238E27FC236}">
              <a16:creationId xmlns:a16="http://schemas.microsoft.com/office/drawing/2014/main" id="{00000000-0008-0000-05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79" name="Object -1008" hidden="1">
          <a:extLst>
            <a:ext uri="{FF2B5EF4-FFF2-40B4-BE49-F238E27FC236}">
              <a16:creationId xmlns:a16="http://schemas.microsoft.com/office/drawing/2014/main" id="{00000000-0008-0000-05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80" name="Object -1007" hidden="1">
          <a:extLst>
            <a:ext uri="{FF2B5EF4-FFF2-40B4-BE49-F238E27FC236}">
              <a16:creationId xmlns:a16="http://schemas.microsoft.com/office/drawing/2014/main" id="{00000000-0008-0000-05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81" name="Object -1006" hidden="1">
          <a:extLst>
            <a:ext uri="{FF2B5EF4-FFF2-40B4-BE49-F238E27FC236}">
              <a16:creationId xmlns:a16="http://schemas.microsoft.com/office/drawing/2014/main" id="{00000000-0008-0000-05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82" name="Object -1005" hidden="1">
          <a:extLst>
            <a:ext uri="{FF2B5EF4-FFF2-40B4-BE49-F238E27FC236}">
              <a16:creationId xmlns:a16="http://schemas.microsoft.com/office/drawing/2014/main" id="{00000000-0008-0000-05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83" name="Object -1022" hidden="1">
          <a:extLst>
            <a:ext uri="{FF2B5EF4-FFF2-40B4-BE49-F238E27FC236}">
              <a16:creationId xmlns:a16="http://schemas.microsoft.com/office/drawing/2014/main" id="{00000000-0008-0000-05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84" name="Object -1021" hidden="1">
          <a:extLst>
            <a:ext uri="{FF2B5EF4-FFF2-40B4-BE49-F238E27FC236}">
              <a16:creationId xmlns:a16="http://schemas.microsoft.com/office/drawing/2014/main" id="{00000000-0008-0000-05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85" name="Object -1020" hidden="1">
          <a:extLst>
            <a:ext uri="{FF2B5EF4-FFF2-40B4-BE49-F238E27FC236}">
              <a16:creationId xmlns:a16="http://schemas.microsoft.com/office/drawing/2014/main" id="{00000000-0008-0000-05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86" name="Object -1019" hidden="1">
          <a:extLst>
            <a:ext uri="{FF2B5EF4-FFF2-40B4-BE49-F238E27FC236}">
              <a16:creationId xmlns:a16="http://schemas.microsoft.com/office/drawing/2014/main" id="{00000000-0008-0000-05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87" name="Object -1018" hidden="1">
          <a:extLst>
            <a:ext uri="{FF2B5EF4-FFF2-40B4-BE49-F238E27FC236}">
              <a16:creationId xmlns:a16="http://schemas.microsoft.com/office/drawing/2014/main" id="{00000000-0008-0000-05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88" name="Object -1017" hidden="1">
          <a:extLst>
            <a:ext uri="{FF2B5EF4-FFF2-40B4-BE49-F238E27FC236}">
              <a16:creationId xmlns:a16="http://schemas.microsoft.com/office/drawing/2014/main" id="{00000000-0008-0000-05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89" name="Object -1016" hidden="1">
          <a:extLst>
            <a:ext uri="{FF2B5EF4-FFF2-40B4-BE49-F238E27FC236}">
              <a16:creationId xmlns:a16="http://schemas.microsoft.com/office/drawing/2014/main" id="{00000000-0008-0000-05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0" name="Object -1013" hidden="1">
          <a:extLst>
            <a:ext uri="{FF2B5EF4-FFF2-40B4-BE49-F238E27FC236}">
              <a16:creationId xmlns:a16="http://schemas.microsoft.com/office/drawing/2014/main" id="{00000000-0008-0000-05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1" name="Object -1012" hidden="1">
          <a:extLst>
            <a:ext uri="{FF2B5EF4-FFF2-40B4-BE49-F238E27FC236}">
              <a16:creationId xmlns:a16="http://schemas.microsoft.com/office/drawing/2014/main" id="{00000000-0008-0000-05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2" name="Object -1011" hidden="1">
          <a:extLst>
            <a:ext uri="{FF2B5EF4-FFF2-40B4-BE49-F238E27FC236}">
              <a16:creationId xmlns:a16="http://schemas.microsoft.com/office/drawing/2014/main" id="{00000000-0008-0000-05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3" name="Object -1010" hidden="1">
          <a:extLst>
            <a:ext uri="{FF2B5EF4-FFF2-40B4-BE49-F238E27FC236}">
              <a16:creationId xmlns:a16="http://schemas.microsoft.com/office/drawing/2014/main" id="{00000000-0008-0000-05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4" name="Object -1009" hidden="1">
          <a:extLst>
            <a:ext uri="{FF2B5EF4-FFF2-40B4-BE49-F238E27FC236}">
              <a16:creationId xmlns:a16="http://schemas.microsoft.com/office/drawing/2014/main" id="{00000000-0008-0000-05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5" name="Object -1008" hidden="1">
          <a:extLst>
            <a:ext uri="{FF2B5EF4-FFF2-40B4-BE49-F238E27FC236}">
              <a16:creationId xmlns:a16="http://schemas.microsoft.com/office/drawing/2014/main" id="{00000000-0008-0000-05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6" name="Object -1007" hidden="1">
          <a:extLst>
            <a:ext uri="{FF2B5EF4-FFF2-40B4-BE49-F238E27FC236}">
              <a16:creationId xmlns:a16="http://schemas.microsoft.com/office/drawing/2014/main" id="{00000000-0008-0000-05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7" name="Object -1006" hidden="1">
          <a:extLst>
            <a:ext uri="{FF2B5EF4-FFF2-40B4-BE49-F238E27FC236}">
              <a16:creationId xmlns:a16="http://schemas.microsoft.com/office/drawing/2014/main" id="{00000000-0008-0000-05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8" name="Object -1005" hidden="1">
          <a:extLst>
            <a:ext uri="{FF2B5EF4-FFF2-40B4-BE49-F238E27FC236}">
              <a16:creationId xmlns:a16="http://schemas.microsoft.com/office/drawing/2014/main" id="{00000000-0008-0000-05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99" name="Object -1022" hidden="1">
          <a:extLst>
            <a:ext uri="{FF2B5EF4-FFF2-40B4-BE49-F238E27FC236}">
              <a16:creationId xmlns:a16="http://schemas.microsoft.com/office/drawing/2014/main" id="{00000000-0008-0000-05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00" name="Object -1021" hidden="1">
          <a:extLst>
            <a:ext uri="{FF2B5EF4-FFF2-40B4-BE49-F238E27FC236}">
              <a16:creationId xmlns:a16="http://schemas.microsoft.com/office/drawing/2014/main" id="{00000000-0008-0000-05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01" name="Object -1020" hidden="1">
          <a:extLst>
            <a:ext uri="{FF2B5EF4-FFF2-40B4-BE49-F238E27FC236}">
              <a16:creationId xmlns:a16="http://schemas.microsoft.com/office/drawing/2014/main" id="{00000000-0008-0000-05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02" name="Object -1019" hidden="1">
          <a:extLst>
            <a:ext uri="{FF2B5EF4-FFF2-40B4-BE49-F238E27FC236}">
              <a16:creationId xmlns:a16="http://schemas.microsoft.com/office/drawing/2014/main" id="{00000000-0008-0000-05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03" name="Object -1018" hidden="1">
          <a:extLst>
            <a:ext uri="{FF2B5EF4-FFF2-40B4-BE49-F238E27FC236}">
              <a16:creationId xmlns:a16="http://schemas.microsoft.com/office/drawing/2014/main" id="{00000000-0008-0000-05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04" name="Object -1017" hidden="1">
          <a:extLst>
            <a:ext uri="{FF2B5EF4-FFF2-40B4-BE49-F238E27FC236}">
              <a16:creationId xmlns:a16="http://schemas.microsoft.com/office/drawing/2014/main" id="{00000000-0008-0000-05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05" name="Object -1016" hidden="1">
          <a:extLst>
            <a:ext uri="{FF2B5EF4-FFF2-40B4-BE49-F238E27FC236}">
              <a16:creationId xmlns:a16="http://schemas.microsoft.com/office/drawing/2014/main" id="{00000000-0008-0000-05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06" name="Object -1013" hidden="1">
          <a:extLst>
            <a:ext uri="{FF2B5EF4-FFF2-40B4-BE49-F238E27FC236}">
              <a16:creationId xmlns:a16="http://schemas.microsoft.com/office/drawing/2014/main" id="{00000000-0008-0000-05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07" name="Object -1012" hidden="1">
          <a:extLst>
            <a:ext uri="{FF2B5EF4-FFF2-40B4-BE49-F238E27FC236}">
              <a16:creationId xmlns:a16="http://schemas.microsoft.com/office/drawing/2014/main" id="{00000000-0008-0000-05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08" name="Object -1011" hidden="1">
          <a:extLst>
            <a:ext uri="{FF2B5EF4-FFF2-40B4-BE49-F238E27FC236}">
              <a16:creationId xmlns:a16="http://schemas.microsoft.com/office/drawing/2014/main" id="{00000000-0008-0000-05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09" name="Object -1010" hidden="1">
          <a:extLst>
            <a:ext uri="{FF2B5EF4-FFF2-40B4-BE49-F238E27FC236}">
              <a16:creationId xmlns:a16="http://schemas.microsoft.com/office/drawing/2014/main" id="{00000000-0008-0000-05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10" name="Object -1009" hidden="1">
          <a:extLst>
            <a:ext uri="{FF2B5EF4-FFF2-40B4-BE49-F238E27FC236}">
              <a16:creationId xmlns:a16="http://schemas.microsoft.com/office/drawing/2014/main" id="{00000000-0008-0000-05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11" name="Object -1008" hidden="1">
          <a:extLst>
            <a:ext uri="{FF2B5EF4-FFF2-40B4-BE49-F238E27FC236}">
              <a16:creationId xmlns:a16="http://schemas.microsoft.com/office/drawing/2014/main" id="{00000000-0008-0000-05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12" name="Object -1007" hidden="1">
          <a:extLst>
            <a:ext uri="{FF2B5EF4-FFF2-40B4-BE49-F238E27FC236}">
              <a16:creationId xmlns:a16="http://schemas.microsoft.com/office/drawing/2014/main" id="{00000000-0008-0000-05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13" name="Object -1006" hidden="1">
          <a:extLst>
            <a:ext uri="{FF2B5EF4-FFF2-40B4-BE49-F238E27FC236}">
              <a16:creationId xmlns:a16="http://schemas.microsoft.com/office/drawing/2014/main" id="{00000000-0008-0000-05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14" name="Object -1005" hidden="1">
          <a:extLst>
            <a:ext uri="{FF2B5EF4-FFF2-40B4-BE49-F238E27FC236}">
              <a16:creationId xmlns:a16="http://schemas.microsoft.com/office/drawing/2014/main" id="{00000000-0008-0000-05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15" name="Object -1022" hidden="1">
          <a:extLst>
            <a:ext uri="{FF2B5EF4-FFF2-40B4-BE49-F238E27FC236}">
              <a16:creationId xmlns:a16="http://schemas.microsoft.com/office/drawing/2014/main" id="{00000000-0008-0000-05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16" name="Object -1021" hidden="1">
          <a:extLst>
            <a:ext uri="{FF2B5EF4-FFF2-40B4-BE49-F238E27FC236}">
              <a16:creationId xmlns:a16="http://schemas.microsoft.com/office/drawing/2014/main" id="{00000000-0008-0000-05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17" name="Object -1020" hidden="1">
          <a:extLst>
            <a:ext uri="{FF2B5EF4-FFF2-40B4-BE49-F238E27FC236}">
              <a16:creationId xmlns:a16="http://schemas.microsoft.com/office/drawing/2014/main" id="{00000000-0008-0000-05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18" name="Object -1019" hidden="1">
          <a:extLst>
            <a:ext uri="{FF2B5EF4-FFF2-40B4-BE49-F238E27FC236}">
              <a16:creationId xmlns:a16="http://schemas.microsoft.com/office/drawing/2014/main" id="{00000000-0008-0000-05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19" name="Object -1018" hidden="1">
          <a:extLst>
            <a:ext uri="{FF2B5EF4-FFF2-40B4-BE49-F238E27FC236}">
              <a16:creationId xmlns:a16="http://schemas.microsoft.com/office/drawing/2014/main" id="{00000000-0008-0000-05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20" name="Object -1017" hidden="1">
          <a:extLst>
            <a:ext uri="{FF2B5EF4-FFF2-40B4-BE49-F238E27FC236}">
              <a16:creationId xmlns:a16="http://schemas.microsoft.com/office/drawing/2014/main" id="{00000000-0008-0000-05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21" name="Object -1016" hidden="1">
          <a:extLst>
            <a:ext uri="{FF2B5EF4-FFF2-40B4-BE49-F238E27FC236}">
              <a16:creationId xmlns:a16="http://schemas.microsoft.com/office/drawing/2014/main" id="{00000000-0008-0000-05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22" name="Object -1013" hidden="1">
          <a:extLst>
            <a:ext uri="{FF2B5EF4-FFF2-40B4-BE49-F238E27FC236}">
              <a16:creationId xmlns:a16="http://schemas.microsoft.com/office/drawing/2014/main" id="{00000000-0008-0000-05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23" name="Object -1012" hidden="1">
          <a:extLst>
            <a:ext uri="{FF2B5EF4-FFF2-40B4-BE49-F238E27FC236}">
              <a16:creationId xmlns:a16="http://schemas.microsoft.com/office/drawing/2014/main" id="{00000000-0008-0000-05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24" name="Object -1011" hidden="1">
          <a:extLst>
            <a:ext uri="{FF2B5EF4-FFF2-40B4-BE49-F238E27FC236}">
              <a16:creationId xmlns:a16="http://schemas.microsoft.com/office/drawing/2014/main" id="{00000000-0008-0000-05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25" name="Object -1010" hidden="1">
          <a:extLst>
            <a:ext uri="{FF2B5EF4-FFF2-40B4-BE49-F238E27FC236}">
              <a16:creationId xmlns:a16="http://schemas.microsoft.com/office/drawing/2014/main" id="{00000000-0008-0000-05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26" name="Object -1009" hidden="1">
          <a:extLst>
            <a:ext uri="{FF2B5EF4-FFF2-40B4-BE49-F238E27FC236}">
              <a16:creationId xmlns:a16="http://schemas.microsoft.com/office/drawing/2014/main" id="{00000000-0008-0000-05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27" name="Object -1008" hidden="1">
          <a:extLst>
            <a:ext uri="{FF2B5EF4-FFF2-40B4-BE49-F238E27FC236}">
              <a16:creationId xmlns:a16="http://schemas.microsoft.com/office/drawing/2014/main" id="{00000000-0008-0000-05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28" name="Object -1007" hidden="1">
          <a:extLst>
            <a:ext uri="{FF2B5EF4-FFF2-40B4-BE49-F238E27FC236}">
              <a16:creationId xmlns:a16="http://schemas.microsoft.com/office/drawing/2014/main" id="{00000000-0008-0000-05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29" name="Object -1006" hidden="1">
          <a:extLst>
            <a:ext uri="{FF2B5EF4-FFF2-40B4-BE49-F238E27FC236}">
              <a16:creationId xmlns:a16="http://schemas.microsoft.com/office/drawing/2014/main" id="{00000000-0008-0000-05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30" name="Object -1005" hidden="1">
          <a:extLst>
            <a:ext uri="{FF2B5EF4-FFF2-40B4-BE49-F238E27FC236}">
              <a16:creationId xmlns:a16="http://schemas.microsoft.com/office/drawing/2014/main" id="{00000000-0008-0000-05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31" name="Object -1022" hidden="1">
          <a:extLst>
            <a:ext uri="{FF2B5EF4-FFF2-40B4-BE49-F238E27FC236}">
              <a16:creationId xmlns:a16="http://schemas.microsoft.com/office/drawing/2014/main" id="{00000000-0008-0000-05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32" name="Object -1021" hidden="1">
          <a:extLst>
            <a:ext uri="{FF2B5EF4-FFF2-40B4-BE49-F238E27FC236}">
              <a16:creationId xmlns:a16="http://schemas.microsoft.com/office/drawing/2014/main" id="{00000000-0008-0000-05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33" name="Object -1020" hidden="1">
          <a:extLst>
            <a:ext uri="{FF2B5EF4-FFF2-40B4-BE49-F238E27FC236}">
              <a16:creationId xmlns:a16="http://schemas.microsoft.com/office/drawing/2014/main" id="{00000000-0008-0000-05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34" name="Object -1019" hidden="1">
          <a:extLst>
            <a:ext uri="{FF2B5EF4-FFF2-40B4-BE49-F238E27FC236}">
              <a16:creationId xmlns:a16="http://schemas.microsoft.com/office/drawing/2014/main" id="{00000000-0008-0000-05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35" name="Object -1018" hidden="1">
          <a:extLst>
            <a:ext uri="{FF2B5EF4-FFF2-40B4-BE49-F238E27FC236}">
              <a16:creationId xmlns:a16="http://schemas.microsoft.com/office/drawing/2014/main" id="{00000000-0008-0000-05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36" name="Object -1017" hidden="1">
          <a:extLst>
            <a:ext uri="{FF2B5EF4-FFF2-40B4-BE49-F238E27FC236}">
              <a16:creationId xmlns:a16="http://schemas.microsoft.com/office/drawing/2014/main" id="{00000000-0008-0000-05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37" name="Object -1016" hidden="1">
          <a:extLst>
            <a:ext uri="{FF2B5EF4-FFF2-40B4-BE49-F238E27FC236}">
              <a16:creationId xmlns:a16="http://schemas.microsoft.com/office/drawing/2014/main" id="{00000000-0008-0000-05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38" name="Object -1013" hidden="1">
          <a:extLst>
            <a:ext uri="{FF2B5EF4-FFF2-40B4-BE49-F238E27FC236}">
              <a16:creationId xmlns:a16="http://schemas.microsoft.com/office/drawing/2014/main" id="{00000000-0008-0000-05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39" name="Object -1012" hidden="1">
          <a:extLst>
            <a:ext uri="{FF2B5EF4-FFF2-40B4-BE49-F238E27FC236}">
              <a16:creationId xmlns:a16="http://schemas.microsoft.com/office/drawing/2014/main" id="{00000000-0008-0000-05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40" name="Object -1011" hidden="1">
          <a:extLst>
            <a:ext uri="{FF2B5EF4-FFF2-40B4-BE49-F238E27FC236}">
              <a16:creationId xmlns:a16="http://schemas.microsoft.com/office/drawing/2014/main" id="{00000000-0008-0000-05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41" name="Object -1010" hidden="1">
          <a:extLst>
            <a:ext uri="{FF2B5EF4-FFF2-40B4-BE49-F238E27FC236}">
              <a16:creationId xmlns:a16="http://schemas.microsoft.com/office/drawing/2014/main" id="{00000000-0008-0000-05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42" name="Object -1009" hidden="1">
          <a:extLst>
            <a:ext uri="{FF2B5EF4-FFF2-40B4-BE49-F238E27FC236}">
              <a16:creationId xmlns:a16="http://schemas.microsoft.com/office/drawing/2014/main" id="{00000000-0008-0000-05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43" name="Object -1008" hidden="1">
          <a:extLst>
            <a:ext uri="{FF2B5EF4-FFF2-40B4-BE49-F238E27FC236}">
              <a16:creationId xmlns:a16="http://schemas.microsoft.com/office/drawing/2014/main" id="{00000000-0008-0000-05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44" name="Object -1007" hidden="1">
          <a:extLst>
            <a:ext uri="{FF2B5EF4-FFF2-40B4-BE49-F238E27FC236}">
              <a16:creationId xmlns:a16="http://schemas.microsoft.com/office/drawing/2014/main" id="{00000000-0008-0000-05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45" name="Object -1006" hidden="1">
          <a:extLst>
            <a:ext uri="{FF2B5EF4-FFF2-40B4-BE49-F238E27FC236}">
              <a16:creationId xmlns:a16="http://schemas.microsoft.com/office/drawing/2014/main" id="{00000000-0008-0000-05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46" name="Object -1005" hidden="1">
          <a:extLst>
            <a:ext uri="{FF2B5EF4-FFF2-40B4-BE49-F238E27FC236}">
              <a16:creationId xmlns:a16="http://schemas.microsoft.com/office/drawing/2014/main" id="{00000000-0008-0000-05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47" name="Object -1022" hidden="1">
          <a:extLst>
            <a:ext uri="{FF2B5EF4-FFF2-40B4-BE49-F238E27FC236}">
              <a16:creationId xmlns:a16="http://schemas.microsoft.com/office/drawing/2014/main" id="{00000000-0008-0000-05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48" name="Object -1021" hidden="1">
          <a:extLst>
            <a:ext uri="{FF2B5EF4-FFF2-40B4-BE49-F238E27FC236}">
              <a16:creationId xmlns:a16="http://schemas.microsoft.com/office/drawing/2014/main" id="{00000000-0008-0000-05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49" name="Object -1020" hidden="1">
          <a:extLst>
            <a:ext uri="{FF2B5EF4-FFF2-40B4-BE49-F238E27FC236}">
              <a16:creationId xmlns:a16="http://schemas.microsoft.com/office/drawing/2014/main" id="{00000000-0008-0000-05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50" name="Object -1019" hidden="1">
          <a:extLst>
            <a:ext uri="{FF2B5EF4-FFF2-40B4-BE49-F238E27FC236}">
              <a16:creationId xmlns:a16="http://schemas.microsoft.com/office/drawing/2014/main" id="{00000000-0008-0000-05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51" name="Object -1018" hidden="1">
          <a:extLst>
            <a:ext uri="{FF2B5EF4-FFF2-40B4-BE49-F238E27FC236}">
              <a16:creationId xmlns:a16="http://schemas.microsoft.com/office/drawing/2014/main" id="{00000000-0008-0000-05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52" name="Object -1017" hidden="1">
          <a:extLst>
            <a:ext uri="{FF2B5EF4-FFF2-40B4-BE49-F238E27FC236}">
              <a16:creationId xmlns:a16="http://schemas.microsoft.com/office/drawing/2014/main" id="{00000000-0008-0000-05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53" name="Object -1016" hidden="1">
          <a:extLst>
            <a:ext uri="{FF2B5EF4-FFF2-40B4-BE49-F238E27FC236}">
              <a16:creationId xmlns:a16="http://schemas.microsoft.com/office/drawing/2014/main" id="{00000000-0008-0000-05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54" name="Object -1013" hidden="1">
          <a:extLst>
            <a:ext uri="{FF2B5EF4-FFF2-40B4-BE49-F238E27FC236}">
              <a16:creationId xmlns:a16="http://schemas.microsoft.com/office/drawing/2014/main" id="{00000000-0008-0000-05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55" name="Object -1012" hidden="1">
          <a:extLst>
            <a:ext uri="{FF2B5EF4-FFF2-40B4-BE49-F238E27FC236}">
              <a16:creationId xmlns:a16="http://schemas.microsoft.com/office/drawing/2014/main" id="{00000000-0008-0000-05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56" name="Object -1011" hidden="1">
          <a:extLst>
            <a:ext uri="{FF2B5EF4-FFF2-40B4-BE49-F238E27FC236}">
              <a16:creationId xmlns:a16="http://schemas.microsoft.com/office/drawing/2014/main" id="{00000000-0008-0000-05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57" name="Object -1010" hidden="1">
          <a:extLst>
            <a:ext uri="{FF2B5EF4-FFF2-40B4-BE49-F238E27FC236}">
              <a16:creationId xmlns:a16="http://schemas.microsoft.com/office/drawing/2014/main" id="{00000000-0008-0000-05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58" name="Object -1009" hidden="1">
          <a:extLst>
            <a:ext uri="{FF2B5EF4-FFF2-40B4-BE49-F238E27FC236}">
              <a16:creationId xmlns:a16="http://schemas.microsoft.com/office/drawing/2014/main" id="{00000000-0008-0000-05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59" name="Object -1008" hidden="1">
          <a:extLst>
            <a:ext uri="{FF2B5EF4-FFF2-40B4-BE49-F238E27FC236}">
              <a16:creationId xmlns:a16="http://schemas.microsoft.com/office/drawing/2014/main" id="{00000000-0008-0000-05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60" name="Object -1007" hidden="1">
          <a:extLst>
            <a:ext uri="{FF2B5EF4-FFF2-40B4-BE49-F238E27FC236}">
              <a16:creationId xmlns:a16="http://schemas.microsoft.com/office/drawing/2014/main" id="{00000000-0008-0000-05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61" name="Object -1006" hidden="1">
          <a:extLst>
            <a:ext uri="{FF2B5EF4-FFF2-40B4-BE49-F238E27FC236}">
              <a16:creationId xmlns:a16="http://schemas.microsoft.com/office/drawing/2014/main" id="{00000000-0008-0000-05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62" name="Object -1005" hidden="1">
          <a:extLst>
            <a:ext uri="{FF2B5EF4-FFF2-40B4-BE49-F238E27FC236}">
              <a16:creationId xmlns:a16="http://schemas.microsoft.com/office/drawing/2014/main" id="{00000000-0008-0000-05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63" name="Object -1022" hidden="1">
          <a:extLst>
            <a:ext uri="{FF2B5EF4-FFF2-40B4-BE49-F238E27FC236}">
              <a16:creationId xmlns:a16="http://schemas.microsoft.com/office/drawing/2014/main" id="{00000000-0008-0000-05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64" name="Object -1021" hidden="1">
          <a:extLst>
            <a:ext uri="{FF2B5EF4-FFF2-40B4-BE49-F238E27FC236}">
              <a16:creationId xmlns:a16="http://schemas.microsoft.com/office/drawing/2014/main" id="{00000000-0008-0000-05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65" name="Object -1020" hidden="1">
          <a:extLst>
            <a:ext uri="{FF2B5EF4-FFF2-40B4-BE49-F238E27FC236}">
              <a16:creationId xmlns:a16="http://schemas.microsoft.com/office/drawing/2014/main" id="{00000000-0008-0000-05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66" name="Object -1019" hidden="1">
          <a:extLst>
            <a:ext uri="{FF2B5EF4-FFF2-40B4-BE49-F238E27FC236}">
              <a16:creationId xmlns:a16="http://schemas.microsoft.com/office/drawing/2014/main" id="{00000000-0008-0000-05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67" name="Object -1018" hidden="1">
          <a:extLst>
            <a:ext uri="{FF2B5EF4-FFF2-40B4-BE49-F238E27FC236}">
              <a16:creationId xmlns:a16="http://schemas.microsoft.com/office/drawing/2014/main" id="{00000000-0008-0000-05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68" name="Object -1017" hidden="1">
          <a:extLst>
            <a:ext uri="{FF2B5EF4-FFF2-40B4-BE49-F238E27FC236}">
              <a16:creationId xmlns:a16="http://schemas.microsoft.com/office/drawing/2014/main" id="{00000000-0008-0000-05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69" name="Object -1016" hidden="1">
          <a:extLst>
            <a:ext uri="{FF2B5EF4-FFF2-40B4-BE49-F238E27FC236}">
              <a16:creationId xmlns:a16="http://schemas.microsoft.com/office/drawing/2014/main" id="{00000000-0008-0000-05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0" name="Object -1013" hidden="1">
          <a:extLst>
            <a:ext uri="{FF2B5EF4-FFF2-40B4-BE49-F238E27FC236}">
              <a16:creationId xmlns:a16="http://schemas.microsoft.com/office/drawing/2014/main" id="{00000000-0008-0000-05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1" name="Object -1012" hidden="1">
          <a:extLst>
            <a:ext uri="{FF2B5EF4-FFF2-40B4-BE49-F238E27FC236}">
              <a16:creationId xmlns:a16="http://schemas.microsoft.com/office/drawing/2014/main" id="{00000000-0008-0000-05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2" name="Object -1011" hidden="1">
          <a:extLst>
            <a:ext uri="{FF2B5EF4-FFF2-40B4-BE49-F238E27FC236}">
              <a16:creationId xmlns:a16="http://schemas.microsoft.com/office/drawing/2014/main" id="{00000000-0008-0000-05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3" name="Object -1010" hidden="1">
          <a:extLst>
            <a:ext uri="{FF2B5EF4-FFF2-40B4-BE49-F238E27FC236}">
              <a16:creationId xmlns:a16="http://schemas.microsoft.com/office/drawing/2014/main" id="{00000000-0008-0000-05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4" name="Object -1009" hidden="1">
          <a:extLst>
            <a:ext uri="{FF2B5EF4-FFF2-40B4-BE49-F238E27FC236}">
              <a16:creationId xmlns:a16="http://schemas.microsoft.com/office/drawing/2014/main" id="{00000000-0008-0000-05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5" name="Object -1008" hidden="1">
          <a:extLst>
            <a:ext uri="{FF2B5EF4-FFF2-40B4-BE49-F238E27FC236}">
              <a16:creationId xmlns:a16="http://schemas.microsoft.com/office/drawing/2014/main" id="{00000000-0008-0000-05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6" name="Object -1007" hidden="1">
          <a:extLst>
            <a:ext uri="{FF2B5EF4-FFF2-40B4-BE49-F238E27FC236}">
              <a16:creationId xmlns:a16="http://schemas.microsoft.com/office/drawing/2014/main" id="{00000000-0008-0000-05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7" name="Object -1006" hidden="1">
          <a:extLst>
            <a:ext uri="{FF2B5EF4-FFF2-40B4-BE49-F238E27FC236}">
              <a16:creationId xmlns:a16="http://schemas.microsoft.com/office/drawing/2014/main" id="{00000000-0008-0000-05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8" name="Object -1005" hidden="1">
          <a:extLst>
            <a:ext uri="{FF2B5EF4-FFF2-40B4-BE49-F238E27FC236}">
              <a16:creationId xmlns:a16="http://schemas.microsoft.com/office/drawing/2014/main" id="{00000000-0008-0000-05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79" name="Object -1022" hidden="1">
          <a:extLst>
            <a:ext uri="{FF2B5EF4-FFF2-40B4-BE49-F238E27FC236}">
              <a16:creationId xmlns:a16="http://schemas.microsoft.com/office/drawing/2014/main" id="{00000000-0008-0000-05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80" name="Object -1021" hidden="1">
          <a:extLst>
            <a:ext uri="{FF2B5EF4-FFF2-40B4-BE49-F238E27FC236}">
              <a16:creationId xmlns:a16="http://schemas.microsoft.com/office/drawing/2014/main" id="{00000000-0008-0000-05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81" name="Object -1020" hidden="1">
          <a:extLst>
            <a:ext uri="{FF2B5EF4-FFF2-40B4-BE49-F238E27FC236}">
              <a16:creationId xmlns:a16="http://schemas.microsoft.com/office/drawing/2014/main" id="{00000000-0008-0000-0500-0000F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82" name="Object -1019" hidden="1">
          <a:extLst>
            <a:ext uri="{FF2B5EF4-FFF2-40B4-BE49-F238E27FC236}">
              <a16:creationId xmlns:a16="http://schemas.microsoft.com/office/drawing/2014/main" id="{00000000-0008-0000-0500-0000F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83" name="Object -1018" hidden="1">
          <a:extLst>
            <a:ext uri="{FF2B5EF4-FFF2-40B4-BE49-F238E27FC236}">
              <a16:creationId xmlns:a16="http://schemas.microsoft.com/office/drawing/2014/main" id="{00000000-0008-0000-0500-0000F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84" name="Object -1017" hidden="1">
          <a:extLst>
            <a:ext uri="{FF2B5EF4-FFF2-40B4-BE49-F238E27FC236}">
              <a16:creationId xmlns:a16="http://schemas.microsoft.com/office/drawing/2014/main" id="{00000000-0008-0000-0500-00000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85" name="Object -1016" hidden="1">
          <a:extLst>
            <a:ext uri="{FF2B5EF4-FFF2-40B4-BE49-F238E27FC236}">
              <a16:creationId xmlns:a16="http://schemas.microsoft.com/office/drawing/2014/main" id="{00000000-0008-0000-0500-00000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86" name="Object -1013" hidden="1">
          <a:extLst>
            <a:ext uri="{FF2B5EF4-FFF2-40B4-BE49-F238E27FC236}">
              <a16:creationId xmlns:a16="http://schemas.microsoft.com/office/drawing/2014/main" id="{00000000-0008-0000-05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87" name="Object -1012" hidden="1">
          <a:extLst>
            <a:ext uri="{FF2B5EF4-FFF2-40B4-BE49-F238E27FC236}">
              <a16:creationId xmlns:a16="http://schemas.microsoft.com/office/drawing/2014/main" id="{00000000-0008-0000-05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88" name="Object -1011" hidden="1">
          <a:extLst>
            <a:ext uri="{FF2B5EF4-FFF2-40B4-BE49-F238E27FC236}">
              <a16:creationId xmlns:a16="http://schemas.microsoft.com/office/drawing/2014/main" id="{00000000-0008-0000-05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89" name="Object -1010" hidden="1">
          <a:extLst>
            <a:ext uri="{FF2B5EF4-FFF2-40B4-BE49-F238E27FC236}">
              <a16:creationId xmlns:a16="http://schemas.microsoft.com/office/drawing/2014/main" id="{00000000-0008-0000-05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90" name="Object -1009" hidden="1">
          <a:extLst>
            <a:ext uri="{FF2B5EF4-FFF2-40B4-BE49-F238E27FC236}">
              <a16:creationId xmlns:a16="http://schemas.microsoft.com/office/drawing/2014/main" id="{00000000-0008-0000-05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91" name="Object -1008" hidden="1">
          <a:extLst>
            <a:ext uri="{FF2B5EF4-FFF2-40B4-BE49-F238E27FC236}">
              <a16:creationId xmlns:a16="http://schemas.microsoft.com/office/drawing/2014/main" id="{00000000-0008-0000-05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92" name="Object -1007" hidden="1">
          <a:extLst>
            <a:ext uri="{FF2B5EF4-FFF2-40B4-BE49-F238E27FC236}">
              <a16:creationId xmlns:a16="http://schemas.microsoft.com/office/drawing/2014/main" id="{00000000-0008-0000-05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93" name="Object -1006" hidden="1">
          <a:extLst>
            <a:ext uri="{FF2B5EF4-FFF2-40B4-BE49-F238E27FC236}">
              <a16:creationId xmlns:a16="http://schemas.microsoft.com/office/drawing/2014/main" id="{00000000-0008-0000-05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94" name="Object -1005" hidden="1">
          <a:extLst>
            <a:ext uri="{FF2B5EF4-FFF2-40B4-BE49-F238E27FC236}">
              <a16:creationId xmlns:a16="http://schemas.microsoft.com/office/drawing/2014/main" id="{00000000-0008-0000-05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95" name="Object -1022" hidden="1">
          <a:extLst>
            <a:ext uri="{FF2B5EF4-FFF2-40B4-BE49-F238E27FC236}">
              <a16:creationId xmlns:a16="http://schemas.microsoft.com/office/drawing/2014/main" id="{00000000-0008-0000-05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96" name="Object -1021" hidden="1">
          <a:extLst>
            <a:ext uri="{FF2B5EF4-FFF2-40B4-BE49-F238E27FC236}">
              <a16:creationId xmlns:a16="http://schemas.microsoft.com/office/drawing/2014/main" id="{00000000-0008-0000-05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97" name="Object -1020" hidden="1">
          <a:extLst>
            <a:ext uri="{FF2B5EF4-FFF2-40B4-BE49-F238E27FC236}">
              <a16:creationId xmlns:a16="http://schemas.microsoft.com/office/drawing/2014/main" id="{00000000-0008-0000-05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98" name="Object -1019" hidden="1">
          <a:extLst>
            <a:ext uri="{FF2B5EF4-FFF2-40B4-BE49-F238E27FC236}">
              <a16:creationId xmlns:a16="http://schemas.microsoft.com/office/drawing/2014/main" id="{00000000-0008-0000-05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99" name="Object -1018" hidden="1">
          <a:extLst>
            <a:ext uri="{FF2B5EF4-FFF2-40B4-BE49-F238E27FC236}">
              <a16:creationId xmlns:a16="http://schemas.microsoft.com/office/drawing/2014/main" id="{00000000-0008-0000-05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00" name="Object -1017" hidden="1">
          <a:extLst>
            <a:ext uri="{FF2B5EF4-FFF2-40B4-BE49-F238E27FC236}">
              <a16:creationId xmlns:a16="http://schemas.microsoft.com/office/drawing/2014/main" id="{00000000-0008-0000-05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01" name="Object -1016" hidden="1">
          <a:extLst>
            <a:ext uri="{FF2B5EF4-FFF2-40B4-BE49-F238E27FC236}">
              <a16:creationId xmlns:a16="http://schemas.microsoft.com/office/drawing/2014/main" id="{00000000-0008-0000-05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02" name="Object -1013" hidden="1">
          <a:extLst>
            <a:ext uri="{FF2B5EF4-FFF2-40B4-BE49-F238E27FC236}">
              <a16:creationId xmlns:a16="http://schemas.microsoft.com/office/drawing/2014/main" id="{00000000-0008-0000-05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03" name="Object -1012" hidden="1">
          <a:extLst>
            <a:ext uri="{FF2B5EF4-FFF2-40B4-BE49-F238E27FC236}">
              <a16:creationId xmlns:a16="http://schemas.microsoft.com/office/drawing/2014/main" id="{00000000-0008-0000-05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04" name="Object -1011" hidden="1">
          <a:extLst>
            <a:ext uri="{FF2B5EF4-FFF2-40B4-BE49-F238E27FC236}">
              <a16:creationId xmlns:a16="http://schemas.microsoft.com/office/drawing/2014/main" id="{00000000-0008-0000-05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05" name="Object -1010" hidden="1">
          <a:extLst>
            <a:ext uri="{FF2B5EF4-FFF2-40B4-BE49-F238E27FC236}">
              <a16:creationId xmlns:a16="http://schemas.microsoft.com/office/drawing/2014/main" id="{00000000-0008-0000-05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06" name="Object -1009" hidden="1">
          <a:extLst>
            <a:ext uri="{FF2B5EF4-FFF2-40B4-BE49-F238E27FC236}">
              <a16:creationId xmlns:a16="http://schemas.microsoft.com/office/drawing/2014/main" id="{00000000-0008-0000-05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07" name="Object -1008" hidden="1">
          <a:extLst>
            <a:ext uri="{FF2B5EF4-FFF2-40B4-BE49-F238E27FC236}">
              <a16:creationId xmlns:a16="http://schemas.microsoft.com/office/drawing/2014/main" id="{00000000-0008-0000-05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08" name="Object -1007" hidden="1">
          <a:extLst>
            <a:ext uri="{FF2B5EF4-FFF2-40B4-BE49-F238E27FC236}">
              <a16:creationId xmlns:a16="http://schemas.microsoft.com/office/drawing/2014/main" id="{00000000-0008-0000-05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09" name="Object -1006" hidden="1">
          <a:extLst>
            <a:ext uri="{FF2B5EF4-FFF2-40B4-BE49-F238E27FC236}">
              <a16:creationId xmlns:a16="http://schemas.microsoft.com/office/drawing/2014/main" id="{00000000-0008-0000-05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10" name="Object -1005" hidden="1">
          <a:extLst>
            <a:ext uri="{FF2B5EF4-FFF2-40B4-BE49-F238E27FC236}">
              <a16:creationId xmlns:a16="http://schemas.microsoft.com/office/drawing/2014/main" id="{00000000-0008-0000-05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11" name="Object -1022" hidden="1">
          <a:extLst>
            <a:ext uri="{FF2B5EF4-FFF2-40B4-BE49-F238E27FC236}">
              <a16:creationId xmlns:a16="http://schemas.microsoft.com/office/drawing/2014/main" id="{00000000-0008-0000-05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12" name="Object -1021" hidden="1">
          <a:extLst>
            <a:ext uri="{FF2B5EF4-FFF2-40B4-BE49-F238E27FC236}">
              <a16:creationId xmlns:a16="http://schemas.microsoft.com/office/drawing/2014/main" id="{00000000-0008-0000-05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13" name="Object -1020" hidden="1">
          <a:extLst>
            <a:ext uri="{FF2B5EF4-FFF2-40B4-BE49-F238E27FC236}">
              <a16:creationId xmlns:a16="http://schemas.microsoft.com/office/drawing/2014/main" id="{00000000-0008-0000-05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14" name="Object -1019" hidden="1">
          <a:extLst>
            <a:ext uri="{FF2B5EF4-FFF2-40B4-BE49-F238E27FC236}">
              <a16:creationId xmlns:a16="http://schemas.microsoft.com/office/drawing/2014/main" id="{00000000-0008-0000-05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15" name="Object -1018" hidden="1">
          <a:extLst>
            <a:ext uri="{FF2B5EF4-FFF2-40B4-BE49-F238E27FC236}">
              <a16:creationId xmlns:a16="http://schemas.microsoft.com/office/drawing/2014/main" id="{00000000-0008-0000-05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16" name="Object -1017" hidden="1">
          <a:extLst>
            <a:ext uri="{FF2B5EF4-FFF2-40B4-BE49-F238E27FC236}">
              <a16:creationId xmlns:a16="http://schemas.microsoft.com/office/drawing/2014/main" id="{00000000-0008-0000-05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17" name="Object -1016" hidden="1">
          <a:extLst>
            <a:ext uri="{FF2B5EF4-FFF2-40B4-BE49-F238E27FC236}">
              <a16:creationId xmlns:a16="http://schemas.microsoft.com/office/drawing/2014/main" id="{00000000-0008-0000-0500-00002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18" name="Object -1013" hidden="1">
          <a:extLst>
            <a:ext uri="{FF2B5EF4-FFF2-40B4-BE49-F238E27FC236}">
              <a16:creationId xmlns:a16="http://schemas.microsoft.com/office/drawing/2014/main" id="{00000000-0008-0000-05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19" name="Object -1012" hidden="1">
          <a:extLst>
            <a:ext uri="{FF2B5EF4-FFF2-40B4-BE49-F238E27FC236}">
              <a16:creationId xmlns:a16="http://schemas.microsoft.com/office/drawing/2014/main" id="{00000000-0008-0000-05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20" name="Object -1011" hidden="1">
          <a:extLst>
            <a:ext uri="{FF2B5EF4-FFF2-40B4-BE49-F238E27FC236}">
              <a16:creationId xmlns:a16="http://schemas.microsoft.com/office/drawing/2014/main" id="{00000000-0008-0000-05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21" name="Object -1010" hidden="1">
          <a:extLst>
            <a:ext uri="{FF2B5EF4-FFF2-40B4-BE49-F238E27FC236}">
              <a16:creationId xmlns:a16="http://schemas.microsoft.com/office/drawing/2014/main" id="{00000000-0008-0000-05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22" name="Object -1009" hidden="1">
          <a:extLst>
            <a:ext uri="{FF2B5EF4-FFF2-40B4-BE49-F238E27FC236}">
              <a16:creationId xmlns:a16="http://schemas.microsoft.com/office/drawing/2014/main" id="{00000000-0008-0000-05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23" name="Object -1008" hidden="1">
          <a:extLst>
            <a:ext uri="{FF2B5EF4-FFF2-40B4-BE49-F238E27FC236}">
              <a16:creationId xmlns:a16="http://schemas.microsoft.com/office/drawing/2014/main" id="{00000000-0008-0000-05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24" name="Object -1007" hidden="1">
          <a:extLst>
            <a:ext uri="{FF2B5EF4-FFF2-40B4-BE49-F238E27FC236}">
              <a16:creationId xmlns:a16="http://schemas.microsoft.com/office/drawing/2014/main" id="{00000000-0008-0000-05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25" name="Object -1006" hidden="1">
          <a:extLst>
            <a:ext uri="{FF2B5EF4-FFF2-40B4-BE49-F238E27FC236}">
              <a16:creationId xmlns:a16="http://schemas.microsoft.com/office/drawing/2014/main" id="{00000000-0008-0000-05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26" name="Object -1005" hidden="1">
          <a:extLst>
            <a:ext uri="{FF2B5EF4-FFF2-40B4-BE49-F238E27FC236}">
              <a16:creationId xmlns:a16="http://schemas.microsoft.com/office/drawing/2014/main" id="{00000000-0008-0000-05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27" name="Object -1022" hidden="1">
          <a:extLst>
            <a:ext uri="{FF2B5EF4-FFF2-40B4-BE49-F238E27FC236}">
              <a16:creationId xmlns:a16="http://schemas.microsoft.com/office/drawing/2014/main" id="{00000000-0008-0000-05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28" name="Object -1021" hidden="1">
          <a:extLst>
            <a:ext uri="{FF2B5EF4-FFF2-40B4-BE49-F238E27FC236}">
              <a16:creationId xmlns:a16="http://schemas.microsoft.com/office/drawing/2014/main" id="{00000000-0008-0000-05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29" name="Object -1020" hidden="1">
          <a:extLst>
            <a:ext uri="{FF2B5EF4-FFF2-40B4-BE49-F238E27FC236}">
              <a16:creationId xmlns:a16="http://schemas.microsoft.com/office/drawing/2014/main" id="{00000000-0008-0000-05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30" name="Object -1019" hidden="1">
          <a:extLst>
            <a:ext uri="{FF2B5EF4-FFF2-40B4-BE49-F238E27FC236}">
              <a16:creationId xmlns:a16="http://schemas.microsoft.com/office/drawing/2014/main" id="{00000000-0008-0000-05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31" name="Object -1018" hidden="1">
          <a:extLst>
            <a:ext uri="{FF2B5EF4-FFF2-40B4-BE49-F238E27FC236}">
              <a16:creationId xmlns:a16="http://schemas.microsoft.com/office/drawing/2014/main" id="{00000000-0008-0000-05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32" name="Object -1017" hidden="1">
          <a:extLst>
            <a:ext uri="{FF2B5EF4-FFF2-40B4-BE49-F238E27FC236}">
              <a16:creationId xmlns:a16="http://schemas.microsoft.com/office/drawing/2014/main" id="{00000000-0008-0000-05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33" name="Object -1016" hidden="1">
          <a:extLst>
            <a:ext uri="{FF2B5EF4-FFF2-40B4-BE49-F238E27FC236}">
              <a16:creationId xmlns:a16="http://schemas.microsoft.com/office/drawing/2014/main" id="{00000000-0008-0000-05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34" name="Object -1013" hidden="1">
          <a:extLst>
            <a:ext uri="{FF2B5EF4-FFF2-40B4-BE49-F238E27FC236}">
              <a16:creationId xmlns:a16="http://schemas.microsoft.com/office/drawing/2014/main" id="{00000000-0008-0000-05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35" name="Object -1012" hidden="1">
          <a:extLst>
            <a:ext uri="{FF2B5EF4-FFF2-40B4-BE49-F238E27FC236}">
              <a16:creationId xmlns:a16="http://schemas.microsoft.com/office/drawing/2014/main" id="{00000000-0008-0000-05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36" name="Object -1011" hidden="1">
          <a:extLst>
            <a:ext uri="{FF2B5EF4-FFF2-40B4-BE49-F238E27FC236}">
              <a16:creationId xmlns:a16="http://schemas.microsoft.com/office/drawing/2014/main" id="{00000000-0008-0000-05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37" name="Object -1010" hidden="1">
          <a:extLst>
            <a:ext uri="{FF2B5EF4-FFF2-40B4-BE49-F238E27FC236}">
              <a16:creationId xmlns:a16="http://schemas.microsoft.com/office/drawing/2014/main" id="{00000000-0008-0000-05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38" name="Object -1009" hidden="1">
          <a:extLst>
            <a:ext uri="{FF2B5EF4-FFF2-40B4-BE49-F238E27FC236}">
              <a16:creationId xmlns:a16="http://schemas.microsoft.com/office/drawing/2014/main" id="{00000000-0008-0000-05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39" name="Object -1008" hidden="1">
          <a:extLst>
            <a:ext uri="{FF2B5EF4-FFF2-40B4-BE49-F238E27FC236}">
              <a16:creationId xmlns:a16="http://schemas.microsoft.com/office/drawing/2014/main" id="{00000000-0008-0000-05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40" name="Object -1007" hidden="1">
          <a:extLst>
            <a:ext uri="{FF2B5EF4-FFF2-40B4-BE49-F238E27FC236}">
              <a16:creationId xmlns:a16="http://schemas.microsoft.com/office/drawing/2014/main" id="{00000000-0008-0000-05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41" name="Object -1006" hidden="1">
          <a:extLst>
            <a:ext uri="{FF2B5EF4-FFF2-40B4-BE49-F238E27FC236}">
              <a16:creationId xmlns:a16="http://schemas.microsoft.com/office/drawing/2014/main" id="{00000000-0008-0000-05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42" name="Object -1005" hidden="1">
          <a:extLst>
            <a:ext uri="{FF2B5EF4-FFF2-40B4-BE49-F238E27FC236}">
              <a16:creationId xmlns:a16="http://schemas.microsoft.com/office/drawing/2014/main" id="{00000000-0008-0000-05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43" name="Object -1022" hidden="1">
          <a:extLst>
            <a:ext uri="{FF2B5EF4-FFF2-40B4-BE49-F238E27FC236}">
              <a16:creationId xmlns:a16="http://schemas.microsoft.com/office/drawing/2014/main" id="{00000000-0008-0000-05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44" name="Object -1021" hidden="1">
          <a:extLst>
            <a:ext uri="{FF2B5EF4-FFF2-40B4-BE49-F238E27FC236}">
              <a16:creationId xmlns:a16="http://schemas.microsoft.com/office/drawing/2014/main" id="{00000000-0008-0000-05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45" name="Object -1020" hidden="1">
          <a:extLst>
            <a:ext uri="{FF2B5EF4-FFF2-40B4-BE49-F238E27FC236}">
              <a16:creationId xmlns:a16="http://schemas.microsoft.com/office/drawing/2014/main" id="{00000000-0008-0000-05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46" name="Object -1019" hidden="1">
          <a:extLst>
            <a:ext uri="{FF2B5EF4-FFF2-40B4-BE49-F238E27FC236}">
              <a16:creationId xmlns:a16="http://schemas.microsoft.com/office/drawing/2014/main" id="{00000000-0008-0000-05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47" name="Object -1018" hidden="1">
          <a:extLst>
            <a:ext uri="{FF2B5EF4-FFF2-40B4-BE49-F238E27FC236}">
              <a16:creationId xmlns:a16="http://schemas.microsoft.com/office/drawing/2014/main" id="{00000000-0008-0000-05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48" name="Object -1017" hidden="1">
          <a:extLst>
            <a:ext uri="{FF2B5EF4-FFF2-40B4-BE49-F238E27FC236}">
              <a16:creationId xmlns:a16="http://schemas.microsoft.com/office/drawing/2014/main" id="{00000000-0008-0000-05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49" name="Object -1016" hidden="1">
          <a:extLst>
            <a:ext uri="{FF2B5EF4-FFF2-40B4-BE49-F238E27FC236}">
              <a16:creationId xmlns:a16="http://schemas.microsoft.com/office/drawing/2014/main" id="{00000000-0008-0000-05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0" name="Object -1013" hidden="1">
          <a:extLst>
            <a:ext uri="{FF2B5EF4-FFF2-40B4-BE49-F238E27FC236}">
              <a16:creationId xmlns:a16="http://schemas.microsoft.com/office/drawing/2014/main" id="{00000000-0008-0000-05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1" name="Object -1012" hidden="1">
          <a:extLst>
            <a:ext uri="{FF2B5EF4-FFF2-40B4-BE49-F238E27FC236}">
              <a16:creationId xmlns:a16="http://schemas.microsoft.com/office/drawing/2014/main" id="{00000000-0008-0000-05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2" name="Object -1011" hidden="1">
          <a:extLst>
            <a:ext uri="{FF2B5EF4-FFF2-40B4-BE49-F238E27FC236}">
              <a16:creationId xmlns:a16="http://schemas.microsoft.com/office/drawing/2014/main" id="{00000000-0008-0000-05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3" name="Object -1010" hidden="1">
          <a:extLst>
            <a:ext uri="{FF2B5EF4-FFF2-40B4-BE49-F238E27FC236}">
              <a16:creationId xmlns:a16="http://schemas.microsoft.com/office/drawing/2014/main" id="{00000000-0008-0000-05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4" name="Object -1009" hidden="1">
          <a:extLst>
            <a:ext uri="{FF2B5EF4-FFF2-40B4-BE49-F238E27FC236}">
              <a16:creationId xmlns:a16="http://schemas.microsoft.com/office/drawing/2014/main" id="{00000000-0008-0000-05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5" name="Object -1008" hidden="1">
          <a:extLst>
            <a:ext uri="{FF2B5EF4-FFF2-40B4-BE49-F238E27FC236}">
              <a16:creationId xmlns:a16="http://schemas.microsoft.com/office/drawing/2014/main" id="{00000000-0008-0000-05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6" name="Object -1007" hidden="1">
          <a:extLst>
            <a:ext uri="{FF2B5EF4-FFF2-40B4-BE49-F238E27FC236}">
              <a16:creationId xmlns:a16="http://schemas.microsoft.com/office/drawing/2014/main" id="{00000000-0008-0000-05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7" name="Object -1006" hidden="1">
          <a:extLst>
            <a:ext uri="{FF2B5EF4-FFF2-40B4-BE49-F238E27FC236}">
              <a16:creationId xmlns:a16="http://schemas.microsoft.com/office/drawing/2014/main" id="{00000000-0008-0000-05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8" name="Object -1005" hidden="1">
          <a:extLst>
            <a:ext uri="{FF2B5EF4-FFF2-40B4-BE49-F238E27FC236}">
              <a16:creationId xmlns:a16="http://schemas.microsoft.com/office/drawing/2014/main" id="{00000000-0008-0000-05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59" name="Object -1022" hidden="1">
          <a:extLst>
            <a:ext uri="{FF2B5EF4-FFF2-40B4-BE49-F238E27FC236}">
              <a16:creationId xmlns:a16="http://schemas.microsoft.com/office/drawing/2014/main" id="{00000000-0008-0000-05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60" name="Object -1021" hidden="1">
          <a:extLst>
            <a:ext uri="{FF2B5EF4-FFF2-40B4-BE49-F238E27FC236}">
              <a16:creationId xmlns:a16="http://schemas.microsoft.com/office/drawing/2014/main" id="{00000000-0008-0000-05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61" name="Object -1020" hidden="1">
          <a:extLst>
            <a:ext uri="{FF2B5EF4-FFF2-40B4-BE49-F238E27FC236}">
              <a16:creationId xmlns:a16="http://schemas.microsoft.com/office/drawing/2014/main" id="{00000000-0008-0000-05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62" name="Object -1019" hidden="1">
          <a:extLst>
            <a:ext uri="{FF2B5EF4-FFF2-40B4-BE49-F238E27FC236}">
              <a16:creationId xmlns:a16="http://schemas.microsoft.com/office/drawing/2014/main" id="{00000000-0008-0000-05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63" name="Object -1018" hidden="1">
          <a:extLst>
            <a:ext uri="{FF2B5EF4-FFF2-40B4-BE49-F238E27FC236}">
              <a16:creationId xmlns:a16="http://schemas.microsoft.com/office/drawing/2014/main" id="{00000000-0008-0000-05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64" name="Object -1017" hidden="1">
          <a:extLst>
            <a:ext uri="{FF2B5EF4-FFF2-40B4-BE49-F238E27FC236}">
              <a16:creationId xmlns:a16="http://schemas.microsoft.com/office/drawing/2014/main" id="{00000000-0008-0000-05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65" name="Object -1016" hidden="1">
          <a:extLst>
            <a:ext uri="{FF2B5EF4-FFF2-40B4-BE49-F238E27FC236}">
              <a16:creationId xmlns:a16="http://schemas.microsoft.com/office/drawing/2014/main" id="{00000000-0008-0000-05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66" name="Object -1013" hidden="1">
          <a:extLst>
            <a:ext uri="{FF2B5EF4-FFF2-40B4-BE49-F238E27FC236}">
              <a16:creationId xmlns:a16="http://schemas.microsoft.com/office/drawing/2014/main" id="{00000000-0008-0000-05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67" name="Object -1012" hidden="1">
          <a:extLst>
            <a:ext uri="{FF2B5EF4-FFF2-40B4-BE49-F238E27FC236}">
              <a16:creationId xmlns:a16="http://schemas.microsoft.com/office/drawing/2014/main" id="{00000000-0008-0000-05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68" name="Object -1011" hidden="1">
          <a:extLst>
            <a:ext uri="{FF2B5EF4-FFF2-40B4-BE49-F238E27FC236}">
              <a16:creationId xmlns:a16="http://schemas.microsoft.com/office/drawing/2014/main" id="{00000000-0008-0000-05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69" name="Object -1010" hidden="1">
          <a:extLst>
            <a:ext uri="{FF2B5EF4-FFF2-40B4-BE49-F238E27FC236}">
              <a16:creationId xmlns:a16="http://schemas.microsoft.com/office/drawing/2014/main" id="{00000000-0008-0000-05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70" name="Object -1009" hidden="1">
          <a:extLst>
            <a:ext uri="{FF2B5EF4-FFF2-40B4-BE49-F238E27FC236}">
              <a16:creationId xmlns:a16="http://schemas.microsoft.com/office/drawing/2014/main" id="{00000000-0008-0000-05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71" name="Object -1008" hidden="1">
          <a:extLst>
            <a:ext uri="{FF2B5EF4-FFF2-40B4-BE49-F238E27FC236}">
              <a16:creationId xmlns:a16="http://schemas.microsoft.com/office/drawing/2014/main" id="{00000000-0008-0000-05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72" name="Object -1007" hidden="1">
          <a:extLst>
            <a:ext uri="{FF2B5EF4-FFF2-40B4-BE49-F238E27FC236}">
              <a16:creationId xmlns:a16="http://schemas.microsoft.com/office/drawing/2014/main" id="{00000000-0008-0000-05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73" name="Object -1006" hidden="1">
          <a:extLst>
            <a:ext uri="{FF2B5EF4-FFF2-40B4-BE49-F238E27FC236}">
              <a16:creationId xmlns:a16="http://schemas.microsoft.com/office/drawing/2014/main" id="{00000000-0008-0000-05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74" name="Object -1005" hidden="1">
          <a:extLst>
            <a:ext uri="{FF2B5EF4-FFF2-40B4-BE49-F238E27FC236}">
              <a16:creationId xmlns:a16="http://schemas.microsoft.com/office/drawing/2014/main" id="{00000000-0008-0000-05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75" name="Object -1022" hidden="1">
          <a:extLst>
            <a:ext uri="{FF2B5EF4-FFF2-40B4-BE49-F238E27FC236}">
              <a16:creationId xmlns:a16="http://schemas.microsoft.com/office/drawing/2014/main" id="{00000000-0008-0000-05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76" name="Object -1021" hidden="1">
          <a:extLst>
            <a:ext uri="{FF2B5EF4-FFF2-40B4-BE49-F238E27FC236}">
              <a16:creationId xmlns:a16="http://schemas.microsoft.com/office/drawing/2014/main" id="{00000000-0008-0000-05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77" name="Object -1020" hidden="1">
          <a:extLst>
            <a:ext uri="{FF2B5EF4-FFF2-40B4-BE49-F238E27FC236}">
              <a16:creationId xmlns:a16="http://schemas.microsoft.com/office/drawing/2014/main" id="{00000000-0008-0000-05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78" name="Object -1019" hidden="1">
          <a:extLst>
            <a:ext uri="{FF2B5EF4-FFF2-40B4-BE49-F238E27FC236}">
              <a16:creationId xmlns:a16="http://schemas.microsoft.com/office/drawing/2014/main" id="{00000000-0008-0000-05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79" name="Object -1018" hidden="1">
          <a:extLst>
            <a:ext uri="{FF2B5EF4-FFF2-40B4-BE49-F238E27FC236}">
              <a16:creationId xmlns:a16="http://schemas.microsoft.com/office/drawing/2014/main" id="{00000000-0008-0000-05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80" name="Object -1017" hidden="1">
          <a:extLst>
            <a:ext uri="{FF2B5EF4-FFF2-40B4-BE49-F238E27FC236}">
              <a16:creationId xmlns:a16="http://schemas.microsoft.com/office/drawing/2014/main" id="{00000000-0008-0000-05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81" name="Object -1016" hidden="1">
          <a:extLst>
            <a:ext uri="{FF2B5EF4-FFF2-40B4-BE49-F238E27FC236}">
              <a16:creationId xmlns:a16="http://schemas.microsoft.com/office/drawing/2014/main" id="{00000000-0008-0000-05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82" name="Object -1013" hidden="1">
          <a:extLst>
            <a:ext uri="{FF2B5EF4-FFF2-40B4-BE49-F238E27FC236}">
              <a16:creationId xmlns:a16="http://schemas.microsoft.com/office/drawing/2014/main" id="{00000000-0008-0000-05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83" name="Object -1012" hidden="1">
          <a:extLst>
            <a:ext uri="{FF2B5EF4-FFF2-40B4-BE49-F238E27FC236}">
              <a16:creationId xmlns:a16="http://schemas.microsoft.com/office/drawing/2014/main" id="{00000000-0008-0000-05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84" name="Object -1011" hidden="1">
          <a:extLst>
            <a:ext uri="{FF2B5EF4-FFF2-40B4-BE49-F238E27FC236}">
              <a16:creationId xmlns:a16="http://schemas.microsoft.com/office/drawing/2014/main" id="{00000000-0008-0000-05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85" name="Object -1010" hidden="1">
          <a:extLst>
            <a:ext uri="{FF2B5EF4-FFF2-40B4-BE49-F238E27FC236}">
              <a16:creationId xmlns:a16="http://schemas.microsoft.com/office/drawing/2014/main" id="{00000000-0008-0000-05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86" name="Object -1009" hidden="1">
          <a:extLst>
            <a:ext uri="{FF2B5EF4-FFF2-40B4-BE49-F238E27FC236}">
              <a16:creationId xmlns:a16="http://schemas.microsoft.com/office/drawing/2014/main" id="{00000000-0008-0000-05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87" name="Object -1008" hidden="1">
          <a:extLst>
            <a:ext uri="{FF2B5EF4-FFF2-40B4-BE49-F238E27FC236}">
              <a16:creationId xmlns:a16="http://schemas.microsoft.com/office/drawing/2014/main" id="{00000000-0008-0000-05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88" name="Object -1007" hidden="1">
          <a:extLst>
            <a:ext uri="{FF2B5EF4-FFF2-40B4-BE49-F238E27FC236}">
              <a16:creationId xmlns:a16="http://schemas.microsoft.com/office/drawing/2014/main" id="{00000000-0008-0000-05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89" name="Object -1006" hidden="1">
          <a:extLst>
            <a:ext uri="{FF2B5EF4-FFF2-40B4-BE49-F238E27FC236}">
              <a16:creationId xmlns:a16="http://schemas.microsoft.com/office/drawing/2014/main" id="{00000000-0008-0000-05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90" name="Object -1005" hidden="1">
          <a:extLst>
            <a:ext uri="{FF2B5EF4-FFF2-40B4-BE49-F238E27FC236}">
              <a16:creationId xmlns:a16="http://schemas.microsoft.com/office/drawing/2014/main" id="{00000000-0008-0000-05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91" name="Object -1022" hidden="1">
          <a:extLst>
            <a:ext uri="{FF2B5EF4-FFF2-40B4-BE49-F238E27FC236}">
              <a16:creationId xmlns:a16="http://schemas.microsoft.com/office/drawing/2014/main" id="{00000000-0008-0000-05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92" name="Object -1021" hidden="1">
          <a:extLst>
            <a:ext uri="{FF2B5EF4-FFF2-40B4-BE49-F238E27FC236}">
              <a16:creationId xmlns:a16="http://schemas.microsoft.com/office/drawing/2014/main" id="{00000000-0008-0000-05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93" name="Object -1020" hidden="1">
          <a:extLst>
            <a:ext uri="{FF2B5EF4-FFF2-40B4-BE49-F238E27FC236}">
              <a16:creationId xmlns:a16="http://schemas.microsoft.com/office/drawing/2014/main" id="{00000000-0008-0000-05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94" name="Object -1019" hidden="1">
          <a:extLst>
            <a:ext uri="{FF2B5EF4-FFF2-40B4-BE49-F238E27FC236}">
              <a16:creationId xmlns:a16="http://schemas.microsoft.com/office/drawing/2014/main" id="{00000000-0008-0000-05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95" name="Object -1018" hidden="1">
          <a:extLst>
            <a:ext uri="{FF2B5EF4-FFF2-40B4-BE49-F238E27FC236}">
              <a16:creationId xmlns:a16="http://schemas.microsoft.com/office/drawing/2014/main" id="{00000000-0008-0000-05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96" name="Object -1017" hidden="1">
          <a:extLst>
            <a:ext uri="{FF2B5EF4-FFF2-40B4-BE49-F238E27FC236}">
              <a16:creationId xmlns:a16="http://schemas.microsoft.com/office/drawing/2014/main" id="{00000000-0008-0000-05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97" name="Object -1016" hidden="1">
          <a:extLst>
            <a:ext uri="{FF2B5EF4-FFF2-40B4-BE49-F238E27FC236}">
              <a16:creationId xmlns:a16="http://schemas.microsoft.com/office/drawing/2014/main" id="{00000000-0008-0000-05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98" name="Object -1013" hidden="1">
          <a:extLst>
            <a:ext uri="{FF2B5EF4-FFF2-40B4-BE49-F238E27FC236}">
              <a16:creationId xmlns:a16="http://schemas.microsoft.com/office/drawing/2014/main" id="{00000000-0008-0000-05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99" name="Object -1012" hidden="1">
          <a:extLst>
            <a:ext uri="{FF2B5EF4-FFF2-40B4-BE49-F238E27FC236}">
              <a16:creationId xmlns:a16="http://schemas.microsoft.com/office/drawing/2014/main" id="{00000000-0008-0000-05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00" name="Object -1011" hidden="1">
          <a:extLst>
            <a:ext uri="{FF2B5EF4-FFF2-40B4-BE49-F238E27FC236}">
              <a16:creationId xmlns:a16="http://schemas.microsoft.com/office/drawing/2014/main" id="{00000000-0008-0000-05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01" name="Object -1010" hidden="1">
          <a:extLst>
            <a:ext uri="{FF2B5EF4-FFF2-40B4-BE49-F238E27FC236}">
              <a16:creationId xmlns:a16="http://schemas.microsoft.com/office/drawing/2014/main" id="{00000000-0008-0000-05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02" name="Object -1009" hidden="1">
          <a:extLst>
            <a:ext uri="{FF2B5EF4-FFF2-40B4-BE49-F238E27FC236}">
              <a16:creationId xmlns:a16="http://schemas.microsoft.com/office/drawing/2014/main" id="{00000000-0008-0000-05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03" name="Object -1008" hidden="1">
          <a:extLst>
            <a:ext uri="{FF2B5EF4-FFF2-40B4-BE49-F238E27FC236}">
              <a16:creationId xmlns:a16="http://schemas.microsoft.com/office/drawing/2014/main" id="{00000000-0008-0000-05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04" name="Object -1007" hidden="1">
          <a:extLst>
            <a:ext uri="{FF2B5EF4-FFF2-40B4-BE49-F238E27FC236}">
              <a16:creationId xmlns:a16="http://schemas.microsoft.com/office/drawing/2014/main" id="{00000000-0008-0000-05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05" name="Object -1006" hidden="1">
          <a:extLst>
            <a:ext uri="{FF2B5EF4-FFF2-40B4-BE49-F238E27FC236}">
              <a16:creationId xmlns:a16="http://schemas.microsoft.com/office/drawing/2014/main" id="{00000000-0008-0000-05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06" name="Object -1005" hidden="1">
          <a:extLst>
            <a:ext uri="{FF2B5EF4-FFF2-40B4-BE49-F238E27FC236}">
              <a16:creationId xmlns:a16="http://schemas.microsoft.com/office/drawing/2014/main" id="{00000000-0008-0000-05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07" name="Object -1022" hidden="1">
          <a:extLst>
            <a:ext uri="{FF2B5EF4-FFF2-40B4-BE49-F238E27FC236}">
              <a16:creationId xmlns:a16="http://schemas.microsoft.com/office/drawing/2014/main" id="{00000000-0008-0000-05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08" name="Object -1021" hidden="1">
          <a:extLst>
            <a:ext uri="{FF2B5EF4-FFF2-40B4-BE49-F238E27FC236}">
              <a16:creationId xmlns:a16="http://schemas.microsoft.com/office/drawing/2014/main" id="{00000000-0008-0000-05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09" name="Object -1020" hidden="1">
          <a:extLst>
            <a:ext uri="{FF2B5EF4-FFF2-40B4-BE49-F238E27FC236}">
              <a16:creationId xmlns:a16="http://schemas.microsoft.com/office/drawing/2014/main" id="{00000000-0008-0000-05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10" name="Object -1019" hidden="1">
          <a:extLst>
            <a:ext uri="{FF2B5EF4-FFF2-40B4-BE49-F238E27FC236}">
              <a16:creationId xmlns:a16="http://schemas.microsoft.com/office/drawing/2014/main" id="{00000000-0008-0000-05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11" name="Object -1018" hidden="1">
          <a:extLst>
            <a:ext uri="{FF2B5EF4-FFF2-40B4-BE49-F238E27FC236}">
              <a16:creationId xmlns:a16="http://schemas.microsoft.com/office/drawing/2014/main" id="{00000000-0008-0000-05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12" name="Object -1017" hidden="1">
          <a:extLst>
            <a:ext uri="{FF2B5EF4-FFF2-40B4-BE49-F238E27FC236}">
              <a16:creationId xmlns:a16="http://schemas.microsoft.com/office/drawing/2014/main" id="{00000000-0008-0000-05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13" name="Object -1016" hidden="1">
          <a:extLst>
            <a:ext uri="{FF2B5EF4-FFF2-40B4-BE49-F238E27FC236}">
              <a16:creationId xmlns:a16="http://schemas.microsoft.com/office/drawing/2014/main" id="{00000000-0008-0000-05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14" name="Object -1013" hidden="1">
          <a:extLst>
            <a:ext uri="{FF2B5EF4-FFF2-40B4-BE49-F238E27FC236}">
              <a16:creationId xmlns:a16="http://schemas.microsoft.com/office/drawing/2014/main" id="{00000000-0008-0000-05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15" name="Object -1012" hidden="1">
          <a:extLst>
            <a:ext uri="{FF2B5EF4-FFF2-40B4-BE49-F238E27FC236}">
              <a16:creationId xmlns:a16="http://schemas.microsoft.com/office/drawing/2014/main" id="{00000000-0008-0000-05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16" name="Object -1011" hidden="1">
          <a:extLst>
            <a:ext uri="{FF2B5EF4-FFF2-40B4-BE49-F238E27FC236}">
              <a16:creationId xmlns:a16="http://schemas.microsoft.com/office/drawing/2014/main" id="{00000000-0008-0000-05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17" name="Object -1010" hidden="1">
          <a:extLst>
            <a:ext uri="{FF2B5EF4-FFF2-40B4-BE49-F238E27FC236}">
              <a16:creationId xmlns:a16="http://schemas.microsoft.com/office/drawing/2014/main" id="{00000000-0008-0000-05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18" name="Object -1009" hidden="1">
          <a:extLst>
            <a:ext uri="{FF2B5EF4-FFF2-40B4-BE49-F238E27FC236}">
              <a16:creationId xmlns:a16="http://schemas.microsoft.com/office/drawing/2014/main" id="{00000000-0008-0000-05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19" name="Object -1008" hidden="1">
          <a:extLst>
            <a:ext uri="{FF2B5EF4-FFF2-40B4-BE49-F238E27FC236}">
              <a16:creationId xmlns:a16="http://schemas.microsoft.com/office/drawing/2014/main" id="{00000000-0008-0000-05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20" name="Object -1007" hidden="1">
          <a:extLst>
            <a:ext uri="{FF2B5EF4-FFF2-40B4-BE49-F238E27FC236}">
              <a16:creationId xmlns:a16="http://schemas.microsoft.com/office/drawing/2014/main" id="{00000000-0008-0000-05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21" name="Object -1006" hidden="1">
          <a:extLst>
            <a:ext uri="{FF2B5EF4-FFF2-40B4-BE49-F238E27FC236}">
              <a16:creationId xmlns:a16="http://schemas.microsoft.com/office/drawing/2014/main" id="{00000000-0008-0000-05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22" name="Object -1005" hidden="1">
          <a:extLst>
            <a:ext uri="{FF2B5EF4-FFF2-40B4-BE49-F238E27FC236}">
              <a16:creationId xmlns:a16="http://schemas.microsoft.com/office/drawing/2014/main" id="{00000000-0008-0000-05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23" name="Object -1022" hidden="1">
          <a:extLst>
            <a:ext uri="{FF2B5EF4-FFF2-40B4-BE49-F238E27FC236}">
              <a16:creationId xmlns:a16="http://schemas.microsoft.com/office/drawing/2014/main" id="{00000000-0008-0000-05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24" name="Object -1021" hidden="1">
          <a:extLst>
            <a:ext uri="{FF2B5EF4-FFF2-40B4-BE49-F238E27FC236}">
              <a16:creationId xmlns:a16="http://schemas.microsoft.com/office/drawing/2014/main" id="{00000000-0008-0000-05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25" name="Object -1020" hidden="1">
          <a:extLst>
            <a:ext uri="{FF2B5EF4-FFF2-40B4-BE49-F238E27FC236}">
              <a16:creationId xmlns:a16="http://schemas.microsoft.com/office/drawing/2014/main" id="{00000000-0008-0000-05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26" name="Object -1019" hidden="1">
          <a:extLst>
            <a:ext uri="{FF2B5EF4-FFF2-40B4-BE49-F238E27FC236}">
              <a16:creationId xmlns:a16="http://schemas.microsoft.com/office/drawing/2014/main" id="{00000000-0008-0000-05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27" name="Object -1018" hidden="1">
          <a:extLst>
            <a:ext uri="{FF2B5EF4-FFF2-40B4-BE49-F238E27FC236}">
              <a16:creationId xmlns:a16="http://schemas.microsoft.com/office/drawing/2014/main" id="{00000000-0008-0000-05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28" name="Object -1017" hidden="1">
          <a:extLst>
            <a:ext uri="{FF2B5EF4-FFF2-40B4-BE49-F238E27FC236}">
              <a16:creationId xmlns:a16="http://schemas.microsoft.com/office/drawing/2014/main" id="{00000000-0008-0000-05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29" name="Object -1016" hidden="1">
          <a:extLst>
            <a:ext uri="{FF2B5EF4-FFF2-40B4-BE49-F238E27FC236}">
              <a16:creationId xmlns:a16="http://schemas.microsoft.com/office/drawing/2014/main" id="{00000000-0008-0000-05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0" name="Object -1013" hidden="1">
          <a:extLst>
            <a:ext uri="{FF2B5EF4-FFF2-40B4-BE49-F238E27FC236}">
              <a16:creationId xmlns:a16="http://schemas.microsoft.com/office/drawing/2014/main" id="{00000000-0008-0000-05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1" name="Object -1012" hidden="1">
          <a:extLst>
            <a:ext uri="{FF2B5EF4-FFF2-40B4-BE49-F238E27FC236}">
              <a16:creationId xmlns:a16="http://schemas.microsoft.com/office/drawing/2014/main" id="{00000000-0008-0000-05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2" name="Object -1011" hidden="1">
          <a:extLst>
            <a:ext uri="{FF2B5EF4-FFF2-40B4-BE49-F238E27FC236}">
              <a16:creationId xmlns:a16="http://schemas.microsoft.com/office/drawing/2014/main" id="{00000000-0008-0000-05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3" name="Object -1010" hidden="1">
          <a:extLst>
            <a:ext uri="{FF2B5EF4-FFF2-40B4-BE49-F238E27FC236}">
              <a16:creationId xmlns:a16="http://schemas.microsoft.com/office/drawing/2014/main" id="{00000000-0008-0000-05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4" name="Object -1009" hidden="1">
          <a:extLst>
            <a:ext uri="{FF2B5EF4-FFF2-40B4-BE49-F238E27FC236}">
              <a16:creationId xmlns:a16="http://schemas.microsoft.com/office/drawing/2014/main" id="{00000000-0008-0000-05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5" name="Object -1008" hidden="1">
          <a:extLst>
            <a:ext uri="{FF2B5EF4-FFF2-40B4-BE49-F238E27FC236}">
              <a16:creationId xmlns:a16="http://schemas.microsoft.com/office/drawing/2014/main" id="{00000000-0008-0000-05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6" name="Object -1007" hidden="1">
          <a:extLst>
            <a:ext uri="{FF2B5EF4-FFF2-40B4-BE49-F238E27FC236}">
              <a16:creationId xmlns:a16="http://schemas.microsoft.com/office/drawing/2014/main" id="{00000000-0008-0000-05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7" name="Object -1006" hidden="1">
          <a:extLst>
            <a:ext uri="{FF2B5EF4-FFF2-40B4-BE49-F238E27FC236}">
              <a16:creationId xmlns:a16="http://schemas.microsoft.com/office/drawing/2014/main" id="{00000000-0008-0000-05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8" name="Object -1005" hidden="1">
          <a:extLst>
            <a:ext uri="{FF2B5EF4-FFF2-40B4-BE49-F238E27FC236}">
              <a16:creationId xmlns:a16="http://schemas.microsoft.com/office/drawing/2014/main" id="{00000000-0008-0000-05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39" name="Object -1022" hidden="1">
          <a:extLst>
            <a:ext uri="{FF2B5EF4-FFF2-40B4-BE49-F238E27FC236}">
              <a16:creationId xmlns:a16="http://schemas.microsoft.com/office/drawing/2014/main" id="{00000000-0008-0000-05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40" name="Object -1021" hidden="1">
          <a:extLst>
            <a:ext uri="{FF2B5EF4-FFF2-40B4-BE49-F238E27FC236}">
              <a16:creationId xmlns:a16="http://schemas.microsoft.com/office/drawing/2014/main" id="{00000000-0008-0000-05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41" name="Object -1020" hidden="1">
          <a:extLst>
            <a:ext uri="{FF2B5EF4-FFF2-40B4-BE49-F238E27FC236}">
              <a16:creationId xmlns:a16="http://schemas.microsoft.com/office/drawing/2014/main" id="{00000000-0008-0000-05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42" name="Object -1019" hidden="1">
          <a:extLst>
            <a:ext uri="{FF2B5EF4-FFF2-40B4-BE49-F238E27FC236}">
              <a16:creationId xmlns:a16="http://schemas.microsoft.com/office/drawing/2014/main" id="{00000000-0008-0000-05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43" name="Object -1018" hidden="1">
          <a:extLst>
            <a:ext uri="{FF2B5EF4-FFF2-40B4-BE49-F238E27FC236}">
              <a16:creationId xmlns:a16="http://schemas.microsoft.com/office/drawing/2014/main" id="{00000000-0008-0000-05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44" name="Object -1017" hidden="1">
          <a:extLst>
            <a:ext uri="{FF2B5EF4-FFF2-40B4-BE49-F238E27FC236}">
              <a16:creationId xmlns:a16="http://schemas.microsoft.com/office/drawing/2014/main" id="{00000000-0008-0000-05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45" name="Object -1016" hidden="1">
          <a:extLst>
            <a:ext uri="{FF2B5EF4-FFF2-40B4-BE49-F238E27FC236}">
              <a16:creationId xmlns:a16="http://schemas.microsoft.com/office/drawing/2014/main" id="{00000000-0008-0000-05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46" name="Object -1013" hidden="1">
          <a:extLst>
            <a:ext uri="{FF2B5EF4-FFF2-40B4-BE49-F238E27FC236}">
              <a16:creationId xmlns:a16="http://schemas.microsoft.com/office/drawing/2014/main" id="{00000000-0008-0000-05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47" name="Object -1012" hidden="1">
          <a:extLst>
            <a:ext uri="{FF2B5EF4-FFF2-40B4-BE49-F238E27FC236}">
              <a16:creationId xmlns:a16="http://schemas.microsoft.com/office/drawing/2014/main" id="{00000000-0008-0000-05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48" name="Object -1011" hidden="1">
          <a:extLst>
            <a:ext uri="{FF2B5EF4-FFF2-40B4-BE49-F238E27FC236}">
              <a16:creationId xmlns:a16="http://schemas.microsoft.com/office/drawing/2014/main" id="{00000000-0008-0000-05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49" name="Object -1010" hidden="1">
          <a:extLst>
            <a:ext uri="{FF2B5EF4-FFF2-40B4-BE49-F238E27FC236}">
              <a16:creationId xmlns:a16="http://schemas.microsoft.com/office/drawing/2014/main" id="{00000000-0008-0000-05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50" name="Object -1009" hidden="1">
          <a:extLst>
            <a:ext uri="{FF2B5EF4-FFF2-40B4-BE49-F238E27FC236}">
              <a16:creationId xmlns:a16="http://schemas.microsoft.com/office/drawing/2014/main" id="{00000000-0008-0000-05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51" name="Object -1008" hidden="1">
          <a:extLst>
            <a:ext uri="{FF2B5EF4-FFF2-40B4-BE49-F238E27FC236}">
              <a16:creationId xmlns:a16="http://schemas.microsoft.com/office/drawing/2014/main" id="{00000000-0008-0000-05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52" name="Object -1007" hidden="1">
          <a:extLst>
            <a:ext uri="{FF2B5EF4-FFF2-40B4-BE49-F238E27FC236}">
              <a16:creationId xmlns:a16="http://schemas.microsoft.com/office/drawing/2014/main" id="{00000000-0008-0000-05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53" name="Object -1006" hidden="1">
          <a:extLst>
            <a:ext uri="{FF2B5EF4-FFF2-40B4-BE49-F238E27FC236}">
              <a16:creationId xmlns:a16="http://schemas.microsoft.com/office/drawing/2014/main" id="{00000000-0008-0000-05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54" name="Object -1005" hidden="1">
          <a:extLst>
            <a:ext uri="{FF2B5EF4-FFF2-40B4-BE49-F238E27FC236}">
              <a16:creationId xmlns:a16="http://schemas.microsoft.com/office/drawing/2014/main" id="{00000000-0008-0000-05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55" name="Object -1022" hidden="1">
          <a:extLst>
            <a:ext uri="{FF2B5EF4-FFF2-40B4-BE49-F238E27FC236}">
              <a16:creationId xmlns:a16="http://schemas.microsoft.com/office/drawing/2014/main" id="{00000000-0008-0000-05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56" name="Object -1021" hidden="1">
          <a:extLst>
            <a:ext uri="{FF2B5EF4-FFF2-40B4-BE49-F238E27FC236}">
              <a16:creationId xmlns:a16="http://schemas.microsoft.com/office/drawing/2014/main" id="{00000000-0008-0000-05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57" name="Object -1020" hidden="1">
          <a:extLst>
            <a:ext uri="{FF2B5EF4-FFF2-40B4-BE49-F238E27FC236}">
              <a16:creationId xmlns:a16="http://schemas.microsoft.com/office/drawing/2014/main" id="{00000000-0008-0000-05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58" name="Object -1019" hidden="1">
          <a:extLst>
            <a:ext uri="{FF2B5EF4-FFF2-40B4-BE49-F238E27FC236}">
              <a16:creationId xmlns:a16="http://schemas.microsoft.com/office/drawing/2014/main" id="{00000000-0008-0000-05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59" name="Object -1018" hidden="1">
          <a:extLst>
            <a:ext uri="{FF2B5EF4-FFF2-40B4-BE49-F238E27FC236}">
              <a16:creationId xmlns:a16="http://schemas.microsoft.com/office/drawing/2014/main" id="{00000000-0008-0000-05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60" name="Object -1017" hidden="1">
          <a:extLst>
            <a:ext uri="{FF2B5EF4-FFF2-40B4-BE49-F238E27FC236}">
              <a16:creationId xmlns:a16="http://schemas.microsoft.com/office/drawing/2014/main" id="{00000000-0008-0000-05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61" name="Object -1016" hidden="1">
          <a:extLst>
            <a:ext uri="{FF2B5EF4-FFF2-40B4-BE49-F238E27FC236}">
              <a16:creationId xmlns:a16="http://schemas.microsoft.com/office/drawing/2014/main" id="{00000000-0008-0000-05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62" name="Object -1013" hidden="1">
          <a:extLst>
            <a:ext uri="{FF2B5EF4-FFF2-40B4-BE49-F238E27FC236}">
              <a16:creationId xmlns:a16="http://schemas.microsoft.com/office/drawing/2014/main" id="{00000000-0008-0000-05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63" name="Object -1012" hidden="1">
          <a:extLst>
            <a:ext uri="{FF2B5EF4-FFF2-40B4-BE49-F238E27FC236}">
              <a16:creationId xmlns:a16="http://schemas.microsoft.com/office/drawing/2014/main" id="{00000000-0008-0000-05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64" name="Object -1011" hidden="1">
          <a:extLst>
            <a:ext uri="{FF2B5EF4-FFF2-40B4-BE49-F238E27FC236}">
              <a16:creationId xmlns:a16="http://schemas.microsoft.com/office/drawing/2014/main" id="{00000000-0008-0000-05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65" name="Object -1010" hidden="1">
          <a:extLst>
            <a:ext uri="{FF2B5EF4-FFF2-40B4-BE49-F238E27FC236}">
              <a16:creationId xmlns:a16="http://schemas.microsoft.com/office/drawing/2014/main" id="{00000000-0008-0000-05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66" name="Object -1009" hidden="1">
          <a:extLst>
            <a:ext uri="{FF2B5EF4-FFF2-40B4-BE49-F238E27FC236}">
              <a16:creationId xmlns:a16="http://schemas.microsoft.com/office/drawing/2014/main" id="{00000000-0008-0000-05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67" name="Object -1008" hidden="1">
          <a:extLst>
            <a:ext uri="{FF2B5EF4-FFF2-40B4-BE49-F238E27FC236}">
              <a16:creationId xmlns:a16="http://schemas.microsoft.com/office/drawing/2014/main" id="{00000000-0008-0000-05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68" name="Object -1007" hidden="1">
          <a:extLst>
            <a:ext uri="{FF2B5EF4-FFF2-40B4-BE49-F238E27FC236}">
              <a16:creationId xmlns:a16="http://schemas.microsoft.com/office/drawing/2014/main" id="{00000000-0008-0000-05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69" name="Object -1006" hidden="1">
          <a:extLst>
            <a:ext uri="{FF2B5EF4-FFF2-40B4-BE49-F238E27FC236}">
              <a16:creationId xmlns:a16="http://schemas.microsoft.com/office/drawing/2014/main" id="{00000000-0008-0000-05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70" name="Object -1005" hidden="1">
          <a:extLst>
            <a:ext uri="{FF2B5EF4-FFF2-40B4-BE49-F238E27FC236}">
              <a16:creationId xmlns:a16="http://schemas.microsoft.com/office/drawing/2014/main" id="{00000000-0008-0000-05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71" name="Object -1022" hidden="1">
          <a:extLst>
            <a:ext uri="{FF2B5EF4-FFF2-40B4-BE49-F238E27FC236}">
              <a16:creationId xmlns:a16="http://schemas.microsoft.com/office/drawing/2014/main" id="{00000000-0008-0000-05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72" name="Object -1021" hidden="1">
          <a:extLst>
            <a:ext uri="{FF2B5EF4-FFF2-40B4-BE49-F238E27FC236}">
              <a16:creationId xmlns:a16="http://schemas.microsoft.com/office/drawing/2014/main" id="{00000000-0008-0000-05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73" name="Object -1020" hidden="1">
          <a:extLst>
            <a:ext uri="{FF2B5EF4-FFF2-40B4-BE49-F238E27FC236}">
              <a16:creationId xmlns:a16="http://schemas.microsoft.com/office/drawing/2014/main" id="{00000000-0008-0000-05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74" name="Object -1019" hidden="1">
          <a:extLst>
            <a:ext uri="{FF2B5EF4-FFF2-40B4-BE49-F238E27FC236}">
              <a16:creationId xmlns:a16="http://schemas.microsoft.com/office/drawing/2014/main" id="{00000000-0008-0000-05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75" name="Object -1018" hidden="1">
          <a:extLst>
            <a:ext uri="{FF2B5EF4-FFF2-40B4-BE49-F238E27FC236}">
              <a16:creationId xmlns:a16="http://schemas.microsoft.com/office/drawing/2014/main" id="{00000000-0008-0000-05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76" name="Object -1017" hidden="1">
          <a:extLst>
            <a:ext uri="{FF2B5EF4-FFF2-40B4-BE49-F238E27FC236}">
              <a16:creationId xmlns:a16="http://schemas.microsoft.com/office/drawing/2014/main" id="{00000000-0008-0000-05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77" name="Object -1016" hidden="1">
          <a:extLst>
            <a:ext uri="{FF2B5EF4-FFF2-40B4-BE49-F238E27FC236}">
              <a16:creationId xmlns:a16="http://schemas.microsoft.com/office/drawing/2014/main" id="{00000000-0008-0000-05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78" name="Object -1013" hidden="1">
          <a:extLst>
            <a:ext uri="{FF2B5EF4-FFF2-40B4-BE49-F238E27FC236}">
              <a16:creationId xmlns:a16="http://schemas.microsoft.com/office/drawing/2014/main" id="{00000000-0008-0000-05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79" name="Object -1012" hidden="1">
          <a:extLst>
            <a:ext uri="{FF2B5EF4-FFF2-40B4-BE49-F238E27FC236}">
              <a16:creationId xmlns:a16="http://schemas.microsoft.com/office/drawing/2014/main" id="{00000000-0008-0000-05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80" name="Object -1011" hidden="1">
          <a:extLst>
            <a:ext uri="{FF2B5EF4-FFF2-40B4-BE49-F238E27FC236}">
              <a16:creationId xmlns:a16="http://schemas.microsoft.com/office/drawing/2014/main" id="{00000000-0008-0000-05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81" name="Object -1010" hidden="1">
          <a:extLst>
            <a:ext uri="{FF2B5EF4-FFF2-40B4-BE49-F238E27FC236}">
              <a16:creationId xmlns:a16="http://schemas.microsoft.com/office/drawing/2014/main" id="{00000000-0008-0000-05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82" name="Object -1009" hidden="1">
          <a:extLst>
            <a:ext uri="{FF2B5EF4-FFF2-40B4-BE49-F238E27FC236}">
              <a16:creationId xmlns:a16="http://schemas.microsoft.com/office/drawing/2014/main" id="{00000000-0008-0000-05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83" name="Object -1008" hidden="1">
          <a:extLst>
            <a:ext uri="{FF2B5EF4-FFF2-40B4-BE49-F238E27FC236}">
              <a16:creationId xmlns:a16="http://schemas.microsoft.com/office/drawing/2014/main" id="{00000000-0008-0000-05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84" name="Object -1007" hidden="1">
          <a:extLst>
            <a:ext uri="{FF2B5EF4-FFF2-40B4-BE49-F238E27FC236}">
              <a16:creationId xmlns:a16="http://schemas.microsoft.com/office/drawing/2014/main" id="{00000000-0008-0000-05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85" name="Object -1006" hidden="1">
          <a:extLst>
            <a:ext uri="{FF2B5EF4-FFF2-40B4-BE49-F238E27FC236}">
              <a16:creationId xmlns:a16="http://schemas.microsoft.com/office/drawing/2014/main" id="{00000000-0008-0000-05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86" name="Object -1005" hidden="1">
          <a:extLst>
            <a:ext uri="{FF2B5EF4-FFF2-40B4-BE49-F238E27FC236}">
              <a16:creationId xmlns:a16="http://schemas.microsoft.com/office/drawing/2014/main" id="{00000000-0008-0000-05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</xdr:colOff>
      <xdr:row>28</xdr:row>
      <xdr:rowOff>0</xdr:rowOff>
    </xdr:from>
    <xdr:to>
      <xdr:col>12</xdr:col>
      <xdr:colOff>163830</xdr:colOff>
      <xdr:row>28</xdr:row>
      <xdr:rowOff>0</xdr:rowOff>
    </xdr:to>
    <xdr:pic>
      <xdr:nvPicPr>
        <xdr:cNvPr id="3787" name="Object -1022" hidden="1">
          <a:extLst>
            <a:ext uri="{FF2B5EF4-FFF2-40B4-BE49-F238E27FC236}">
              <a16:creationId xmlns:a16="http://schemas.microsoft.com/office/drawing/2014/main" id="{00000000-0008-0000-05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4620" y="5101590"/>
          <a:ext cx="160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</xdr:colOff>
      <xdr:row>28</xdr:row>
      <xdr:rowOff>0</xdr:rowOff>
    </xdr:from>
    <xdr:to>
      <xdr:col>12</xdr:col>
      <xdr:colOff>163830</xdr:colOff>
      <xdr:row>28</xdr:row>
      <xdr:rowOff>0</xdr:rowOff>
    </xdr:to>
    <xdr:pic>
      <xdr:nvPicPr>
        <xdr:cNvPr id="3788" name="Object -1021" hidden="1">
          <a:extLst>
            <a:ext uri="{FF2B5EF4-FFF2-40B4-BE49-F238E27FC236}">
              <a16:creationId xmlns:a16="http://schemas.microsoft.com/office/drawing/2014/main" id="{00000000-0008-0000-05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4620" y="5101590"/>
          <a:ext cx="160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</xdr:colOff>
      <xdr:row>28</xdr:row>
      <xdr:rowOff>0</xdr:rowOff>
    </xdr:from>
    <xdr:to>
      <xdr:col>12</xdr:col>
      <xdr:colOff>163830</xdr:colOff>
      <xdr:row>28</xdr:row>
      <xdr:rowOff>0</xdr:rowOff>
    </xdr:to>
    <xdr:pic>
      <xdr:nvPicPr>
        <xdr:cNvPr id="3789" name="Object -1020" hidden="1">
          <a:extLst>
            <a:ext uri="{FF2B5EF4-FFF2-40B4-BE49-F238E27FC236}">
              <a16:creationId xmlns:a16="http://schemas.microsoft.com/office/drawing/2014/main" id="{00000000-0008-0000-05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4620" y="5101590"/>
          <a:ext cx="160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</xdr:colOff>
      <xdr:row>28</xdr:row>
      <xdr:rowOff>0</xdr:rowOff>
    </xdr:from>
    <xdr:to>
      <xdr:col>12</xdr:col>
      <xdr:colOff>163830</xdr:colOff>
      <xdr:row>28</xdr:row>
      <xdr:rowOff>0</xdr:rowOff>
    </xdr:to>
    <xdr:pic>
      <xdr:nvPicPr>
        <xdr:cNvPr id="3790" name="Object -1019" hidden="1">
          <a:extLst>
            <a:ext uri="{FF2B5EF4-FFF2-40B4-BE49-F238E27FC236}">
              <a16:creationId xmlns:a16="http://schemas.microsoft.com/office/drawing/2014/main" id="{00000000-0008-0000-05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4620" y="5101590"/>
          <a:ext cx="160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</xdr:colOff>
      <xdr:row>28</xdr:row>
      <xdr:rowOff>0</xdr:rowOff>
    </xdr:from>
    <xdr:to>
      <xdr:col>12</xdr:col>
      <xdr:colOff>163830</xdr:colOff>
      <xdr:row>28</xdr:row>
      <xdr:rowOff>0</xdr:rowOff>
    </xdr:to>
    <xdr:pic>
      <xdr:nvPicPr>
        <xdr:cNvPr id="3791" name="Object -1018" hidden="1">
          <a:extLst>
            <a:ext uri="{FF2B5EF4-FFF2-40B4-BE49-F238E27FC236}">
              <a16:creationId xmlns:a16="http://schemas.microsoft.com/office/drawing/2014/main" id="{00000000-0008-0000-05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4620" y="5101590"/>
          <a:ext cx="160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</xdr:colOff>
      <xdr:row>28</xdr:row>
      <xdr:rowOff>0</xdr:rowOff>
    </xdr:from>
    <xdr:to>
      <xdr:col>12</xdr:col>
      <xdr:colOff>163830</xdr:colOff>
      <xdr:row>28</xdr:row>
      <xdr:rowOff>0</xdr:rowOff>
    </xdr:to>
    <xdr:pic>
      <xdr:nvPicPr>
        <xdr:cNvPr id="3792" name="Object -1017" hidden="1">
          <a:extLst>
            <a:ext uri="{FF2B5EF4-FFF2-40B4-BE49-F238E27FC236}">
              <a16:creationId xmlns:a16="http://schemas.microsoft.com/office/drawing/2014/main" id="{00000000-0008-0000-05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4620" y="5101590"/>
          <a:ext cx="160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</xdr:colOff>
      <xdr:row>28</xdr:row>
      <xdr:rowOff>0</xdr:rowOff>
    </xdr:from>
    <xdr:to>
      <xdr:col>12</xdr:col>
      <xdr:colOff>163830</xdr:colOff>
      <xdr:row>28</xdr:row>
      <xdr:rowOff>0</xdr:rowOff>
    </xdr:to>
    <xdr:pic>
      <xdr:nvPicPr>
        <xdr:cNvPr id="3793" name="Object -1016" hidden="1">
          <a:extLst>
            <a:ext uri="{FF2B5EF4-FFF2-40B4-BE49-F238E27FC236}">
              <a16:creationId xmlns:a16="http://schemas.microsoft.com/office/drawing/2014/main" id="{00000000-0008-0000-05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4620" y="5101590"/>
          <a:ext cx="160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94" name="Object -1013" hidden="1">
          <a:extLst>
            <a:ext uri="{FF2B5EF4-FFF2-40B4-BE49-F238E27FC236}">
              <a16:creationId xmlns:a16="http://schemas.microsoft.com/office/drawing/2014/main" id="{00000000-0008-0000-05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95" name="Object -1012" hidden="1">
          <a:extLst>
            <a:ext uri="{FF2B5EF4-FFF2-40B4-BE49-F238E27FC236}">
              <a16:creationId xmlns:a16="http://schemas.microsoft.com/office/drawing/2014/main" id="{00000000-0008-0000-05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96" name="Object -1011" hidden="1">
          <a:extLst>
            <a:ext uri="{FF2B5EF4-FFF2-40B4-BE49-F238E27FC236}">
              <a16:creationId xmlns:a16="http://schemas.microsoft.com/office/drawing/2014/main" id="{00000000-0008-0000-05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97" name="Object -1010" hidden="1">
          <a:extLst>
            <a:ext uri="{FF2B5EF4-FFF2-40B4-BE49-F238E27FC236}">
              <a16:creationId xmlns:a16="http://schemas.microsoft.com/office/drawing/2014/main" id="{00000000-0008-0000-05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98" name="Object -1009" hidden="1">
          <a:extLst>
            <a:ext uri="{FF2B5EF4-FFF2-40B4-BE49-F238E27FC236}">
              <a16:creationId xmlns:a16="http://schemas.microsoft.com/office/drawing/2014/main" id="{00000000-0008-0000-05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99" name="Object -1008" hidden="1">
          <a:extLst>
            <a:ext uri="{FF2B5EF4-FFF2-40B4-BE49-F238E27FC236}">
              <a16:creationId xmlns:a16="http://schemas.microsoft.com/office/drawing/2014/main" id="{00000000-0008-0000-05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00" name="Object -1007" hidden="1">
          <a:extLst>
            <a:ext uri="{FF2B5EF4-FFF2-40B4-BE49-F238E27FC236}">
              <a16:creationId xmlns:a16="http://schemas.microsoft.com/office/drawing/2014/main" id="{00000000-0008-0000-05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01" name="Object -1006" hidden="1">
          <a:extLst>
            <a:ext uri="{FF2B5EF4-FFF2-40B4-BE49-F238E27FC236}">
              <a16:creationId xmlns:a16="http://schemas.microsoft.com/office/drawing/2014/main" id="{00000000-0008-0000-05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02" name="Object -1005" hidden="1">
          <a:extLst>
            <a:ext uri="{FF2B5EF4-FFF2-40B4-BE49-F238E27FC236}">
              <a16:creationId xmlns:a16="http://schemas.microsoft.com/office/drawing/2014/main" id="{00000000-0008-0000-05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11430</xdr:colOff>
      <xdr:row>28</xdr:row>
      <xdr:rowOff>0</xdr:rowOff>
    </xdr:from>
    <xdr:to>
      <xdr:col>12</xdr:col>
      <xdr:colOff>411480</xdr:colOff>
      <xdr:row>28</xdr:row>
      <xdr:rowOff>0</xdr:rowOff>
    </xdr:to>
    <xdr:pic>
      <xdr:nvPicPr>
        <xdr:cNvPr id="3803" name="Picture 16">
          <a:extLst>
            <a:ext uri="{FF2B5EF4-FFF2-40B4-BE49-F238E27FC236}">
              <a16:creationId xmlns:a16="http://schemas.microsoft.com/office/drawing/2014/main" id="{00000000-0008-0000-05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240" y="510159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11430</xdr:colOff>
      <xdr:row>28</xdr:row>
      <xdr:rowOff>0</xdr:rowOff>
    </xdr:from>
    <xdr:to>
      <xdr:col>12</xdr:col>
      <xdr:colOff>411480</xdr:colOff>
      <xdr:row>28</xdr:row>
      <xdr:rowOff>0</xdr:rowOff>
    </xdr:to>
    <xdr:pic>
      <xdr:nvPicPr>
        <xdr:cNvPr id="3804" name="Picture 15">
          <a:extLst>
            <a:ext uri="{FF2B5EF4-FFF2-40B4-BE49-F238E27FC236}">
              <a16:creationId xmlns:a16="http://schemas.microsoft.com/office/drawing/2014/main" id="{00000000-0008-0000-05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240" y="510159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11430</xdr:colOff>
      <xdr:row>28</xdr:row>
      <xdr:rowOff>0</xdr:rowOff>
    </xdr:from>
    <xdr:to>
      <xdr:col>12</xdr:col>
      <xdr:colOff>411480</xdr:colOff>
      <xdr:row>28</xdr:row>
      <xdr:rowOff>0</xdr:rowOff>
    </xdr:to>
    <xdr:pic>
      <xdr:nvPicPr>
        <xdr:cNvPr id="3805" name="Picture 14">
          <a:extLst>
            <a:ext uri="{FF2B5EF4-FFF2-40B4-BE49-F238E27FC236}">
              <a16:creationId xmlns:a16="http://schemas.microsoft.com/office/drawing/2014/main" id="{00000000-0008-0000-05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240" y="510159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11430</xdr:colOff>
      <xdr:row>28</xdr:row>
      <xdr:rowOff>0</xdr:rowOff>
    </xdr:from>
    <xdr:to>
      <xdr:col>12</xdr:col>
      <xdr:colOff>411480</xdr:colOff>
      <xdr:row>28</xdr:row>
      <xdr:rowOff>0</xdr:rowOff>
    </xdr:to>
    <xdr:pic>
      <xdr:nvPicPr>
        <xdr:cNvPr id="3806" name="Picture 13">
          <a:extLst>
            <a:ext uri="{FF2B5EF4-FFF2-40B4-BE49-F238E27FC236}">
              <a16:creationId xmlns:a16="http://schemas.microsoft.com/office/drawing/2014/main" id="{00000000-0008-0000-0500-0000D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240" y="510159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11430</xdr:colOff>
      <xdr:row>28</xdr:row>
      <xdr:rowOff>0</xdr:rowOff>
    </xdr:from>
    <xdr:to>
      <xdr:col>12</xdr:col>
      <xdr:colOff>411480</xdr:colOff>
      <xdr:row>28</xdr:row>
      <xdr:rowOff>0</xdr:rowOff>
    </xdr:to>
    <xdr:pic>
      <xdr:nvPicPr>
        <xdr:cNvPr id="3807" name="Picture 12">
          <a:extLst>
            <a:ext uri="{FF2B5EF4-FFF2-40B4-BE49-F238E27FC236}">
              <a16:creationId xmlns:a16="http://schemas.microsoft.com/office/drawing/2014/main" id="{00000000-0008-0000-0500-0000D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240" y="510159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11430</xdr:colOff>
      <xdr:row>28</xdr:row>
      <xdr:rowOff>0</xdr:rowOff>
    </xdr:from>
    <xdr:to>
      <xdr:col>12</xdr:col>
      <xdr:colOff>411480</xdr:colOff>
      <xdr:row>28</xdr:row>
      <xdr:rowOff>0</xdr:rowOff>
    </xdr:to>
    <xdr:pic>
      <xdr:nvPicPr>
        <xdr:cNvPr id="3808" name="Picture 11">
          <a:extLst>
            <a:ext uri="{FF2B5EF4-FFF2-40B4-BE49-F238E27FC236}">
              <a16:creationId xmlns:a16="http://schemas.microsoft.com/office/drawing/2014/main" id="{00000000-0008-0000-0500-0000E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240" y="510159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11430</xdr:colOff>
      <xdr:row>28</xdr:row>
      <xdr:rowOff>0</xdr:rowOff>
    </xdr:from>
    <xdr:to>
      <xdr:col>12</xdr:col>
      <xdr:colOff>411480</xdr:colOff>
      <xdr:row>28</xdr:row>
      <xdr:rowOff>0</xdr:rowOff>
    </xdr:to>
    <xdr:pic>
      <xdr:nvPicPr>
        <xdr:cNvPr id="3809" name="Picture 10">
          <a:extLst>
            <a:ext uri="{FF2B5EF4-FFF2-40B4-BE49-F238E27FC236}">
              <a16:creationId xmlns:a16="http://schemas.microsoft.com/office/drawing/2014/main" id="{00000000-0008-0000-0500-0000E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240" y="510159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0" name="Picture 9">
          <a:extLst>
            <a:ext uri="{FF2B5EF4-FFF2-40B4-BE49-F238E27FC236}">
              <a16:creationId xmlns:a16="http://schemas.microsoft.com/office/drawing/2014/main" id="{00000000-0008-0000-0500-0000E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1" name="Picture 8">
          <a:extLst>
            <a:ext uri="{FF2B5EF4-FFF2-40B4-BE49-F238E27FC236}">
              <a16:creationId xmlns:a16="http://schemas.microsoft.com/office/drawing/2014/main" id="{00000000-0008-0000-0500-0000E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2" name="Picture 7">
          <a:extLst>
            <a:ext uri="{FF2B5EF4-FFF2-40B4-BE49-F238E27FC236}">
              <a16:creationId xmlns:a16="http://schemas.microsoft.com/office/drawing/2014/main" id="{00000000-0008-0000-0500-0000E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3" name="Picture 6">
          <a:extLst>
            <a:ext uri="{FF2B5EF4-FFF2-40B4-BE49-F238E27FC236}">
              <a16:creationId xmlns:a16="http://schemas.microsoft.com/office/drawing/2014/main" id="{00000000-0008-0000-0500-0000E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4" name="Picture 5">
          <a:extLst>
            <a:ext uri="{FF2B5EF4-FFF2-40B4-BE49-F238E27FC236}">
              <a16:creationId xmlns:a16="http://schemas.microsoft.com/office/drawing/2014/main" id="{00000000-0008-0000-0500-0000E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5" name="Picture 4">
          <a:extLst>
            <a:ext uri="{FF2B5EF4-FFF2-40B4-BE49-F238E27FC236}">
              <a16:creationId xmlns:a16="http://schemas.microsoft.com/office/drawing/2014/main" id="{00000000-0008-0000-0500-0000E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6" name="Picture 3">
          <a:extLst>
            <a:ext uri="{FF2B5EF4-FFF2-40B4-BE49-F238E27FC236}">
              <a16:creationId xmlns:a16="http://schemas.microsoft.com/office/drawing/2014/main" id="{00000000-0008-0000-0500-0000E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7" name="Picture 2">
          <a:extLst>
            <a:ext uri="{FF2B5EF4-FFF2-40B4-BE49-F238E27FC236}">
              <a16:creationId xmlns:a16="http://schemas.microsoft.com/office/drawing/2014/main" id="{00000000-0008-0000-0500-0000E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8" name="Picture 1">
          <a:extLst>
            <a:ext uri="{FF2B5EF4-FFF2-40B4-BE49-F238E27FC236}">
              <a16:creationId xmlns:a16="http://schemas.microsoft.com/office/drawing/2014/main" id="{00000000-0008-0000-0500-0000E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28</xdr:row>
      <xdr:rowOff>0</xdr:rowOff>
    </xdr:from>
    <xdr:to>
      <xdr:col>12</xdr:col>
      <xdr:colOff>1028700</xdr:colOff>
      <xdr:row>28</xdr:row>
      <xdr:rowOff>0</xdr:rowOff>
    </xdr:to>
    <xdr:pic>
      <xdr:nvPicPr>
        <xdr:cNvPr id="3819" name="Picture 16">
          <a:extLst>
            <a:ext uri="{FF2B5EF4-FFF2-40B4-BE49-F238E27FC236}">
              <a16:creationId xmlns:a16="http://schemas.microsoft.com/office/drawing/2014/main" id="{00000000-0008-0000-0500-0000E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5153025"/>
          <a:ext cx="10001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28</xdr:row>
      <xdr:rowOff>0</xdr:rowOff>
    </xdr:from>
    <xdr:to>
      <xdr:col>12</xdr:col>
      <xdr:colOff>1028700</xdr:colOff>
      <xdr:row>28</xdr:row>
      <xdr:rowOff>0</xdr:rowOff>
    </xdr:to>
    <xdr:pic>
      <xdr:nvPicPr>
        <xdr:cNvPr id="3820" name="Picture 15">
          <a:extLst>
            <a:ext uri="{FF2B5EF4-FFF2-40B4-BE49-F238E27FC236}">
              <a16:creationId xmlns:a16="http://schemas.microsoft.com/office/drawing/2014/main" id="{00000000-0008-0000-0500-0000E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5153025"/>
          <a:ext cx="10001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28</xdr:row>
      <xdr:rowOff>0</xdr:rowOff>
    </xdr:from>
    <xdr:to>
      <xdr:col>12</xdr:col>
      <xdr:colOff>1028700</xdr:colOff>
      <xdr:row>28</xdr:row>
      <xdr:rowOff>0</xdr:rowOff>
    </xdr:to>
    <xdr:pic>
      <xdr:nvPicPr>
        <xdr:cNvPr id="3821" name="Picture 14">
          <a:extLst>
            <a:ext uri="{FF2B5EF4-FFF2-40B4-BE49-F238E27FC236}">
              <a16:creationId xmlns:a16="http://schemas.microsoft.com/office/drawing/2014/main" id="{00000000-0008-0000-0500-0000E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5153025"/>
          <a:ext cx="10001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28</xdr:row>
      <xdr:rowOff>0</xdr:rowOff>
    </xdr:from>
    <xdr:to>
      <xdr:col>12</xdr:col>
      <xdr:colOff>1028700</xdr:colOff>
      <xdr:row>28</xdr:row>
      <xdr:rowOff>0</xdr:rowOff>
    </xdr:to>
    <xdr:pic>
      <xdr:nvPicPr>
        <xdr:cNvPr id="3822" name="Picture 13">
          <a:extLst>
            <a:ext uri="{FF2B5EF4-FFF2-40B4-BE49-F238E27FC236}">
              <a16:creationId xmlns:a16="http://schemas.microsoft.com/office/drawing/2014/main" id="{00000000-0008-0000-0500-0000E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5153025"/>
          <a:ext cx="10001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28</xdr:row>
      <xdr:rowOff>0</xdr:rowOff>
    </xdr:from>
    <xdr:to>
      <xdr:col>12</xdr:col>
      <xdr:colOff>1028700</xdr:colOff>
      <xdr:row>28</xdr:row>
      <xdr:rowOff>0</xdr:rowOff>
    </xdr:to>
    <xdr:pic>
      <xdr:nvPicPr>
        <xdr:cNvPr id="3823" name="Picture 12">
          <a:extLst>
            <a:ext uri="{FF2B5EF4-FFF2-40B4-BE49-F238E27FC236}">
              <a16:creationId xmlns:a16="http://schemas.microsoft.com/office/drawing/2014/main" id="{00000000-0008-0000-0500-0000E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5153025"/>
          <a:ext cx="10001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28</xdr:row>
      <xdr:rowOff>0</xdr:rowOff>
    </xdr:from>
    <xdr:to>
      <xdr:col>12</xdr:col>
      <xdr:colOff>1028700</xdr:colOff>
      <xdr:row>28</xdr:row>
      <xdr:rowOff>0</xdr:rowOff>
    </xdr:to>
    <xdr:pic>
      <xdr:nvPicPr>
        <xdr:cNvPr id="3824" name="Picture 11">
          <a:extLst>
            <a:ext uri="{FF2B5EF4-FFF2-40B4-BE49-F238E27FC236}">
              <a16:creationId xmlns:a16="http://schemas.microsoft.com/office/drawing/2014/main" id="{00000000-0008-0000-0500-0000F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5153025"/>
          <a:ext cx="10001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28</xdr:row>
      <xdr:rowOff>0</xdr:rowOff>
    </xdr:from>
    <xdr:to>
      <xdr:col>12</xdr:col>
      <xdr:colOff>1028700</xdr:colOff>
      <xdr:row>28</xdr:row>
      <xdr:rowOff>0</xdr:rowOff>
    </xdr:to>
    <xdr:pic>
      <xdr:nvPicPr>
        <xdr:cNvPr id="3825" name="Picture 10">
          <a:extLst>
            <a:ext uri="{FF2B5EF4-FFF2-40B4-BE49-F238E27FC236}">
              <a16:creationId xmlns:a16="http://schemas.microsoft.com/office/drawing/2014/main" id="{00000000-0008-0000-0500-0000F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5153025"/>
          <a:ext cx="10001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28575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26" name="Picture 9">
          <a:extLst>
            <a:ext uri="{FF2B5EF4-FFF2-40B4-BE49-F238E27FC236}">
              <a16:creationId xmlns:a16="http://schemas.microsoft.com/office/drawing/2014/main" id="{00000000-0008-0000-0500-0000F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6440150"/>
          <a:ext cx="3905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39399</xdr:colOff>
      <xdr:row>86</xdr:row>
      <xdr:rowOff>147926</xdr:rowOff>
    </xdr:from>
    <xdr:to>
      <xdr:col>12</xdr:col>
      <xdr:colOff>447386</xdr:colOff>
      <xdr:row>86</xdr:row>
      <xdr:rowOff>147926</xdr:rowOff>
    </xdr:to>
    <xdr:pic>
      <xdr:nvPicPr>
        <xdr:cNvPr id="3827" name="Picture 8">
          <a:extLst>
            <a:ext uri="{FF2B5EF4-FFF2-40B4-BE49-F238E27FC236}">
              <a16:creationId xmlns:a16="http://schemas.microsoft.com/office/drawing/2014/main" id="{00000000-0008-0000-0500-0000F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5649" y="16997074"/>
          <a:ext cx="407987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158462</xdr:colOff>
      <xdr:row>86</xdr:row>
      <xdr:rowOff>104631</xdr:rowOff>
    </xdr:from>
    <xdr:to>
      <xdr:col>12</xdr:col>
      <xdr:colOff>566449</xdr:colOff>
      <xdr:row>86</xdr:row>
      <xdr:rowOff>104631</xdr:rowOff>
    </xdr:to>
    <xdr:pic>
      <xdr:nvPicPr>
        <xdr:cNvPr id="3829" name="Picture 6">
          <a:extLst>
            <a:ext uri="{FF2B5EF4-FFF2-40B4-BE49-F238E27FC236}">
              <a16:creationId xmlns:a16="http://schemas.microsoft.com/office/drawing/2014/main" id="{00000000-0008-0000-0500-0000F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4712" y="16953779"/>
          <a:ext cx="407987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421843</xdr:colOff>
      <xdr:row>85</xdr:row>
      <xdr:rowOff>97415</xdr:rowOff>
    </xdr:from>
    <xdr:to>
      <xdr:col>12</xdr:col>
      <xdr:colOff>93807</xdr:colOff>
      <xdr:row>85</xdr:row>
      <xdr:rowOff>97415</xdr:rowOff>
    </xdr:to>
    <xdr:pic>
      <xdr:nvPicPr>
        <xdr:cNvPr id="3830" name="Picture 5">
          <a:extLst>
            <a:ext uri="{FF2B5EF4-FFF2-40B4-BE49-F238E27FC236}">
              <a16:creationId xmlns:a16="http://schemas.microsoft.com/office/drawing/2014/main" id="{00000000-0008-0000-0500-0000F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2070" y="16787813"/>
          <a:ext cx="407987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35" name="Object -1022" hidden="1">
          <a:extLst>
            <a:ext uri="{FF2B5EF4-FFF2-40B4-BE49-F238E27FC236}">
              <a16:creationId xmlns:a16="http://schemas.microsoft.com/office/drawing/2014/main" id="{00000000-0008-0000-0500-0000F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36" name="Object -1021" hidden="1">
          <a:extLst>
            <a:ext uri="{FF2B5EF4-FFF2-40B4-BE49-F238E27FC236}">
              <a16:creationId xmlns:a16="http://schemas.microsoft.com/office/drawing/2014/main" id="{00000000-0008-0000-0500-0000F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37" name="Object -1020" hidden="1">
          <a:extLst>
            <a:ext uri="{FF2B5EF4-FFF2-40B4-BE49-F238E27FC236}">
              <a16:creationId xmlns:a16="http://schemas.microsoft.com/office/drawing/2014/main" id="{00000000-0008-0000-0500-0000F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38" name="Object -1019" hidden="1">
          <a:extLst>
            <a:ext uri="{FF2B5EF4-FFF2-40B4-BE49-F238E27FC236}">
              <a16:creationId xmlns:a16="http://schemas.microsoft.com/office/drawing/2014/main" id="{00000000-0008-0000-0500-0000F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39" name="Object -1018" hidden="1">
          <a:extLst>
            <a:ext uri="{FF2B5EF4-FFF2-40B4-BE49-F238E27FC236}">
              <a16:creationId xmlns:a16="http://schemas.microsoft.com/office/drawing/2014/main" id="{00000000-0008-0000-0500-0000F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40" name="Object -1017" hidden="1">
          <a:extLst>
            <a:ext uri="{FF2B5EF4-FFF2-40B4-BE49-F238E27FC236}">
              <a16:creationId xmlns:a16="http://schemas.microsoft.com/office/drawing/2014/main" id="{00000000-0008-0000-0500-00000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41" name="Object -1016" hidden="1">
          <a:extLst>
            <a:ext uri="{FF2B5EF4-FFF2-40B4-BE49-F238E27FC236}">
              <a16:creationId xmlns:a16="http://schemas.microsoft.com/office/drawing/2014/main" id="{00000000-0008-0000-0500-00000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42" name="Object -1013" hidden="1">
          <a:extLst>
            <a:ext uri="{FF2B5EF4-FFF2-40B4-BE49-F238E27FC236}">
              <a16:creationId xmlns:a16="http://schemas.microsoft.com/office/drawing/2014/main" id="{00000000-0008-0000-0500-00000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43" name="Object -1012" hidden="1">
          <a:extLst>
            <a:ext uri="{FF2B5EF4-FFF2-40B4-BE49-F238E27FC236}">
              <a16:creationId xmlns:a16="http://schemas.microsoft.com/office/drawing/2014/main" id="{00000000-0008-0000-0500-00000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44" name="Object -1011" hidden="1">
          <a:extLst>
            <a:ext uri="{FF2B5EF4-FFF2-40B4-BE49-F238E27FC236}">
              <a16:creationId xmlns:a16="http://schemas.microsoft.com/office/drawing/2014/main" id="{00000000-0008-0000-0500-00000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45" name="Object -1010" hidden="1">
          <a:extLst>
            <a:ext uri="{FF2B5EF4-FFF2-40B4-BE49-F238E27FC236}">
              <a16:creationId xmlns:a16="http://schemas.microsoft.com/office/drawing/2014/main" id="{00000000-0008-0000-0500-00000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46" name="Object -1009" hidden="1">
          <a:extLst>
            <a:ext uri="{FF2B5EF4-FFF2-40B4-BE49-F238E27FC236}">
              <a16:creationId xmlns:a16="http://schemas.microsoft.com/office/drawing/2014/main" id="{00000000-0008-0000-0500-00000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47" name="Object -1008" hidden="1">
          <a:extLst>
            <a:ext uri="{FF2B5EF4-FFF2-40B4-BE49-F238E27FC236}">
              <a16:creationId xmlns:a16="http://schemas.microsoft.com/office/drawing/2014/main" id="{00000000-0008-0000-0500-00000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48" name="Object -1007" hidden="1">
          <a:extLst>
            <a:ext uri="{FF2B5EF4-FFF2-40B4-BE49-F238E27FC236}">
              <a16:creationId xmlns:a16="http://schemas.microsoft.com/office/drawing/2014/main" id="{00000000-0008-0000-0500-00000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49" name="Object -1006" hidden="1">
          <a:extLst>
            <a:ext uri="{FF2B5EF4-FFF2-40B4-BE49-F238E27FC236}">
              <a16:creationId xmlns:a16="http://schemas.microsoft.com/office/drawing/2014/main" id="{00000000-0008-0000-0500-00000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50" name="Object -1005" hidden="1">
          <a:extLst>
            <a:ext uri="{FF2B5EF4-FFF2-40B4-BE49-F238E27FC236}">
              <a16:creationId xmlns:a16="http://schemas.microsoft.com/office/drawing/2014/main" id="{00000000-0008-0000-0500-00000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51" name="Object -1022" hidden="1">
          <a:extLst>
            <a:ext uri="{FF2B5EF4-FFF2-40B4-BE49-F238E27FC236}">
              <a16:creationId xmlns:a16="http://schemas.microsoft.com/office/drawing/2014/main" id="{00000000-0008-0000-0500-00000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52" name="Object -1021" hidden="1">
          <a:extLst>
            <a:ext uri="{FF2B5EF4-FFF2-40B4-BE49-F238E27FC236}">
              <a16:creationId xmlns:a16="http://schemas.microsoft.com/office/drawing/2014/main" id="{00000000-0008-0000-0500-00000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53" name="Object -1020" hidden="1">
          <a:extLst>
            <a:ext uri="{FF2B5EF4-FFF2-40B4-BE49-F238E27FC236}">
              <a16:creationId xmlns:a16="http://schemas.microsoft.com/office/drawing/2014/main" id="{00000000-0008-0000-0500-00000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54" name="Object -1019" hidden="1">
          <a:extLst>
            <a:ext uri="{FF2B5EF4-FFF2-40B4-BE49-F238E27FC236}">
              <a16:creationId xmlns:a16="http://schemas.microsoft.com/office/drawing/2014/main" id="{00000000-0008-0000-0500-00000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55" name="Object -1018" hidden="1">
          <a:extLst>
            <a:ext uri="{FF2B5EF4-FFF2-40B4-BE49-F238E27FC236}">
              <a16:creationId xmlns:a16="http://schemas.microsoft.com/office/drawing/2014/main" id="{00000000-0008-0000-0500-00000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56" name="Object -1017" hidden="1">
          <a:extLst>
            <a:ext uri="{FF2B5EF4-FFF2-40B4-BE49-F238E27FC236}">
              <a16:creationId xmlns:a16="http://schemas.microsoft.com/office/drawing/2014/main" id="{00000000-0008-0000-0500-00001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57" name="Object -1016" hidden="1">
          <a:extLst>
            <a:ext uri="{FF2B5EF4-FFF2-40B4-BE49-F238E27FC236}">
              <a16:creationId xmlns:a16="http://schemas.microsoft.com/office/drawing/2014/main" id="{00000000-0008-0000-0500-00001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58" name="Object -1013" hidden="1">
          <a:extLst>
            <a:ext uri="{FF2B5EF4-FFF2-40B4-BE49-F238E27FC236}">
              <a16:creationId xmlns:a16="http://schemas.microsoft.com/office/drawing/2014/main" id="{00000000-0008-0000-0500-00001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59" name="Object -1012" hidden="1">
          <a:extLst>
            <a:ext uri="{FF2B5EF4-FFF2-40B4-BE49-F238E27FC236}">
              <a16:creationId xmlns:a16="http://schemas.microsoft.com/office/drawing/2014/main" id="{00000000-0008-0000-0500-00001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60" name="Object -1011" hidden="1">
          <a:extLst>
            <a:ext uri="{FF2B5EF4-FFF2-40B4-BE49-F238E27FC236}">
              <a16:creationId xmlns:a16="http://schemas.microsoft.com/office/drawing/2014/main" id="{00000000-0008-0000-0500-00001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61" name="Object -1010" hidden="1">
          <a:extLst>
            <a:ext uri="{FF2B5EF4-FFF2-40B4-BE49-F238E27FC236}">
              <a16:creationId xmlns:a16="http://schemas.microsoft.com/office/drawing/2014/main" id="{00000000-0008-0000-0500-00001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62" name="Object -1009" hidden="1">
          <a:extLst>
            <a:ext uri="{FF2B5EF4-FFF2-40B4-BE49-F238E27FC236}">
              <a16:creationId xmlns:a16="http://schemas.microsoft.com/office/drawing/2014/main" id="{00000000-0008-0000-0500-00001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63" name="Object -1008" hidden="1">
          <a:extLst>
            <a:ext uri="{FF2B5EF4-FFF2-40B4-BE49-F238E27FC236}">
              <a16:creationId xmlns:a16="http://schemas.microsoft.com/office/drawing/2014/main" id="{00000000-0008-0000-0500-00001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64" name="Object -1007" hidden="1">
          <a:extLst>
            <a:ext uri="{FF2B5EF4-FFF2-40B4-BE49-F238E27FC236}">
              <a16:creationId xmlns:a16="http://schemas.microsoft.com/office/drawing/2014/main" id="{00000000-0008-0000-0500-00001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65" name="Object -1006" hidden="1">
          <a:extLst>
            <a:ext uri="{FF2B5EF4-FFF2-40B4-BE49-F238E27FC236}">
              <a16:creationId xmlns:a16="http://schemas.microsoft.com/office/drawing/2014/main" id="{00000000-0008-0000-0500-00001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66" name="Object -1005" hidden="1">
          <a:extLst>
            <a:ext uri="{FF2B5EF4-FFF2-40B4-BE49-F238E27FC236}">
              <a16:creationId xmlns:a16="http://schemas.microsoft.com/office/drawing/2014/main" id="{00000000-0008-0000-0500-00001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67" name="Object -1022" hidden="1">
          <a:extLst>
            <a:ext uri="{FF2B5EF4-FFF2-40B4-BE49-F238E27FC236}">
              <a16:creationId xmlns:a16="http://schemas.microsoft.com/office/drawing/2014/main" id="{00000000-0008-0000-0500-00001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68" name="Object -1021" hidden="1">
          <a:extLst>
            <a:ext uri="{FF2B5EF4-FFF2-40B4-BE49-F238E27FC236}">
              <a16:creationId xmlns:a16="http://schemas.microsoft.com/office/drawing/2014/main" id="{00000000-0008-0000-0500-00001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69" name="Object -1020" hidden="1">
          <a:extLst>
            <a:ext uri="{FF2B5EF4-FFF2-40B4-BE49-F238E27FC236}">
              <a16:creationId xmlns:a16="http://schemas.microsoft.com/office/drawing/2014/main" id="{00000000-0008-0000-0500-00001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70" name="Object -1019" hidden="1">
          <a:extLst>
            <a:ext uri="{FF2B5EF4-FFF2-40B4-BE49-F238E27FC236}">
              <a16:creationId xmlns:a16="http://schemas.microsoft.com/office/drawing/2014/main" id="{00000000-0008-0000-0500-00001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71" name="Object -1018" hidden="1">
          <a:extLst>
            <a:ext uri="{FF2B5EF4-FFF2-40B4-BE49-F238E27FC236}">
              <a16:creationId xmlns:a16="http://schemas.microsoft.com/office/drawing/2014/main" id="{00000000-0008-0000-0500-00001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72" name="Object -1017" hidden="1">
          <a:extLst>
            <a:ext uri="{FF2B5EF4-FFF2-40B4-BE49-F238E27FC236}">
              <a16:creationId xmlns:a16="http://schemas.microsoft.com/office/drawing/2014/main" id="{00000000-0008-0000-0500-00002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73" name="Object -1016" hidden="1">
          <a:extLst>
            <a:ext uri="{FF2B5EF4-FFF2-40B4-BE49-F238E27FC236}">
              <a16:creationId xmlns:a16="http://schemas.microsoft.com/office/drawing/2014/main" id="{00000000-0008-0000-0500-00002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74" name="Object -1013" hidden="1">
          <a:extLst>
            <a:ext uri="{FF2B5EF4-FFF2-40B4-BE49-F238E27FC236}">
              <a16:creationId xmlns:a16="http://schemas.microsoft.com/office/drawing/2014/main" id="{00000000-0008-0000-0500-00002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75" name="Object -1012" hidden="1">
          <a:extLst>
            <a:ext uri="{FF2B5EF4-FFF2-40B4-BE49-F238E27FC236}">
              <a16:creationId xmlns:a16="http://schemas.microsoft.com/office/drawing/2014/main" id="{00000000-0008-0000-0500-00002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76" name="Object -1011" hidden="1">
          <a:extLst>
            <a:ext uri="{FF2B5EF4-FFF2-40B4-BE49-F238E27FC236}">
              <a16:creationId xmlns:a16="http://schemas.microsoft.com/office/drawing/2014/main" id="{00000000-0008-0000-0500-00002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77" name="Object -1010" hidden="1">
          <a:extLst>
            <a:ext uri="{FF2B5EF4-FFF2-40B4-BE49-F238E27FC236}">
              <a16:creationId xmlns:a16="http://schemas.microsoft.com/office/drawing/2014/main" id="{00000000-0008-0000-0500-00002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78" name="Object -1009" hidden="1">
          <a:extLst>
            <a:ext uri="{FF2B5EF4-FFF2-40B4-BE49-F238E27FC236}">
              <a16:creationId xmlns:a16="http://schemas.microsoft.com/office/drawing/2014/main" id="{00000000-0008-0000-0500-00002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79" name="Object -1008" hidden="1">
          <a:extLst>
            <a:ext uri="{FF2B5EF4-FFF2-40B4-BE49-F238E27FC236}">
              <a16:creationId xmlns:a16="http://schemas.microsoft.com/office/drawing/2014/main" id="{00000000-0008-0000-0500-00002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80" name="Object -1007" hidden="1">
          <a:extLst>
            <a:ext uri="{FF2B5EF4-FFF2-40B4-BE49-F238E27FC236}">
              <a16:creationId xmlns:a16="http://schemas.microsoft.com/office/drawing/2014/main" id="{00000000-0008-0000-0500-00002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81" name="Object -1006" hidden="1">
          <a:extLst>
            <a:ext uri="{FF2B5EF4-FFF2-40B4-BE49-F238E27FC236}">
              <a16:creationId xmlns:a16="http://schemas.microsoft.com/office/drawing/2014/main" id="{00000000-0008-0000-0500-00002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82" name="Object -1005" hidden="1">
          <a:extLst>
            <a:ext uri="{FF2B5EF4-FFF2-40B4-BE49-F238E27FC236}">
              <a16:creationId xmlns:a16="http://schemas.microsoft.com/office/drawing/2014/main" id="{00000000-0008-0000-0500-00002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83" name="Object -1022" hidden="1">
          <a:extLst>
            <a:ext uri="{FF2B5EF4-FFF2-40B4-BE49-F238E27FC236}">
              <a16:creationId xmlns:a16="http://schemas.microsoft.com/office/drawing/2014/main" id="{00000000-0008-0000-0500-00002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84" name="Object -1021" hidden="1">
          <a:extLst>
            <a:ext uri="{FF2B5EF4-FFF2-40B4-BE49-F238E27FC236}">
              <a16:creationId xmlns:a16="http://schemas.microsoft.com/office/drawing/2014/main" id="{00000000-0008-0000-0500-00002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85" name="Object -1020" hidden="1">
          <a:extLst>
            <a:ext uri="{FF2B5EF4-FFF2-40B4-BE49-F238E27FC236}">
              <a16:creationId xmlns:a16="http://schemas.microsoft.com/office/drawing/2014/main" id="{00000000-0008-0000-0500-00002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86" name="Object -1019" hidden="1">
          <a:extLst>
            <a:ext uri="{FF2B5EF4-FFF2-40B4-BE49-F238E27FC236}">
              <a16:creationId xmlns:a16="http://schemas.microsoft.com/office/drawing/2014/main" id="{00000000-0008-0000-0500-00002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87" name="Object -1018" hidden="1">
          <a:extLst>
            <a:ext uri="{FF2B5EF4-FFF2-40B4-BE49-F238E27FC236}">
              <a16:creationId xmlns:a16="http://schemas.microsoft.com/office/drawing/2014/main" id="{00000000-0008-0000-0500-00002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88" name="Object -1017" hidden="1">
          <a:extLst>
            <a:ext uri="{FF2B5EF4-FFF2-40B4-BE49-F238E27FC236}">
              <a16:creationId xmlns:a16="http://schemas.microsoft.com/office/drawing/2014/main" id="{00000000-0008-0000-0500-00003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89" name="Object -1016" hidden="1">
          <a:extLst>
            <a:ext uri="{FF2B5EF4-FFF2-40B4-BE49-F238E27FC236}">
              <a16:creationId xmlns:a16="http://schemas.microsoft.com/office/drawing/2014/main" id="{00000000-0008-0000-0500-00003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0" name="Object -1013" hidden="1">
          <a:extLst>
            <a:ext uri="{FF2B5EF4-FFF2-40B4-BE49-F238E27FC236}">
              <a16:creationId xmlns:a16="http://schemas.microsoft.com/office/drawing/2014/main" id="{00000000-0008-0000-0500-00003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1" name="Object -1012" hidden="1">
          <a:extLst>
            <a:ext uri="{FF2B5EF4-FFF2-40B4-BE49-F238E27FC236}">
              <a16:creationId xmlns:a16="http://schemas.microsoft.com/office/drawing/2014/main" id="{00000000-0008-0000-0500-00003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2" name="Object -1011" hidden="1">
          <a:extLst>
            <a:ext uri="{FF2B5EF4-FFF2-40B4-BE49-F238E27FC236}">
              <a16:creationId xmlns:a16="http://schemas.microsoft.com/office/drawing/2014/main" id="{00000000-0008-0000-0500-00003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3" name="Object -1010" hidden="1">
          <a:extLst>
            <a:ext uri="{FF2B5EF4-FFF2-40B4-BE49-F238E27FC236}">
              <a16:creationId xmlns:a16="http://schemas.microsoft.com/office/drawing/2014/main" id="{00000000-0008-0000-0500-00003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4" name="Object -1009" hidden="1">
          <a:extLst>
            <a:ext uri="{FF2B5EF4-FFF2-40B4-BE49-F238E27FC236}">
              <a16:creationId xmlns:a16="http://schemas.microsoft.com/office/drawing/2014/main" id="{00000000-0008-0000-0500-00003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5" name="Object -1008" hidden="1">
          <a:extLst>
            <a:ext uri="{FF2B5EF4-FFF2-40B4-BE49-F238E27FC236}">
              <a16:creationId xmlns:a16="http://schemas.microsoft.com/office/drawing/2014/main" id="{00000000-0008-0000-0500-00003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6" name="Object -1007" hidden="1">
          <a:extLst>
            <a:ext uri="{FF2B5EF4-FFF2-40B4-BE49-F238E27FC236}">
              <a16:creationId xmlns:a16="http://schemas.microsoft.com/office/drawing/2014/main" id="{00000000-0008-0000-0500-00003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7" name="Object -1006" hidden="1">
          <a:extLst>
            <a:ext uri="{FF2B5EF4-FFF2-40B4-BE49-F238E27FC236}">
              <a16:creationId xmlns:a16="http://schemas.microsoft.com/office/drawing/2014/main" id="{00000000-0008-0000-0500-00003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8" name="Object -1005" hidden="1">
          <a:extLst>
            <a:ext uri="{FF2B5EF4-FFF2-40B4-BE49-F238E27FC236}">
              <a16:creationId xmlns:a16="http://schemas.microsoft.com/office/drawing/2014/main" id="{00000000-0008-0000-0500-00003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99" name="Object -1022" hidden="1">
          <a:extLst>
            <a:ext uri="{FF2B5EF4-FFF2-40B4-BE49-F238E27FC236}">
              <a16:creationId xmlns:a16="http://schemas.microsoft.com/office/drawing/2014/main" id="{00000000-0008-0000-0500-00003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00" name="Object -1021" hidden="1">
          <a:extLst>
            <a:ext uri="{FF2B5EF4-FFF2-40B4-BE49-F238E27FC236}">
              <a16:creationId xmlns:a16="http://schemas.microsoft.com/office/drawing/2014/main" id="{00000000-0008-0000-0500-00003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01" name="Object -1020" hidden="1">
          <a:extLst>
            <a:ext uri="{FF2B5EF4-FFF2-40B4-BE49-F238E27FC236}">
              <a16:creationId xmlns:a16="http://schemas.microsoft.com/office/drawing/2014/main" id="{00000000-0008-0000-0500-00003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02" name="Object -1019" hidden="1">
          <a:extLst>
            <a:ext uri="{FF2B5EF4-FFF2-40B4-BE49-F238E27FC236}">
              <a16:creationId xmlns:a16="http://schemas.microsoft.com/office/drawing/2014/main" id="{00000000-0008-0000-0500-00003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03" name="Object -1018" hidden="1">
          <a:extLst>
            <a:ext uri="{FF2B5EF4-FFF2-40B4-BE49-F238E27FC236}">
              <a16:creationId xmlns:a16="http://schemas.microsoft.com/office/drawing/2014/main" id="{00000000-0008-0000-0500-00003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04" name="Object -1017" hidden="1">
          <a:extLst>
            <a:ext uri="{FF2B5EF4-FFF2-40B4-BE49-F238E27FC236}">
              <a16:creationId xmlns:a16="http://schemas.microsoft.com/office/drawing/2014/main" id="{00000000-0008-0000-0500-00004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05" name="Object -1016" hidden="1">
          <a:extLst>
            <a:ext uri="{FF2B5EF4-FFF2-40B4-BE49-F238E27FC236}">
              <a16:creationId xmlns:a16="http://schemas.microsoft.com/office/drawing/2014/main" id="{00000000-0008-0000-0500-00004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06" name="Object -1013" hidden="1">
          <a:extLst>
            <a:ext uri="{FF2B5EF4-FFF2-40B4-BE49-F238E27FC236}">
              <a16:creationId xmlns:a16="http://schemas.microsoft.com/office/drawing/2014/main" id="{00000000-0008-0000-0500-00004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07" name="Object -1012" hidden="1">
          <a:extLst>
            <a:ext uri="{FF2B5EF4-FFF2-40B4-BE49-F238E27FC236}">
              <a16:creationId xmlns:a16="http://schemas.microsoft.com/office/drawing/2014/main" id="{00000000-0008-0000-0500-00004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08" name="Object -1011" hidden="1">
          <a:extLst>
            <a:ext uri="{FF2B5EF4-FFF2-40B4-BE49-F238E27FC236}">
              <a16:creationId xmlns:a16="http://schemas.microsoft.com/office/drawing/2014/main" id="{00000000-0008-0000-0500-00004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09" name="Object -1010" hidden="1">
          <a:extLst>
            <a:ext uri="{FF2B5EF4-FFF2-40B4-BE49-F238E27FC236}">
              <a16:creationId xmlns:a16="http://schemas.microsoft.com/office/drawing/2014/main" id="{00000000-0008-0000-0500-00004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10" name="Object -1009" hidden="1">
          <a:extLst>
            <a:ext uri="{FF2B5EF4-FFF2-40B4-BE49-F238E27FC236}">
              <a16:creationId xmlns:a16="http://schemas.microsoft.com/office/drawing/2014/main" id="{00000000-0008-0000-0500-00004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11" name="Object -1008" hidden="1">
          <a:extLst>
            <a:ext uri="{FF2B5EF4-FFF2-40B4-BE49-F238E27FC236}">
              <a16:creationId xmlns:a16="http://schemas.microsoft.com/office/drawing/2014/main" id="{00000000-0008-0000-0500-00004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12" name="Object -1007" hidden="1">
          <a:extLst>
            <a:ext uri="{FF2B5EF4-FFF2-40B4-BE49-F238E27FC236}">
              <a16:creationId xmlns:a16="http://schemas.microsoft.com/office/drawing/2014/main" id="{00000000-0008-0000-0500-00004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13" name="Object -1006" hidden="1">
          <a:extLst>
            <a:ext uri="{FF2B5EF4-FFF2-40B4-BE49-F238E27FC236}">
              <a16:creationId xmlns:a16="http://schemas.microsoft.com/office/drawing/2014/main" id="{00000000-0008-0000-0500-00004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14" name="Object -1005" hidden="1">
          <a:extLst>
            <a:ext uri="{FF2B5EF4-FFF2-40B4-BE49-F238E27FC236}">
              <a16:creationId xmlns:a16="http://schemas.microsoft.com/office/drawing/2014/main" id="{00000000-0008-0000-0500-00004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15" name="Object -1022" hidden="1">
          <a:extLst>
            <a:ext uri="{FF2B5EF4-FFF2-40B4-BE49-F238E27FC236}">
              <a16:creationId xmlns:a16="http://schemas.microsoft.com/office/drawing/2014/main" id="{00000000-0008-0000-0500-00004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16" name="Object -1021" hidden="1">
          <a:extLst>
            <a:ext uri="{FF2B5EF4-FFF2-40B4-BE49-F238E27FC236}">
              <a16:creationId xmlns:a16="http://schemas.microsoft.com/office/drawing/2014/main" id="{00000000-0008-0000-0500-00004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17" name="Object -1020" hidden="1">
          <a:extLst>
            <a:ext uri="{FF2B5EF4-FFF2-40B4-BE49-F238E27FC236}">
              <a16:creationId xmlns:a16="http://schemas.microsoft.com/office/drawing/2014/main" id="{00000000-0008-0000-0500-00004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18" name="Object -1019" hidden="1">
          <a:extLst>
            <a:ext uri="{FF2B5EF4-FFF2-40B4-BE49-F238E27FC236}">
              <a16:creationId xmlns:a16="http://schemas.microsoft.com/office/drawing/2014/main" id="{00000000-0008-0000-0500-00004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19" name="Object -1018" hidden="1">
          <a:extLst>
            <a:ext uri="{FF2B5EF4-FFF2-40B4-BE49-F238E27FC236}">
              <a16:creationId xmlns:a16="http://schemas.microsoft.com/office/drawing/2014/main" id="{00000000-0008-0000-0500-00004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20" name="Object -1017" hidden="1">
          <a:extLst>
            <a:ext uri="{FF2B5EF4-FFF2-40B4-BE49-F238E27FC236}">
              <a16:creationId xmlns:a16="http://schemas.microsoft.com/office/drawing/2014/main" id="{00000000-0008-0000-0500-00005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21" name="Object -1016" hidden="1">
          <a:extLst>
            <a:ext uri="{FF2B5EF4-FFF2-40B4-BE49-F238E27FC236}">
              <a16:creationId xmlns:a16="http://schemas.microsoft.com/office/drawing/2014/main" id="{00000000-0008-0000-0500-00005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22" name="Object -1013" hidden="1">
          <a:extLst>
            <a:ext uri="{FF2B5EF4-FFF2-40B4-BE49-F238E27FC236}">
              <a16:creationId xmlns:a16="http://schemas.microsoft.com/office/drawing/2014/main" id="{00000000-0008-0000-0500-00005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23" name="Object -1012" hidden="1">
          <a:extLst>
            <a:ext uri="{FF2B5EF4-FFF2-40B4-BE49-F238E27FC236}">
              <a16:creationId xmlns:a16="http://schemas.microsoft.com/office/drawing/2014/main" id="{00000000-0008-0000-0500-00005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24" name="Object -1011" hidden="1">
          <a:extLst>
            <a:ext uri="{FF2B5EF4-FFF2-40B4-BE49-F238E27FC236}">
              <a16:creationId xmlns:a16="http://schemas.microsoft.com/office/drawing/2014/main" id="{00000000-0008-0000-0500-00005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25" name="Object -1010" hidden="1">
          <a:extLst>
            <a:ext uri="{FF2B5EF4-FFF2-40B4-BE49-F238E27FC236}">
              <a16:creationId xmlns:a16="http://schemas.microsoft.com/office/drawing/2014/main" id="{00000000-0008-0000-0500-00005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26" name="Object -1009" hidden="1">
          <a:extLst>
            <a:ext uri="{FF2B5EF4-FFF2-40B4-BE49-F238E27FC236}">
              <a16:creationId xmlns:a16="http://schemas.microsoft.com/office/drawing/2014/main" id="{00000000-0008-0000-0500-00005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27" name="Object -1008" hidden="1">
          <a:extLst>
            <a:ext uri="{FF2B5EF4-FFF2-40B4-BE49-F238E27FC236}">
              <a16:creationId xmlns:a16="http://schemas.microsoft.com/office/drawing/2014/main" id="{00000000-0008-0000-0500-00005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28" name="Object -1007" hidden="1">
          <a:extLst>
            <a:ext uri="{FF2B5EF4-FFF2-40B4-BE49-F238E27FC236}">
              <a16:creationId xmlns:a16="http://schemas.microsoft.com/office/drawing/2014/main" id="{00000000-0008-0000-0500-00005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29" name="Object -1006" hidden="1">
          <a:extLst>
            <a:ext uri="{FF2B5EF4-FFF2-40B4-BE49-F238E27FC236}">
              <a16:creationId xmlns:a16="http://schemas.microsoft.com/office/drawing/2014/main" id="{00000000-0008-0000-0500-00005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30" name="Object -1005" hidden="1">
          <a:extLst>
            <a:ext uri="{FF2B5EF4-FFF2-40B4-BE49-F238E27FC236}">
              <a16:creationId xmlns:a16="http://schemas.microsoft.com/office/drawing/2014/main" id="{00000000-0008-0000-0500-00005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31" name="Object -1022" hidden="1">
          <a:extLst>
            <a:ext uri="{FF2B5EF4-FFF2-40B4-BE49-F238E27FC236}">
              <a16:creationId xmlns:a16="http://schemas.microsoft.com/office/drawing/2014/main" id="{00000000-0008-0000-0500-00005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32" name="Object -1021" hidden="1">
          <a:extLst>
            <a:ext uri="{FF2B5EF4-FFF2-40B4-BE49-F238E27FC236}">
              <a16:creationId xmlns:a16="http://schemas.microsoft.com/office/drawing/2014/main" id="{00000000-0008-0000-0500-00005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33" name="Object -1020" hidden="1">
          <a:extLst>
            <a:ext uri="{FF2B5EF4-FFF2-40B4-BE49-F238E27FC236}">
              <a16:creationId xmlns:a16="http://schemas.microsoft.com/office/drawing/2014/main" id="{00000000-0008-0000-0500-00005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34" name="Object -1019" hidden="1">
          <a:extLst>
            <a:ext uri="{FF2B5EF4-FFF2-40B4-BE49-F238E27FC236}">
              <a16:creationId xmlns:a16="http://schemas.microsoft.com/office/drawing/2014/main" id="{00000000-0008-0000-0500-00005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35" name="Object -1018" hidden="1">
          <a:extLst>
            <a:ext uri="{FF2B5EF4-FFF2-40B4-BE49-F238E27FC236}">
              <a16:creationId xmlns:a16="http://schemas.microsoft.com/office/drawing/2014/main" id="{00000000-0008-0000-0500-00005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36" name="Object -1017" hidden="1">
          <a:extLst>
            <a:ext uri="{FF2B5EF4-FFF2-40B4-BE49-F238E27FC236}">
              <a16:creationId xmlns:a16="http://schemas.microsoft.com/office/drawing/2014/main" id="{00000000-0008-0000-0500-00006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37" name="Object -1016" hidden="1">
          <a:extLst>
            <a:ext uri="{FF2B5EF4-FFF2-40B4-BE49-F238E27FC236}">
              <a16:creationId xmlns:a16="http://schemas.microsoft.com/office/drawing/2014/main" id="{00000000-0008-0000-0500-00006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38" name="Object -1013" hidden="1">
          <a:extLst>
            <a:ext uri="{FF2B5EF4-FFF2-40B4-BE49-F238E27FC236}">
              <a16:creationId xmlns:a16="http://schemas.microsoft.com/office/drawing/2014/main" id="{00000000-0008-0000-0500-00006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39" name="Object -1012" hidden="1">
          <a:extLst>
            <a:ext uri="{FF2B5EF4-FFF2-40B4-BE49-F238E27FC236}">
              <a16:creationId xmlns:a16="http://schemas.microsoft.com/office/drawing/2014/main" id="{00000000-0008-0000-0500-00006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40" name="Object -1011" hidden="1">
          <a:extLst>
            <a:ext uri="{FF2B5EF4-FFF2-40B4-BE49-F238E27FC236}">
              <a16:creationId xmlns:a16="http://schemas.microsoft.com/office/drawing/2014/main" id="{00000000-0008-0000-0500-00006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41" name="Object -1010" hidden="1">
          <a:extLst>
            <a:ext uri="{FF2B5EF4-FFF2-40B4-BE49-F238E27FC236}">
              <a16:creationId xmlns:a16="http://schemas.microsoft.com/office/drawing/2014/main" id="{00000000-0008-0000-0500-00006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42" name="Object -1009" hidden="1">
          <a:extLst>
            <a:ext uri="{FF2B5EF4-FFF2-40B4-BE49-F238E27FC236}">
              <a16:creationId xmlns:a16="http://schemas.microsoft.com/office/drawing/2014/main" id="{00000000-0008-0000-0500-00006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43" name="Object -1008" hidden="1">
          <a:extLst>
            <a:ext uri="{FF2B5EF4-FFF2-40B4-BE49-F238E27FC236}">
              <a16:creationId xmlns:a16="http://schemas.microsoft.com/office/drawing/2014/main" id="{00000000-0008-0000-0500-00006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44" name="Object -1007" hidden="1">
          <a:extLst>
            <a:ext uri="{FF2B5EF4-FFF2-40B4-BE49-F238E27FC236}">
              <a16:creationId xmlns:a16="http://schemas.microsoft.com/office/drawing/2014/main" id="{00000000-0008-0000-0500-00006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45" name="Object -1006" hidden="1">
          <a:extLst>
            <a:ext uri="{FF2B5EF4-FFF2-40B4-BE49-F238E27FC236}">
              <a16:creationId xmlns:a16="http://schemas.microsoft.com/office/drawing/2014/main" id="{00000000-0008-0000-0500-00006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46" name="Object -1005" hidden="1">
          <a:extLst>
            <a:ext uri="{FF2B5EF4-FFF2-40B4-BE49-F238E27FC236}">
              <a16:creationId xmlns:a16="http://schemas.microsoft.com/office/drawing/2014/main" id="{00000000-0008-0000-0500-00006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47" name="Object -1022" hidden="1">
          <a:extLst>
            <a:ext uri="{FF2B5EF4-FFF2-40B4-BE49-F238E27FC236}">
              <a16:creationId xmlns:a16="http://schemas.microsoft.com/office/drawing/2014/main" id="{00000000-0008-0000-0500-00006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48" name="Object -1021" hidden="1">
          <a:extLst>
            <a:ext uri="{FF2B5EF4-FFF2-40B4-BE49-F238E27FC236}">
              <a16:creationId xmlns:a16="http://schemas.microsoft.com/office/drawing/2014/main" id="{00000000-0008-0000-0500-00006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49" name="Object -1020" hidden="1">
          <a:extLst>
            <a:ext uri="{FF2B5EF4-FFF2-40B4-BE49-F238E27FC236}">
              <a16:creationId xmlns:a16="http://schemas.microsoft.com/office/drawing/2014/main" id="{00000000-0008-0000-0500-00006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50" name="Object -1019" hidden="1">
          <a:extLst>
            <a:ext uri="{FF2B5EF4-FFF2-40B4-BE49-F238E27FC236}">
              <a16:creationId xmlns:a16="http://schemas.microsoft.com/office/drawing/2014/main" id="{00000000-0008-0000-0500-00006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51" name="Object -1018" hidden="1">
          <a:extLst>
            <a:ext uri="{FF2B5EF4-FFF2-40B4-BE49-F238E27FC236}">
              <a16:creationId xmlns:a16="http://schemas.microsoft.com/office/drawing/2014/main" id="{00000000-0008-0000-0500-00006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52" name="Object -1017" hidden="1">
          <a:extLst>
            <a:ext uri="{FF2B5EF4-FFF2-40B4-BE49-F238E27FC236}">
              <a16:creationId xmlns:a16="http://schemas.microsoft.com/office/drawing/2014/main" id="{00000000-0008-0000-0500-00007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53" name="Object -1016" hidden="1">
          <a:extLst>
            <a:ext uri="{FF2B5EF4-FFF2-40B4-BE49-F238E27FC236}">
              <a16:creationId xmlns:a16="http://schemas.microsoft.com/office/drawing/2014/main" id="{00000000-0008-0000-0500-00007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54" name="Object -1013" hidden="1">
          <a:extLst>
            <a:ext uri="{FF2B5EF4-FFF2-40B4-BE49-F238E27FC236}">
              <a16:creationId xmlns:a16="http://schemas.microsoft.com/office/drawing/2014/main" id="{00000000-0008-0000-0500-00007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55" name="Object -1012" hidden="1">
          <a:extLst>
            <a:ext uri="{FF2B5EF4-FFF2-40B4-BE49-F238E27FC236}">
              <a16:creationId xmlns:a16="http://schemas.microsoft.com/office/drawing/2014/main" id="{00000000-0008-0000-0500-00007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56" name="Object -1011" hidden="1">
          <a:extLst>
            <a:ext uri="{FF2B5EF4-FFF2-40B4-BE49-F238E27FC236}">
              <a16:creationId xmlns:a16="http://schemas.microsoft.com/office/drawing/2014/main" id="{00000000-0008-0000-0500-00007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57" name="Object -1010" hidden="1">
          <a:extLst>
            <a:ext uri="{FF2B5EF4-FFF2-40B4-BE49-F238E27FC236}">
              <a16:creationId xmlns:a16="http://schemas.microsoft.com/office/drawing/2014/main" id="{00000000-0008-0000-0500-00007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58" name="Object -1009" hidden="1">
          <a:extLst>
            <a:ext uri="{FF2B5EF4-FFF2-40B4-BE49-F238E27FC236}">
              <a16:creationId xmlns:a16="http://schemas.microsoft.com/office/drawing/2014/main" id="{00000000-0008-0000-0500-00007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59" name="Object -1008" hidden="1">
          <a:extLst>
            <a:ext uri="{FF2B5EF4-FFF2-40B4-BE49-F238E27FC236}">
              <a16:creationId xmlns:a16="http://schemas.microsoft.com/office/drawing/2014/main" id="{00000000-0008-0000-0500-00007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60" name="Object -1007" hidden="1">
          <a:extLst>
            <a:ext uri="{FF2B5EF4-FFF2-40B4-BE49-F238E27FC236}">
              <a16:creationId xmlns:a16="http://schemas.microsoft.com/office/drawing/2014/main" id="{00000000-0008-0000-0500-00007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61" name="Object -1006" hidden="1">
          <a:extLst>
            <a:ext uri="{FF2B5EF4-FFF2-40B4-BE49-F238E27FC236}">
              <a16:creationId xmlns:a16="http://schemas.microsoft.com/office/drawing/2014/main" id="{00000000-0008-0000-0500-00007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62" name="Object -1005" hidden="1">
          <a:extLst>
            <a:ext uri="{FF2B5EF4-FFF2-40B4-BE49-F238E27FC236}">
              <a16:creationId xmlns:a16="http://schemas.microsoft.com/office/drawing/2014/main" id="{00000000-0008-0000-0500-00007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63" name="Object -1022" hidden="1">
          <a:extLst>
            <a:ext uri="{FF2B5EF4-FFF2-40B4-BE49-F238E27FC236}">
              <a16:creationId xmlns:a16="http://schemas.microsoft.com/office/drawing/2014/main" id="{00000000-0008-0000-0500-00007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64" name="Object -1021" hidden="1">
          <a:extLst>
            <a:ext uri="{FF2B5EF4-FFF2-40B4-BE49-F238E27FC236}">
              <a16:creationId xmlns:a16="http://schemas.microsoft.com/office/drawing/2014/main" id="{00000000-0008-0000-0500-00007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65" name="Object -1020" hidden="1">
          <a:extLst>
            <a:ext uri="{FF2B5EF4-FFF2-40B4-BE49-F238E27FC236}">
              <a16:creationId xmlns:a16="http://schemas.microsoft.com/office/drawing/2014/main" id="{00000000-0008-0000-0500-00007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66" name="Object -1019" hidden="1">
          <a:extLst>
            <a:ext uri="{FF2B5EF4-FFF2-40B4-BE49-F238E27FC236}">
              <a16:creationId xmlns:a16="http://schemas.microsoft.com/office/drawing/2014/main" id="{00000000-0008-0000-0500-00007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67" name="Object -1018" hidden="1">
          <a:extLst>
            <a:ext uri="{FF2B5EF4-FFF2-40B4-BE49-F238E27FC236}">
              <a16:creationId xmlns:a16="http://schemas.microsoft.com/office/drawing/2014/main" id="{00000000-0008-0000-0500-00007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68" name="Object -1017" hidden="1">
          <a:extLst>
            <a:ext uri="{FF2B5EF4-FFF2-40B4-BE49-F238E27FC236}">
              <a16:creationId xmlns:a16="http://schemas.microsoft.com/office/drawing/2014/main" id="{00000000-0008-0000-0500-00008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69" name="Object -1016" hidden="1">
          <a:extLst>
            <a:ext uri="{FF2B5EF4-FFF2-40B4-BE49-F238E27FC236}">
              <a16:creationId xmlns:a16="http://schemas.microsoft.com/office/drawing/2014/main" id="{00000000-0008-0000-0500-00008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5302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0" name="Object -1013" hidden="1">
          <a:extLst>
            <a:ext uri="{FF2B5EF4-FFF2-40B4-BE49-F238E27FC236}">
              <a16:creationId xmlns:a16="http://schemas.microsoft.com/office/drawing/2014/main" id="{00000000-0008-0000-0500-00008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1" name="Object -1012" hidden="1">
          <a:extLst>
            <a:ext uri="{FF2B5EF4-FFF2-40B4-BE49-F238E27FC236}">
              <a16:creationId xmlns:a16="http://schemas.microsoft.com/office/drawing/2014/main" id="{00000000-0008-0000-0500-00008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2" name="Object -1011" hidden="1">
          <a:extLst>
            <a:ext uri="{FF2B5EF4-FFF2-40B4-BE49-F238E27FC236}">
              <a16:creationId xmlns:a16="http://schemas.microsoft.com/office/drawing/2014/main" id="{00000000-0008-0000-0500-00008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3" name="Object -1010" hidden="1">
          <a:extLst>
            <a:ext uri="{FF2B5EF4-FFF2-40B4-BE49-F238E27FC236}">
              <a16:creationId xmlns:a16="http://schemas.microsoft.com/office/drawing/2014/main" id="{00000000-0008-0000-0500-00008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4" name="Object -1009" hidden="1">
          <a:extLst>
            <a:ext uri="{FF2B5EF4-FFF2-40B4-BE49-F238E27FC236}">
              <a16:creationId xmlns:a16="http://schemas.microsoft.com/office/drawing/2014/main" id="{00000000-0008-0000-0500-00008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5" name="Object -1008" hidden="1">
          <a:extLst>
            <a:ext uri="{FF2B5EF4-FFF2-40B4-BE49-F238E27FC236}">
              <a16:creationId xmlns:a16="http://schemas.microsoft.com/office/drawing/2014/main" id="{00000000-0008-0000-0500-00008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6" name="Object -1007" hidden="1">
          <a:extLst>
            <a:ext uri="{FF2B5EF4-FFF2-40B4-BE49-F238E27FC236}">
              <a16:creationId xmlns:a16="http://schemas.microsoft.com/office/drawing/2014/main" id="{00000000-0008-0000-0500-00008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7" name="Object -1006" hidden="1">
          <a:extLst>
            <a:ext uri="{FF2B5EF4-FFF2-40B4-BE49-F238E27FC236}">
              <a16:creationId xmlns:a16="http://schemas.microsoft.com/office/drawing/2014/main" id="{00000000-0008-0000-0500-00008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8" name="Object -1005" hidden="1">
          <a:extLst>
            <a:ext uri="{FF2B5EF4-FFF2-40B4-BE49-F238E27FC236}">
              <a16:creationId xmlns:a16="http://schemas.microsoft.com/office/drawing/2014/main" id="{00000000-0008-0000-0500-00008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79" name="Object -1022" hidden="1">
          <a:extLst>
            <a:ext uri="{FF2B5EF4-FFF2-40B4-BE49-F238E27FC236}">
              <a16:creationId xmlns:a16="http://schemas.microsoft.com/office/drawing/2014/main" id="{00000000-0008-0000-0500-00008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80" name="Object -1021" hidden="1">
          <a:extLst>
            <a:ext uri="{FF2B5EF4-FFF2-40B4-BE49-F238E27FC236}">
              <a16:creationId xmlns:a16="http://schemas.microsoft.com/office/drawing/2014/main" id="{00000000-0008-0000-0500-00008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81" name="Object -1020" hidden="1">
          <a:extLst>
            <a:ext uri="{FF2B5EF4-FFF2-40B4-BE49-F238E27FC236}">
              <a16:creationId xmlns:a16="http://schemas.microsoft.com/office/drawing/2014/main" id="{00000000-0008-0000-0500-00008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82" name="Object -1019" hidden="1">
          <a:extLst>
            <a:ext uri="{FF2B5EF4-FFF2-40B4-BE49-F238E27FC236}">
              <a16:creationId xmlns:a16="http://schemas.microsoft.com/office/drawing/2014/main" id="{00000000-0008-0000-0500-00008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83" name="Object -1018" hidden="1">
          <a:extLst>
            <a:ext uri="{FF2B5EF4-FFF2-40B4-BE49-F238E27FC236}">
              <a16:creationId xmlns:a16="http://schemas.microsoft.com/office/drawing/2014/main" id="{00000000-0008-0000-0500-00008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84" name="Object -1017" hidden="1">
          <a:extLst>
            <a:ext uri="{FF2B5EF4-FFF2-40B4-BE49-F238E27FC236}">
              <a16:creationId xmlns:a16="http://schemas.microsoft.com/office/drawing/2014/main" id="{00000000-0008-0000-0500-00009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85" name="Object -1016" hidden="1">
          <a:extLst>
            <a:ext uri="{FF2B5EF4-FFF2-40B4-BE49-F238E27FC236}">
              <a16:creationId xmlns:a16="http://schemas.microsoft.com/office/drawing/2014/main" id="{00000000-0008-0000-0500-00009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86" name="Object -1013" hidden="1">
          <a:extLst>
            <a:ext uri="{FF2B5EF4-FFF2-40B4-BE49-F238E27FC236}">
              <a16:creationId xmlns:a16="http://schemas.microsoft.com/office/drawing/2014/main" id="{00000000-0008-0000-0500-00009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87" name="Object -1012" hidden="1">
          <a:extLst>
            <a:ext uri="{FF2B5EF4-FFF2-40B4-BE49-F238E27FC236}">
              <a16:creationId xmlns:a16="http://schemas.microsoft.com/office/drawing/2014/main" id="{00000000-0008-0000-0500-00009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88" name="Object -1011" hidden="1">
          <a:extLst>
            <a:ext uri="{FF2B5EF4-FFF2-40B4-BE49-F238E27FC236}">
              <a16:creationId xmlns:a16="http://schemas.microsoft.com/office/drawing/2014/main" id="{00000000-0008-0000-0500-00009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89" name="Object -1010" hidden="1">
          <a:extLst>
            <a:ext uri="{FF2B5EF4-FFF2-40B4-BE49-F238E27FC236}">
              <a16:creationId xmlns:a16="http://schemas.microsoft.com/office/drawing/2014/main" id="{00000000-0008-0000-0500-00009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90" name="Object -1009" hidden="1">
          <a:extLst>
            <a:ext uri="{FF2B5EF4-FFF2-40B4-BE49-F238E27FC236}">
              <a16:creationId xmlns:a16="http://schemas.microsoft.com/office/drawing/2014/main" id="{00000000-0008-0000-0500-00009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91" name="Object -1008" hidden="1">
          <a:extLst>
            <a:ext uri="{FF2B5EF4-FFF2-40B4-BE49-F238E27FC236}">
              <a16:creationId xmlns:a16="http://schemas.microsoft.com/office/drawing/2014/main" id="{00000000-0008-0000-0500-00009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92" name="Object -1007" hidden="1">
          <a:extLst>
            <a:ext uri="{FF2B5EF4-FFF2-40B4-BE49-F238E27FC236}">
              <a16:creationId xmlns:a16="http://schemas.microsoft.com/office/drawing/2014/main" id="{00000000-0008-0000-0500-00009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93" name="Object -1006" hidden="1">
          <a:extLst>
            <a:ext uri="{FF2B5EF4-FFF2-40B4-BE49-F238E27FC236}">
              <a16:creationId xmlns:a16="http://schemas.microsoft.com/office/drawing/2014/main" id="{00000000-0008-0000-0500-00009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94" name="Object -1005" hidden="1">
          <a:extLst>
            <a:ext uri="{FF2B5EF4-FFF2-40B4-BE49-F238E27FC236}">
              <a16:creationId xmlns:a16="http://schemas.microsoft.com/office/drawing/2014/main" id="{00000000-0008-0000-0500-00009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95" name="Object -1022" hidden="1">
          <a:extLst>
            <a:ext uri="{FF2B5EF4-FFF2-40B4-BE49-F238E27FC236}">
              <a16:creationId xmlns:a16="http://schemas.microsoft.com/office/drawing/2014/main" id="{00000000-0008-0000-0500-00009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96" name="Object -1021" hidden="1">
          <a:extLst>
            <a:ext uri="{FF2B5EF4-FFF2-40B4-BE49-F238E27FC236}">
              <a16:creationId xmlns:a16="http://schemas.microsoft.com/office/drawing/2014/main" id="{00000000-0008-0000-0500-00009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97" name="Object -1020" hidden="1">
          <a:extLst>
            <a:ext uri="{FF2B5EF4-FFF2-40B4-BE49-F238E27FC236}">
              <a16:creationId xmlns:a16="http://schemas.microsoft.com/office/drawing/2014/main" id="{00000000-0008-0000-0500-00009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98" name="Object -1019" hidden="1">
          <a:extLst>
            <a:ext uri="{FF2B5EF4-FFF2-40B4-BE49-F238E27FC236}">
              <a16:creationId xmlns:a16="http://schemas.microsoft.com/office/drawing/2014/main" id="{00000000-0008-0000-0500-00009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99" name="Object -1018" hidden="1">
          <a:extLst>
            <a:ext uri="{FF2B5EF4-FFF2-40B4-BE49-F238E27FC236}">
              <a16:creationId xmlns:a16="http://schemas.microsoft.com/office/drawing/2014/main" id="{00000000-0008-0000-0500-00009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00" name="Object -1017" hidden="1">
          <a:extLst>
            <a:ext uri="{FF2B5EF4-FFF2-40B4-BE49-F238E27FC236}">
              <a16:creationId xmlns:a16="http://schemas.microsoft.com/office/drawing/2014/main" id="{00000000-0008-0000-0500-0000A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01" name="Object -1016" hidden="1">
          <a:extLst>
            <a:ext uri="{FF2B5EF4-FFF2-40B4-BE49-F238E27FC236}">
              <a16:creationId xmlns:a16="http://schemas.microsoft.com/office/drawing/2014/main" id="{00000000-0008-0000-0500-0000A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02" name="Object -1013" hidden="1">
          <a:extLst>
            <a:ext uri="{FF2B5EF4-FFF2-40B4-BE49-F238E27FC236}">
              <a16:creationId xmlns:a16="http://schemas.microsoft.com/office/drawing/2014/main" id="{00000000-0008-0000-0500-0000A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03" name="Object -1012" hidden="1">
          <a:extLst>
            <a:ext uri="{FF2B5EF4-FFF2-40B4-BE49-F238E27FC236}">
              <a16:creationId xmlns:a16="http://schemas.microsoft.com/office/drawing/2014/main" id="{00000000-0008-0000-0500-0000A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04" name="Object -1011" hidden="1">
          <a:extLst>
            <a:ext uri="{FF2B5EF4-FFF2-40B4-BE49-F238E27FC236}">
              <a16:creationId xmlns:a16="http://schemas.microsoft.com/office/drawing/2014/main" id="{00000000-0008-0000-0500-0000A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05" name="Object -1010" hidden="1">
          <a:extLst>
            <a:ext uri="{FF2B5EF4-FFF2-40B4-BE49-F238E27FC236}">
              <a16:creationId xmlns:a16="http://schemas.microsoft.com/office/drawing/2014/main" id="{00000000-0008-0000-0500-0000A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06" name="Object -1009" hidden="1">
          <a:extLst>
            <a:ext uri="{FF2B5EF4-FFF2-40B4-BE49-F238E27FC236}">
              <a16:creationId xmlns:a16="http://schemas.microsoft.com/office/drawing/2014/main" id="{00000000-0008-0000-0500-0000A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07" name="Object -1008" hidden="1">
          <a:extLst>
            <a:ext uri="{FF2B5EF4-FFF2-40B4-BE49-F238E27FC236}">
              <a16:creationId xmlns:a16="http://schemas.microsoft.com/office/drawing/2014/main" id="{00000000-0008-0000-0500-0000A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08" name="Object -1007" hidden="1">
          <a:extLst>
            <a:ext uri="{FF2B5EF4-FFF2-40B4-BE49-F238E27FC236}">
              <a16:creationId xmlns:a16="http://schemas.microsoft.com/office/drawing/2014/main" id="{00000000-0008-0000-0500-0000A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09" name="Object -1006" hidden="1">
          <a:extLst>
            <a:ext uri="{FF2B5EF4-FFF2-40B4-BE49-F238E27FC236}">
              <a16:creationId xmlns:a16="http://schemas.microsoft.com/office/drawing/2014/main" id="{00000000-0008-0000-0500-0000A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10" name="Object -1005" hidden="1">
          <a:extLst>
            <a:ext uri="{FF2B5EF4-FFF2-40B4-BE49-F238E27FC236}">
              <a16:creationId xmlns:a16="http://schemas.microsoft.com/office/drawing/2014/main" id="{00000000-0008-0000-0500-0000A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11" name="Object -1022" hidden="1">
          <a:extLst>
            <a:ext uri="{FF2B5EF4-FFF2-40B4-BE49-F238E27FC236}">
              <a16:creationId xmlns:a16="http://schemas.microsoft.com/office/drawing/2014/main" id="{00000000-0008-0000-0500-0000A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12" name="Object -1021" hidden="1">
          <a:extLst>
            <a:ext uri="{FF2B5EF4-FFF2-40B4-BE49-F238E27FC236}">
              <a16:creationId xmlns:a16="http://schemas.microsoft.com/office/drawing/2014/main" id="{00000000-0008-0000-0500-0000A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13" name="Object -1020" hidden="1">
          <a:extLst>
            <a:ext uri="{FF2B5EF4-FFF2-40B4-BE49-F238E27FC236}">
              <a16:creationId xmlns:a16="http://schemas.microsoft.com/office/drawing/2014/main" id="{00000000-0008-0000-0500-0000A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14" name="Object -1019" hidden="1">
          <a:extLst>
            <a:ext uri="{FF2B5EF4-FFF2-40B4-BE49-F238E27FC236}">
              <a16:creationId xmlns:a16="http://schemas.microsoft.com/office/drawing/2014/main" id="{00000000-0008-0000-0500-0000A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15" name="Object -1018" hidden="1">
          <a:extLst>
            <a:ext uri="{FF2B5EF4-FFF2-40B4-BE49-F238E27FC236}">
              <a16:creationId xmlns:a16="http://schemas.microsoft.com/office/drawing/2014/main" id="{00000000-0008-0000-0500-0000A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16" name="Object -1017" hidden="1">
          <a:extLst>
            <a:ext uri="{FF2B5EF4-FFF2-40B4-BE49-F238E27FC236}">
              <a16:creationId xmlns:a16="http://schemas.microsoft.com/office/drawing/2014/main" id="{00000000-0008-0000-0500-0000B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17" name="Object -1016" hidden="1">
          <a:extLst>
            <a:ext uri="{FF2B5EF4-FFF2-40B4-BE49-F238E27FC236}">
              <a16:creationId xmlns:a16="http://schemas.microsoft.com/office/drawing/2014/main" id="{00000000-0008-0000-0500-0000B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18" name="Object -1013" hidden="1">
          <a:extLst>
            <a:ext uri="{FF2B5EF4-FFF2-40B4-BE49-F238E27FC236}">
              <a16:creationId xmlns:a16="http://schemas.microsoft.com/office/drawing/2014/main" id="{00000000-0008-0000-0500-0000B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19" name="Object -1012" hidden="1">
          <a:extLst>
            <a:ext uri="{FF2B5EF4-FFF2-40B4-BE49-F238E27FC236}">
              <a16:creationId xmlns:a16="http://schemas.microsoft.com/office/drawing/2014/main" id="{00000000-0008-0000-0500-0000B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20" name="Object -1011" hidden="1">
          <a:extLst>
            <a:ext uri="{FF2B5EF4-FFF2-40B4-BE49-F238E27FC236}">
              <a16:creationId xmlns:a16="http://schemas.microsoft.com/office/drawing/2014/main" id="{00000000-0008-0000-0500-0000B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21" name="Object -1010" hidden="1">
          <a:extLst>
            <a:ext uri="{FF2B5EF4-FFF2-40B4-BE49-F238E27FC236}">
              <a16:creationId xmlns:a16="http://schemas.microsoft.com/office/drawing/2014/main" id="{00000000-0008-0000-0500-0000B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22" name="Object -1009" hidden="1">
          <a:extLst>
            <a:ext uri="{FF2B5EF4-FFF2-40B4-BE49-F238E27FC236}">
              <a16:creationId xmlns:a16="http://schemas.microsoft.com/office/drawing/2014/main" id="{00000000-0008-0000-0500-0000B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23" name="Object -1008" hidden="1">
          <a:extLst>
            <a:ext uri="{FF2B5EF4-FFF2-40B4-BE49-F238E27FC236}">
              <a16:creationId xmlns:a16="http://schemas.microsoft.com/office/drawing/2014/main" id="{00000000-0008-0000-0500-0000B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24" name="Object -1007" hidden="1">
          <a:extLst>
            <a:ext uri="{FF2B5EF4-FFF2-40B4-BE49-F238E27FC236}">
              <a16:creationId xmlns:a16="http://schemas.microsoft.com/office/drawing/2014/main" id="{00000000-0008-0000-0500-0000B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25" name="Object -1006" hidden="1">
          <a:extLst>
            <a:ext uri="{FF2B5EF4-FFF2-40B4-BE49-F238E27FC236}">
              <a16:creationId xmlns:a16="http://schemas.microsoft.com/office/drawing/2014/main" id="{00000000-0008-0000-0500-0000B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26" name="Object -1005" hidden="1">
          <a:extLst>
            <a:ext uri="{FF2B5EF4-FFF2-40B4-BE49-F238E27FC236}">
              <a16:creationId xmlns:a16="http://schemas.microsoft.com/office/drawing/2014/main" id="{00000000-0008-0000-0500-0000B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27" name="Object -1022" hidden="1">
          <a:extLst>
            <a:ext uri="{FF2B5EF4-FFF2-40B4-BE49-F238E27FC236}">
              <a16:creationId xmlns:a16="http://schemas.microsoft.com/office/drawing/2014/main" id="{00000000-0008-0000-0500-0000B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28" name="Object -1021" hidden="1">
          <a:extLst>
            <a:ext uri="{FF2B5EF4-FFF2-40B4-BE49-F238E27FC236}">
              <a16:creationId xmlns:a16="http://schemas.microsoft.com/office/drawing/2014/main" id="{00000000-0008-0000-0500-0000B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29" name="Object -1020" hidden="1">
          <a:extLst>
            <a:ext uri="{FF2B5EF4-FFF2-40B4-BE49-F238E27FC236}">
              <a16:creationId xmlns:a16="http://schemas.microsoft.com/office/drawing/2014/main" id="{00000000-0008-0000-0500-0000B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30" name="Object -1019" hidden="1">
          <a:extLst>
            <a:ext uri="{FF2B5EF4-FFF2-40B4-BE49-F238E27FC236}">
              <a16:creationId xmlns:a16="http://schemas.microsoft.com/office/drawing/2014/main" id="{00000000-0008-0000-0500-0000B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31" name="Object -1018" hidden="1">
          <a:extLst>
            <a:ext uri="{FF2B5EF4-FFF2-40B4-BE49-F238E27FC236}">
              <a16:creationId xmlns:a16="http://schemas.microsoft.com/office/drawing/2014/main" id="{00000000-0008-0000-0500-0000B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32" name="Object -1017" hidden="1">
          <a:extLst>
            <a:ext uri="{FF2B5EF4-FFF2-40B4-BE49-F238E27FC236}">
              <a16:creationId xmlns:a16="http://schemas.microsoft.com/office/drawing/2014/main" id="{00000000-0008-0000-0500-0000C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33" name="Object -1016" hidden="1">
          <a:extLst>
            <a:ext uri="{FF2B5EF4-FFF2-40B4-BE49-F238E27FC236}">
              <a16:creationId xmlns:a16="http://schemas.microsoft.com/office/drawing/2014/main" id="{00000000-0008-0000-0500-0000C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34" name="Object -1013" hidden="1">
          <a:extLst>
            <a:ext uri="{FF2B5EF4-FFF2-40B4-BE49-F238E27FC236}">
              <a16:creationId xmlns:a16="http://schemas.microsoft.com/office/drawing/2014/main" id="{00000000-0008-0000-0500-0000C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35" name="Object -1012" hidden="1">
          <a:extLst>
            <a:ext uri="{FF2B5EF4-FFF2-40B4-BE49-F238E27FC236}">
              <a16:creationId xmlns:a16="http://schemas.microsoft.com/office/drawing/2014/main" id="{00000000-0008-0000-0500-0000C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36" name="Object -1011" hidden="1">
          <a:extLst>
            <a:ext uri="{FF2B5EF4-FFF2-40B4-BE49-F238E27FC236}">
              <a16:creationId xmlns:a16="http://schemas.microsoft.com/office/drawing/2014/main" id="{00000000-0008-0000-0500-0000C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37" name="Object -1010" hidden="1">
          <a:extLst>
            <a:ext uri="{FF2B5EF4-FFF2-40B4-BE49-F238E27FC236}">
              <a16:creationId xmlns:a16="http://schemas.microsoft.com/office/drawing/2014/main" id="{00000000-0008-0000-0500-0000C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38" name="Object -1009" hidden="1">
          <a:extLst>
            <a:ext uri="{FF2B5EF4-FFF2-40B4-BE49-F238E27FC236}">
              <a16:creationId xmlns:a16="http://schemas.microsoft.com/office/drawing/2014/main" id="{00000000-0008-0000-0500-0000C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39" name="Object -1008" hidden="1">
          <a:extLst>
            <a:ext uri="{FF2B5EF4-FFF2-40B4-BE49-F238E27FC236}">
              <a16:creationId xmlns:a16="http://schemas.microsoft.com/office/drawing/2014/main" id="{00000000-0008-0000-0500-0000C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40" name="Object -1007" hidden="1">
          <a:extLst>
            <a:ext uri="{FF2B5EF4-FFF2-40B4-BE49-F238E27FC236}">
              <a16:creationId xmlns:a16="http://schemas.microsoft.com/office/drawing/2014/main" id="{00000000-0008-0000-0500-0000C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41" name="Object -1006" hidden="1">
          <a:extLst>
            <a:ext uri="{FF2B5EF4-FFF2-40B4-BE49-F238E27FC236}">
              <a16:creationId xmlns:a16="http://schemas.microsoft.com/office/drawing/2014/main" id="{00000000-0008-0000-0500-0000C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42" name="Object -1005" hidden="1">
          <a:extLst>
            <a:ext uri="{FF2B5EF4-FFF2-40B4-BE49-F238E27FC236}">
              <a16:creationId xmlns:a16="http://schemas.microsoft.com/office/drawing/2014/main" id="{00000000-0008-0000-0500-0000C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273050</xdr:colOff>
      <xdr:row>28</xdr:row>
      <xdr:rowOff>0</xdr:rowOff>
    </xdr:to>
    <xdr:pic>
      <xdr:nvPicPr>
        <xdr:cNvPr id="4043" name="Object -1022" hidden="1">
          <a:extLst>
            <a:ext uri="{FF2B5EF4-FFF2-40B4-BE49-F238E27FC236}">
              <a16:creationId xmlns:a16="http://schemas.microsoft.com/office/drawing/2014/main" id="{00000000-0008-0000-0500-0000C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2600" y="5276850"/>
          <a:ext cx="266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273050</xdr:colOff>
      <xdr:row>28</xdr:row>
      <xdr:rowOff>0</xdr:rowOff>
    </xdr:to>
    <xdr:pic>
      <xdr:nvPicPr>
        <xdr:cNvPr id="4044" name="Object -1021" hidden="1">
          <a:extLst>
            <a:ext uri="{FF2B5EF4-FFF2-40B4-BE49-F238E27FC236}">
              <a16:creationId xmlns:a16="http://schemas.microsoft.com/office/drawing/2014/main" id="{00000000-0008-0000-0500-0000C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2600" y="5276850"/>
          <a:ext cx="266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273050</xdr:colOff>
      <xdr:row>28</xdr:row>
      <xdr:rowOff>0</xdr:rowOff>
    </xdr:to>
    <xdr:pic>
      <xdr:nvPicPr>
        <xdr:cNvPr id="4045" name="Object -1020" hidden="1">
          <a:extLst>
            <a:ext uri="{FF2B5EF4-FFF2-40B4-BE49-F238E27FC236}">
              <a16:creationId xmlns:a16="http://schemas.microsoft.com/office/drawing/2014/main" id="{00000000-0008-0000-0500-0000C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2600" y="5276850"/>
          <a:ext cx="266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273050</xdr:colOff>
      <xdr:row>28</xdr:row>
      <xdr:rowOff>0</xdr:rowOff>
    </xdr:to>
    <xdr:pic>
      <xdr:nvPicPr>
        <xdr:cNvPr id="4046" name="Object -1019" hidden="1">
          <a:extLst>
            <a:ext uri="{FF2B5EF4-FFF2-40B4-BE49-F238E27FC236}">
              <a16:creationId xmlns:a16="http://schemas.microsoft.com/office/drawing/2014/main" id="{00000000-0008-0000-0500-0000C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2600" y="5276850"/>
          <a:ext cx="266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273050</xdr:colOff>
      <xdr:row>28</xdr:row>
      <xdr:rowOff>0</xdr:rowOff>
    </xdr:to>
    <xdr:pic>
      <xdr:nvPicPr>
        <xdr:cNvPr id="4047" name="Object -1018" hidden="1">
          <a:extLst>
            <a:ext uri="{FF2B5EF4-FFF2-40B4-BE49-F238E27FC236}">
              <a16:creationId xmlns:a16="http://schemas.microsoft.com/office/drawing/2014/main" id="{00000000-0008-0000-0500-0000C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2600" y="5276850"/>
          <a:ext cx="266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273050</xdr:colOff>
      <xdr:row>28</xdr:row>
      <xdr:rowOff>0</xdr:rowOff>
    </xdr:to>
    <xdr:pic>
      <xdr:nvPicPr>
        <xdr:cNvPr id="4048" name="Object -1017" hidden="1">
          <a:extLst>
            <a:ext uri="{FF2B5EF4-FFF2-40B4-BE49-F238E27FC236}">
              <a16:creationId xmlns:a16="http://schemas.microsoft.com/office/drawing/2014/main" id="{00000000-0008-0000-0500-0000D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2600" y="5276850"/>
          <a:ext cx="266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273050</xdr:colOff>
      <xdr:row>28</xdr:row>
      <xdr:rowOff>0</xdr:rowOff>
    </xdr:to>
    <xdr:pic>
      <xdr:nvPicPr>
        <xdr:cNvPr id="4049" name="Object -1016" hidden="1">
          <a:extLst>
            <a:ext uri="{FF2B5EF4-FFF2-40B4-BE49-F238E27FC236}">
              <a16:creationId xmlns:a16="http://schemas.microsoft.com/office/drawing/2014/main" id="{00000000-0008-0000-0500-0000D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2600" y="5276850"/>
          <a:ext cx="266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0" name="Object -1013" hidden="1">
          <a:extLst>
            <a:ext uri="{FF2B5EF4-FFF2-40B4-BE49-F238E27FC236}">
              <a16:creationId xmlns:a16="http://schemas.microsoft.com/office/drawing/2014/main" id="{00000000-0008-0000-0500-0000D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1" name="Object -1012" hidden="1">
          <a:extLst>
            <a:ext uri="{FF2B5EF4-FFF2-40B4-BE49-F238E27FC236}">
              <a16:creationId xmlns:a16="http://schemas.microsoft.com/office/drawing/2014/main" id="{00000000-0008-0000-0500-0000D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2" name="Object -1011" hidden="1">
          <a:extLst>
            <a:ext uri="{FF2B5EF4-FFF2-40B4-BE49-F238E27FC236}">
              <a16:creationId xmlns:a16="http://schemas.microsoft.com/office/drawing/2014/main" id="{00000000-0008-0000-0500-0000D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3" name="Object -1010" hidden="1">
          <a:extLst>
            <a:ext uri="{FF2B5EF4-FFF2-40B4-BE49-F238E27FC236}">
              <a16:creationId xmlns:a16="http://schemas.microsoft.com/office/drawing/2014/main" id="{00000000-0008-0000-0500-0000D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4" name="Object -1009" hidden="1">
          <a:extLst>
            <a:ext uri="{FF2B5EF4-FFF2-40B4-BE49-F238E27FC236}">
              <a16:creationId xmlns:a16="http://schemas.microsoft.com/office/drawing/2014/main" id="{00000000-0008-0000-0500-0000D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5" name="Object -1008" hidden="1">
          <a:extLst>
            <a:ext uri="{FF2B5EF4-FFF2-40B4-BE49-F238E27FC236}">
              <a16:creationId xmlns:a16="http://schemas.microsoft.com/office/drawing/2014/main" id="{00000000-0008-0000-0500-0000D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6" name="Object -1007" hidden="1">
          <a:extLst>
            <a:ext uri="{FF2B5EF4-FFF2-40B4-BE49-F238E27FC236}">
              <a16:creationId xmlns:a16="http://schemas.microsoft.com/office/drawing/2014/main" id="{00000000-0008-0000-0500-0000D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7" name="Object -1006" hidden="1">
          <a:extLst>
            <a:ext uri="{FF2B5EF4-FFF2-40B4-BE49-F238E27FC236}">
              <a16:creationId xmlns:a16="http://schemas.microsoft.com/office/drawing/2014/main" id="{00000000-0008-0000-0500-0000D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8" name="Object -1005" hidden="1">
          <a:extLst>
            <a:ext uri="{FF2B5EF4-FFF2-40B4-BE49-F238E27FC236}">
              <a16:creationId xmlns:a16="http://schemas.microsoft.com/office/drawing/2014/main" id="{00000000-0008-0000-0500-0000D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3828" name="Object -1022" hidden="1">
          <a:extLst>
            <a:ext uri="{FF2B5EF4-FFF2-40B4-BE49-F238E27FC236}">
              <a16:creationId xmlns:a16="http://schemas.microsoft.com/office/drawing/2014/main" id="{00000000-0008-0000-0500-0000F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3831" name="Object -1021" hidden="1">
          <a:extLst>
            <a:ext uri="{FF2B5EF4-FFF2-40B4-BE49-F238E27FC236}">
              <a16:creationId xmlns:a16="http://schemas.microsoft.com/office/drawing/2014/main" id="{00000000-0008-0000-0500-0000F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3832" name="Object -1020" hidden="1">
          <a:extLst>
            <a:ext uri="{FF2B5EF4-FFF2-40B4-BE49-F238E27FC236}">
              <a16:creationId xmlns:a16="http://schemas.microsoft.com/office/drawing/2014/main" id="{00000000-0008-0000-0500-0000F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3833" name="Object -1019" hidden="1">
          <a:extLst>
            <a:ext uri="{FF2B5EF4-FFF2-40B4-BE49-F238E27FC236}">
              <a16:creationId xmlns:a16="http://schemas.microsoft.com/office/drawing/2014/main" id="{00000000-0008-0000-0500-0000F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3834" name="Object -1018" hidden="1">
          <a:extLst>
            <a:ext uri="{FF2B5EF4-FFF2-40B4-BE49-F238E27FC236}">
              <a16:creationId xmlns:a16="http://schemas.microsoft.com/office/drawing/2014/main" id="{00000000-0008-0000-0500-0000F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59" name="Object -1017" hidden="1">
          <a:extLst>
            <a:ext uri="{FF2B5EF4-FFF2-40B4-BE49-F238E27FC236}">
              <a16:creationId xmlns:a16="http://schemas.microsoft.com/office/drawing/2014/main" id="{00000000-0008-0000-0500-0000D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60" name="Object -1016" hidden="1">
          <a:extLst>
            <a:ext uri="{FF2B5EF4-FFF2-40B4-BE49-F238E27FC236}">
              <a16:creationId xmlns:a16="http://schemas.microsoft.com/office/drawing/2014/main" id="{00000000-0008-0000-0500-0000D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1" name="Object -1013" hidden="1">
          <a:extLst>
            <a:ext uri="{FF2B5EF4-FFF2-40B4-BE49-F238E27FC236}">
              <a16:creationId xmlns:a16="http://schemas.microsoft.com/office/drawing/2014/main" id="{00000000-0008-0000-0500-0000D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2" name="Object -1012" hidden="1">
          <a:extLst>
            <a:ext uri="{FF2B5EF4-FFF2-40B4-BE49-F238E27FC236}">
              <a16:creationId xmlns:a16="http://schemas.microsoft.com/office/drawing/2014/main" id="{00000000-0008-0000-0500-0000D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3" name="Object -1011" hidden="1">
          <a:extLst>
            <a:ext uri="{FF2B5EF4-FFF2-40B4-BE49-F238E27FC236}">
              <a16:creationId xmlns:a16="http://schemas.microsoft.com/office/drawing/2014/main" id="{00000000-0008-0000-0500-0000D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4" name="Object -1010" hidden="1">
          <a:extLst>
            <a:ext uri="{FF2B5EF4-FFF2-40B4-BE49-F238E27FC236}">
              <a16:creationId xmlns:a16="http://schemas.microsoft.com/office/drawing/2014/main" id="{00000000-0008-0000-0500-0000E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5" name="Object -1009" hidden="1">
          <a:extLst>
            <a:ext uri="{FF2B5EF4-FFF2-40B4-BE49-F238E27FC236}">
              <a16:creationId xmlns:a16="http://schemas.microsoft.com/office/drawing/2014/main" id="{00000000-0008-0000-0500-0000E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6" name="Object -1008" hidden="1">
          <a:extLst>
            <a:ext uri="{FF2B5EF4-FFF2-40B4-BE49-F238E27FC236}">
              <a16:creationId xmlns:a16="http://schemas.microsoft.com/office/drawing/2014/main" id="{00000000-0008-0000-0500-0000E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7" name="Object -1007" hidden="1">
          <a:extLst>
            <a:ext uri="{FF2B5EF4-FFF2-40B4-BE49-F238E27FC236}">
              <a16:creationId xmlns:a16="http://schemas.microsoft.com/office/drawing/2014/main" id="{00000000-0008-0000-0500-0000E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8" name="Object -1006" hidden="1">
          <a:extLst>
            <a:ext uri="{FF2B5EF4-FFF2-40B4-BE49-F238E27FC236}">
              <a16:creationId xmlns:a16="http://schemas.microsoft.com/office/drawing/2014/main" id="{00000000-0008-0000-0500-0000E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9" name="Object -1005" hidden="1">
          <a:extLst>
            <a:ext uri="{FF2B5EF4-FFF2-40B4-BE49-F238E27FC236}">
              <a16:creationId xmlns:a16="http://schemas.microsoft.com/office/drawing/2014/main" id="{00000000-0008-0000-0500-0000E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70" name="Object -1022" hidden="1">
          <a:extLst>
            <a:ext uri="{FF2B5EF4-FFF2-40B4-BE49-F238E27FC236}">
              <a16:creationId xmlns:a16="http://schemas.microsoft.com/office/drawing/2014/main" id="{00000000-0008-0000-0500-0000E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71" name="Object -1021" hidden="1">
          <a:extLst>
            <a:ext uri="{FF2B5EF4-FFF2-40B4-BE49-F238E27FC236}">
              <a16:creationId xmlns:a16="http://schemas.microsoft.com/office/drawing/2014/main" id="{00000000-0008-0000-0500-0000E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72" name="Object -1020" hidden="1">
          <a:extLst>
            <a:ext uri="{FF2B5EF4-FFF2-40B4-BE49-F238E27FC236}">
              <a16:creationId xmlns:a16="http://schemas.microsoft.com/office/drawing/2014/main" id="{00000000-0008-0000-0500-0000E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73" name="Object -1019" hidden="1">
          <a:extLst>
            <a:ext uri="{FF2B5EF4-FFF2-40B4-BE49-F238E27FC236}">
              <a16:creationId xmlns:a16="http://schemas.microsoft.com/office/drawing/2014/main" id="{00000000-0008-0000-0500-0000E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74" name="Object -1018" hidden="1">
          <a:extLst>
            <a:ext uri="{FF2B5EF4-FFF2-40B4-BE49-F238E27FC236}">
              <a16:creationId xmlns:a16="http://schemas.microsoft.com/office/drawing/2014/main" id="{00000000-0008-0000-0500-0000E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75" name="Object -1017" hidden="1">
          <a:extLst>
            <a:ext uri="{FF2B5EF4-FFF2-40B4-BE49-F238E27FC236}">
              <a16:creationId xmlns:a16="http://schemas.microsoft.com/office/drawing/2014/main" id="{00000000-0008-0000-0500-0000E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76" name="Object -1016" hidden="1">
          <a:extLst>
            <a:ext uri="{FF2B5EF4-FFF2-40B4-BE49-F238E27FC236}">
              <a16:creationId xmlns:a16="http://schemas.microsoft.com/office/drawing/2014/main" id="{00000000-0008-0000-0500-0000E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77" name="Object -1013" hidden="1">
          <a:extLst>
            <a:ext uri="{FF2B5EF4-FFF2-40B4-BE49-F238E27FC236}">
              <a16:creationId xmlns:a16="http://schemas.microsoft.com/office/drawing/2014/main" id="{00000000-0008-0000-0500-0000E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78" name="Object -1012" hidden="1">
          <a:extLst>
            <a:ext uri="{FF2B5EF4-FFF2-40B4-BE49-F238E27FC236}">
              <a16:creationId xmlns:a16="http://schemas.microsoft.com/office/drawing/2014/main" id="{00000000-0008-0000-0500-0000E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79" name="Object -1011" hidden="1">
          <a:extLst>
            <a:ext uri="{FF2B5EF4-FFF2-40B4-BE49-F238E27FC236}">
              <a16:creationId xmlns:a16="http://schemas.microsoft.com/office/drawing/2014/main" id="{00000000-0008-0000-0500-0000E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80" name="Object -1010" hidden="1">
          <a:extLst>
            <a:ext uri="{FF2B5EF4-FFF2-40B4-BE49-F238E27FC236}">
              <a16:creationId xmlns:a16="http://schemas.microsoft.com/office/drawing/2014/main" id="{00000000-0008-0000-0500-0000F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81" name="Object -1009" hidden="1">
          <a:extLst>
            <a:ext uri="{FF2B5EF4-FFF2-40B4-BE49-F238E27FC236}">
              <a16:creationId xmlns:a16="http://schemas.microsoft.com/office/drawing/2014/main" id="{00000000-0008-0000-0500-0000F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82" name="Object -1008" hidden="1">
          <a:extLst>
            <a:ext uri="{FF2B5EF4-FFF2-40B4-BE49-F238E27FC236}">
              <a16:creationId xmlns:a16="http://schemas.microsoft.com/office/drawing/2014/main" id="{00000000-0008-0000-0500-0000F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83" name="Object -1007" hidden="1">
          <a:extLst>
            <a:ext uri="{FF2B5EF4-FFF2-40B4-BE49-F238E27FC236}">
              <a16:creationId xmlns:a16="http://schemas.microsoft.com/office/drawing/2014/main" id="{00000000-0008-0000-0500-0000F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84" name="Object -1006" hidden="1">
          <a:extLst>
            <a:ext uri="{FF2B5EF4-FFF2-40B4-BE49-F238E27FC236}">
              <a16:creationId xmlns:a16="http://schemas.microsoft.com/office/drawing/2014/main" id="{00000000-0008-0000-0500-0000F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85" name="Object -1005" hidden="1">
          <a:extLst>
            <a:ext uri="{FF2B5EF4-FFF2-40B4-BE49-F238E27FC236}">
              <a16:creationId xmlns:a16="http://schemas.microsoft.com/office/drawing/2014/main" id="{00000000-0008-0000-0500-0000F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86" name="Object -1022" hidden="1">
          <a:extLst>
            <a:ext uri="{FF2B5EF4-FFF2-40B4-BE49-F238E27FC236}">
              <a16:creationId xmlns:a16="http://schemas.microsoft.com/office/drawing/2014/main" id="{00000000-0008-0000-0500-0000F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87" name="Object -1021" hidden="1">
          <a:extLst>
            <a:ext uri="{FF2B5EF4-FFF2-40B4-BE49-F238E27FC236}">
              <a16:creationId xmlns:a16="http://schemas.microsoft.com/office/drawing/2014/main" id="{00000000-0008-0000-0500-0000F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88" name="Object -1020" hidden="1">
          <a:extLst>
            <a:ext uri="{FF2B5EF4-FFF2-40B4-BE49-F238E27FC236}">
              <a16:creationId xmlns:a16="http://schemas.microsoft.com/office/drawing/2014/main" id="{00000000-0008-0000-0500-0000F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89" name="Object -1019" hidden="1">
          <a:extLst>
            <a:ext uri="{FF2B5EF4-FFF2-40B4-BE49-F238E27FC236}">
              <a16:creationId xmlns:a16="http://schemas.microsoft.com/office/drawing/2014/main" id="{00000000-0008-0000-0500-0000F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90" name="Object -1018" hidden="1">
          <a:extLst>
            <a:ext uri="{FF2B5EF4-FFF2-40B4-BE49-F238E27FC236}">
              <a16:creationId xmlns:a16="http://schemas.microsoft.com/office/drawing/2014/main" id="{00000000-0008-0000-0500-0000F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91" name="Object -1017" hidden="1">
          <a:extLst>
            <a:ext uri="{FF2B5EF4-FFF2-40B4-BE49-F238E27FC236}">
              <a16:creationId xmlns:a16="http://schemas.microsoft.com/office/drawing/2014/main" id="{00000000-0008-0000-0500-0000F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92" name="Object -1016" hidden="1">
          <a:extLst>
            <a:ext uri="{FF2B5EF4-FFF2-40B4-BE49-F238E27FC236}">
              <a16:creationId xmlns:a16="http://schemas.microsoft.com/office/drawing/2014/main" id="{00000000-0008-0000-0500-0000F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93" name="Object -1013" hidden="1">
          <a:extLst>
            <a:ext uri="{FF2B5EF4-FFF2-40B4-BE49-F238E27FC236}">
              <a16:creationId xmlns:a16="http://schemas.microsoft.com/office/drawing/2014/main" id="{00000000-0008-0000-0500-0000F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94" name="Object -1012" hidden="1">
          <a:extLst>
            <a:ext uri="{FF2B5EF4-FFF2-40B4-BE49-F238E27FC236}">
              <a16:creationId xmlns:a16="http://schemas.microsoft.com/office/drawing/2014/main" id="{00000000-0008-0000-0500-0000F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95" name="Object -1011" hidden="1">
          <a:extLst>
            <a:ext uri="{FF2B5EF4-FFF2-40B4-BE49-F238E27FC236}">
              <a16:creationId xmlns:a16="http://schemas.microsoft.com/office/drawing/2014/main" id="{00000000-0008-0000-0500-0000F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96" name="Object -1010" hidden="1">
          <a:extLst>
            <a:ext uri="{FF2B5EF4-FFF2-40B4-BE49-F238E27FC236}">
              <a16:creationId xmlns:a16="http://schemas.microsoft.com/office/drawing/2014/main" id="{00000000-0008-0000-0500-00000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97" name="Object -1009" hidden="1">
          <a:extLst>
            <a:ext uri="{FF2B5EF4-FFF2-40B4-BE49-F238E27FC236}">
              <a16:creationId xmlns:a16="http://schemas.microsoft.com/office/drawing/2014/main" id="{00000000-0008-0000-05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98" name="Object -1008" hidden="1">
          <a:extLst>
            <a:ext uri="{FF2B5EF4-FFF2-40B4-BE49-F238E27FC236}">
              <a16:creationId xmlns:a16="http://schemas.microsoft.com/office/drawing/2014/main" id="{00000000-0008-0000-05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99" name="Object -1007" hidden="1">
          <a:extLst>
            <a:ext uri="{FF2B5EF4-FFF2-40B4-BE49-F238E27FC236}">
              <a16:creationId xmlns:a16="http://schemas.microsoft.com/office/drawing/2014/main" id="{00000000-0008-0000-05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00" name="Object -1006" hidden="1">
          <a:extLst>
            <a:ext uri="{FF2B5EF4-FFF2-40B4-BE49-F238E27FC236}">
              <a16:creationId xmlns:a16="http://schemas.microsoft.com/office/drawing/2014/main" id="{00000000-0008-0000-05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01" name="Object -1005" hidden="1">
          <a:extLst>
            <a:ext uri="{FF2B5EF4-FFF2-40B4-BE49-F238E27FC236}">
              <a16:creationId xmlns:a16="http://schemas.microsoft.com/office/drawing/2014/main" id="{00000000-0008-0000-05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02" name="Object -1022" hidden="1">
          <a:extLst>
            <a:ext uri="{FF2B5EF4-FFF2-40B4-BE49-F238E27FC236}">
              <a16:creationId xmlns:a16="http://schemas.microsoft.com/office/drawing/2014/main" id="{00000000-0008-0000-05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03" name="Object -1021" hidden="1">
          <a:extLst>
            <a:ext uri="{FF2B5EF4-FFF2-40B4-BE49-F238E27FC236}">
              <a16:creationId xmlns:a16="http://schemas.microsoft.com/office/drawing/2014/main" id="{00000000-0008-0000-05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04" name="Object -1020" hidden="1">
          <a:extLst>
            <a:ext uri="{FF2B5EF4-FFF2-40B4-BE49-F238E27FC236}">
              <a16:creationId xmlns:a16="http://schemas.microsoft.com/office/drawing/2014/main" id="{00000000-0008-0000-0500-00000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05" name="Object -1019" hidden="1">
          <a:extLst>
            <a:ext uri="{FF2B5EF4-FFF2-40B4-BE49-F238E27FC236}">
              <a16:creationId xmlns:a16="http://schemas.microsoft.com/office/drawing/2014/main" id="{00000000-0008-0000-0500-00000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06" name="Object -1018" hidden="1">
          <a:extLst>
            <a:ext uri="{FF2B5EF4-FFF2-40B4-BE49-F238E27FC236}">
              <a16:creationId xmlns:a16="http://schemas.microsoft.com/office/drawing/2014/main" id="{00000000-0008-0000-0500-00000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07" name="Object -1017" hidden="1">
          <a:extLst>
            <a:ext uri="{FF2B5EF4-FFF2-40B4-BE49-F238E27FC236}">
              <a16:creationId xmlns:a16="http://schemas.microsoft.com/office/drawing/2014/main" id="{00000000-0008-0000-0500-00000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08" name="Object -1016" hidden="1">
          <a:extLst>
            <a:ext uri="{FF2B5EF4-FFF2-40B4-BE49-F238E27FC236}">
              <a16:creationId xmlns:a16="http://schemas.microsoft.com/office/drawing/2014/main" id="{00000000-0008-0000-0500-00000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09" name="Object -1013" hidden="1">
          <a:extLst>
            <a:ext uri="{FF2B5EF4-FFF2-40B4-BE49-F238E27FC236}">
              <a16:creationId xmlns:a16="http://schemas.microsoft.com/office/drawing/2014/main" id="{00000000-0008-0000-0500-00000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10" name="Object -1012" hidden="1">
          <a:extLst>
            <a:ext uri="{FF2B5EF4-FFF2-40B4-BE49-F238E27FC236}">
              <a16:creationId xmlns:a16="http://schemas.microsoft.com/office/drawing/2014/main" id="{00000000-0008-0000-0500-00000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11" name="Object -1011" hidden="1">
          <a:extLst>
            <a:ext uri="{FF2B5EF4-FFF2-40B4-BE49-F238E27FC236}">
              <a16:creationId xmlns:a16="http://schemas.microsoft.com/office/drawing/2014/main" id="{00000000-0008-0000-0500-00000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12" name="Object -1010" hidden="1">
          <a:extLst>
            <a:ext uri="{FF2B5EF4-FFF2-40B4-BE49-F238E27FC236}">
              <a16:creationId xmlns:a16="http://schemas.microsoft.com/office/drawing/2014/main" id="{00000000-0008-0000-0500-00001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13" name="Object -1009" hidden="1">
          <a:extLst>
            <a:ext uri="{FF2B5EF4-FFF2-40B4-BE49-F238E27FC236}">
              <a16:creationId xmlns:a16="http://schemas.microsoft.com/office/drawing/2014/main" id="{00000000-0008-0000-0500-00001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14" name="Object -1008" hidden="1">
          <a:extLst>
            <a:ext uri="{FF2B5EF4-FFF2-40B4-BE49-F238E27FC236}">
              <a16:creationId xmlns:a16="http://schemas.microsoft.com/office/drawing/2014/main" id="{00000000-0008-0000-0500-00001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15" name="Object -1007" hidden="1">
          <a:extLst>
            <a:ext uri="{FF2B5EF4-FFF2-40B4-BE49-F238E27FC236}">
              <a16:creationId xmlns:a16="http://schemas.microsoft.com/office/drawing/2014/main" id="{00000000-0008-0000-0500-00001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16" name="Object -1006" hidden="1">
          <a:extLst>
            <a:ext uri="{FF2B5EF4-FFF2-40B4-BE49-F238E27FC236}">
              <a16:creationId xmlns:a16="http://schemas.microsoft.com/office/drawing/2014/main" id="{00000000-0008-0000-0500-00001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17" name="Object -1005" hidden="1">
          <a:extLst>
            <a:ext uri="{FF2B5EF4-FFF2-40B4-BE49-F238E27FC236}">
              <a16:creationId xmlns:a16="http://schemas.microsoft.com/office/drawing/2014/main" id="{00000000-0008-0000-0500-00001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18" name="Object -1022" hidden="1">
          <a:extLst>
            <a:ext uri="{FF2B5EF4-FFF2-40B4-BE49-F238E27FC236}">
              <a16:creationId xmlns:a16="http://schemas.microsoft.com/office/drawing/2014/main" id="{00000000-0008-0000-0500-00001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19" name="Object -1021" hidden="1">
          <a:extLst>
            <a:ext uri="{FF2B5EF4-FFF2-40B4-BE49-F238E27FC236}">
              <a16:creationId xmlns:a16="http://schemas.microsoft.com/office/drawing/2014/main" id="{00000000-0008-0000-0500-00001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20" name="Object -1020" hidden="1">
          <a:extLst>
            <a:ext uri="{FF2B5EF4-FFF2-40B4-BE49-F238E27FC236}">
              <a16:creationId xmlns:a16="http://schemas.microsoft.com/office/drawing/2014/main" id="{00000000-0008-0000-0500-00001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21" name="Object -1019" hidden="1">
          <a:extLst>
            <a:ext uri="{FF2B5EF4-FFF2-40B4-BE49-F238E27FC236}">
              <a16:creationId xmlns:a16="http://schemas.microsoft.com/office/drawing/2014/main" id="{00000000-0008-0000-0500-00001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22" name="Object -1018" hidden="1">
          <a:extLst>
            <a:ext uri="{FF2B5EF4-FFF2-40B4-BE49-F238E27FC236}">
              <a16:creationId xmlns:a16="http://schemas.microsoft.com/office/drawing/2014/main" id="{00000000-0008-0000-0500-00001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23" name="Object -1017" hidden="1">
          <a:extLst>
            <a:ext uri="{FF2B5EF4-FFF2-40B4-BE49-F238E27FC236}">
              <a16:creationId xmlns:a16="http://schemas.microsoft.com/office/drawing/2014/main" id="{00000000-0008-0000-0500-00001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24" name="Object -1016" hidden="1">
          <a:extLst>
            <a:ext uri="{FF2B5EF4-FFF2-40B4-BE49-F238E27FC236}">
              <a16:creationId xmlns:a16="http://schemas.microsoft.com/office/drawing/2014/main" id="{00000000-0008-0000-0500-00001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25" name="Object -1013" hidden="1">
          <a:extLst>
            <a:ext uri="{FF2B5EF4-FFF2-40B4-BE49-F238E27FC236}">
              <a16:creationId xmlns:a16="http://schemas.microsoft.com/office/drawing/2014/main" id="{00000000-0008-0000-05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26" name="Object -1012" hidden="1">
          <a:extLst>
            <a:ext uri="{FF2B5EF4-FFF2-40B4-BE49-F238E27FC236}">
              <a16:creationId xmlns:a16="http://schemas.microsoft.com/office/drawing/2014/main" id="{00000000-0008-0000-0500-00001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27" name="Object -1011" hidden="1">
          <a:extLst>
            <a:ext uri="{FF2B5EF4-FFF2-40B4-BE49-F238E27FC236}">
              <a16:creationId xmlns:a16="http://schemas.microsoft.com/office/drawing/2014/main" id="{00000000-0008-0000-0500-00001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28" name="Object -1010" hidden="1">
          <a:extLst>
            <a:ext uri="{FF2B5EF4-FFF2-40B4-BE49-F238E27FC236}">
              <a16:creationId xmlns:a16="http://schemas.microsoft.com/office/drawing/2014/main" id="{00000000-0008-0000-0500-00002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29" name="Object -1009" hidden="1">
          <a:extLst>
            <a:ext uri="{FF2B5EF4-FFF2-40B4-BE49-F238E27FC236}">
              <a16:creationId xmlns:a16="http://schemas.microsoft.com/office/drawing/2014/main" id="{00000000-0008-0000-0500-00002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30" name="Object -1008" hidden="1">
          <a:extLst>
            <a:ext uri="{FF2B5EF4-FFF2-40B4-BE49-F238E27FC236}">
              <a16:creationId xmlns:a16="http://schemas.microsoft.com/office/drawing/2014/main" id="{00000000-0008-0000-0500-00002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31" name="Object -1007" hidden="1">
          <a:extLst>
            <a:ext uri="{FF2B5EF4-FFF2-40B4-BE49-F238E27FC236}">
              <a16:creationId xmlns:a16="http://schemas.microsoft.com/office/drawing/2014/main" id="{00000000-0008-0000-0500-00002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32" name="Object -1006" hidden="1">
          <a:extLst>
            <a:ext uri="{FF2B5EF4-FFF2-40B4-BE49-F238E27FC236}">
              <a16:creationId xmlns:a16="http://schemas.microsoft.com/office/drawing/2014/main" id="{00000000-0008-0000-0500-00002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33" name="Object -1005" hidden="1">
          <a:extLst>
            <a:ext uri="{FF2B5EF4-FFF2-40B4-BE49-F238E27FC236}">
              <a16:creationId xmlns:a16="http://schemas.microsoft.com/office/drawing/2014/main" id="{00000000-0008-0000-0500-00002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34" name="Object -1022" hidden="1">
          <a:extLst>
            <a:ext uri="{FF2B5EF4-FFF2-40B4-BE49-F238E27FC236}">
              <a16:creationId xmlns:a16="http://schemas.microsoft.com/office/drawing/2014/main" id="{00000000-0008-0000-0500-00002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35" name="Object -1021" hidden="1">
          <a:extLst>
            <a:ext uri="{FF2B5EF4-FFF2-40B4-BE49-F238E27FC236}">
              <a16:creationId xmlns:a16="http://schemas.microsoft.com/office/drawing/2014/main" id="{00000000-0008-0000-0500-00002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36" name="Object -1020" hidden="1">
          <a:extLst>
            <a:ext uri="{FF2B5EF4-FFF2-40B4-BE49-F238E27FC236}">
              <a16:creationId xmlns:a16="http://schemas.microsoft.com/office/drawing/2014/main" id="{00000000-0008-0000-0500-00002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37" name="Object -1019" hidden="1">
          <a:extLst>
            <a:ext uri="{FF2B5EF4-FFF2-40B4-BE49-F238E27FC236}">
              <a16:creationId xmlns:a16="http://schemas.microsoft.com/office/drawing/2014/main" id="{00000000-0008-0000-0500-00002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38" name="Object -1018" hidden="1">
          <a:extLst>
            <a:ext uri="{FF2B5EF4-FFF2-40B4-BE49-F238E27FC236}">
              <a16:creationId xmlns:a16="http://schemas.microsoft.com/office/drawing/2014/main" id="{00000000-0008-0000-0500-00002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39" name="Object -1017" hidden="1">
          <a:extLst>
            <a:ext uri="{FF2B5EF4-FFF2-40B4-BE49-F238E27FC236}">
              <a16:creationId xmlns:a16="http://schemas.microsoft.com/office/drawing/2014/main" id="{00000000-0008-0000-0500-00002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40" name="Object -1016" hidden="1">
          <a:extLst>
            <a:ext uri="{FF2B5EF4-FFF2-40B4-BE49-F238E27FC236}">
              <a16:creationId xmlns:a16="http://schemas.microsoft.com/office/drawing/2014/main" id="{00000000-0008-0000-0500-00002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2768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1" name="Object -1013" hidden="1">
          <a:extLst>
            <a:ext uri="{FF2B5EF4-FFF2-40B4-BE49-F238E27FC236}">
              <a16:creationId xmlns:a16="http://schemas.microsoft.com/office/drawing/2014/main" id="{00000000-0008-0000-05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2" name="Object -1012" hidden="1">
          <a:extLst>
            <a:ext uri="{FF2B5EF4-FFF2-40B4-BE49-F238E27FC236}">
              <a16:creationId xmlns:a16="http://schemas.microsoft.com/office/drawing/2014/main" id="{00000000-0008-0000-0500-00002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3" name="Object -1011" hidden="1">
          <a:extLst>
            <a:ext uri="{FF2B5EF4-FFF2-40B4-BE49-F238E27FC236}">
              <a16:creationId xmlns:a16="http://schemas.microsoft.com/office/drawing/2014/main" id="{00000000-0008-0000-0500-00002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4" name="Object -1010" hidden="1">
          <a:extLst>
            <a:ext uri="{FF2B5EF4-FFF2-40B4-BE49-F238E27FC236}">
              <a16:creationId xmlns:a16="http://schemas.microsoft.com/office/drawing/2014/main" id="{00000000-0008-0000-0500-00003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5" name="Object -1009" hidden="1">
          <a:extLst>
            <a:ext uri="{FF2B5EF4-FFF2-40B4-BE49-F238E27FC236}">
              <a16:creationId xmlns:a16="http://schemas.microsoft.com/office/drawing/2014/main" id="{00000000-0008-0000-0500-00003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6" name="Object -1008" hidden="1">
          <a:extLst>
            <a:ext uri="{FF2B5EF4-FFF2-40B4-BE49-F238E27FC236}">
              <a16:creationId xmlns:a16="http://schemas.microsoft.com/office/drawing/2014/main" id="{00000000-0008-0000-0500-00003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7" name="Object -1007" hidden="1">
          <a:extLst>
            <a:ext uri="{FF2B5EF4-FFF2-40B4-BE49-F238E27FC236}">
              <a16:creationId xmlns:a16="http://schemas.microsoft.com/office/drawing/2014/main" id="{00000000-0008-0000-0500-00003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8" name="Object -1006" hidden="1">
          <a:extLst>
            <a:ext uri="{FF2B5EF4-FFF2-40B4-BE49-F238E27FC236}">
              <a16:creationId xmlns:a16="http://schemas.microsoft.com/office/drawing/2014/main" id="{00000000-0008-0000-0500-00003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9" name="Object -1005" hidden="1">
          <a:extLst>
            <a:ext uri="{FF2B5EF4-FFF2-40B4-BE49-F238E27FC236}">
              <a16:creationId xmlns:a16="http://schemas.microsoft.com/office/drawing/2014/main" id="{00000000-0008-0000-0500-00003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28</xdr:row>
      <xdr:rowOff>0</xdr:rowOff>
    </xdr:from>
    <xdr:to>
      <xdr:col>12</xdr:col>
      <xdr:colOff>619125</xdr:colOff>
      <xdr:row>28</xdr:row>
      <xdr:rowOff>0</xdr:rowOff>
    </xdr:to>
    <xdr:pic>
      <xdr:nvPicPr>
        <xdr:cNvPr id="4150" name="Object -1022" hidden="1">
          <a:extLst>
            <a:ext uri="{FF2B5EF4-FFF2-40B4-BE49-F238E27FC236}">
              <a16:creationId xmlns:a16="http://schemas.microsoft.com/office/drawing/2014/main" id="{00000000-0008-0000-0500-00003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353050"/>
          <a:ext cx="6000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28</xdr:row>
      <xdr:rowOff>0</xdr:rowOff>
    </xdr:from>
    <xdr:to>
      <xdr:col>12</xdr:col>
      <xdr:colOff>619125</xdr:colOff>
      <xdr:row>28</xdr:row>
      <xdr:rowOff>0</xdr:rowOff>
    </xdr:to>
    <xdr:pic>
      <xdr:nvPicPr>
        <xdr:cNvPr id="4151" name="Object -1021" hidden="1">
          <a:extLst>
            <a:ext uri="{FF2B5EF4-FFF2-40B4-BE49-F238E27FC236}">
              <a16:creationId xmlns:a16="http://schemas.microsoft.com/office/drawing/2014/main" id="{00000000-0008-0000-0500-00003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353050"/>
          <a:ext cx="6000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28</xdr:row>
      <xdr:rowOff>0</xdr:rowOff>
    </xdr:from>
    <xdr:to>
      <xdr:col>12</xdr:col>
      <xdr:colOff>619125</xdr:colOff>
      <xdr:row>28</xdr:row>
      <xdr:rowOff>0</xdr:rowOff>
    </xdr:to>
    <xdr:pic>
      <xdr:nvPicPr>
        <xdr:cNvPr id="4152" name="Object -1020" hidden="1">
          <a:extLst>
            <a:ext uri="{FF2B5EF4-FFF2-40B4-BE49-F238E27FC236}">
              <a16:creationId xmlns:a16="http://schemas.microsoft.com/office/drawing/2014/main" id="{00000000-0008-0000-0500-00003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353050"/>
          <a:ext cx="6000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28</xdr:row>
      <xdr:rowOff>0</xdr:rowOff>
    </xdr:from>
    <xdr:to>
      <xdr:col>12</xdr:col>
      <xdr:colOff>619125</xdr:colOff>
      <xdr:row>28</xdr:row>
      <xdr:rowOff>0</xdr:rowOff>
    </xdr:to>
    <xdr:pic>
      <xdr:nvPicPr>
        <xdr:cNvPr id="4153" name="Object -1019" hidden="1">
          <a:extLst>
            <a:ext uri="{FF2B5EF4-FFF2-40B4-BE49-F238E27FC236}">
              <a16:creationId xmlns:a16="http://schemas.microsoft.com/office/drawing/2014/main" id="{00000000-0008-0000-0500-00003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353050"/>
          <a:ext cx="6000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28</xdr:row>
      <xdr:rowOff>0</xdr:rowOff>
    </xdr:from>
    <xdr:to>
      <xdr:col>12</xdr:col>
      <xdr:colOff>619125</xdr:colOff>
      <xdr:row>28</xdr:row>
      <xdr:rowOff>0</xdr:rowOff>
    </xdr:to>
    <xdr:pic>
      <xdr:nvPicPr>
        <xdr:cNvPr id="4154" name="Object -1018" hidden="1">
          <a:extLst>
            <a:ext uri="{FF2B5EF4-FFF2-40B4-BE49-F238E27FC236}">
              <a16:creationId xmlns:a16="http://schemas.microsoft.com/office/drawing/2014/main" id="{00000000-0008-0000-0500-00003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353050"/>
          <a:ext cx="6000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28</xdr:row>
      <xdr:rowOff>0</xdr:rowOff>
    </xdr:from>
    <xdr:to>
      <xdr:col>12</xdr:col>
      <xdr:colOff>619125</xdr:colOff>
      <xdr:row>28</xdr:row>
      <xdr:rowOff>0</xdr:rowOff>
    </xdr:to>
    <xdr:pic>
      <xdr:nvPicPr>
        <xdr:cNvPr id="4155" name="Object -1017" hidden="1">
          <a:extLst>
            <a:ext uri="{FF2B5EF4-FFF2-40B4-BE49-F238E27FC236}">
              <a16:creationId xmlns:a16="http://schemas.microsoft.com/office/drawing/2014/main" id="{00000000-0008-0000-05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353050"/>
          <a:ext cx="6000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28</xdr:row>
      <xdr:rowOff>0</xdr:rowOff>
    </xdr:from>
    <xdr:to>
      <xdr:col>12</xdr:col>
      <xdr:colOff>619125</xdr:colOff>
      <xdr:row>28</xdr:row>
      <xdr:rowOff>0</xdr:rowOff>
    </xdr:to>
    <xdr:pic>
      <xdr:nvPicPr>
        <xdr:cNvPr id="4156" name="Object -1016" hidden="1">
          <a:extLst>
            <a:ext uri="{FF2B5EF4-FFF2-40B4-BE49-F238E27FC236}">
              <a16:creationId xmlns:a16="http://schemas.microsoft.com/office/drawing/2014/main" id="{00000000-0008-0000-0500-00003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353050"/>
          <a:ext cx="6000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57" name="Object -1013" hidden="1">
          <a:extLst>
            <a:ext uri="{FF2B5EF4-FFF2-40B4-BE49-F238E27FC236}">
              <a16:creationId xmlns:a16="http://schemas.microsoft.com/office/drawing/2014/main" id="{00000000-0008-0000-0500-00003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58" name="Object -1012" hidden="1">
          <a:extLst>
            <a:ext uri="{FF2B5EF4-FFF2-40B4-BE49-F238E27FC236}">
              <a16:creationId xmlns:a16="http://schemas.microsoft.com/office/drawing/2014/main" id="{00000000-0008-0000-0500-00003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59" name="Object -1011" hidden="1">
          <a:extLst>
            <a:ext uri="{FF2B5EF4-FFF2-40B4-BE49-F238E27FC236}">
              <a16:creationId xmlns:a16="http://schemas.microsoft.com/office/drawing/2014/main" id="{00000000-0008-0000-0500-00003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60" name="Object -1010" hidden="1">
          <a:extLst>
            <a:ext uri="{FF2B5EF4-FFF2-40B4-BE49-F238E27FC236}">
              <a16:creationId xmlns:a16="http://schemas.microsoft.com/office/drawing/2014/main" id="{00000000-0008-0000-0500-00004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61" name="Object -1009" hidden="1">
          <a:extLst>
            <a:ext uri="{FF2B5EF4-FFF2-40B4-BE49-F238E27FC236}">
              <a16:creationId xmlns:a16="http://schemas.microsoft.com/office/drawing/2014/main" id="{00000000-0008-0000-0500-00004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62" name="Object -1008" hidden="1">
          <a:extLst>
            <a:ext uri="{FF2B5EF4-FFF2-40B4-BE49-F238E27FC236}">
              <a16:creationId xmlns:a16="http://schemas.microsoft.com/office/drawing/2014/main" id="{00000000-0008-0000-0500-00004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63" name="Object -1007" hidden="1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64" name="Object -1006" hidden="1">
          <a:extLst>
            <a:ext uri="{FF2B5EF4-FFF2-40B4-BE49-F238E27FC236}">
              <a16:creationId xmlns:a16="http://schemas.microsoft.com/office/drawing/2014/main" id="{00000000-0008-0000-0500-00004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65" name="Object -1005" hidden="1">
          <a:extLst>
            <a:ext uri="{FF2B5EF4-FFF2-40B4-BE49-F238E27FC236}">
              <a16:creationId xmlns:a16="http://schemas.microsoft.com/office/drawing/2014/main" id="{00000000-0008-0000-0500-00004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66" name="Object -1022" hidden="1">
          <a:extLst>
            <a:ext uri="{FF2B5EF4-FFF2-40B4-BE49-F238E27FC236}">
              <a16:creationId xmlns:a16="http://schemas.microsoft.com/office/drawing/2014/main" id="{00000000-0008-0000-0500-00004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67" name="Object -1021" hidden="1">
          <a:extLst>
            <a:ext uri="{FF2B5EF4-FFF2-40B4-BE49-F238E27FC236}">
              <a16:creationId xmlns:a16="http://schemas.microsoft.com/office/drawing/2014/main" id="{00000000-0008-0000-0500-00004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68" name="Object -1020" hidden="1">
          <a:extLst>
            <a:ext uri="{FF2B5EF4-FFF2-40B4-BE49-F238E27FC236}">
              <a16:creationId xmlns:a16="http://schemas.microsoft.com/office/drawing/2014/main" id="{00000000-0008-0000-0500-00004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69" name="Object -1019" hidden="1">
          <a:extLst>
            <a:ext uri="{FF2B5EF4-FFF2-40B4-BE49-F238E27FC236}">
              <a16:creationId xmlns:a16="http://schemas.microsoft.com/office/drawing/2014/main" id="{00000000-0008-0000-0500-00004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70" name="Object -1018" hidden="1">
          <a:extLst>
            <a:ext uri="{FF2B5EF4-FFF2-40B4-BE49-F238E27FC236}">
              <a16:creationId xmlns:a16="http://schemas.microsoft.com/office/drawing/2014/main" id="{00000000-0008-0000-0500-00004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71" name="Object -1017" hidden="1">
          <a:extLst>
            <a:ext uri="{FF2B5EF4-FFF2-40B4-BE49-F238E27FC236}">
              <a16:creationId xmlns:a16="http://schemas.microsoft.com/office/drawing/2014/main" id="{00000000-0008-0000-0500-00004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72" name="Object -1016" hidden="1">
          <a:extLst>
            <a:ext uri="{FF2B5EF4-FFF2-40B4-BE49-F238E27FC236}">
              <a16:creationId xmlns:a16="http://schemas.microsoft.com/office/drawing/2014/main" id="{00000000-0008-0000-0500-00004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73" name="Object -1013" hidden="1">
          <a:extLst>
            <a:ext uri="{FF2B5EF4-FFF2-40B4-BE49-F238E27FC236}">
              <a16:creationId xmlns:a16="http://schemas.microsoft.com/office/drawing/2014/main" id="{00000000-0008-0000-0500-00004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74" name="Object -1012" hidden="1">
          <a:extLst>
            <a:ext uri="{FF2B5EF4-FFF2-40B4-BE49-F238E27FC236}">
              <a16:creationId xmlns:a16="http://schemas.microsoft.com/office/drawing/2014/main" id="{00000000-0008-0000-0500-00004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75" name="Object -1011" hidden="1">
          <a:extLst>
            <a:ext uri="{FF2B5EF4-FFF2-40B4-BE49-F238E27FC236}">
              <a16:creationId xmlns:a16="http://schemas.microsoft.com/office/drawing/2014/main" id="{00000000-0008-0000-0500-00004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76" name="Object -1010" hidden="1">
          <a:extLst>
            <a:ext uri="{FF2B5EF4-FFF2-40B4-BE49-F238E27FC236}">
              <a16:creationId xmlns:a16="http://schemas.microsoft.com/office/drawing/2014/main" id="{00000000-0008-0000-0500-00005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77" name="Object -1009" hidden="1">
          <a:extLst>
            <a:ext uri="{FF2B5EF4-FFF2-40B4-BE49-F238E27FC236}">
              <a16:creationId xmlns:a16="http://schemas.microsoft.com/office/drawing/2014/main" id="{00000000-0008-0000-0500-00005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78" name="Object -1008" hidden="1">
          <a:extLst>
            <a:ext uri="{FF2B5EF4-FFF2-40B4-BE49-F238E27FC236}">
              <a16:creationId xmlns:a16="http://schemas.microsoft.com/office/drawing/2014/main" id="{00000000-0008-0000-0500-00005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79" name="Object -1007" hidden="1">
          <a:extLst>
            <a:ext uri="{FF2B5EF4-FFF2-40B4-BE49-F238E27FC236}">
              <a16:creationId xmlns:a16="http://schemas.microsoft.com/office/drawing/2014/main" id="{00000000-0008-0000-0500-00005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80" name="Object -1006" hidden="1">
          <a:extLst>
            <a:ext uri="{FF2B5EF4-FFF2-40B4-BE49-F238E27FC236}">
              <a16:creationId xmlns:a16="http://schemas.microsoft.com/office/drawing/2014/main" id="{00000000-0008-0000-0500-00005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81" name="Object -1005" hidden="1">
          <a:extLst>
            <a:ext uri="{FF2B5EF4-FFF2-40B4-BE49-F238E27FC236}">
              <a16:creationId xmlns:a16="http://schemas.microsoft.com/office/drawing/2014/main" id="{00000000-0008-0000-0500-00005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82" name="Object -1022" hidden="1">
          <a:extLst>
            <a:ext uri="{FF2B5EF4-FFF2-40B4-BE49-F238E27FC236}">
              <a16:creationId xmlns:a16="http://schemas.microsoft.com/office/drawing/2014/main" id="{00000000-0008-0000-0500-00005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83" name="Object -1021" hidden="1">
          <a:extLst>
            <a:ext uri="{FF2B5EF4-FFF2-40B4-BE49-F238E27FC236}">
              <a16:creationId xmlns:a16="http://schemas.microsoft.com/office/drawing/2014/main" id="{00000000-0008-0000-0500-00005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84" name="Object -1020" hidden="1">
          <a:extLst>
            <a:ext uri="{FF2B5EF4-FFF2-40B4-BE49-F238E27FC236}">
              <a16:creationId xmlns:a16="http://schemas.microsoft.com/office/drawing/2014/main" id="{00000000-0008-0000-0500-00005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85" name="Object -1019" hidden="1">
          <a:extLst>
            <a:ext uri="{FF2B5EF4-FFF2-40B4-BE49-F238E27FC236}">
              <a16:creationId xmlns:a16="http://schemas.microsoft.com/office/drawing/2014/main" id="{00000000-0008-0000-0500-00005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86" name="Object -1018" hidden="1">
          <a:extLst>
            <a:ext uri="{FF2B5EF4-FFF2-40B4-BE49-F238E27FC236}">
              <a16:creationId xmlns:a16="http://schemas.microsoft.com/office/drawing/2014/main" id="{00000000-0008-0000-0500-00005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87" name="Object -1017" hidden="1">
          <a:extLst>
            <a:ext uri="{FF2B5EF4-FFF2-40B4-BE49-F238E27FC236}">
              <a16:creationId xmlns:a16="http://schemas.microsoft.com/office/drawing/2014/main" id="{00000000-0008-0000-0500-00005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88" name="Object -1016" hidden="1">
          <a:extLst>
            <a:ext uri="{FF2B5EF4-FFF2-40B4-BE49-F238E27FC236}">
              <a16:creationId xmlns:a16="http://schemas.microsoft.com/office/drawing/2014/main" id="{00000000-0008-0000-0500-00005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89" name="Object -1013" hidden="1">
          <a:extLst>
            <a:ext uri="{FF2B5EF4-FFF2-40B4-BE49-F238E27FC236}">
              <a16:creationId xmlns:a16="http://schemas.microsoft.com/office/drawing/2014/main" id="{00000000-0008-0000-0500-00005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90" name="Object -1012" hidden="1">
          <a:extLst>
            <a:ext uri="{FF2B5EF4-FFF2-40B4-BE49-F238E27FC236}">
              <a16:creationId xmlns:a16="http://schemas.microsoft.com/office/drawing/2014/main" id="{00000000-0008-0000-0500-00005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91" name="Object -1011" hidden="1">
          <a:extLst>
            <a:ext uri="{FF2B5EF4-FFF2-40B4-BE49-F238E27FC236}">
              <a16:creationId xmlns:a16="http://schemas.microsoft.com/office/drawing/2014/main" id="{00000000-0008-0000-0500-00005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92" name="Object -1010" hidden="1">
          <a:extLst>
            <a:ext uri="{FF2B5EF4-FFF2-40B4-BE49-F238E27FC236}">
              <a16:creationId xmlns:a16="http://schemas.microsoft.com/office/drawing/2014/main" id="{00000000-0008-0000-0500-00006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93" name="Object -1009" hidden="1">
          <a:extLst>
            <a:ext uri="{FF2B5EF4-FFF2-40B4-BE49-F238E27FC236}">
              <a16:creationId xmlns:a16="http://schemas.microsoft.com/office/drawing/2014/main" id="{00000000-0008-0000-0500-00006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94" name="Object -1008" hidden="1">
          <a:extLst>
            <a:ext uri="{FF2B5EF4-FFF2-40B4-BE49-F238E27FC236}">
              <a16:creationId xmlns:a16="http://schemas.microsoft.com/office/drawing/2014/main" id="{00000000-0008-0000-0500-00006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95" name="Object -1007" hidden="1">
          <a:extLst>
            <a:ext uri="{FF2B5EF4-FFF2-40B4-BE49-F238E27FC236}">
              <a16:creationId xmlns:a16="http://schemas.microsoft.com/office/drawing/2014/main" id="{00000000-0008-0000-0500-00006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96" name="Object -1006" hidden="1">
          <a:extLst>
            <a:ext uri="{FF2B5EF4-FFF2-40B4-BE49-F238E27FC236}">
              <a16:creationId xmlns:a16="http://schemas.microsoft.com/office/drawing/2014/main" id="{00000000-0008-0000-0500-00006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97" name="Object -1005" hidden="1">
          <a:extLst>
            <a:ext uri="{FF2B5EF4-FFF2-40B4-BE49-F238E27FC236}">
              <a16:creationId xmlns:a16="http://schemas.microsoft.com/office/drawing/2014/main" id="{00000000-0008-0000-0500-00006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98" name="Object -1022" hidden="1">
          <a:extLst>
            <a:ext uri="{FF2B5EF4-FFF2-40B4-BE49-F238E27FC236}">
              <a16:creationId xmlns:a16="http://schemas.microsoft.com/office/drawing/2014/main" id="{00000000-0008-0000-0500-00006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99" name="Object -1021" hidden="1">
          <a:extLst>
            <a:ext uri="{FF2B5EF4-FFF2-40B4-BE49-F238E27FC236}">
              <a16:creationId xmlns:a16="http://schemas.microsoft.com/office/drawing/2014/main" id="{00000000-0008-0000-0500-00006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00" name="Object -1020" hidden="1">
          <a:extLst>
            <a:ext uri="{FF2B5EF4-FFF2-40B4-BE49-F238E27FC236}">
              <a16:creationId xmlns:a16="http://schemas.microsoft.com/office/drawing/2014/main" id="{00000000-0008-0000-0500-00006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01" name="Object -1019" hidden="1">
          <a:extLst>
            <a:ext uri="{FF2B5EF4-FFF2-40B4-BE49-F238E27FC236}">
              <a16:creationId xmlns:a16="http://schemas.microsoft.com/office/drawing/2014/main" id="{00000000-0008-0000-0500-00006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02" name="Object -1018" hidden="1">
          <a:extLst>
            <a:ext uri="{FF2B5EF4-FFF2-40B4-BE49-F238E27FC236}">
              <a16:creationId xmlns:a16="http://schemas.microsoft.com/office/drawing/2014/main" id="{00000000-0008-0000-0500-00006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03" name="Object -1017" hidden="1">
          <a:extLst>
            <a:ext uri="{FF2B5EF4-FFF2-40B4-BE49-F238E27FC236}">
              <a16:creationId xmlns:a16="http://schemas.microsoft.com/office/drawing/2014/main" id="{00000000-0008-0000-0500-00006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04" name="Object -1016" hidden="1">
          <a:extLst>
            <a:ext uri="{FF2B5EF4-FFF2-40B4-BE49-F238E27FC236}">
              <a16:creationId xmlns:a16="http://schemas.microsoft.com/office/drawing/2014/main" id="{00000000-0008-0000-0500-00006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05" name="Object -1013" hidden="1">
          <a:extLst>
            <a:ext uri="{FF2B5EF4-FFF2-40B4-BE49-F238E27FC236}">
              <a16:creationId xmlns:a16="http://schemas.microsoft.com/office/drawing/2014/main" id="{00000000-0008-0000-0500-00006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06" name="Object -1012" hidden="1">
          <a:extLst>
            <a:ext uri="{FF2B5EF4-FFF2-40B4-BE49-F238E27FC236}">
              <a16:creationId xmlns:a16="http://schemas.microsoft.com/office/drawing/2014/main" id="{00000000-0008-0000-0500-00006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07" name="Object -1011" hidden="1">
          <a:extLst>
            <a:ext uri="{FF2B5EF4-FFF2-40B4-BE49-F238E27FC236}">
              <a16:creationId xmlns:a16="http://schemas.microsoft.com/office/drawing/2014/main" id="{00000000-0008-0000-0500-00006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08" name="Object -1010" hidden="1">
          <a:extLst>
            <a:ext uri="{FF2B5EF4-FFF2-40B4-BE49-F238E27FC236}">
              <a16:creationId xmlns:a16="http://schemas.microsoft.com/office/drawing/2014/main" id="{00000000-0008-0000-0500-00007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09" name="Object -1009" hidden="1">
          <a:extLst>
            <a:ext uri="{FF2B5EF4-FFF2-40B4-BE49-F238E27FC236}">
              <a16:creationId xmlns:a16="http://schemas.microsoft.com/office/drawing/2014/main" id="{00000000-0008-0000-0500-00007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10" name="Object -1008" hidden="1">
          <a:extLst>
            <a:ext uri="{FF2B5EF4-FFF2-40B4-BE49-F238E27FC236}">
              <a16:creationId xmlns:a16="http://schemas.microsoft.com/office/drawing/2014/main" id="{00000000-0008-0000-0500-00007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11" name="Object -1007" hidden="1">
          <a:extLst>
            <a:ext uri="{FF2B5EF4-FFF2-40B4-BE49-F238E27FC236}">
              <a16:creationId xmlns:a16="http://schemas.microsoft.com/office/drawing/2014/main" id="{00000000-0008-0000-0500-00007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12" name="Object -1006" hidden="1">
          <a:extLst>
            <a:ext uri="{FF2B5EF4-FFF2-40B4-BE49-F238E27FC236}">
              <a16:creationId xmlns:a16="http://schemas.microsoft.com/office/drawing/2014/main" id="{00000000-0008-0000-0500-00007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13" name="Object -1005" hidden="1">
          <a:extLst>
            <a:ext uri="{FF2B5EF4-FFF2-40B4-BE49-F238E27FC236}">
              <a16:creationId xmlns:a16="http://schemas.microsoft.com/office/drawing/2014/main" id="{00000000-0008-0000-0500-00007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14" name="Object -1022" hidden="1">
          <a:extLst>
            <a:ext uri="{FF2B5EF4-FFF2-40B4-BE49-F238E27FC236}">
              <a16:creationId xmlns:a16="http://schemas.microsoft.com/office/drawing/2014/main" id="{00000000-0008-0000-0500-00007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15" name="Object -1021" hidden="1">
          <a:extLst>
            <a:ext uri="{FF2B5EF4-FFF2-40B4-BE49-F238E27FC236}">
              <a16:creationId xmlns:a16="http://schemas.microsoft.com/office/drawing/2014/main" id="{00000000-0008-0000-0500-00007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16" name="Object -1020" hidden="1">
          <a:extLst>
            <a:ext uri="{FF2B5EF4-FFF2-40B4-BE49-F238E27FC236}">
              <a16:creationId xmlns:a16="http://schemas.microsoft.com/office/drawing/2014/main" id="{00000000-0008-0000-0500-00007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17" name="Object -1019" hidden="1">
          <a:extLst>
            <a:ext uri="{FF2B5EF4-FFF2-40B4-BE49-F238E27FC236}">
              <a16:creationId xmlns:a16="http://schemas.microsoft.com/office/drawing/2014/main" id="{00000000-0008-0000-0500-00007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18" name="Object -1018" hidden="1">
          <a:extLst>
            <a:ext uri="{FF2B5EF4-FFF2-40B4-BE49-F238E27FC236}">
              <a16:creationId xmlns:a16="http://schemas.microsoft.com/office/drawing/2014/main" id="{00000000-0008-0000-0500-00007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19" name="Object -1017" hidden="1">
          <a:extLst>
            <a:ext uri="{FF2B5EF4-FFF2-40B4-BE49-F238E27FC236}">
              <a16:creationId xmlns:a16="http://schemas.microsoft.com/office/drawing/2014/main" id="{00000000-0008-0000-0500-00007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20" name="Object -1016" hidden="1">
          <a:extLst>
            <a:ext uri="{FF2B5EF4-FFF2-40B4-BE49-F238E27FC236}">
              <a16:creationId xmlns:a16="http://schemas.microsoft.com/office/drawing/2014/main" id="{00000000-0008-0000-0500-00007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1" name="Object -1013" hidden="1">
          <a:extLst>
            <a:ext uri="{FF2B5EF4-FFF2-40B4-BE49-F238E27FC236}">
              <a16:creationId xmlns:a16="http://schemas.microsoft.com/office/drawing/2014/main" id="{00000000-0008-0000-0500-00007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2" name="Object -1012" hidden="1">
          <a:extLst>
            <a:ext uri="{FF2B5EF4-FFF2-40B4-BE49-F238E27FC236}">
              <a16:creationId xmlns:a16="http://schemas.microsoft.com/office/drawing/2014/main" id="{00000000-0008-0000-0500-00007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3" name="Object -1011" hidden="1">
          <a:extLst>
            <a:ext uri="{FF2B5EF4-FFF2-40B4-BE49-F238E27FC236}">
              <a16:creationId xmlns:a16="http://schemas.microsoft.com/office/drawing/2014/main" id="{00000000-0008-0000-0500-00007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4" name="Object -1010" hidden="1">
          <a:extLst>
            <a:ext uri="{FF2B5EF4-FFF2-40B4-BE49-F238E27FC236}">
              <a16:creationId xmlns:a16="http://schemas.microsoft.com/office/drawing/2014/main" id="{00000000-0008-0000-0500-00008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5" name="Object -1009" hidden="1">
          <a:extLst>
            <a:ext uri="{FF2B5EF4-FFF2-40B4-BE49-F238E27FC236}">
              <a16:creationId xmlns:a16="http://schemas.microsoft.com/office/drawing/2014/main" id="{00000000-0008-0000-0500-00008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6" name="Object -1008" hidden="1">
          <a:extLst>
            <a:ext uri="{FF2B5EF4-FFF2-40B4-BE49-F238E27FC236}">
              <a16:creationId xmlns:a16="http://schemas.microsoft.com/office/drawing/2014/main" id="{00000000-0008-0000-0500-00008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7" name="Object -1007" hidden="1">
          <a:extLst>
            <a:ext uri="{FF2B5EF4-FFF2-40B4-BE49-F238E27FC236}">
              <a16:creationId xmlns:a16="http://schemas.microsoft.com/office/drawing/2014/main" id="{00000000-0008-0000-0500-00008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8" name="Object -1006" hidden="1">
          <a:extLst>
            <a:ext uri="{FF2B5EF4-FFF2-40B4-BE49-F238E27FC236}">
              <a16:creationId xmlns:a16="http://schemas.microsoft.com/office/drawing/2014/main" id="{00000000-0008-0000-0500-00008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9" name="Object -1005" hidden="1">
          <a:extLst>
            <a:ext uri="{FF2B5EF4-FFF2-40B4-BE49-F238E27FC236}">
              <a16:creationId xmlns:a16="http://schemas.microsoft.com/office/drawing/2014/main" id="{00000000-0008-0000-0500-00008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30" name="Object -1022" hidden="1">
          <a:extLst>
            <a:ext uri="{FF2B5EF4-FFF2-40B4-BE49-F238E27FC236}">
              <a16:creationId xmlns:a16="http://schemas.microsoft.com/office/drawing/2014/main" id="{00000000-0008-0000-0500-00008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31" name="Object -1021" hidden="1">
          <a:extLst>
            <a:ext uri="{FF2B5EF4-FFF2-40B4-BE49-F238E27FC236}">
              <a16:creationId xmlns:a16="http://schemas.microsoft.com/office/drawing/2014/main" id="{00000000-0008-0000-0500-00008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32" name="Object -1020" hidden="1">
          <a:extLst>
            <a:ext uri="{FF2B5EF4-FFF2-40B4-BE49-F238E27FC236}">
              <a16:creationId xmlns:a16="http://schemas.microsoft.com/office/drawing/2014/main" id="{00000000-0008-0000-0500-00008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33" name="Object -1019" hidden="1">
          <a:extLst>
            <a:ext uri="{FF2B5EF4-FFF2-40B4-BE49-F238E27FC236}">
              <a16:creationId xmlns:a16="http://schemas.microsoft.com/office/drawing/2014/main" id="{00000000-0008-0000-0500-00008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34" name="Object -1018" hidden="1">
          <a:extLst>
            <a:ext uri="{FF2B5EF4-FFF2-40B4-BE49-F238E27FC236}">
              <a16:creationId xmlns:a16="http://schemas.microsoft.com/office/drawing/2014/main" id="{00000000-0008-0000-0500-00008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35" name="Object -1017" hidden="1">
          <a:extLst>
            <a:ext uri="{FF2B5EF4-FFF2-40B4-BE49-F238E27FC236}">
              <a16:creationId xmlns:a16="http://schemas.microsoft.com/office/drawing/2014/main" id="{00000000-0008-0000-0500-00008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36" name="Object -1016" hidden="1">
          <a:extLst>
            <a:ext uri="{FF2B5EF4-FFF2-40B4-BE49-F238E27FC236}">
              <a16:creationId xmlns:a16="http://schemas.microsoft.com/office/drawing/2014/main" id="{00000000-0008-0000-0500-00008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37" name="Object -1013" hidden="1">
          <a:extLst>
            <a:ext uri="{FF2B5EF4-FFF2-40B4-BE49-F238E27FC236}">
              <a16:creationId xmlns:a16="http://schemas.microsoft.com/office/drawing/2014/main" id="{00000000-0008-0000-0500-00008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38" name="Object -1012" hidden="1">
          <a:extLst>
            <a:ext uri="{FF2B5EF4-FFF2-40B4-BE49-F238E27FC236}">
              <a16:creationId xmlns:a16="http://schemas.microsoft.com/office/drawing/2014/main" id="{00000000-0008-0000-0500-00008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39" name="Object -1011" hidden="1">
          <a:extLst>
            <a:ext uri="{FF2B5EF4-FFF2-40B4-BE49-F238E27FC236}">
              <a16:creationId xmlns:a16="http://schemas.microsoft.com/office/drawing/2014/main" id="{00000000-0008-0000-0500-00008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40" name="Object -1010" hidden="1">
          <a:extLst>
            <a:ext uri="{FF2B5EF4-FFF2-40B4-BE49-F238E27FC236}">
              <a16:creationId xmlns:a16="http://schemas.microsoft.com/office/drawing/2014/main" id="{00000000-0008-0000-0500-00009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41" name="Object -1009" hidden="1">
          <a:extLst>
            <a:ext uri="{FF2B5EF4-FFF2-40B4-BE49-F238E27FC236}">
              <a16:creationId xmlns:a16="http://schemas.microsoft.com/office/drawing/2014/main" id="{00000000-0008-0000-0500-00009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42" name="Object -1008" hidden="1">
          <a:extLst>
            <a:ext uri="{FF2B5EF4-FFF2-40B4-BE49-F238E27FC236}">
              <a16:creationId xmlns:a16="http://schemas.microsoft.com/office/drawing/2014/main" id="{00000000-0008-0000-0500-00009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43" name="Object -1007" hidden="1">
          <a:extLst>
            <a:ext uri="{FF2B5EF4-FFF2-40B4-BE49-F238E27FC236}">
              <a16:creationId xmlns:a16="http://schemas.microsoft.com/office/drawing/2014/main" id="{00000000-0008-0000-0500-00009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44" name="Object -1006" hidden="1">
          <a:extLst>
            <a:ext uri="{FF2B5EF4-FFF2-40B4-BE49-F238E27FC236}">
              <a16:creationId xmlns:a16="http://schemas.microsoft.com/office/drawing/2014/main" id="{00000000-0008-0000-0500-00009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45" name="Object -1005" hidden="1">
          <a:extLst>
            <a:ext uri="{FF2B5EF4-FFF2-40B4-BE49-F238E27FC236}">
              <a16:creationId xmlns:a16="http://schemas.microsoft.com/office/drawing/2014/main" id="{00000000-0008-0000-0500-00009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46" name="Object -1022" hidden="1">
          <a:extLst>
            <a:ext uri="{FF2B5EF4-FFF2-40B4-BE49-F238E27FC236}">
              <a16:creationId xmlns:a16="http://schemas.microsoft.com/office/drawing/2014/main" id="{00000000-0008-0000-0500-00009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47" name="Object -1021" hidden="1">
          <a:extLst>
            <a:ext uri="{FF2B5EF4-FFF2-40B4-BE49-F238E27FC236}">
              <a16:creationId xmlns:a16="http://schemas.microsoft.com/office/drawing/2014/main" id="{00000000-0008-0000-0500-00009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48" name="Object -1020" hidden="1">
          <a:extLst>
            <a:ext uri="{FF2B5EF4-FFF2-40B4-BE49-F238E27FC236}">
              <a16:creationId xmlns:a16="http://schemas.microsoft.com/office/drawing/2014/main" id="{00000000-0008-0000-0500-00009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49" name="Object -1019" hidden="1">
          <a:extLst>
            <a:ext uri="{FF2B5EF4-FFF2-40B4-BE49-F238E27FC236}">
              <a16:creationId xmlns:a16="http://schemas.microsoft.com/office/drawing/2014/main" id="{00000000-0008-0000-0500-00009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50" name="Object -1018" hidden="1">
          <a:extLst>
            <a:ext uri="{FF2B5EF4-FFF2-40B4-BE49-F238E27FC236}">
              <a16:creationId xmlns:a16="http://schemas.microsoft.com/office/drawing/2014/main" id="{00000000-0008-0000-0500-00009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51" name="Object -1017" hidden="1">
          <a:extLst>
            <a:ext uri="{FF2B5EF4-FFF2-40B4-BE49-F238E27FC236}">
              <a16:creationId xmlns:a16="http://schemas.microsoft.com/office/drawing/2014/main" id="{00000000-0008-0000-0500-00009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52" name="Object -1016" hidden="1">
          <a:extLst>
            <a:ext uri="{FF2B5EF4-FFF2-40B4-BE49-F238E27FC236}">
              <a16:creationId xmlns:a16="http://schemas.microsoft.com/office/drawing/2014/main" id="{00000000-0008-0000-0500-00009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53" name="Object -1013" hidden="1">
          <a:extLst>
            <a:ext uri="{FF2B5EF4-FFF2-40B4-BE49-F238E27FC236}">
              <a16:creationId xmlns:a16="http://schemas.microsoft.com/office/drawing/2014/main" id="{00000000-0008-0000-0500-00009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54" name="Object -1012" hidden="1">
          <a:extLst>
            <a:ext uri="{FF2B5EF4-FFF2-40B4-BE49-F238E27FC236}">
              <a16:creationId xmlns:a16="http://schemas.microsoft.com/office/drawing/2014/main" id="{00000000-0008-0000-0500-00009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55" name="Object -1011" hidden="1">
          <a:extLst>
            <a:ext uri="{FF2B5EF4-FFF2-40B4-BE49-F238E27FC236}">
              <a16:creationId xmlns:a16="http://schemas.microsoft.com/office/drawing/2014/main" id="{00000000-0008-0000-0500-00009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56" name="Object -1010" hidden="1">
          <a:extLst>
            <a:ext uri="{FF2B5EF4-FFF2-40B4-BE49-F238E27FC236}">
              <a16:creationId xmlns:a16="http://schemas.microsoft.com/office/drawing/2014/main" id="{00000000-0008-0000-0500-0000A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57" name="Object -1009" hidden="1">
          <a:extLst>
            <a:ext uri="{FF2B5EF4-FFF2-40B4-BE49-F238E27FC236}">
              <a16:creationId xmlns:a16="http://schemas.microsoft.com/office/drawing/2014/main" id="{00000000-0008-0000-0500-0000A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58" name="Object -1008" hidden="1">
          <a:extLst>
            <a:ext uri="{FF2B5EF4-FFF2-40B4-BE49-F238E27FC236}">
              <a16:creationId xmlns:a16="http://schemas.microsoft.com/office/drawing/2014/main" id="{00000000-0008-0000-0500-0000A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59" name="Object -1007" hidden="1">
          <a:extLst>
            <a:ext uri="{FF2B5EF4-FFF2-40B4-BE49-F238E27FC236}">
              <a16:creationId xmlns:a16="http://schemas.microsoft.com/office/drawing/2014/main" id="{00000000-0008-0000-0500-0000A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60" name="Object -1006" hidden="1">
          <a:extLst>
            <a:ext uri="{FF2B5EF4-FFF2-40B4-BE49-F238E27FC236}">
              <a16:creationId xmlns:a16="http://schemas.microsoft.com/office/drawing/2014/main" id="{00000000-0008-0000-0500-0000A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61" name="Object -1005" hidden="1">
          <a:extLst>
            <a:ext uri="{FF2B5EF4-FFF2-40B4-BE49-F238E27FC236}">
              <a16:creationId xmlns:a16="http://schemas.microsoft.com/office/drawing/2014/main" id="{00000000-0008-0000-0500-0000A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62" name="Object -1022" hidden="1">
          <a:extLst>
            <a:ext uri="{FF2B5EF4-FFF2-40B4-BE49-F238E27FC236}">
              <a16:creationId xmlns:a16="http://schemas.microsoft.com/office/drawing/2014/main" id="{00000000-0008-0000-0500-0000A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63" name="Object -1021" hidden="1">
          <a:extLst>
            <a:ext uri="{FF2B5EF4-FFF2-40B4-BE49-F238E27FC236}">
              <a16:creationId xmlns:a16="http://schemas.microsoft.com/office/drawing/2014/main" id="{00000000-0008-0000-0500-0000A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64" name="Object -1020" hidden="1">
          <a:extLst>
            <a:ext uri="{FF2B5EF4-FFF2-40B4-BE49-F238E27FC236}">
              <a16:creationId xmlns:a16="http://schemas.microsoft.com/office/drawing/2014/main" id="{00000000-0008-0000-0500-0000A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65" name="Object -1019" hidden="1">
          <a:extLst>
            <a:ext uri="{FF2B5EF4-FFF2-40B4-BE49-F238E27FC236}">
              <a16:creationId xmlns:a16="http://schemas.microsoft.com/office/drawing/2014/main" id="{00000000-0008-0000-0500-0000A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66" name="Object -1018" hidden="1">
          <a:extLst>
            <a:ext uri="{FF2B5EF4-FFF2-40B4-BE49-F238E27FC236}">
              <a16:creationId xmlns:a16="http://schemas.microsoft.com/office/drawing/2014/main" id="{00000000-0008-0000-0500-0000A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67" name="Object -1017" hidden="1">
          <a:extLst>
            <a:ext uri="{FF2B5EF4-FFF2-40B4-BE49-F238E27FC236}">
              <a16:creationId xmlns:a16="http://schemas.microsoft.com/office/drawing/2014/main" id="{00000000-0008-0000-0500-0000A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68" name="Object -1016" hidden="1">
          <a:extLst>
            <a:ext uri="{FF2B5EF4-FFF2-40B4-BE49-F238E27FC236}">
              <a16:creationId xmlns:a16="http://schemas.microsoft.com/office/drawing/2014/main" id="{00000000-0008-0000-0500-0000A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69" name="Object -1013" hidden="1">
          <a:extLst>
            <a:ext uri="{FF2B5EF4-FFF2-40B4-BE49-F238E27FC236}">
              <a16:creationId xmlns:a16="http://schemas.microsoft.com/office/drawing/2014/main" id="{00000000-0008-0000-0500-0000A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70" name="Object -1012" hidden="1">
          <a:extLst>
            <a:ext uri="{FF2B5EF4-FFF2-40B4-BE49-F238E27FC236}">
              <a16:creationId xmlns:a16="http://schemas.microsoft.com/office/drawing/2014/main" id="{00000000-0008-0000-0500-0000A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71" name="Object -1011" hidden="1">
          <a:extLst>
            <a:ext uri="{FF2B5EF4-FFF2-40B4-BE49-F238E27FC236}">
              <a16:creationId xmlns:a16="http://schemas.microsoft.com/office/drawing/2014/main" id="{00000000-0008-0000-0500-0000A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72" name="Object -1010" hidden="1">
          <a:extLst>
            <a:ext uri="{FF2B5EF4-FFF2-40B4-BE49-F238E27FC236}">
              <a16:creationId xmlns:a16="http://schemas.microsoft.com/office/drawing/2014/main" id="{00000000-0008-0000-0500-0000B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73" name="Object -1009" hidden="1">
          <a:extLst>
            <a:ext uri="{FF2B5EF4-FFF2-40B4-BE49-F238E27FC236}">
              <a16:creationId xmlns:a16="http://schemas.microsoft.com/office/drawing/2014/main" id="{00000000-0008-0000-0500-0000B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74" name="Object -1008" hidden="1">
          <a:extLst>
            <a:ext uri="{FF2B5EF4-FFF2-40B4-BE49-F238E27FC236}">
              <a16:creationId xmlns:a16="http://schemas.microsoft.com/office/drawing/2014/main" id="{00000000-0008-0000-0500-0000B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75" name="Object -1007" hidden="1">
          <a:extLst>
            <a:ext uri="{FF2B5EF4-FFF2-40B4-BE49-F238E27FC236}">
              <a16:creationId xmlns:a16="http://schemas.microsoft.com/office/drawing/2014/main" id="{00000000-0008-0000-0500-0000B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76" name="Object -1006" hidden="1">
          <a:extLst>
            <a:ext uri="{FF2B5EF4-FFF2-40B4-BE49-F238E27FC236}">
              <a16:creationId xmlns:a16="http://schemas.microsoft.com/office/drawing/2014/main" id="{00000000-0008-0000-0500-0000B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77" name="Object -1005" hidden="1">
          <a:extLst>
            <a:ext uri="{FF2B5EF4-FFF2-40B4-BE49-F238E27FC236}">
              <a16:creationId xmlns:a16="http://schemas.microsoft.com/office/drawing/2014/main" id="{00000000-0008-0000-0500-0000B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278" name="Object -1022" hidden="1">
          <a:extLst>
            <a:ext uri="{FF2B5EF4-FFF2-40B4-BE49-F238E27FC236}">
              <a16:creationId xmlns:a16="http://schemas.microsoft.com/office/drawing/2014/main" id="{00000000-0008-0000-0500-0000B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460" y="528828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279" name="Object -1021" hidden="1">
          <a:extLst>
            <a:ext uri="{FF2B5EF4-FFF2-40B4-BE49-F238E27FC236}">
              <a16:creationId xmlns:a16="http://schemas.microsoft.com/office/drawing/2014/main" id="{00000000-0008-0000-0500-0000B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460" y="528828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280" name="Object -1020" hidden="1">
          <a:extLst>
            <a:ext uri="{FF2B5EF4-FFF2-40B4-BE49-F238E27FC236}">
              <a16:creationId xmlns:a16="http://schemas.microsoft.com/office/drawing/2014/main" id="{00000000-0008-0000-0500-0000B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460" y="528828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281" name="Object -1019" hidden="1">
          <a:extLst>
            <a:ext uri="{FF2B5EF4-FFF2-40B4-BE49-F238E27FC236}">
              <a16:creationId xmlns:a16="http://schemas.microsoft.com/office/drawing/2014/main" id="{00000000-0008-0000-0500-0000B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460" y="528828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282" name="Object -1018" hidden="1">
          <a:extLst>
            <a:ext uri="{FF2B5EF4-FFF2-40B4-BE49-F238E27FC236}">
              <a16:creationId xmlns:a16="http://schemas.microsoft.com/office/drawing/2014/main" id="{00000000-0008-0000-0500-0000B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460" y="528828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283" name="Object -1017" hidden="1">
          <a:extLst>
            <a:ext uri="{FF2B5EF4-FFF2-40B4-BE49-F238E27FC236}">
              <a16:creationId xmlns:a16="http://schemas.microsoft.com/office/drawing/2014/main" id="{00000000-0008-0000-0500-0000B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460" y="528828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284" name="Object -1016" hidden="1">
          <a:extLst>
            <a:ext uri="{FF2B5EF4-FFF2-40B4-BE49-F238E27FC236}">
              <a16:creationId xmlns:a16="http://schemas.microsoft.com/office/drawing/2014/main" id="{00000000-0008-0000-0500-0000B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460" y="528828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85" name="Object -1013" hidden="1">
          <a:extLst>
            <a:ext uri="{FF2B5EF4-FFF2-40B4-BE49-F238E27FC236}">
              <a16:creationId xmlns:a16="http://schemas.microsoft.com/office/drawing/2014/main" id="{00000000-0008-0000-0500-0000B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86" name="Object -1012" hidden="1">
          <a:extLst>
            <a:ext uri="{FF2B5EF4-FFF2-40B4-BE49-F238E27FC236}">
              <a16:creationId xmlns:a16="http://schemas.microsoft.com/office/drawing/2014/main" id="{00000000-0008-0000-0500-0000B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87" name="Object -1011" hidden="1">
          <a:extLst>
            <a:ext uri="{FF2B5EF4-FFF2-40B4-BE49-F238E27FC236}">
              <a16:creationId xmlns:a16="http://schemas.microsoft.com/office/drawing/2014/main" id="{00000000-0008-0000-0500-0000B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88" name="Object -1010" hidden="1">
          <a:extLst>
            <a:ext uri="{FF2B5EF4-FFF2-40B4-BE49-F238E27FC236}">
              <a16:creationId xmlns:a16="http://schemas.microsoft.com/office/drawing/2014/main" id="{00000000-0008-0000-0500-0000C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89" name="Object -1009" hidden="1">
          <a:extLst>
            <a:ext uri="{FF2B5EF4-FFF2-40B4-BE49-F238E27FC236}">
              <a16:creationId xmlns:a16="http://schemas.microsoft.com/office/drawing/2014/main" id="{00000000-0008-0000-0500-0000C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90" name="Object -1008" hidden="1">
          <a:extLst>
            <a:ext uri="{FF2B5EF4-FFF2-40B4-BE49-F238E27FC236}">
              <a16:creationId xmlns:a16="http://schemas.microsoft.com/office/drawing/2014/main" id="{00000000-0008-0000-0500-0000C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91" name="Object -1007" hidden="1">
          <a:extLst>
            <a:ext uri="{FF2B5EF4-FFF2-40B4-BE49-F238E27FC236}">
              <a16:creationId xmlns:a16="http://schemas.microsoft.com/office/drawing/2014/main" id="{00000000-0008-0000-0500-0000C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92" name="Object -1006" hidden="1">
          <a:extLst>
            <a:ext uri="{FF2B5EF4-FFF2-40B4-BE49-F238E27FC236}">
              <a16:creationId xmlns:a16="http://schemas.microsoft.com/office/drawing/2014/main" id="{00000000-0008-0000-0500-0000C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93" name="Object -1005" hidden="1">
          <a:extLst>
            <a:ext uri="{FF2B5EF4-FFF2-40B4-BE49-F238E27FC236}">
              <a16:creationId xmlns:a16="http://schemas.microsoft.com/office/drawing/2014/main" id="{00000000-0008-0000-0500-0000C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514350</xdr:colOff>
      <xdr:row>28</xdr:row>
      <xdr:rowOff>0</xdr:rowOff>
    </xdr:to>
    <xdr:pic>
      <xdr:nvPicPr>
        <xdr:cNvPr id="4294" name="Object -1022" hidden="1">
          <a:extLst>
            <a:ext uri="{FF2B5EF4-FFF2-40B4-BE49-F238E27FC236}">
              <a16:creationId xmlns:a16="http://schemas.microsoft.com/office/drawing/2014/main" id="{00000000-0008-0000-0500-0000C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5048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514350</xdr:colOff>
      <xdr:row>28</xdr:row>
      <xdr:rowOff>0</xdr:rowOff>
    </xdr:to>
    <xdr:pic>
      <xdr:nvPicPr>
        <xdr:cNvPr id="4295" name="Object -1021" hidden="1">
          <a:extLst>
            <a:ext uri="{FF2B5EF4-FFF2-40B4-BE49-F238E27FC236}">
              <a16:creationId xmlns:a16="http://schemas.microsoft.com/office/drawing/2014/main" id="{00000000-0008-0000-0500-0000C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5048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514350</xdr:colOff>
      <xdr:row>28</xdr:row>
      <xdr:rowOff>0</xdr:rowOff>
    </xdr:to>
    <xdr:pic>
      <xdr:nvPicPr>
        <xdr:cNvPr id="4296" name="Object -1020" hidden="1">
          <a:extLst>
            <a:ext uri="{FF2B5EF4-FFF2-40B4-BE49-F238E27FC236}">
              <a16:creationId xmlns:a16="http://schemas.microsoft.com/office/drawing/2014/main" id="{00000000-0008-0000-0500-0000C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5048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514350</xdr:colOff>
      <xdr:row>28</xdr:row>
      <xdr:rowOff>0</xdr:rowOff>
    </xdr:to>
    <xdr:pic>
      <xdr:nvPicPr>
        <xdr:cNvPr id="4297" name="Object -1019" hidden="1">
          <a:extLst>
            <a:ext uri="{FF2B5EF4-FFF2-40B4-BE49-F238E27FC236}">
              <a16:creationId xmlns:a16="http://schemas.microsoft.com/office/drawing/2014/main" id="{00000000-0008-0000-0500-0000C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5048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514350</xdr:colOff>
      <xdr:row>28</xdr:row>
      <xdr:rowOff>0</xdr:rowOff>
    </xdr:to>
    <xdr:pic>
      <xdr:nvPicPr>
        <xdr:cNvPr id="4298" name="Object -1018" hidden="1">
          <a:extLst>
            <a:ext uri="{FF2B5EF4-FFF2-40B4-BE49-F238E27FC236}">
              <a16:creationId xmlns:a16="http://schemas.microsoft.com/office/drawing/2014/main" id="{00000000-0008-0000-0500-0000C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5048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514350</xdr:colOff>
      <xdr:row>28</xdr:row>
      <xdr:rowOff>0</xdr:rowOff>
    </xdr:to>
    <xdr:pic>
      <xdr:nvPicPr>
        <xdr:cNvPr id="4299" name="Object -1017" hidden="1">
          <a:extLst>
            <a:ext uri="{FF2B5EF4-FFF2-40B4-BE49-F238E27FC236}">
              <a16:creationId xmlns:a16="http://schemas.microsoft.com/office/drawing/2014/main" id="{00000000-0008-0000-0500-0000C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5048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514350</xdr:colOff>
      <xdr:row>28</xdr:row>
      <xdr:rowOff>0</xdr:rowOff>
    </xdr:to>
    <xdr:pic>
      <xdr:nvPicPr>
        <xdr:cNvPr id="4300" name="Object -1016" hidden="1">
          <a:extLst>
            <a:ext uri="{FF2B5EF4-FFF2-40B4-BE49-F238E27FC236}">
              <a16:creationId xmlns:a16="http://schemas.microsoft.com/office/drawing/2014/main" id="{00000000-0008-0000-0500-0000C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5048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1" name="Object -1013" hidden="1">
          <a:extLst>
            <a:ext uri="{FF2B5EF4-FFF2-40B4-BE49-F238E27FC236}">
              <a16:creationId xmlns:a16="http://schemas.microsoft.com/office/drawing/2014/main" id="{00000000-0008-0000-0500-0000C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2" name="Object -1012" hidden="1">
          <a:extLst>
            <a:ext uri="{FF2B5EF4-FFF2-40B4-BE49-F238E27FC236}">
              <a16:creationId xmlns:a16="http://schemas.microsoft.com/office/drawing/2014/main" id="{00000000-0008-0000-0500-0000C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3" name="Object -1011" hidden="1">
          <a:extLst>
            <a:ext uri="{FF2B5EF4-FFF2-40B4-BE49-F238E27FC236}">
              <a16:creationId xmlns:a16="http://schemas.microsoft.com/office/drawing/2014/main" id="{00000000-0008-0000-0500-0000C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4" name="Object -1010" hidden="1">
          <a:extLst>
            <a:ext uri="{FF2B5EF4-FFF2-40B4-BE49-F238E27FC236}">
              <a16:creationId xmlns:a16="http://schemas.microsoft.com/office/drawing/2014/main" id="{00000000-0008-0000-0500-0000D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5" name="Object -1009" hidden="1">
          <a:extLst>
            <a:ext uri="{FF2B5EF4-FFF2-40B4-BE49-F238E27FC236}">
              <a16:creationId xmlns:a16="http://schemas.microsoft.com/office/drawing/2014/main" id="{00000000-0008-0000-0500-0000D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6" name="Object -1008" hidden="1">
          <a:extLst>
            <a:ext uri="{FF2B5EF4-FFF2-40B4-BE49-F238E27FC236}">
              <a16:creationId xmlns:a16="http://schemas.microsoft.com/office/drawing/2014/main" id="{00000000-0008-0000-0500-0000D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7" name="Object -1007" hidden="1">
          <a:extLst>
            <a:ext uri="{FF2B5EF4-FFF2-40B4-BE49-F238E27FC236}">
              <a16:creationId xmlns:a16="http://schemas.microsoft.com/office/drawing/2014/main" id="{00000000-0008-0000-0500-0000D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8" name="Object -1006" hidden="1">
          <a:extLst>
            <a:ext uri="{FF2B5EF4-FFF2-40B4-BE49-F238E27FC236}">
              <a16:creationId xmlns:a16="http://schemas.microsoft.com/office/drawing/2014/main" id="{00000000-0008-0000-0500-0000D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9" name="Object -1005" hidden="1">
          <a:extLst>
            <a:ext uri="{FF2B5EF4-FFF2-40B4-BE49-F238E27FC236}">
              <a16:creationId xmlns:a16="http://schemas.microsoft.com/office/drawing/2014/main" id="{00000000-0008-0000-0500-0000D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10" name="Object -1022" hidden="1">
          <a:extLst>
            <a:ext uri="{FF2B5EF4-FFF2-40B4-BE49-F238E27FC236}">
              <a16:creationId xmlns:a16="http://schemas.microsoft.com/office/drawing/2014/main" id="{00000000-0008-0000-0500-0000D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11" name="Object -1021" hidden="1">
          <a:extLst>
            <a:ext uri="{FF2B5EF4-FFF2-40B4-BE49-F238E27FC236}">
              <a16:creationId xmlns:a16="http://schemas.microsoft.com/office/drawing/2014/main" id="{00000000-0008-0000-0500-0000D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12" name="Object -1020" hidden="1">
          <a:extLst>
            <a:ext uri="{FF2B5EF4-FFF2-40B4-BE49-F238E27FC236}">
              <a16:creationId xmlns:a16="http://schemas.microsoft.com/office/drawing/2014/main" id="{00000000-0008-0000-0500-0000D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13" name="Object -1019" hidden="1">
          <a:extLst>
            <a:ext uri="{FF2B5EF4-FFF2-40B4-BE49-F238E27FC236}">
              <a16:creationId xmlns:a16="http://schemas.microsoft.com/office/drawing/2014/main" id="{00000000-0008-0000-0500-0000D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14" name="Object -1018" hidden="1">
          <a:extLst>
            <a:ext uri="{FF2B5EF4-FFF2-40B4-BE49-F238E27FC236}">
              <a16:creationId xmlns:a16="http://schemas.microsoft.com/office/drawing/2014/main" id="{00000000-0008-0000-0500-0000D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15" name="Object -1017" hidden="1">
          <a:extLst>
            <a:ext uri="{FF2B5EF4-FFF2-40B4-BE49-F238E27FC236}">
              <a16:creationId xmlns:a16="http://schemas.microsoft.com/office/drawing/2014/main" id="{00000000-0008-0000-0500-0000D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16" name="Object -1016" hidden="1">
          <a:extLst>
            <a:ext uri="{FF2B5EF4-FFF2-40B4-BE49-F238E27FC236}">
              <a16:creationId xmlns:a16="http://schemas.microsoft.com/office/drawing/2014/main" id="{00000000-0008-0000-0500-0000D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17" name="Object -1013" hidden="1">
          <a:extLst>
            <a:ext uri="{FF2B5EF4-FFF2-40B4-BE49-F238E27FC236}">
              <a16:creationId xmlns:a16="http://schemas.microsoft.com/office/drawing/2014/main" id="{00000000-0008-0000-0500-0000D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18" name="Object -1012" hidden="1">
          <a:extLst>
            <a:ext uri="{FF2B5EF4-FFF2-40B4-BE49-F238E27FC236}">
              <a16:creationId xmlns:a16="http://schemas.microsoft.com/office/drawing/2014/main" id="{00000000-0008-0000-0500-0000D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19" name="Object -1011" hidden="1">
          <a:extLst>
            <a:ext uri="{FF2B5EF4-FFF2-40B4-BE49-F238E27FC236}">
              <a16:creationId xmlns:a16="http://schemas.microsoft.com/office/drawing/2014/main" id="{00000000-0008-0000-0500-0000D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20" name="Object -1010" hidden="1">
          <a:extLst>
            <a:ext uri="{FF2B5EF4-FFF2-40B4-BE49-F238E27FC236}">
              <a16:creationId xmlns:a16="http://schemas.microsoft.com/office/drawing/2014/main" id="{00000000-0008-0000-0500-0000E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21" name="Object -1009" hidden="1">
          <a:extLst>
            <a:ext uri="{FF2B5EF4-FFF2-40B4-BE49-F238E27FC236}">
              <a16:creationId xmlns:a16="http://schemas.microsoft.com/office/drawing/2014/main" id="{00000000-0008-0000-0500-0000E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22" name="Object -1008" hidden="1">
          <a:extLst>
            <a:ext uri="{FF2B5EF4-FFF2-40B4-BE49-F238E27FC236}">
              <a16:creationId xmlns:a16="http://schemas.microsoft.com/office/drawing/2014/main" id="{00000000-0008-0000-0500-0000E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23" name="Object -1007" hidden="1">
          <a:extLst>
            <a:ext uri="{FF2B5EF4-FFF2-40B4-BE49-F238E27FC236}">
              <a16:creationId xmlns:a16="http://schemas.microsoft.com/office/drawing/2014/main" id="{00000000-0008-0000-0500-0000E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24" name="Object -1006" hidden="1">
          <a:extLst>
            <a:ext uri="{FF2B5EF4-FFF2-40B4-BE49-F238E27FC236}">
              <a16:creationId xmlns:a16="http://schemas.microsoft.com/office/drawing/2014/main" id="{00000000-0008-0000-0500-0000E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25" name="Object -1005" hidden="1">
          <a:extLst>
            <a:ext uri="{FF2B5EF4-FFF2-40B4-BE49-F238E27FC236}">
              <a16:creationId xmlns:a16="http://schemas.microsoft.com/office/drawing/2014/main" id="{00000000-0008-0000-0500-0000E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26" name="Object -1022" hidden="1">
          <a:extLst>
            <a:ext uri="{FF2B5EF4-FFF2-40B4-BE49-F238E27FC236}">
              <a16:creationId xmlns:a16="http://schemas.microsoft.com/office/drawing/2014/main" id="{00000000-0008-0000-0500-0000E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27" name="Object -1021" hidden="1">
          <a:extLst>
            <a:ext uri="{FF2B5EF4-FFF2-40B4-BE49-F238E27FC236}">
              <a16:creationId xmlns:a16="http://schemas.microsoft.com/office/drawing/2014/main" id="{00000000-0008-0000-0500-0000E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28" name="Object -1020" hidden="1">
          <a:extLst>
            <a:ext uri="{FF2B5EF4-FFF2-40B4-BE49-F238E27FC236}">
              <a16:creationId xmlns:a16="http://schemas.microsoft.com/office/drawing/2014/main" id="{00000000-0008-0000-0500-0000E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29" name="Object -1019" hidden="1">
          <a:extLst>
            <a:ext uri="{FF2B5EF4-FFF2-40B4-BE49-F238E27FC236}">
              <a16:creationId xmlns:a16="http://schemas.microsoft.com/office/drawing/2014/main" id="{00000000-0008-0000-0500-0000E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30" name="Object -1018" hidden="1">
          <a:extLst>
            <a:ext uri="{FF2B5EF4-FFF2-40B4-BE49-F238E27FC236}">
              <a16:creationId xmlns:a16="http://schemas.microsoft.com/office/drawing/2014/main" id="{00000000-0008-0000-0500-0000E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31" name="Object -1017" hidden="1">
          <a:extLst>
            <a:ext uri="{FF2B5EF4-FFF2-40B4-BE49-F238E27FC236}">
              <a16:creationId xmlns:a16="http://schemas.microsoft.com/office/drawing/2014/main" id="{00000000-0008-0000-0500-0000E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32" name="Object -1016" hidden="1">
          <a:extLst>
            <a:ext uri="{FF2B5EF4-FFF2-40B4-BE49-F238E27FC236}">
              <a16:creationId xmlns:a16="http://schemas.microsoft.com/office/drawing/2014/main" id="{00000000-0008-0000-0500-0000E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33" name="Object -1013" hidden="1">
          <a:extLst>
            <a:ext uri="{FF2B5EF4-FFF2-40B4-BE49-F238E27FC236}">
              <a16:creationId xmlns:a16="http://schemas.microsoft.com/office/drawing/2014/main" id="{00000000-0008-0000-0500-0000E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34" name="Object -1012" hidden="1">
          <a:extLst>
            <a:ext uri="{FF2B5EF4-FFF2-40B4-BE49-F238E27FC236}">
              <a16:creationId xmlns:a16="http://schemas.microsoft.com/office/drawing/2014/main" id="{00000000-0008-0000-0500-0000E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35" name="Object -1011" hidden="1">
          <a:extLst>
            <a:ext uri="{FF2B5EF4-FFF2-40B4-BE49-F238E27FC236}">
              <a16:creationId xmlns:a16="http://schemas.microsoft.com/office/drawing/2014/main" id="{00000000-0008-0000-0500-0000E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36" name="Object -1010" hidden="1">
          <a:extLst>
            <a:ext uri="{FF2B5EF4-FFF2-40B4-BE49-F238E27FC236}">
              <a16:creationId xmlns:a16="http://schemas.microsoft.com/office/drawing/2014/main" id="{00000000-0008-0000-0500-0000F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37" name="Object -1009" hidden="1">
          <a:extLst>
            <a:ext uri="{FF2B5EF4-FFF2-40B4-BE49-F238E27FC236}">
              <a16:creationId xmlns:a16="http://schemas.microsoft.com/office/drawing/2014/main" id="{00000000-0008-0000-0500-0000F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38" name="Object -1008" hidden="1">
          <a:extLst>
            <a:ext uri="{FF2B5EF4-FFF2-40B4-BE49-F238E27FC236}">
              <a16:creationId xmlns:a16="http://schemas.microsoft.com/office/drawing/2014/main" id="{00000000-0008-0000-0500-0000F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39" name="Object -1007" hidden="1">
          <a:extLst>
            <a:ext uri="{FF2B5EF4-FFF2-40B4-BE49-F238E27FC236}">
              <a16:creationId xmlns:a16="http://schemas.microsoft.com/office/drawing/2014/main" id="{00000000-0008-0000-0500-0000F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40" name="Object -1006" hidden="1">
          <a:extLst>
            <a:ext uri="{FF2B5EF4-FFF2-40B4-BE49-F238E27FC236}">
              <a16:creationId xmlns:a16="http://schemas.microsoft.com/office/drawing/2014/main" id="{00000000-0008-0000-0500-0000F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41" name="Object -1005" hidden="1">
          <a:extLst>
            <a:ext uri="{FF2B5EF4-FFF2-40B4-BE49-F238E27FC236}">
              <a16:creationId xmlns:a16="http://schemas.microsoft.com/office/drawing/2014/main" id="{00000000-0008-0000-0500-0000F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42" name="Object -1022" hidden="1">
          <a:extLst>
            <a:ext uri="{FF2B5EF4-FFF2-40B4-BE49-F238E27FC236}">
              <a16:creationId xmlns:a16="http://schemas.microsoft.com/office/drawing/2014/main" id="{00000000-0008-0000-0500-0000F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43" name="Object -1021" hidden="1">
          <a:extLst>
            <a:ext uri="{FF2B5EF4-FFF2-40B4-BE49-F238E27FC236}">
              <a16:creationId xmlns:a16="http://schemas.microsoft.com/office/drawing/2014/main" id="{00000000-0008-0000-0500-0000F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44" name="Object -1020" hidden="1">
          <a:extLst>
            <a:ext uri="{FF2B5EF4-FFF2-40B4-BE49-F238E27FC236}">
              <a16:creationId xmlns:a16="http://schemas.microsoft.com/office/drawing/2014/main" id="{00000000-0008-0000-0500-0000F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45" name="Object -1019" hidden="1">
          <a:extLst>
            <a:ext uri="{FF2B5EF4-FFF2-40B4-BE49-F238E27FC236}">
              <a16:creationId xmlns:a16="http://schemas.microsoft.com/office/drawing/2014/main" id="{00000000-0008-0000-0500-0000F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46" name="Object -1018" hidden="1">
          <a:extLst>
            <a:ext uri="{FF2B5EF4-FFF2-40B4-BE49-F238E27FC236}">
              <a16:creationId xmlns:a16="http://schemas.microsoft.com/office/drawing/2014/main" id="{00000000-0008-0000-0500-0000F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47" name="Object -1017" hidden="1">
          <a:extLst>
            <a:ext uri="{FF2B5EF4-FFF2-40B4-BE49-F238E27FC236}">
              <a16:creationId xmlns:a16="http://schemas.microsoft.com/office/drawing/2014/main" id="{00000000-0008-0000-0500-0000F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48" name="Object -1016" hidden="1">
          <a:extLst>
            <a:ext uri="{FF2B5EF4-FFF2-40B4-BE49-F238E27FC236}">
              <a16:creationId xmlns:a16="http://schemas.microsoft.com/office/drawing/2014/main" id="{00000000-0008-0000-0500-0000F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49" name="Object -1013" hidden="1">
          <a:extLst>
            <a:ext uri="{FF2B5EF4-FFF2-40B4-BE49-F238E27FC236}">
              <a16:creationId xmlns:a16="http://schemas.microsoft.com/office/drawing/2014/main" id="{00000000-0008-0000-0500-0000F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50" name="Object -1012" hidden="1">
          <a:extLst>
            <a:ext uri="{FF2B5EF4-FFF2-40B4-BE49-F238E27FC236}">
              <a16:creationId xmlns:a16="http://schemas.microsoft.com/office/drawing/2014/main" id="{00000000-0008-0000-0500-0000F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51" name="Object -1011" hidden="1">
          <a:extLst>
            <a:ext uri="{FF2B5EF4-FFF2-40B4-BE49-F238E27FC236}">
              <a16:creationId xmlns:a16="http://schemas.microsoft.com/office/drawing/2014/main" id="{00000000-0008-0000-0500-0000F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52" name="Object -1010" hidden="1">
          <a:extLst>
            <a:ext uri="{FF2B5EF4-FFF2-40B4-BE49-F238E27FC236}">
              <a16:creationId xmlns:a16="http://schemas.microsoft.com/office/drawing/2014/main" id="{00000000-0008-0000-0500-00000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53" name="Object -1009" hidden="1">
          <a:extLst>
            <a:ext uri="{FF2B5EF4-FFF2-40B4-BE49-F238E27FC236}">
              <a16:creationId xmlns:a16="http://schemas.microsoft.com/office/drawing/2014/main" id="{00000000-0008-0000-0500-00000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54" name="Object -1008" hidden="1">
          <a:extLst>
            <a:ext uri="{FF2B5EF4-FFF2-40B4-BE49-F238E27FC236}">
              <a16:creationId xmlns:a16="http://schemas.microsoft.com/office/drawing/2014/main" id="{00000000-0008-0000-0500-00000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55" name="Object -1007" hidden="1">
          <a:extLst>
            <a:ext uri="{FF2B5EF4-FFF2-40B4-BE49-F238E27FC236}">
              <a16:creationId xmlns:a16="http://schemas.microsoft.com/office/drawing/2014/main" id="{00000000-0008-0000-0500-00000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56" name="Object -1006" hidden="1">
          <a:extLst>
            <a:ext uri="{FF2B5EF4-FFF2-40B4-BE49-F238E27FC236}">
              <a16:creationId xmlns:a16="http://schemas.microsoft.com/office/drawing/2014/main" id="{00000000-0008-0000-0500-00000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57" name="Object -1005" hidden="1">
          <a:extLst>
            <a:ext uri="{FF2B5EF4-FFF2-40B4-BE49-F238E27FC236}">
              <a16:creationId xmlns:a16="http://schemas.microsoft.com/office/drawing/2014/main" id="{00000000-0008-0000-0500-00000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58" name="Object -1022" hidden="1">
          <a:extLst>
            <a:ext uri="{FF2B5EF4-FFF2-40B4-BE49-F238E27FC236}">
              <a16:creationId xmlns:a16="http://schemas.microsoft.com/office/drawing/2014/main" id="{00000000-0008-0000-0500-00000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59" name="Object -1021" hidden="1">
          <a:extLst>
            <a:ext uri="{FF2B5EF4-FFF2-40B4-BE49-F238E27FC236}">
              <a16:creationId xmlns:a16="http://schemas.microsoft.com/office/drawing/2014/main" id="{00000000-0008-0000-0500-00000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60" name="Object -1020" hidden="1">
          <a:extLst>
            <a:ext uri="{FF2B5EF4-FFF2-40B4-BE49-F238E27FC236}">
              <a16:creationId xmlns:a16="http://schemas.microsoft.com/office/drawing/2014/main" id="{00000000-0008-0000-0500-00000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61" name="Object -1019" hidden="1">
          <a:extLst>
            <a:ext uri="{FF2B5EF4-FFF2-40B4-BE49-F238E27FC236}">
              <a16:creationId xmlns:a16="http://schemas.microsoft.com/office/drawing/2014/main" id="{00000000-0008-0000-0500-00000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62" name="Object -1018" hidden="1">
          <a:extLst>
            <a:ext uri="{FF2B5EF4-FFF2-40B4-BE49-F238E27FC236}">
              <a16:creationId xmlns:a16="http://schemas.microsoft.com/office/drawing/2014/main" id="{00000000-0008-0000-0500-00000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63" name="Object -1017" hidden="1">
          <a:extLst>
            <a:ext uri="{FF2B5EF4-FFF2-40B4-BE49-F238E27FC236}">
              <a16:creationId xmlns:a16="http://schemas.microsoft.com/office/drawing/2014/main" id="{00000000-0008-0000-0500-00000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64" name="Object -1016" hidden="1">
          <a:extLst>
            <a:ext uri="{FF2B5EF4-FFF2-40B4-BE49-F238E27FC236}">
              <a16:creationId xmlns:a16="http://schemas.microsoft.com/office/drawing/2014/main" id="{00000000-0008-0000-0500-00000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65" name="Object -1013" hidden="1">
          <a:extLst>
            <a:ext uri="{FF2B5EF4-FFF2-40B4-BE49-F238E27FC236}">
              <a16:creationId xmlns:a16="http://schemas.microsoft.com/office/drawing/2014/main" id="{00000000-0008-0000-0500-00000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66" name="Object -1012" hidden="1">
          <a:extLst>
            <a:ext uri="{FF2B5EF4-FFF2-40B4-BE49-F238E27FC236}">
              <a16:creationId xmlns:a16="http://schemas.microsoft.com/office/drawing/2014/main" id="{00000000-0008-0000-0500-00000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67" name="Object -1011" hidden="1">
          <a:extLst>
            <a:ext uri="{FF2B5EF4-FFF2-40B4-BE49-F238E27FC236}">
              <a16:creationId xmlns:a16="http://schemas.microsoft.com/office/drawing/2014/main" id="{00000000-0008-0000-0500-00000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68" name="Object -1010" hidden="1">
          <a:extLst>
            <a:ext uri="{FF2B5EF4-FFF2-40B4-BE49-F238E27FC236}">
              <a16:creationId xmlns:a16="http://schemas.microsoft.com/office/drawing/2014/main" id="{00000000-0008-0000-0500-00001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69" name="Object -1009" hidden="1">
          <a:extLst>
            <a:ext uri="{FF2B5EF4-FFF2-40B4-BE49-F238E27FC236}">
              <a16:creationId xmlns:a16="http://schemas.microsoft.com/office/drawing/2014/main" id="{00000000-0008-0000-0500-00001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70" name="Object -1008" hidden="1">
          <a:extLst>
            <a:ext uri="{FF2B5EF4-FFF2-40B4-BE49-F238E27FC236}">
              <a16:creationId xmlns:a16="http://schemas.microsoft.com/office/drawing/2014/main" id="{00000000-0008-0000-0500-00001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71" name="Object -1007" hidden="1">
          <a:extLst>
            <a:ext uri="{FF2B5EF4-FFF2-40B4-BE49-F238E27FC236}">
              <a16:creationId xmlns:a16="http://schemas.microsoft.com/office/drawing/2014/main" id="{00000000-0008-0000-0500-00001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72" name="Object -1006" hidden="1">
          <a:extLst>
            <a:ext uri="{FF2B5EF4-FFF2-40B4-BE49-F238E27FC236}">
              <a16:creationId xmlns:a16="http://schemas.microsoft.com/office/drawing/2014/main" id="{00000000-0008-0000-0500-00001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73" name="Object -1005" hidden="1">
          <a:extLst>
            <a:ext uri="{FF2B5EF4-FFF2-40B4-BE49-F238E27FC236}">
              <a16:creationId xmlns:a16="http://schemas.microsoft.com/office/drawing/2014/main" id="{00000000-0008-0000-0500-00001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74" name="Object -1022" hidden="1">
          <a:extLst>
            <a:ext uri="{FF2B5EF4-FFF2-40B4-BE49-F238E27FC236}">
              <a16:creationId xmlns:a16="http://schemas.microsoft.com/office/drawing/2014/main" id="{00000000-0008-0000-0500-00001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75" name="Object -1021" hidden="1">
          <a:extLst>
            <a:ext uri="{FF2B5EF4-FFF2-40B4-BE49-F238E27FC236}">
              <a16:creationId xmlns:a16="http://schemas.microsoft.com/office/drawing/2014/main" id="{00000000-0008-0000-0500-00001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76" name="Object -1020" hidden="1">
          <a:extLst>
            <a:ext uri="{FF2B5EF4-FFF2-40B4-BE49-F238E27FC236}">
              <a16:creationId xmlns:a16="http://schemas.microsoft.com/office/drawing/2014/main" id="{00000000-0008-0000-0500-00001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77" name="Object -1019" hidden="1">
          <a:extLst>
            <a:ext uri="{FF2B5EF4-FFF2-40B4-BE49-F238E27FC236}">
              <a16:creationId xmlns:a16="http://schemas.microsoft.com/office/drawing/2014/main" id="{00000000-0008-0000-0500-00001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78" name="Object -1018" hidden="1">
          <a:extLst>
            <a:ext uri="{FF2B5EF4-FFF2-40B4-BE49-F238E27FC236}">
              <a16:creationId xmlns:a16="http://schemas.microsoft.com/office/drawing/2014/main" id="{00000000-0008-0000-0500-00001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79" name="Object -1017" hidden="1">
          <a:extLst>
            <a:ext uri="{FF2B5EF4-FFF2-40B4-BE49-F238E27FC236}">
              <a16:creationId xmlns:a16="http://schemas.microsoft.com/office/drawing/2014/main" id="{00000000-0008-0000-0500-00001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80" name="Object -1016" hidden="1">
          <a:extLst>
            <a:ext uri="{FF2B5EF4-FFF2-40B4-BE49-F238E27FC236}">
              <a16:creationId xmlns:a16="http://schemas.microsoft.com/office/drawing/2014/main" id="{00000000-0008-0000-0500-00001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35305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1" name="Object -1013" hidden="1">
          <a:extLst>
            <a:ext uri="{FF2B5EF4-FFF2-40B4-BE49-F238E27FC236}">
              <a16:creationId xmlns:a16="http://schemas.microsoft.com/office/drawing/2014/main" id="{00000000-0008-0000-0500-00001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2" name="Object -1012" hidden="1">
          <a:extLst>
            <a:ext uri="{FF2B5EF4-FFF2-40B4-BE49-F238E27FC236}">
              <a16:creationId xmlns:a16="http://schemas.microsoft.com/office/drawing/2014/main" id="{00000000-0008-0000-0500-00001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3" name="Object -1011" hidden="1">
          <a:extLst>
            <a:ext uri="{FF2B5EF4-FFF2-40B4-BE49-F238E27FC236}">
              <a16:creationId xmlns:a16="http://schemas.microsoft.com/office/drawing/2014/main" id="{00000000-0008-0000-0500-00001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4" name="Object -1010" hidden="1">
          <a:extLst>
            <a:ext uri="{FF2B5EF4-FFF2-40B4-BE49-F238E27FC236}">
              <a16:creationId xmlns:a16="http://schemas.microsoft.com/office/drawing/2014/main" id="{00000000-0008-0000-0500-00002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5" name="Object -1009" hidden="1">
          <a:extLst>
            <a:ext uri="{FF2B5EF4-FFF2-40B4-BE49-F238E27FC236}">
              <a16:creationId xmlns:a16="http://schemas.microsoft.com/office/drawing/2014/main" id="{00000000-0008-0000-0500-00002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6" name="Object -1008" hidden="1">
          <a:extLst>
            <a:ext uri="{FF2B5EF4-FFF2-40B4-BE49-F238E27FC236}">
              <a16:creationId xmlns:a16="http://schemas.microsoft.com/office/drawing/2014/main" id="{00000000-0008-0000-0500-00002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7" name="Object -1007" hidden="1">
          <a:extLst>
            <a:ext uri="{FF2B5EF4-FFF2-40B4-BE49-F238E27FC236}">
              <a16:creationId xmlns:a16="http://schemas.microsoft.com/office/drawing/2014/main" id="{00000000-0008-0000-0500-00002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8" name="Object -1006" hidden="1">
          <a:extLst>
            <a:ext uri="{FF2B5EF4-FFF2-40B4-BE49-F238E27FC236}">
              <a16:creationId xmlns:a16="http://schemas.microsoft.com/office/drawing/2014/main" id="{00000000-0008-0000-0500-00002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9" name="Object -1005" hidden="1">
          <a:extLst>
            <a:ext uri="{FF2B5EF4-FFF2-40B4-BE49-F238E27FC236}">
              <a16:creationId xmlns:a16="http://schemas.microsoft.com/office/drawing/2014/main" id="{00000000-0008-0000-0500-00002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90" name="Object -1022" hidden="1">
          <a:extLst>
            <a:ext uri="{FF2B5EF4-FFF2-40B4-BE49-F238E27FC236}">
              <a16:creationId xmlns:a16="http://schemas.microsoft.com/office/drawing/2014/main" id="{00000000-0008-0000-0500-00002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51816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91" name="Object -1021" hidden="1">
          <a:extLst>
            <a:ext uri="{FF2B5EF4-FFF2-40B4-BE49-F238E27FC236}">
              <a16:creationId xmlns:a16="http://schemas.microsoft.com/office/drawing/2014/main" id="{00000000-0008-0000-0500-00002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51816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92" name="Object -1020" hidden="1">
          <a:extLst>
            <a:ext uri="{FF2B5EF4-FFF2-40B4-BE49-F238E27FC236}">
              <a16:creationId xmlns:a16="http://schemas.microsoft.com/office/drawing/2014/main" id="{00000000-0008-0000-0500-00002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51816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93" name="Object -1019" hidden="1">
          <a:extLst>
            <a:ext uri="{FF2B5EF4-FFF2-40B4-BE49-F238E27FC236}">
              <a16:creationId xmlns:a16="http://schemas.microsoft.com/office/drawing/2014/main" id="{00000000-0008-0000-0500-00002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51816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94" name="Object -1018" hidden="1">
          <a:extLst>
            <a:ext uri="{FF2B5EF4-FFF2-40B4-BE49-F238E27FC236}">
              <a16:creationId xmlns:a16="http://schemas.microsoft.com/office/drawing/2014/main" id="{00000000-0008-0000-0500-00002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51816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95" name="Object -1017" hidden="1">
          <a:extLst>
            <a:ext uri="{FF2B5EF4-FFF2-40B4-BE49-F238E27FC236}">
              <a16:creationId xmlns:a16="http://schemas.microsoft.com/office/drawing/2014/main" id="{00000000-0008-0000-0500-00002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51816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96" name="Object -1016" hidden="1">
          <a:extLst>
            <a:ext uri="{FF2B5EF4-FFF2-40B4-BE49-F238E27FC236}">
              <a16:creationId xmlns:a16="http://schemas.microsoft.com/office/drawing/2014/main" id="{00000000-0008-0000-0500-00002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51816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97" name="Object -1013" hidden="1">
          <a:extLst>
            <a:ext uri="{FF2B5EF4-FFF2-40B4-BE49-F238E27FC236}">
              <a16:creationId xmlns:a16="http://schemas.microsoft.com/office/drawing/2014/main" id="{00000000-0008-0000-0500-00002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98" name="Object -1012" hidden="1">
          <a:extLst>
            <a:ext uri="{FF2B5EF4-FFF2-40B4-BE49-F238E27FC236}">
              <a16:creationId xmlns:a16="http://schemas.microsoft.com/office/drawing/2014/main" id="{00000000-0008-0000-0500-00002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99" name="Object -1011" hidden="1">
          <a:extLst>
            <a:ext uri="{FF2B5EF4-FFF2-40B4-BE49-F238E27FC236}">
              <a16:creationId xmlns:a16="http://schemas.microsoft.com/office/drawing/2014/main" id="{00000000-0008-0000-0500-00002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00" name="Object -1010" hidden="1">
          <a:extLst>
            <a:ext uri="{FF2B5EF4-FFF2-40B4-BE49-F238E27FC236}">
              <a16:creationId xmlns:a16="http://schemas.microsoft.com/office/drawing/2014/main" id="{00000000-0008-0000-0500-00003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01" name="Object -1009" hidden="1">
          <a:extLst>
            <a:ext uri="{FF2B5EF4-FFF2-40B4-BE49-F238E27FC236}">
              <a16:creationId xmlns:a16="http://schemas.microsoft.com/office/drawing/2014/main" id="{00000000-0008-0000-0500-00003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02" name="Object -1008" hidden="1">
          <a:extLst>
            <a:ext uri="{FF2B5EF4-FFF2-40B4-BE49-F238E27FC236}">
              <a16:creationId xmlns:a16="http://schemas.microsoft.com/office/drawing/2014/main" id="{00000000-0008-0000-0500-00003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03" name="Object -1007" hidden="1">
          <a:extLst>
            <a:ext uri="{FF2B5EF4-FFF2-40B4-BE49-F238E27FC236}">
              <a16:creationId xmlns:a16="http://schemas.microsoft.com/office/drawing/2014/main" id="{00000000-0008-0000-0500-00003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04" name="Object -1006" hidden="1">
          <a:extLst>
            <a:ext uri="{FF2B5EF4-FFF2-40B4-BE49-F238E27FC236}">
              <a16:creationId xmlns:a16="http://schemas.microsoft.com/office/drawing/2014/main" id="{00000000-0008-0000-0500-00003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05" name="Object -1005" hidden="1">
          <a:extLst>
            <a:ext uri="{FF2B5EF4-FFF2-40B4-BE49-F238E27FC236}">
              <a16:creationId xmlns:a16="http://schemas.microsoft.com/office/drawing/2014/main" id="{00000000-0008-0000-0500-00003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406" name="Object -1022" hidden="1">
          <a:extLst>
            <a:ext uri="{FF2B5EF4-FFF2-40B4-BE49-F238E27FC236}">
              <a16:creationId xmlns:a16="http://schemas.microsoft.com/office/drawing/2014/main" id="{00000000-0008-0000-0500-00003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13588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407" name="Object -1021" hidden="1">
          <a:extLst>
            <a:ext uri="{FF2B5EF4-FFF2-40B4-BE49-F238E27FC236}">
              <a16:creationId xmlns:a16="http://schemas.microsoft.com/office/drawing/2014/main" id="{00000000-0008-0000-0500-00003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13588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408" name="Object -1020" hidden="1">
          <a:extLst>
            <a:ext uri="{FF2B5EF4-FFF2-40B4-BE49-F238E27FC236}">
              <a16:creationId xmlns:a16="http://schemas.microsoft.com/office/drawing/2014/main" id="{00000000-0008-0000-0500-00003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13588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409" name="Object -1019" hidden="1">
          <a:extLst>
            <a:ext uri="{FF2B5EF4-FFF2-40B4-BE49-F238E27FC236}">
              <a16:creationId xmlns:a16="http://schemas.microsoft.com/office/drawing/2014/main" id="{00000000-0008-0000-0500-00003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13588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410" name="Object -1018" hidden="1">
          <a:extLst>
            <a:ext uri="{FF2B5EF4-FFF2-40B4-BE49-F238E27FC236}">
              <a16:creationId xmlns:a16="http://schemas.microsoft.com/office/drawing/2014/main" id="{00000000-0008-0000-0500-00003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13588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411" name="Object -1017" hidden="1">
          <a:extLst>
            <a:ext uri="{FF2B5EF4-FFF2-40B4-BE49-F238E27FC236}">
              <a16:creationId xmlns:a16="http://schemas.microsoft.com/office/drawing/2014/main" id="{00000000-0008-0000-0500-00003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13588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412" name="Object -1016" hidden="1">
          <a:extLst>
            <a:ext uri="{FF2B5EF4-FFF2-40B4-BE49-F238E27FC236}">
              <a16:creationId xmlns:a16="http://schemas.microsoft.com/office/drawing/2014/main" id="{00000000-0008-0000-0500-00003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13588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13" name="Object -1013" hidden="1">
          <a:extLst>
            <a:ext uri="{FF2B5EF4-FFF2-40B4-BE49-F238E27FC236}">
              <a16:creationId xmlns:a16="http://schemas.microsoft.com/office/drawing/2014/main" id="{00000000-0008-0000-0500-00003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14" name="Object -1012" hidden="1">
          <a:extLst>
            <a:ext uri="{FF2B5EF4-FFF2-40B4-BE49-F238E27FC236}">
              <a16:creationId xmlns:a16="http://schemas.microsoft.com/office/drawing/2014/main" id="{00000000-0008-0000-0500-00003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15" name="Object -1011" hidden="1">
          <a:extLst>
            <a:ext uri="{FF2B5EF4-FFF2-40B4-BE49-F238E27FC236}">
              <a16:creationId xmlns:a16="http://schemas.microsoft.com/office/drawing/2014/main" id="{00000000-0008-0000-0500-00003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16" name="Object -1010" hidden="1">
          <a:extLst>
            <a:ext uri="{FF2B5EF4-FFF2-40B4-BE49-F238E27FC236}">
              <a16:creationId xmlns:a16="http://schemas.microsoft.com/office/drawing/2014/main" id="{00000000-0008-0000-0500-00004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17" name="Object -1009" hidden="1">
          <a:extLst>
            <a:ext uri="{FF2B5EF4-FFF2-40B4-BE49-F238E27FC236}">
              <a16:creationId xmlns:a16="http://schemas.microsoft.com/office/drawing/2014/main" id="{00000000-0008-0000-0500-00004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18" name="Object -1008" hidden="1">
          <a:extLst>
            <a:ext uri="{FF2B5EF4-FFF2-40B4-BE49-F238E27FC236}">
              <a16:creationId xmlns:a16="http://schemas.microsoft.com/office/drawing/2014/main" id="{00000000-0008-0000-0500-00004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19" name="Object -1007" hidden="1">
          <a:extLst>
            <a:ext uri="{FF2B5EF4-FFF2-40B4-BE49-F238E27FC236}">
              <a16:creationId xmlns:a16="http://schemas.microsoft.com/office/drawing/2014/main" id="{00000000-0008-0000-0500-00004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20" name="Object -1006" hidden="1">
          <a:extLst>
            <a:ext uri="{FF2B5EF4-FFF2-40B4-BE49-F238E27FC236}">
              <a16:creationId xmlns:a16="http://schemas.microsoft.com/office/drawing/2014/main" id="{00000000-0008-0000-0500-00004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21" name="Object -1005" hidden="1">
          <a:extLst>
            <a:ext uri="{FF2B5EF4-FFF2-40B4-BE49-F238E27FC236}">
              <a16:creationId xmlns:a16="http://schemas.microsoft.com/office/drawing/2014/main" id="{00000000-0008-0000-0500-00004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2.bin"/><Relationship Id="rId20" Type="http://schemas.openxmlformats.org/officeDocument/2006/relationships/oleObject" Target="../embeddings/oleObject16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11.bin"/><Relationship Id="rId10" Type="http://schemas.openxmlformats.org/officeDocument/2006/relationships/oleObject" Target="../embeddings/oleObject6.bin"/><Relationship Id="rId19" Type="http://schemas.openxmlformats.org/officeDocument/2006/relationships/oleObject" Target="../embeddings/oleObject15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view="pageBreakPreview" zoomScaleNormal="100" zoomScaleSheetLayoutView="100" workbookViewId="0">
      <selection activeCell="J34" sqref="J34"/>
    </sheetView>
  </sheetViews>
  <sheetFormatPr defaultRowHeight="13.2" x14ac:dyDescent="0.25"/>
  <cols>
    <col min="1" max="1" width="4.33203125" customWidth="1"/>
    <col min="2" max="2" width="5.44140625" customWidth="1"/>
    <col min="3" max="3" width="12.44140625" customWidth="1"/>
    <col min="6" max="6" width="9.88671875" customWidth="1"/>
    <col min="7" max="7" width="8.5546875" customWidth="1"/>
    <col min="8" max="8" width="9.44140625" customWidth="1"/>
    <col min="9" max="9" width="8.88671875" customWidth="1"/>
    <col min="10" max="10" width="9" customWidth="1"/>
    <col min="11" max="11" width="11.33203125" customWidth="1"/>
    <col min="12" max="12" width="17.109375" customWidth="1"/>
    <col min="13" max="13" width="6" customWidth="1"/>
    <col min="14" max="14" width="9.109375" customWidth="1"/>
  </cols>
  <sheetData>
    <row r="1" spans="1:13" ht="17.399999999999999" x14ac:dyDescent="0.25">
      <c r="A1" s="900" t="s">
        <v>0</v>
      </c>
      <c r="B1" s="900"/>
      <c r="C1" s="900"/>
      <c r="D1" s="900"/>
      <c r="E1" s="900"/>
      <c r="F1" s="900"/>
      <c r="G1" s="900"/>
      <c r="H1" s="900"/>
      <c r="I1" s="900"/>
      <c r="J1" s="900"/>
      <c r="K1" s="900"/>
      <c r="L1" s="900"/>
      <c r="M1" s="900"/>
    </row>
    <row r="2" spans="1:13" ht="15" x14ac:dyDescent="0.25">
      <c r="A2" s="901" t="s">
        <v>1</v>
      </c>
      <c r="B2" s="901"/>
      <c r="C2" s="901"/>
      <c r="D2" s="901"/>
      <c r="E2" s="901"/>
      <c r="F2" s="901"/>
      <c r="G2" s="901"/>
      <c r="H2" s="901"/>
      <c r="I2" s="901"/>
      <c r="J2" s="901"/>
      <c r="K2" s="901"/>
      <c r="L2" s="901"/>
      <c r="M2" s="901"/>
    </row>
    <row r="3" spans="1:13" ht="13.8" x14ac:dyDescent="0.25">
      <c r="A3" s="71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71"/>
    </row>
    <row r="4" spans="1:13" ht="13.8" x14ac:dyDescent="0.25">
      <c r="A4" s="129" t="s">
        <v>2</v>
      </c>
      <c r="B4" s="131"/>
      <c r="C4" s="129"/>
      <c r="D4" s="129"/>
      <c r="E4" s="129" t="s">
        <v>3</v>
      </c>
      <c r="F4" s="905"/>
      <c r="G4" s="905"/>
      <c r="H4" s="905"/>
      <c r="I4" s="905"/>
      <c r="J4" s="905"/>
      <c r="K4" s="905"/>
      <c r="L4" s="129"/>
      <c r="M4" s="131"/>
    </row>
    <row r="5" spans="1:13" ht="13.8" x14ac:dyDescent="0.25">
      <c r="A5" s="129" t="s">
        <v>4</v>
      </c>
      <c r="B5" s="131"/>
      <c r="C5" s="129"/>
      <c r="D5" s="129"/>
      <c r="E5" s="129" t="s">
        <v>3</v>
      </c>
      <c r="F5" s="905"/>
      <c r="G5" s="905"/>
      <c r="H5" s="905"/>
      <c r="I5" s="905"/>
      <c r="J5" s="905"/>
      <c r="K5" s="905"/>
      <c r="L5" s="129"/>
      <c r="M5" s="131"/>
    </row>
    <row r="6" spans="1:13" ht="13.8" x14ac:dyDescent="0.25">
      <c r="A6" s="129" t="s">
        <v>5</v>
      </c>
      <c r="B6" s="131"/>
      <c r="C6" s="129"/>
      <c r="D6" s="129"/>
      <c r="E6" s="129" t="s">
        <v>3</v>
      </c>
      <c r="F6" s="129"/>
      <c r="G6" s="129"/>
      <c r="H6" s="129"/>
      <c r="I6" s="129"/>
      <c r="J6" s="129"/>
      <c r="K6" s="129"/>
      <c r="L6" s="129"/>
      <c r="M6" s="131"/>
    </row>
    <row r="7" spans="1:13" ht="13.8" hidden="1" x14ac:dyDescent="0.25">
      <c r="A7" s="129" t="s">
        <v>6</v>
      </c>
      <c r="B7" s="131"/>
      <c r="C7" s="129"/>
      <c r="D7" s="129"/>
      <c r="E7" s="129" t="s">
        <v>7</v>
      </c>
      <c r="F7" s="129" t="s">
        <v>8</v>
      </c>
      <c r="G7" s="129" t="s">
        <v>9</v>
      </c>
      <c r="H7" s="129"/>
      <c r="I7" s="129"/>
      <c r="J7" s="129"/>
      <c r="K7" s="129"/>
      <c r="L7" s="129"/>
      <c r="M7" s="131"/>
    </row>
    <row r="8" spans="1:13" ht="13.8" x14ac:dyDescent="0.25">
      <c r="A8" s="129" t="s">
        <v>10</v>
      </c>
      <c r="B8" s="131"/>
      <c r="C8" s="129"/>
      <c r="D8" s="129"/>
      <c r="E8" s="129" t="s">
        <v>3</v>
      </c>
      <c r="F8" s="129"/>
      <c r="G8" s="129"/>
      <c r="H8" s="129"/>
      <c r="I8" s="129"/>
      <c r="J8" s="129"/>
      <c r="K8" s="129"/>
      <c r="L8" s="129"/>
      <c r="M8" s="131"/>
    </row>
    <row r="9" spans="1:13" ht="13.8" x14ac:dyDescent="0.25">
      <c r="A9" s="129" t="s">
        <v>11</v>
      </c>
      <c r="B9" s="131"/>
      <c r="C9" s="129"/>
      <c r="D9" s="129"/>
      <c r="E9" s="129" t="s">
        <v>3</v>
      </c>
      <c r="F9" s="129"/>
      <c r="G9" s="129"/>
      <c r="H9" s="129"/>
      <c r="I9" s="129"/>
      <c r="J9" s="129"/>
      <c r="K9" s="129"/>
      <c r="L9" s="129"/>
      <c r="M9" s="131"/>
    </row>
    <row r="10" spans="1:13" ht="13.8" x14ac:dyDescent="0.25">
      <c r="A10" s="129" t="s">
        <v>12</v>
      </c>
      <c r="B10" s="131"/>
      <c r="C10" s="129"/>
      <c r="D10" s="129"/>
      <c r="E10" s="129" t="s">
        <v>3</v>
      </c>
      <c r="F10" s="129"/>
      <c r="G10" s="129"/>
      <c r="H10" s="129"/>
      <c r="I10" s="129"/>
      <c r="J10" s="129"/>
      <c r="K10" s="129"/>
      <c r="L10" s="129"/>
      <c r="M10" s="131"/>
    </row>
    <row r="11" spans="1:13" ht="13.8" x14ac:dyDescent="0.25">
      <c r="A11" s="129" t="s">
        <v>13</v>
      </c>
      <c r="B11" s="131"/>
      <c r="C11" s="129"/>
      <c r="D11" s="129"/>
      <c r="E11" s="129" t="s">
        <v>3</v>
      </c>
      <c r="F11" s="129"/>
      <c r="G11" s="129"/>
      <c r="H11" s="129"/>
      <c r="I11" s="129"/>
      <c r="J11" s="129"/>
      <c r="K11" s="129"/>
      <c r="L11" s="129"/>
      <c r="M11" s="131"/>
    </row>
    <row r="12" spans="1:13" ht="13.8" x14ac:dyDescent="0.25">
      <c r="A12" s="131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31"/>
    </row>
    <row r="13" spans="1:13" ht="13.8" x14ac:dyDescent="0.25">
      <c r="A13" s="132" t="s">
        <v>14</v>
      </c>
      <c r="B13" s="132" t="s">
        <v>15</v>
      </c>
      <c r="C13" s="131"/>
      <c r="D13" s="132"/>
      <c r="E13" s="132"/>
      <c r="F13" s="133"/>
      <c r="G13" s="133"/>
      <c r="H13" s="132"/>
      <c r="I13" s="132"/>
      <c r="J13" s="132"/>
      <c r="K13" s="132"/>
      <c r="L13" s="132"/>
      <c r="M13" s="131"/>
    </row>
    <row r="14" spans="1:13" ht="13.8" x14ac:dyDescent="0.25">
      <c r="A14" s="131"/>
      <c r="B14" s="132"/>
      <c r="C14" s="132"/>
      <c r="D14" s="132"/>
      <c r="E14" s="134" t="s">
        <v>16</v>
      </c>
      <c r="F14" s="134" t="s">
        <v>17</v>
      </c>
      <c r="G14" s="132"/>
      <c r="H14" s="133"/>
      <c r="I14" s="132"/>
      <c r="J14" s="132"/>
      <c r="K14" s="132"/>
      <c r="L14" s="132"/>
      <c r="M14" s="131"/>
    </row>
    <row r="15" spans="1:13" ht="16.2" x14ac:dyDescent="0.25">
      <c r="A15" s="131"/>
      <c r="B15" s="129" t="s">
        <v>18</v>
      </c>
      <c r="C15" s="131"/>
      <c r="D15" s="129"/>
      <c r="E15" s="135"/>
      <c r="F15" s="135"/>
      <c r="G15" s="136" t="s">
        <v>19</v>
      </c>
      <c r="H15" s="133"/>
      <c r="I15" s="129"/>
      <c r="J15" s="129"/>
      <c r="K15" s="129"/>
      <c r="L15" s="129"/>
      <c r="M15" s="131"/>
    </row>
    <row r="16" spans="1:13" ht="13.8" x14ac:dyDescent="0.25">
      <c r="A16" s="131"/>
      <c r="B16" s="129" t="s">
        <v>20</v>
      </c>
      <c r="C16" s="131"/>
      <c r="D16" s="129"/>
      <c r="E16" s="135"/>
      <c r="F16" s="135"/>
      <c r="G16" s="129" t="s">
        <v>21</v>
      </c>
      <c r="H16" s="133"/>
      <c r="I16" s="129"/>
      <c r="J16" s="129"/>
      <c r="K16" s="129"/>
      <c r="L16" s="129"/>
      <c r="M16" s="131"/>
    </row>
    <row r="17" spans="1:14" ht="13.8" x14ac:dyDescent="0.25">
      <c r="A17" s="131"/>
      <c r="B17" s="129" t="s">
        <v>22</v>
      </c>
      <c r="C17" s="131"/>
      <c r="D17" s="129"/>
      <c r="E17" s="137" t="s">
        <v>23</v>
      </c>
      <c r="F17" s="129" t="s">
        <v>24</v>
      </c>
      <c r="G17" s="131"/>
      <c r="H17" s="129"/>
      <c r="I17" s="129"/>
      <c r="J17" s="129"/>
      <c r="K17" s="129"/>
      <c r="L17" s="129"/>
      <c r="M17" s="131"/>
    </row>
    <row r="18" spans="1:14" ht="13.8" x14ac:dyDescent="0.25">
      <c r="A18" s="131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31"/>
    </row>
    <row r="19" spans="1:14" ht="13.8" x14ac:dyDescent="0.25">
      <c r="A19" s="132" t="s">
        <v>25</v>
      </c>
      <c r="B19" s="132" t="s">
        <v>26</v>
      </c>
      <c r="C19" s="131"/>
      <c r="D19" s="132"/>
      <c r="E19" s="132"/>
      <c r="F19" s="132"/>
      <c r="G19" s="132"/>
      <c r="H19" s="132"/>
      <c r="I19" s="132"/>
      <c r="J19" s="132"/>
      <c r="K19" s="132"/>
      <c r="L19" s="129"/>
      <c r="M19" s="252" t="s">
        <v>27</v>
      </c>
    </row>
    <row r="20" spans="1:14" ht="13.8" x14ac:dyDescent="0.25">
      <c r="A20" s="131"/>
      <c r="B20" s="130" t="s">
        <v>28</v>
      </c>
      <c r="C20" s="131"/>
      <c r="D20" s="129"/>
      <c r="E20" s="129" t="s">
        <v>29</v>
      </c>
      <c r="F20" s="133"/>
      <c r="G20" s="129"/>
      <c r="H20" s="129"/>
      <c r="I20" s="129"/>
      <c r="J20" s="129"/>
      <c r="K20" s="129"/>
      <c r="L20" s="129"/>
      <c r="M20" s="253">
        <v>5</v>
      </c>
    </row>
    <row r="21" spans="1:14" ht="13.8" x14ac:dyDescent="0.25">
      <c r="A21" s="131"/>
      <c r="B21" s="130" t="s">
        <v>30</v>
      </c>
      <c r="C21" s="131"/>
      <c r="D21" s="129"/>
      <c r="E21" s="129" t="s">
        <v>29</v>
      </c>
      <c r="F21" s="133"/>
      <c r="G21" s="129"/>
      <c r="H21" s="129"/>
      <c r="I21" s="129"/>
      <c r="J21" s="129"/>
      <c r="K21" s="129"/>
      <c r="L21" s="129"/>
      <c r="M21" s="253">
        <v>5</v>
      </c>
    </row>
    <row r="22" spans="1:14" ht="13.8" x14ac:dyDescent="0.25">
      <c r="A22" s="131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31"/>
    </row>
    <row r="23" spans="1:14" ht="13.8" x14ac:dyDescent="0.25">
      <c r="A23" s="132" t="s">
        <v>31</v>
      </c>
      <c r="B23" s="132" t="s">
        <v>32</v>
      </c>
      <c r="C23" s="131"/>
      <c r="D23" s="129"/>
      <c r="E23" s="129"/>
      <c r="F23" s="129"/>
      <c r="G23" s="138"/>
      <c r="H23" s="139"/>
      <c r="I23" s="140"/>
      <c r="J23" s="129"/>
      <c r="K23" s="129"/>
      <c r="L23" s="129"/>
      <c r="M23" s="131"/>
    </row>
    <row r="24" spans="1:14" ht="15.75" customHeight="1" x14ac:dyDescent="0.25">
      <c r="A24" s="131"/>
      <c r="B24" s="906" t="s">
        <v>33</v>
      </c>
      <c r="C24" s="908" t="s">
        <v>34</v>
      </c>
      <c r="D24" s="909"/>
      <c r="E24" s="909"/>
      <c r="F24" s="909"/>
      <c r="G24" s="909"/>
      <c r="H24" s="909"/>
      <c r="I24" s="909"/>
      <c r="J24" s="910"/>
      <c r="K24" s="915" t="s">
        <v>35</v>
      </c>
      <c r="L24" s="141" t="s">
        <v>36</v>
      </c>
    </row>
    <row r="25" spans="1:14" ht="13.8" x14ac:dyDescent="0.25">
      <c r="A25" s="131"/>
      <c r="B25" s="907"/>
      <c r="C25" s="911"/>
      <c r="D25" s="912"/>
      <c r="E25" s="912"/>
      <c r="F25" s="912"/>
      <c r="G25" s="912"/>
      <c r="H25" s="912"/>
      <c r="I25" s="912"/>
      <c r="J25" s="913"/>
      <c r="K25" s="916"/>
      <c r="L25" s="142" t="s">
        <v>37</v>
      </c>
      <c r="M25" s="84" t="s">
        <v>27</v>
      </c>
    </row>
    <row r="26" spans="1:14" ht="18" customHeight="1" x14ac:dyDescent="0.25">
      <c r="A26" s="131"/>
      <c r="B26" s="135">
        <v>1</v>
      </c>
      <c r="C26" s="124" t="s">
        <v>38</v>
      </c>
      <c r="D26" s="137"/>
      <c r="E26" s="137"/>
      <c r="F26" s="137"/>
      <c r="G26" s="137"/>
      <c r="H26" s="137"/>
      <c r="I26" s="137"/>
      <c r="J26" s="143"/>
      <c r="K26" s="251" t="s">
        <v>39</v>
      </c>
      <c r="L26" s="127" t="s">
        <v>40</v>
      </c>
      <c r="M26" s="254">
        <v>10</v>
      </c>
      <c r="N26" s="125"/>
    </row>
    <row r="27" spans="1:14" ht="13.8" x14ac:dyDescent="0.25">
      <c r="A27" s="131"/>
      <c r="B27" s="135">
        <v>2</v>
      </c>
      <c r="C27" s="124" t="s">
        <v>41</v>
      </c>
      <c r="D27" s="137"/>
      <c r="E27" s="137"/>
      <c r="F27" s="137"/>
      <c r="G27" s="137"/>
      <c r="H27" s="137"/>
      <c r="I27" s="137"/>
      <c r="J27" s="143"/>
      <c r="K27" s="251" t="s">
        <v>42</v>
      </c>
      <c r="L27" s="128" t="s">
        <v>43</v>
      </c>
      <c r="M27" s="254">
        <v>10</v>
      </c>
      <c r="N27" s="126"/>
    </row>
    <row r="28" spans="1:14" ht="13.8" x14ac:dyDescent="0.25">
      <c r="A28" s="131"/>
      <c r="B28" s="135">
        <v>3</v>
      </c>
      <c r="C28" s="124" t="s">
        <v>44</v>
      </c>
      <c r="D28" s="137"/>
      <c r="E28" s="137"/>
      <c r="F28" s="137"/>
      <c r="G28" s="137"/>
      <c r="H28" s="137"/>
      <c r="I28" s="137"/>
      <c r="J28" s="143"/>
      <c r="K28" s="251" t="s">
        <v>45</v>
      </c>
      <c r="L28" s="128" t="s">
        <v>46</v>
      </c>
      <c r="M28" s="254">
        <v>20</v>
      </c>
      <c r="N28" s="126"/>
    </row>
    <row r="29" spans="1:14" ht="8.25" customHeight="1" x14ac:dyDescent="0.25">
      <c r="A29" s="131"/>
      <c r="B29" s="144"/>
      <c r="C29" s="129"/>
      <c r="D29" s="129"/>
      <c r="E29" s="129"/>
      <c r="F29" s="129"/>
      <c r="G29" s="129"/>
      <c r="H29" s="129"/>
      <c r="I29" s="129"/>
      <c r="J29" s="129"/>
      <c r="K29" s="129"/>
      <c r="L29" s="144" t="s">
        <v>47</v>
      </c>
      <c r="M29" s="145" t="s">
        <v>48</v>
      </c>
    </row>
    <row r="30" spans="1:14" ht="13.8" x14ac:dyDescent="0.25">
      <c r="A30" s="132" t="s">
        <v>49</v>
      </c>
      <c r="B30" s="132" t="s">
        <v>50</v>
      </c>
      <c r="C30" s="131"/>
      <c r="D30" s="132"/>
      <c r="E30" s="132"/>
      <c r="F30" s="132"/>
      <c r="G30" s="132"/>
      <c r="H30" s="144"/>
      <c r="I30" s="129"/>
      <c r="J30" s="129"/>
      <c r="K30" s="129"/>
      <c r="L30" s="129"/>
      <c r="M30" s="131"/>
    </row>
    <row r="31" spans="1:14" ht="13.8" x14ac:dyDescent="0.25">
      <c r="A31" s="132"/>
      <c r="B31" s="132" t="str">
        <f>ID!B31</f>
        <v>A. Kalibrasi Akurasi Saturasi Oksigen</v>
      </c>
      <c r="C31" s="131"/>
      <c r="D31" s="132"/>
      <c r="E31" s="132"/>
      <c r="F31" s="132"/>
      <c r="G31" s="132"/>
      <c r="H31" s="144"/>
      <c r="I31" s="129"/>
      <c r="J31" s="129"/>
      <c r="K31" s="129"/>
      <c r="L31" s="129"/>
      <c r="M31" s="131"/>
    </row>
    <row r="32" spans="1:14" ht="13.8" x14ac:dyDescent="0.25">
      <c r="A32" s="131"/>
      <c r="B32" s="894" t="s">
        <v>33</v>
      </c>
      <c r="C32" s="894" t="s">
        <v>34</v>
      </c>
      <c r="D32" s="894" t="s">
        <v>51</v>
      </c>
      <c r="E32" s="896" t="s">
        <v>52</v>
      </c>
      <c r="F32" s="896"/>
      <c r="G32" s="896"/>
      <c r="H32" s="896"/>
      <c r="I32" s="896"/>
      <c r="J32" s="896"/>
      <c r="K32" s="895" t="s">
        <v>53</v>
      </c>
      <c r="L32" s="133"/>
      <c r="M32" s="131"/>
    </row>
    <row r="33" spans="1:13" ht="13.8" x14ac:dyDescent="0.25">
      <c r="A33" s="131"/>
      <c r="B33" s="894"/>
      <c r="C33" s="894"/>
      <c r="D33" s="894"/>
      <c r="E33" s="134" t="s">
        <v>54</v>
      </c>
      <c r="F33" s="134" t="s">
        <v>55</v>
      </c>
      <c r="G33" s="134" t="s">
        <v>56</v>
      </c>
      <c r="H33" s="134" t="s">
        <v>57</v>
      </c>
      <c r="I33" s="134" t="s">
        <v>58</v>
      </c>
      <c r="J33" s="134" t="s">
        <v>59</v>
      </c>
      <c r="K33" s="895"/>
      <c r="L33" s="255" t="s">
        <v>60</v>
      </c>
    </row>
    <row r="34" spans="1:13" ht="15" customHeight="1" x14ac:dyDescent="0.25">
      <c r="A34" s="131"/>
      <c r="B34" s="146">
        <v>1</v>
      </c>
      <c r="C34" s="891" t="s">
        <v>61</v>
      </c>
      <c r="D34" s="146">
        <v>100</v>
      </c>
      <c r="E34" s="134"/>
      <c r="F34" s="134"/>
      <c r="G34" s="134"/>
      <c r="H34" s="134"/>
      <c r="I34" s="134"/>
      <c r="J34" s="134"/>
      <c r="K34" s="902" t="s">
        <v>62</v>
      </c>
      <c r="L34" s="917" t="s">
        <v>63</v>
      </c>
    </row>
    <row r="35" spans="1:13" ht="15.75" customHeight="1" x14ac:dyDescent="0.25">
      <c r="A35" s="131"/>
      <c r="B35" s="147" t="s">
        <v>64</v>
      </c>
      <c r="C35" s="892"/>
      <c r="D35" s="148">
        <v>99</v>
      </c>
      <c r="E35" s="149"/>
      <c r="F35" s="150"/>
      <c r="G35" s="150"/>
      <c r="H35" s="150"/>
      <c r="I35" s="150"/>
      <c r="J35" s="150"/>
      <c r="K35" s="903"/>
      <c r="L35" s="918"/>
    </row>
    <row r="36" spans="1:13" ht="13.8" x14ac:dyDescent="0.25">
      <c r="A36" s="131"/>
      <c r="B36" s="147" t="s">
        <v>65</v>
      </c>
      <c r="C36" s="892"/>
      <c r="D36" s="148">
        <v>98</v>
      </c>
      <c r="E36" s="149"/>
      <c r="F36" s="150"/>
      <c r="G36" s="150"/>
      <c r="H36" s="150"/>
      <c r="I36" s="150"/>
      <c r="J36" s="150"/>
      <c r="K36" s="903"/>
      <c r="L36" s="918"/>
    </row>
    <row r="37" spans="1:13" ht="13.8" x14ac:dyDescent="0.25">
      <c r="A37" s="131"/>
      <c r="B37" s="147" t="s">
        <v>66</v>
      </c>
      <c r="C37" s="892"/>
      <c r="D37" s="148">
        <v>97</v>
      </c>
      <c r="E37" s="149"/>
      <c r="F37" s="150"/>
      <c r="G37" s="150"/>
      <c r="H37" s="150"/>
      <c r="I37" s="150"/>
      <c r="J37" s="150"/>
      <c r="K37" s="903"/>
      <c r="L37" s="918"/>
    </row>
    <row r="38" spans="1:13" ht="13.8" x14ac:dyDescent="0.25">
      <c r="A38" s="131"/>
      <c r="B38" s="147" t="s">
        <v>67</v>
      </c>
      <c r="C38" s="892"/>
      <c r="D38" s="148">
        <v>95</v>
      </c>
      <c r="E38" s="149"/>
      <c r="F38" s="150"/>
      <c r="G38" s="150"/>
      <c r="H38" s="150"/>
      <c r="I38" s="150"/>
      <c r="J38" s="150"/>
      <c r="K38" s="903"/>
      <c r="L38" s="918"/>
    </row>
    <row r="39" spans="1:13" ht="13.8" x14ac:dyDescent="0.25">
      <c r="A39" s="131"/>
      <c r="B39" s="147" t="s">
        <v>68</v>
      </c>
      <c r="C39" s="892"/>
      <c r="D39" s="148">
        <v>90</v>
      </c>
      <c r="E39" s="149"/>
      <c r="F39" s="150"/>
      <c r="G39" s="150"/>
      <c r="H39" s="150"/>
      <c r="I39" s="150"/>
      <c r="J39" s="150"/>
      <c r="K39" s="903"/>
      <c r="L39" s="918"/>
    </row>
    <row r="40" spans="1:13" ht="13.8" x14ac:dyDescent="0.25">
      <c r="A40" s="131"/>
      <c r="B40" s="147" t="s">
        <v>69</v>
      </c>
      <c r="C40" s="914"/>
      <c r="D40" s="148">
        <v>85</v>
      </c>
      <c r="E40" s="149"/>
      <c r="F40" s="150"/>
      <c r="G40" s="150"/>
      <c r="H40" s="150"/>
      <c r="I40" s="150"/>
      <c r="J40" s="150"/>
      <c r="K40" s="904"/>
      <c r="L40" s="919"/>
    </row>
    <row r="41" spans="1:13" ht="11.25" customHeight="1" x14ac:dyDescent="0.25">
      <c r="A41" s="131"/>
      <c r="B41" s="151"/>
      <c r="C41" s="152"/>
      <c r="D41" s="153"/>
      <c r="E41" s="154"/>
      <c r="F41" s="155"/>
      <c r="G41" s="155"/>
      <c r="H41" s="155"/>
      <c r="I41" s="155"/>
      <c r="J41" s="156"/>
      <c r="K41" s="131"/>
      <c r="L41" s="133"/>
      <c r="M41" s="131"/>
    </row>
    <row r="42" spans="1:13" ht="16.5" customHeight="1" x14ac:dyDescent="0.25">
      <c r="A42" s="131"/>
      <c r="B42" s="890" t="s">
        <v>70</v>
      </c>
      <c r="C42" s="890"/>
      <c r="D42" s="890"/>
      <c r="E42" s="890"/>
      <c r="F42" s="890"/>
      <c r="G42" s="155"/>
      <c r="H42" s="155"/>
      <c r="I42" s="155"/>
      <c r="J42" s="156"/>
      <c r="K42" s="131"/>
      <c r="L42" s="133"/>
      <c r="M42" s="131"/>
    </row>
    <row r="43" spans="1:13" ht="15.75" customHeight="1" x14ac:dyDescent="0.25">
      <c r="A43" s="131"/>
      <c r="B43" s="894" t="s">
        <v>33</v>
      </c>
      <c r="C43" s="894" t="s">
        <v>34</v>
      </c>
      <c r="D43" s="894" t="s">
        <v>51</v>
      </c>
      <c r="E43" s="896" t="s">
        <v>52</v>
      </c>
      <c r="F43" s="896"/>
      <c r="G43" s="896"/>
      <c r="H43" s="896"/>
      <c r="I43" s="896"/>
      <c r="J43" s="896"/>
      <c r="K43" s="895" t="s">
        <v>53</v>
      </c>
      <c r="L43" s="256" t="s">
        <v>60</v>
      </c>
      <c r="M43" s="131"/>
    </row>
    <row r="44" spans="1:13" ht="13.8" x14ac:dyDescent="0.25">
      <c r="A44" s="131"/>
      <c r="B44" s="894"/>
      <c r="C44" s="894"/>
      <c r="D44" s="894"/>
      <c r="E44" s="134" t="s">
        <v>54</v>
      </c>
      <c r="F44" s="134" t="s">
        <v>55</v>
      </c>
      <c r="G44" s="134" t="s">
        <v>56</v>
      </c>
      <c r="H44" s="134" t="s">
        <v>57</v>
      </c>
      <c r="I44" s="134" t="s">
        <v>58</v>
      </c>
      <c r="J44" s="227" t="s">
        <v>59</v>
      </c>
      <c r="K44" s="895"/>
      <c r="L44" s="897" t="s">
        <v>71</v>
      </c>
    </row>
    <row r="45" spans="1:13" ht="15.75" customHeight="1" x14ac:dyDescent="0.25">
      <c r="A45" s="131"/>
      <c r="B45" s="146">
        <v>1</v>
      </c>
      <c r="C45" s="891" t="s">
        <v>72</v>
      </c>
      <c r="D45" s="146">
        <v>30</v>
      </c>
      <c r="E45" s="134"/>
      <c r="F45" s="134"/>
      <c r="G45" s="134"/>
      <c r="H45" s="134"/>
      <c r="I45" s="134"/>
      <c r="J45" s="73"/>
      <c r="K45" s="893" t="s">
        <v>73</v>
      </c>
      <c r="L45" s="898"/>
    </row>
    <row r="46" spans="1:13" ht="13.8" x14ac:dyDescent="0.25">
      <c r="A46" s="131"/>
      <c r="B46" s="147" t="s">
        <v>64</v>
      </c>
      <c r="C46" s="892"/>
      <c r="D46" s="148">
        <v>60</v>
      </c>
      <c r="E46" s="149"/>
      <c r="F46" s="150"/>
      <c r="G46" s="150"/>
      <c r="H46" s="150"/>
      <c r="I46" s="150"/>
      <c r="J46" s="73"/>
      <c r="K46" s="893"/>
      <c r="L46" s="898"/>
    </row>
    <row r="47" spans="1:13" ht="13.8" x14ac:dyDescent="0.25">
      <c r="A47" s="131"/>
      <c r="B47" s="147" t="s">
        <v>65</v>
      </c>
      <c r="C47" s="892"/>
      <c r="D47" s="148">
        <v>120</v>
      </c>
      <c r="E47" s="149"/>
      <c r="F47" s="150"/>
      <c r="G47" s="150"/>
      <c r="H47" s="150"/>
      <c r="I47" s="150"/>
      <c r="J47" s="73"/>
      <c r="K47" s="893"/>
      <c r="L47" s="898"/>
    </row>
    <row r="48" spans="1:13" ht="13.8" x14ac:dyDescent="0.25">
      <c r="A48" s="131"/>
      <c r="B48" s="147" t="s">
        <v>66</v>
      </c>
      <c r="C48" s="892"/>
      <c r="D48" s="148">
        <v>240</v>
      </c>
      <c r="E48" s="149"/>
      <c r="F48" s="150"/>
      <c r="G48" s="150"/>
      <c r="H48" s="150"/>
      <c r="I48" s="150"/>
      <c r="J48" s="73"/>
      <c r="K48" s="893"/>
      <c r="L48" s="899"/>
    </row>
    <row r="49" spans="1:13" ht="6" customHeight="1" x14ac:dyDescent="0.25">
      <c r="A49" s="131"/>
      <c r="B49" s="144"/>
      <c r="C49" s="157"/>
      <c r="D49" s="158"/>
      <c r="E49" s="144"/>
      <c r="F49" s="144"/>
      <c r="G49" s="144"/>
      <c r="H49" s="144"/>
      <c r="I49" s="144"/>
      <c r="J49" s="157"/>
      <c r="K49" s="144"/>
      <c r="L49" s="159"/>
    </row>
    <row r="50" spans="1:13" ht="13.8" x14ac:dyDescent="0.25">
      <c r="A50" s="132" t="s">
        <v>74</v>
      </c>
      <c r="B50" s="132" t="s">
        <v>75</v>
      </c>
      <c r="C50" s="131"/>
      <c r="D50" s="129"/>
      <c r="E50" s="129"/>
      <c r="F50" s="129"/>
      <c r="G50" s="129"/>
      <c r="H50" s="129"/>
      <c r="I50" s="129"/>
      <c r="J50" s="129"/>
      <c r="K50" s="129"/>
      <c r="L50" s="129"/>
      <c r="M50" s="131"/>
    </row>
    <row r="51" spans="1:13" ht="13.8" x14ac:dyDescent="0.25">
      <c r="A51" s="131"/>
      <c r="B51" s="129" t="s">
        <v>76</v>
      </c>
      <c r="C51" s="131"/>
      <c r="D51" s="129"/>
      <c r="E51" s="129"/>
      <c r="F51" s="129"/>
      <c r="G51" s="129"/>
      <c r="H51" s="129"/>
      <c r="I51" s="129"/>
      <c r="J51" s="129"/>
      <c r="K51" s="129"/>
      <c r="L51" s="129"/>
      <c r="M51" s="131"/>
    </row>
    <row r="52" spans="1:13" ht="13.8" x14ac:dyDescent="0.25">
      <c r="A52" s="131"/>
      <c r="B52" s="158" t="s">
        <v>76</v>
      </c>
      <c r="C52" s="131"/>
      <c r="D52" s="129"/>
      <c r="E52" s="129"/>
      <c r="F52" s="129"/>
      <c r="G52" s="129"/>
      <c r="H52" s="129"/>
      <c r="I52" s="129"/>
      <c r="J52" s="129"/>
      <c r="K52" s="129" t="s">
        <v>77</v>
      </c>
      <c r="L52" s="129"/>
      <c r="M52" s="131"/>
    </row>
    <row r="53" spans="1:13" ht="5.25" customHeight="1" x14ac:dyDescent="0.25">
      <c r="A53" s="131"/>
      <c r="B53" s="129"/>
      <c r="C53" s="158"/>
      <c r="D53" s="129"/>
      <c r="E53" s="129"/>
      <c r="F53" s="129"/>
      <c r="G53" s="129"/>
      <c r="H53" s="129"/>
      <c r="I53" s="129"/>
      <c r="J53" s="129"/>
      <c r="K53" s="129"/>
      <c r="L53" s="129"/>
      <c r="M53" s="131"/>
    </row>
    <row r="54" spans="1:13" ht="13.8" x14ac:dyDescent="0.25">
      <c r="A54" s="132" t="s">
        <v>78</v>
      </c>
      <c r="B54" s="132" t="s">
        <v>79</v>
      </c>
      <c r="C54" s="131"/>
      <c r="D54" s="132"/>
      <c r="E54" s="129"/>
      <c r="F54" s="129"/>
      <c r="G54" s="129"/>
      <c r="H54" s="129"/>
      <c r="I54" s="129"/>
      <c r="J54" s="129"/>
      <c r="K54" s="129"/>
      <c r="L54" s="129"/>
      <c r="M54" s="131"/>
    </row>
    <row r="55" spans="1:13" ht="13.8" x14ac:dyDescent="0.25">
      <c r="A55" s="131"/>
      <c r="B55" s="144" t="s">
        <v>80</v>
      </c>
      <c r="C55" s="158" t="s">
        <v>81</v>
      </c>
      <c r="D55" s="129"/>
      <c r="E55" s="129"/>
      <c r="F55" s="129"/>
      <c r="G55" s="129"/>
      <c r="H55" s="129"/>
      <c r="I55" s="129"/>
      <c r="J55" s="129"/>
      <c r="K55" s="129"/>
      <c r="L55" s="129"/>
      <c r="M55" s="131"/>
    </row>
    <row r="56" spans="1:13" ht="13.8" x14ac:dyDescent="0.25">
      <c r="A56" s="131"/>
      <c r="B56" s="144" t="s">
        <v>80</v>
      </c>
      <c r="C56" s="129" t="s">
        <v>82</v>
      </c>
      <c r="D56" s="129"/>
      <c r="E56" s="129"/>
      <c r="F56" s="129"/>
      <c r="G56" s="129"/>
      <c r="H56" s="129"/>
      <c r="I56" s="129"/>
      <c r="J56" s="129"/>
      <c r="K56" s="129"/>
      <c r="L56" s="129"/>
      <c r="M56" s="131"/>
    </row>
    <row r="57" spans="1:13" ht="13.8" x14ac:dyDescent="0.25">
      <c r="A57" s="131"/>
      <c r="B57" s="144" t="s">
        <v>80</v>
      </c>
      <c r="C57" s="129" t="s">
        <v>83</v>
      </c>
      <c r="D57" s="129"/>
      <c r="E57" s="129"/>
      <c r="F57" s="129"/>
      <c r="G57" s="129"/>
      <c r="H57" s="129"/>
      <c r="I57" s="129"/>
      <c r="J57" s="129"/>
      <c r="K57" s="129"/>
      <c r="L57" s="129"/>
      <c r="M57" s="131"/>
    </row>
    <row r="58" spans="1:13" ht="13.8" x14ac:dyDescent="0.25">
      <c r="A58" s="131"/>
      <c r="B58" s="144" t="s">
        <v>80</v>
      </c>
      <c r="C58" s="129" t="s">
        <v>84</v>
      </c>
      <c r="D58" s="129"/>
      <c r="E58" s="129"/>
      <c r="F58" s="129"/>
      <c r="G58" s="129"/>
      <c r="H58" s="129"/>
      <c r="I58" s="129"/>
      <c r="J58" s="129"/>
      <c r="K58" s="129"/>
      <c r="L58" s="129"/>
      <c r="M58" s="131"/>
    </row>
    <row r="59" spans="1:13" ht="13.8" x14ac:dyDescent="0.25">
      <c r="A59" s="131"/>
      <c r="B59" s="144" t="s">
        <v>80</v>
      </c>
      <c r="C59" s="160" t="s">
        <v>85</v>
      </c>
      <c r="D59" s="129"/>
      <c r="E59" s="129"/>
      <c r="F59" s="129"/>
      <c r="G59" s="129"/>
      <c r="H59" s="129"/>
      <c r="I59" s="129"/>
      <c r="J59" s="129"/>
      <c r="K59" s="129"/>
      <c r="L59" s="129"/>
      <c r="M59" s="131"/>
    </row>
    <row r="60" spans="1:13" ht="13.8" x14ac:dyDescent="0.25">
      <c r="A60" s="131"/>
      <c r="B60" s="144" t="s">
        <v>80</v>
      </c>
      <c r="C60" s="160" t="s">
        <v>86</v>
      </c>
      <c r="D60" s="129"/>
      <c r="E60" s="129"/>
      <c r="F60" s="129"/>
      <c r="G60" s="129"/>
      <c r="H60" s="129"/>
      <c r="I60" s="129"/>
      <c r="J60" s="129"/>
      <c r="K60" s="129"/>
      <c r="L60" s="129"/>
      <c r="M60" s="131"/>
    </row>
    <row r="61" spans="1:13" ht="13.8" x14ac:dyDescent="0.25">
      <c r="A61" s="131"/>
      <c r="B61" s="144" t="s">
        <v>80</v>
      </c>
      <c r="C61" s="160" t="s">
        <v>87</v>
      </c>
      <c r="D61" s="160"/>
      <c r="E61" s="160"/>
      <c r="F61" s="160"/>
      <c r="G61" s="160"/>
      <c r="H61" s="160"/>
      <c r="I61" s="160"/>
      <c r="J61" s="160"/>
      <c r="K61" s="160"/>
      <c r="L61" s="160"/>
      <c r="M61" s="131"/>
    </row>
    <row r="62" spans="1:13" ht="13.8" x14ac:dyDescent="0.25">
      <c r="A62" s="131"/>
      <c r="B62" s="144" t="s">
        <v>80</v>
      </c>
      <c r="C62" s="175" t="s">
        <v>88</v>
      </c>
      <c r="D62" s="160"/>
      <c r="E62" s="160"/>
      <c r="F62" s="160"/>
      <c r="G62" s="160"/>
      <c r="H62" s="160"/>
      <c r="I62" s="160"/>
      <c r="J62" s="160"/>
      <c r="K62" s="160"/>
      <c r="L62" s="160"/>
      <c r="M62" s="131"/>
    </row>
    <row r="63" spans="1:13" ht="13.8" x14ac:dyDescent="0.25">
      <c r="A63" s="131"/>
      <c r="B63" s="144"/>
      <c r="C63" s="133" t="s">
        <v>89</v>
      </c>
      <c r="D63" s="160"/>
      <c r="E63" s="160"/>
      <c r="F63" s="160"/>
      <c r="G63" s="160"/>
      <c r="H63" s="160"/>
      <c r="I63" s="160"/>
      <c r="J63" s="160"/>
      <c r="K63" s="160"/>
      <c r="L63" s="160"/>
      <c r="M63" s="131"/>
    </row>
    <row r="64" spans="1:13" ht="14.4" thickBot="1" x14ac:dyDescent="0.3">
      <c r="A64" s="132" t="s">
        <v>90</v>
      </c>
      <c r="B64" s="132" t="s">
        <v>91</v>
      </c>
      <c r="C64" s="131"/>
      <c r="D64" s="129"/>
      <c r="E64" s="129"/>
      <c r="F64" s="129"/>
      <c r="G64" s="129"/>
      <c r="H64" s="129"/>
      <c r="I64" s="129"/>
      <c r="J64" s="129"/>
      <c r="K64" s="129"/>
      <c r="L64" s="129"/>
      <c r="M64" s="131"/>
    </row>
    <row r="65" spans="1:13" ht="13.8" x14ac:dyDescent="0.25">
      <c r="A65" s="131"/>
      <c r="B65" s="132"/>
      <c r="C65" s="129" t="s">
        <v>92</v>
      </c>
      <c r="D65" s="129"/>
      <c r="E65" s="129"/>
      <c r="F65" s="129"/>
      <c r="G65" s="129"/>
      <c r="H65" s="129"/>
      <c r="I65" s="129"/>
      <c r="J65" s="129"/>
      <c r="K65" s="270"/>
      <c r="L65" s="129"/>
      <c r="M65" s="131"/>
    </row>
    <row r="66" spans="1:13" ht="6.75" customHeight="1" x14ac:dyDescent="0.25">
      <c r="A66" s="131"/>
      <c r="B66" s="132"/>
      <c r="C66" s="129"/>
      <c r="D66" s="129"/>
      <c r="E66" s="129"/>
      <c r="F66" s="129"/>
      <c r="G66" s="129"/>
      <c r="H66" s="129"/>
      <c r="I66" s="129"/>
      <c r="J66" s="129"/>
      <c r="K66" s="271"/>
      <c r="L66" s="129"/>
      <c r="M66" s="131"/>
    </row>
    <row r="67" spans="1:13" ht="14.4" thickBot="1" x14ac:dyDescent="0.3">
      <c r="A67" s="132" t="s">
        <v>93</v>
      </c>
      <c r="B67" s="132" t="s">
        <v>94</v>
      </c>
      <c r="C67" s="131"/>
      <c r="D67" s="129"/>
      <c r="E67" s="129"/>
      <c r="F67" s="129"/>
      <c r="G67" s="129"/>
      <c r="H67" s="129"/>
      <c r="I67" s="129"/>
      <c r="J67" s="129"/>
      <c r="K67" s="272"/>
      <c r="L67" s="129"/>
      <c r="M67" s="131"/>
    </row>
    <row r="68" spans="1:13" ht="13.8" x14ac:dyDescent="0.25">
      <c r="A68" s="131"/>
      <c r="B68" s="129"/>
      <c r="C68" s="161" t="s">
        <v>95</v>
      </c>
      <c r="D68" s="129"/>
      <c r="E68" s="129"/>
      <c r="F68" s="129"/>
      <c r="G68" s="129"/>
      <c r="H68" s="129"/>
      <c r="I68" s="129"/>
      <c r="J68" s="129"/>
      <c r="K68" s="129"/>
      <c r="L68" s="129"/>
      <c r="M68" s="131"/>
    </row>
  </sheetData>
  <mergeCells count="24">
    <mergeCell ref="L44:L48"/>
    <mergeCell ref="A1:M1"/>
    <mergeCell ref="A2:M2"/>
    <mergeCell ref="K34:K40"/>
    <mergeCell ref="F4:K4"/>
    <mergeCell ref="F5:K5"/>
    <mergeCell ref="B24:B25"/>
    <mergeCell ref="C24:J25"/>
    <mergeCell ref="B32:B33"/>
    <mergeCell ref="C32:C33"/>
    <mergeCell ref="D32:D33"/>
    <mergeCell ref="K32:K33"/>
    <mergeCell ref="C34:C40"/>
    <mergeCell ref="E32:J32"/>
    <mergeCell ref="K24:K25"/>
    <mergeCell ref="L34:L40"/>
    <mergeCell ref="B42:F42"/>
    <mergeCell ref="C45:C48"/>
    <mergeCell ref="K45:K48"/>
    <mergeCell ref="B43:B44"/>
    <mergeCell ref="C43:C44"/>
    <mergeCell ref="D43:D44"/>
    <mergeCell ref="K43:K44"/>
    <mergeCell ref="E43:J43"/>
  </mergeCells>
  <pageMargins left="0.7" right="0.7" top="0.75" bottom="0.75" header="0.3" footer="0.3"/>
  <pageSetup paperSize="9" scale="73" orientation="portrait" horizontalDpi="200" verticalDpi="200" r:id="rId1"/>
  <headerFooter>
    <oddHeader>&amp;R&amp;8OA.LK - 041-18 / REV : 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X249"/>
  <sheetViews>
    <sheetView topLeftCell="H225" zoomScaleNormal="100" workbookViewId="0">
      <selection activeCell="A234" sqref="A234"/>
    </sheetView>
  </sheetViews>
  <sheetFormatPr defaultColWidth="9" defaultRowHeight="13.8" x14ac:dyDescent="0.25"/>
  <cols>
    <col min="1" max="1" width="10.33203125" style="528" customWidth="1"/>
    <col min="2" max="8" width="9.33203125" style="528" bestFit="1" customWidth="1"/>
    <col min="9" max="9" width="11" style="528" bestFit="1" customWidth="1"/>
    <col min="10" max="10" width="9.33203125" style="528" bestFit="1" customWidth="1"/>
    <col min="11" max="11" width="9.5546875" style="528" bestFit="1" customWidth="1"/>
    <col min="12" max="12" width="12.109375" style="528" customWidth="1"/>
    <col min="13" max="13" width="12.33203125" style="528" customWidth="1"/>
    <col min="14" max="17" width="9.33203125" style="528" bestFit="1" customWidth="1"/>
    <col min="18" max="18" width="9.88671875" style="528" bestFit="1" customWidth="1"/>
    <col min="19" max="20" width="9.33203125" style="528" bestFit="1" customWidth="1"/>
    <col min="21" max="16384" width="9" style="528"/>
  </cols>
  <sheetData>
    <row r="1" spans="1:22" x14ac:dyDescent="0.25">
      <c r="A1" s="1117" t="s">
        <v>301</v>
      </c>
      <c r="B1" s="1118"/>
      <c r="C1" s="1118"/>
      <c r="D1" s="1118"/>
      <c r="E1" s="1118"/>
      <c r="F1" s="1118"/>
      <c r="G1" s="1118"/>
      <c r="H1" s="1118"/>
      <c r="I1" s="1118"/>
      <c r="J1" s="1118"/>
      <c r="K1" s="1118"/>
      <c r="L1" s="1118"/>
      <c r="M1" s="1118"/>
      <c r="N1" s="1118"/>
      <c r="O1" s="1118"/>
      <c r="P1" s="1118"/>
      <c r="Q1" s="1118"/>
      <c r="R1" s="1118"/>
      <c r="S1" s="1118"/>
      <c r="T1" s="1119"/>
      <c r="V1" s="528" t="s">
        <v>77</v>
      </c>
    </row>
    <row r="2" spans="1:22" ht="15" customHeight="1" x14ac:dyDescent="0.25">
      <c r="A2" s="1111" t="s">
        <v>302</v>
      </c>
      <c r="B2" s="1115" t="s">
        <v>303</v>
      </c>
      <c r="C2" s="1115"/>
      <c r="D2" s="1115"/>
      <c r="E2" s="1115"/>
      <c r="F2" s="1115"/>
      <c r="G2" s="502"/>
      <c r="H2" s="1111" t="s">
        <v>304</v>
      </c>
      <c r="I2" s="1115" t="s">
        <v>305</v>
      </c>
      <c r="J2" s="1115"/>
      <c r="K2" s="1115"/>
      <c r="L2" s="1115"/>
      <c r="M2" s="1115"/>
      <c r="N2" s="503"/>
      <c r="O2" s="1111" t="s">
        <v>306</v>
      </c>
      <c r="P2" s="1115" t="s">
        <v>307</v>
      </c>
      <c r="Q2" s="1115"/>
      <c r="R2" s="1115"/>
      <c r="S2" s="1115"/>
      <c r="T2" s="1115"/>
    </row>
    <row r="3" spans="1:22" ht="15" customHeight="1" x14ac:dyDescent="0.25">
      <c r="A3" s="1111"/>
      <c r="B3" s="1116" t="s">
        <v>308</v>
      </c>
      <c r="C3" s="1116"/>
      <c r="D3" s="1116"/>
      <c r="E3" s="1116"/>
      <c r="F3" s="1116"/>
      <c r="G3" s="504"/>
      <c r="H3" s="1111"/>
      <c r="I3" s="1116" t="s">
        <v>308</v>
      </c>
      <c r="J3" s="1116"/>
      <c r="K3" s="1116"/>
      <c r="L3" s="1116"/>
      <c r="M3" s="1116"/>
      <c r="N3" s="505"/>
      <c r="O3" s="1111"/>
      <c r="P3" s="1112" t="s">
        <v>308</v>
      </c>
      <c r="Q3" s="1112"/>
      <c r="R3" s="1112"/>
      <c r="S3" s="1112"/>
      <c r="T3" s="1112"/>
    </row>
    <row r="4" spans="1:22" ht="12.75" customHeight="1" x14ac:dyDescent="0.25">
      <c r="A4" s="1111"/>
      <c r="B4" s="1112" t="s">
        <v>309</v>
      </c>
      <c r="C4" s="1112"/>
      <c r="D4" s="1112"/>
      <c r="E4" s="1112" t="s">
        <v>310</v>
      </c>
      <c r="F4" s="1112" t="s">
        <v>170</v>
      </c>
      <c r="G4" s="529"/>
      <c r="H4" s="1111"/>
      <c r="I4" s="1112" t="str">
        <f>B4</f>
        <v>Setting VAC</v>
      </c>
      <c r="J4" s="1112"/>
      <c r="K4" s="1112"/>
      <c r="L4" s="1112" t="s">
        <v>310</v>
      </c>
      <c r="M4" s="1112" t="s">
        <v>170</v>
      </c>
      <c r="N4" s="529"/>
      <c r="O4" s="1111"/>
      <c r="P4" s="1112" t="str">
        <f>B4</f>
        <v>Setting VAC</v>
      </c>
      <c r="Q4" s="1112"/>
      <c r="R4" s="1112"/>
      <c r="S4" s="1112" t="s">
        <v>310</v>
      </c>
      <c r="T4" s="1112" t="s">
        <v>170</v>
      </c>
    </row>
    <row r="5" spans="1:22" ht="15" customHeight="1" x14ac:dyDescent="0.25">
      <c r="A5" s="1111"/>
      <c r="B5" s="506" t="s">
        <v>311</v>
      </c>
      <c r="C5" s="506">
        <v>2019</v>
      </c>
      <c r="D5" s="506">
        <v>2020</v>
      </c>
      <c r="E5" s="1112"/>
      <c r="F5" s="1112"/>
      <c r="G5" s="529"/>
      <c r="H5" s="1111"/>
      <c r="I5" s="506" t="s">
        <v>311</v>
      </c>
      <c r="J5" s="506">
        <v>2017</v>
      </c>
      <c r="K5" s="506">
        <v>2019</v>
      </c>
      <c r="L5" s="1112"/>
      <c r="M5" s="1112"/>
      <c r="N5" s="529"/>
      <c r="O5" s="1111"/>
      <c r="P5" s="506" t="s">
        <v>311</v>
      </c>
      <c r="Q5" s="506">
        <v>2017</v>
      </c>
      <c r="R5" s="506">
        <v>2018</v>
      </c>
      <c r="S5" s="1112"/>
      <c r="T5" s="1112"/>
    </row>
    <row r="6" spans="1:22" ht="15" customHeight="1" x14ac:dyDescent="0.25">
      <c r="A6" s="1111"/>
      <c r="B6" s="530">
        <v>150</v>
      </c>
      <c r="C6" s="531">
        <v>0.76</v>
      </c>
      <c r="D6" s="531">
        <v>0.31</v>
      </c>
      <c r="E6" s="532">
        <f t="shared" ref="E6:E11" si="0">0.5*(MAX(C6:D6)-MIN(C6:D6))</f>
        <v>0.22500000000000001</v>
      </c>
      <c r="F6" s="533">
        <v>0.47</v>
      </c>
      <c r="G6" s="529"/>
      <c r="H6" s="1111"/>
      <c r="I6" s="530">
        <v>150</v>
      </c>
      <c r="J6" s="533">
        <v>0.23</v>
      </c>
      <c r="K6" s="531">
        <v>0.15</v>
      </c>
      <c r="L6" s="532">
        <f t="shared" ref="L6:L11" si="1">0.5*(MAX(J6:K6)-MIN(J6:K6))</f>
        <v>4.0000000000000008E-2</v>
      </c>
      <c r="M6" s="533">
        <v>0.47</v>
      </c>
      <c r="N6" s="529" t="s">
        <v>77</v>
      </c>
      <c r="O6" s="1111"/>
      <c r="P6" s="507">
        <v>150</v>
      </c>
      <c r="Q6" s="507">
        <v>-0.24</v>
      </c>
      <c r="R6" s="533">
        <v>-7.0000000000000007E-2</v>
      </c>
      <c r="S6" s="532">
        <f t="shared" ref="S6:S11" si="2">0.5*(MAX(Q6:R6)-MIN(Q6:R6))</f>
        <v>8.4999999999999992E-2</v>
      </c>
      <c r="T6" s="534">
        <v>1.2</v>
      </c>
    </row>
    <row r="7" spans="1:22" ht="12.75" customHeight="1" x14ac:dyDescent="0.25">
      <c r="A7" s="1111"/>
      <c r="B7" s="530">
        <v>180</v>
      </c>
      <c r="C7" s="531">
        <v>-0.13</v>
      </c>
      <c r="D7" s="531">
        <v>0.1</v>
      </c>
      <c r="E7" s="532">
        <f t="shared" si="0"/>
        <v>0.115</v>
      </c>
      <c r="F7" s="533">
        <v>0.47</v>
      </c>
      <c r="G7" s="529"/>
      <c r="H7" s="1111"/>
      <c r="I7" s="530">
        <v>180</v>
      </c>
      <c r="J7" s="533">
        <v>-0.06</v>
      </c>
      <c r="K7" s="531">
        <v>0.12</v>
      </c>
      <c r="L7" s="532">
        <f t="shared" si="1"/>
        <v>0.09</v>
      </c>
      <c r="M7" s="533">
        <v>0.47</v>
      </c>
      <c r="N7" s="529"/>
      <c r="O7" s="1111"/>
      <c r="P7" s="507">
        <v>180</v>
      </c>
      <c r="Q7" s="533">
        <v>-0.3</v>
      </c>
      <c r="R7" s="533">
        <v>-0.13</v>
      </c>
      <c r="S7" s="532">
        <f t="shared" si="2"/>
        <v>8.4999999999999992E-2</v>
      </c>
      <c r="T7" s="534">
        <v>1.2</v>
      </c>
    </row>
    <row r="8" spans="1:22" ht="12.75" customHeight="1" x14ac:dyDescent="0.25">
      <c r="A8" s="1111"/>
      <c r="B8" s="530">
        <v>200</v>
      </c>
      <c r="C8" s="531">
        <v>-0.16</v>
      </c>
      <c r="D8" s="531">
        <v>-0.04</v>
      </c>
      <c r="E8" s="532">
        <f t="shared" si="0"/>
        <v>0.06</v>
      </c>
      <c r="F8" s="533">
        <v>0.47</v>
      </c>
      <c r="G8" s="529"/>
      <c r="H8" s="1111"/>
      <c r="I8" s="530">
        <v>200</v>
      </c>
      <c r="J8" s="533">
        <v>-0.18</v>
      </c>
      <c r="K8" s="531">
        <v>0.06</v>
      </c>
      <c r="L8" s="532">
        <f t="shared" si="1"/>
        <v>0.12</v>
      </c>
      <c r="M8" s="533">
        <v>0.47</v>
      </c>
      <c r="N8" s="529"/>
      <c r="O8" s="1111"/>
      <c r="P8" s="507">
        <v>200</v>
      </c>
      <c r="Q8" s="533">
        <v>-0.24</v>
      </c>
      <c r="R8" s="533">
        <v>-0.26</v>
      </c>
      <c r="S8" s="532">
        <f t="shared" si="2"/>
        <v>1.0000000000000009E-2</v>
      </c>
      <c r="T8" s="534">
        <v>1.2</v>
      </c>
    </row>
    <row r="9" spans="1:22" ht="12.75" customHeight="1" x14ac:dyDescent="0.25">
      <c r="A9" s="1111"/>
      <c r="B9" s="530">
        <v>220</v>
      </c>
      <c r="C9" s="531">
        <v>-0.18</v>
      </c>
      <c r="D9" s="531">
        <v>-0.28000000000000003</v>
      </c>
      <c r="E9" s="532">
        <f t="shared" si="0"/>
        <v>5.0000000000000017E-2</v>
      </c>
      <c r="F9" s="533">
        <v>0.47</v>
      </c>
      <c r="G9" s="529"/>
      <c r="H9" s="1111"/>
      <c r="I9" s="530">
        <v>220</v>
      </c>
      <c r="J9" s="533">
        <v>-0.03</v>
      </c>
      <c r="K9" s="531">
        <v>0.05</v>
      </c>
      <c r="L9" s="532">
        <f t="shared" si="1"/>
        <v>0.04</v>
      </c>
      <c r="M9" s="533">
        <v>0.47</v>
      </c>
      <c r="N9" s="529"/>
      <c r="O9" s="1111"/>
      <c r="P9" s="507">
        <v>220</v>
      </c>
      <c r="Q9" s="533">
        <v>-0.28000000000000003</v>
      </c>
      <c r="R9" s="533">
        <v>-0.28999999999999998</v>
      </c>
      <c r="S9" s="532">
        <f t="shared" si="2"/>
        <v>4.9999999999999767E-3</v>
      </c>
      <c r="T9" s="534">
        <v>1.2</v>
      </c>
    </row>
    <row r="10" spans="1:22" ht="12.75" customHeight="1" x14ac:dyDescent="0.25">
      <c r="A10" s="1111"/>
      <c r="B10" s="530">
        <v>230</v>
      </c>
      <c r="C10" s="531">
        <v>-0.26</v>
      </c>
      <c r="D10" s="531">
        <v>-0.2</v>
      </c>
      <c r="E10" s="532">
        <f t="shared" si="0"/>
        <v>0.03</v>
      </c>
      <c r="F10" s="533">
        <v>0.47</v>
      </c>
      <c r="G10" s="529"/>
      <c r="H10" s="1111"/>
      <c r="I10" s="530">
        <v>230</v>
      </c>
      <c r="J10" s="533">
        <v>-10.02</v>
      </c>
      <c r="K10" s="531">
        <v>0.05</v>
      </c>
      <c r="L10" s="532">
        <f t="shared" si="1"/>
        <v>5.0350000000000001</v>
      </c>
      <c r="M10" s="533">
        <v>0.47</v>
      </c>
      <c r="N10" s="529"/>
      <c r="O10" s="1111"/>
      <c r="P10" s="507">
        <v>230</v>
      </c>
      <c r="Q10" s="533">
        <v>-0.15</v>
      </c>
      <c r="R10" s="533">
        <v>-0.23</v>
      </c>
      <c r="S10" s="532">
        <f t="shared" si="2"/>
        <v>4.0000000000000008E-2</v>
      </c>
      <c r="T10" s="534">
        <v>1.2</v>
      </c>
    </row>
    <row r="11" spans="1:22" ht="12.75" customHeight="1" x14ac:dyDescent="0.25">
      <c r="A11" s="1111"/>
      <c r="B11" s="530">
        <v>250</v>
      </c>
      <c r="C11" s="531">
        <v>9.9999999999999995E-7</v>
      </c>
      <c r="D11" s="531">
        <v>9.9999999999999995E-7</v>
      </c>
      <c r="E11" s="532">
        <f t="shared" si="0"/>
        <v>0</v>
      </c>
      <c r="F11" s="533">
        <v>0.47</v>
      </c>
      <c r="G11" s="529"/>
      <c r="H11" s="1111"/>
      <c r="I11" s="530">
        <v>250</v>
      </c>
      <c r="J11" s="533">
        <v>9.9999999999999995E-7</v>
      </c>
      <c r="K11" s="531">
        <v>9.9999999999999995E-7</v>
      </c>
      <c r="L11" s="532">
        <f t="shared" si="1"/>
        <v>0</v>
      </c>
      <c r="M11" s="533">
        <v>0.47</v>
      </c>
      <c r="N11" s="529"/>
      <c r="O11" s="1111"/>
      <c r="P11" s="507">
        <v>250</v>
      </c>
      <c r="Q11" s="533">
        <v>9.9999999999999995E-7</v>
      </c>
      <c r="R11" s="533">
        <v>9.9999999999999995E-7</v>
      </c>
      <c r="S11" s="532">
        <f t="shared" si="2"/>
        <v>0</v>
      </c>
      <c r="T11" s="534">
        <v>1.2</v>
      </c>
    </row>
    <row r="12" spans="1:22" ht="12.75" customHeight="1" x14ac:dyDescent="0.25">
      <c r="A12" s="1111"/>
      <c r="B12" s="1111" t="s">
        <v>312</v>
      </c>
      <c r="C12" s="1111"/>
      <c r="D12" s="1111"/>
      <c r="E12" s="1112" t="s">
        <v>310</v>
      </c>
      <c r="F12" s="1112" t="s">
        <v>170</v>
      </c>
      <c r="G12" s="529"/>
      <c r="H12" s="1111"/>
      <c r="I12" s="1111" t="str">
        <f>B12</f>
        <v>Current Leakage</v>
      </c>
      <c r="J12" s="1111"/>
      <c r="K12" s="1111"/>
      <c r="L12" s="1112" t="s">
        <v>310</v>
      </c>
      <c r="M12" s="1112" t="s">
        <v>170</v>
      </c>
      <c r="N12" s="529"/>
      <c r="O12" s="1111"/>
      <c r="P12" s="1111" t="str">
        <f>B12</f>
        <v>Current Leakage</v>
      </c>
      <c r="Q12" s="1111"/>
      <c r="R12" s="1111"/>
      <c r="S12" s="1112" t="s">
        <v>310</v>
      </c>
      <c r="T12" s="1112" t="s">
        <v>170</v>
      </c>
    </row>
    <row r="13" spans="1:22" ht="15" customHeight="1" x14ac:dyDescent="0.25">
      <c r="A13" s="1111"/>
      <c r="B13" s="506" t="s">
        <v>313</v>
      </c>
      <c r="C13" s="506">
        <f>C5</f>
        <v>2019</v>
      </c>
      <c r="D13" s="506">
        <f>D5</f>
        <v>2020</v>
      </c>
      <c r="E13" s="1112"/>
      <c r="F13" s="1112"/>
      <c r="G13" s="529"/>
      <c r="H13" s="1111"/>
      <c r="I13" s="506" t="s">
        <v>313</v>
      </c>
      <c r="J13" s="506">
        <f>J5</f>
        <v>2017</v>
      </c>
      <c r="K13" s="506">
        <f>K5</f>
        <v>2019</v>
      </c>
      <c r="L13" s="1112"/>
      <c r="M13" s="1112"/>
      <c r="N13" s="529"/>
      <c r="O13" s="1111"/>
      <c r="P13" s="506" t="s">
        <v>313</v>
      </c>
      <c r="Q13" s="506">
        <f>Q5</f>
        <v>2017</v>
      </c>
      <c r="R13" s="506">
        <f>R5</f>
        <v>2018</v>
      </c>
      <c r="S13" s="1112"/>
      <c r="T13" s="1112"/>
    </row>
    <row r="14" spans="1:22" ht="12.75" customHeight="1" x14ac:dyDescent="0.25">
      <c r="A14" s="1111"/>
      <c r="B14" s="507">
        <v>0</v>
      </c>
      <c r="C14" s="531">
        <v>9.9999999999999995E-7</v>
      </c>
      <c r="D14" s="531">
        <v>9.9999999999999995E-7</v>
      </c>
      <c r="E14" s="532">
        <f t="shared" ref="E14:E19" si="3">0.5*(MAX(C14:D14)-MIN(C14:D14))</f>
        <v>0</v>
      </c>
      <c r="F14" s="507">
        <v>0.28999999999999998</v>
      </c>
      <c r="G14" s="529"/>
      <c r="H14" s="1111"/>
      <c r="I14" s="507">
        <v>0</v>
      </c>
      <c r="J14" s="533">
        <v>9.9999999999999995E-7</v>
      </c>
      <c r="K14" s="531">
        <v>9.9999999999999995E-7</v>
      </c>
      <c r="L14" s="532">
        <f t="shared" ref="L14:L19" si="4">0.5*(MAX(J14:K14)-MIN(J14:K14))</f>
        <v>0</v>
      </c>
      <c r="M14" s="507">
        <v>0.28999999999999998</v>
      </c>
      <c r="N14" s="529"/>
      <c r="O14" s="1111"/>
      <c r="P14" s="507">
        <v>0</v>
      </c>
      <c r="Q14" s="533">
        <v>9.9999999999999995E-7</v>
      </c>
      <c r="R14" s="533">
        <v>9.9999999999999995E-7</v>
      </c>
      <c r="S14" s="532">
        <f t="shared" ref="S14:S19" si="5">0.5*(MAX(Q14:R14)-MIN(Q14:R14))</f>
        <v>0</v>
      </c>
      <c r="T14" s="507">
        <v>0.59</v>
      </c>
    </row>
    <row r="15" spans="1:22" ht="12.75" customHeight="1" x14ac:dyDescent="0.25">
      <c r="A15" s="1111"/>
      <c r="B15" s="507">
        <v>50</v>
      </c>
      <c r="C15" s="531">
        <v>-0.06</v>
      </c>
      <c r="D15" s="531">
        <v>0.1</v>
      </c>
      <c r="E15" s="532">
        <f t="shared" si="3"/>
        <v>0.08</v>
      </c>
      <c r="F15" s="507">
        <v>0.28999999999999998</v>
      </c>
      <c r="G15" s="529"/>
      <c r="H15" s="1111"/>
      <c r="I15" s="507">
        <v>50</v>
      </c>
      <c r="J15" s="533">
        <v>0.1</v>
      </c>
      <c r="K15" s="531">
        <v>0.1</v>
      </c>
      <c r="L15" s="532">
        <f t="shared" si="4"/>
        <v>0</v>
      </c>
      <c r="M15" s="507">
        <v>0.28999999999999998</v>
      </c>
      <c r="N15" s="529"/>
      <c r="O15" s="1111"/>
      <c r="P15" s="507">
        <v>50</v>
      </c>
      <c r="Q15" s="533">
        <v>0.4</v>
      </c>
      <c r="R15" s="533">
        <v>2</v>
      </c>
      <c r="S15" s="532">
        <f t="shared" si="5"/>
        <v>0.8</v>
      </c>
      <c r="T15" s="507">
        <v>0.59</v>
      </c>
    </row>
    <row r="16" spans="1:22" ht="12.75" customHeight="1" x14ac:dyDescent="0.25">
      <c r="A16" s="1111"/>
      <c r="B16" s="507">
        <v>100</v>
      </c>
      <c r="C16" s="531">
        <v>-0.06</v>
      </c>
      <c r="D16" s="531">
        <v>0.2</v>
      </c>
      <c r="E16" s="532">
        <f t="shared" si="3"/>
        <v>0.13</v>
      </c>
      <c r="F16" s="507">
        <v>0.28999999999999998</v>
      </c>
      <c r="G16" s="529"/>
      <c r="H16" s="1111"/>
      <c r="I16" s="507">
        <v>100</v>
      </c>
      <c r="J16" s="533">
        <v>2.2000000000000002</v>
      </c>
      <c r="K16" s="531">
        <v>0.4</v>
      </c>
      <c r="L16" s="532">
        <f t="shared" si="4"/>
        <v>0.90000000000000013</v>
      </c>
      <c r="M16" s="507">
        <v>0.28999999999999998</v>
      </c>
      <c r="N16" s="529"/>
      <c r="O16" s="1111"/>
      <c r="P16" s="507">
        <v>100</v>
      </c>
      <c r="Q16" s="533">
        <v>0.4</v>
      </c>
      <c r="R16" s="533">
        <v>2</v>
      </c>
      <c r="S16" s="532">
        <f t="shared" si="5"/>
        <v>0.8</v>
      </c>
      <c r="T16" s="507">
        <v>0.59</v>
      </c>
    </row>
    <row r="17" spans="1:20" ht="12.75" customHeight="1" x14ac:dyDescent="0.25">
      <c r="A17" s="1111"/>
      <c r="B17" s="507">
        <v>200</v>
      </c>
      <c r="C17" s="531">
        <v>0</v>
      </c>
      <c r="D17" s="531">
        <v>0.4</v>
      </c>
      <c r="E17" s="532">
        <f t="shared" si="3"/>
        <v>0.2</v>
      </c>
      <c r="F17" s="507">
        <v>0.28999999999999998</v>
      </c>
      <c r="G17" s="529"/>
      <c r="H17" s="1111"/>
      <c r="I17" s="507">
        <v>200</v>
      </c>
      <c r="J17" s="533">
        <v>3.3</v>
      </c>
      <c r="K17" s="531">
        <v>0.7</v>
      </c>
      <c r="L17" s="532">
        <f t="shared" si="4"/>
        <v>1.2999999999999998</v>
      </c>
      <c r="M17" s="507">
        <v>0.28999999999999998</v>
      </c>
      <c r="N17" s="529"/>
      <c r="O17" s="1111"/>
      <c r="P17" s="507">
        <v>200</v>
      </c>
      <c r="Q17" s="533">
        <v>1.3</v>
      </c>
      <c r="R17" s="533">
        <v>3.6</v>
      </c>
      <c r="S17" s="532">
        <f t="shared" si="5"/>
        <v>1.1499999999999999</v>
      </c>
      <c r="T17" s="507">
        <v>0.59</v>
      </c>
    </row>
    <row r="18" spans="1:20" ht="12.75" customHeight="1" x14ac:dyDescent="0.25">
      <c r="A18" s="1111"/>
      <c r="B18" s="507">
        <v>500</v>
      </c>
      <c r="C18" s="531">
        <v>-0.9</v>
      </c>
      <c r="D18" s="531">
        <v>3.8</v>
      </c>
      <c r="E18" s="532">
        <f t="shared" si="3"/>
        <v>2.35</v>
      </c>
      <c r="F18" s="507">
        <v>0.28999999999999998</v>
      </c>
      <c r="G18" s="529"/>
      <c r="H18" s="1111"/>
      <c r="I18" s="507">
        <v>500</v>
      </c>
      <c r="J18" s="533">
        <v>20</v>
      </c>
      <c r="K18" s="531">
        <v>0.8</v>
      </c>
      <c r="L18" s="532">
        <f t="shared" si="4"/>
        <v>9.6</v>
      </c>
      <c r="M18" s="507">
        <v>0.28999999999999998</v>
      </c>
      <c r="N18" s="529"/>
      <c r="O18" s="1111"/>
      <c r="P18" s="507">
        <v>500</v>
      </c>
      <c r="Q18" s="533">
        <v>-0.3</v>
      </c>
      <c r="R18" s="533">
        <v>2.9</v>
      </c>
      <c r="S18" s="532">
        <f t="shared" si="5"/>
        <v>1.5999999999999999</v>
      </c>
      <c r="T18" s="507">
        <v>0.59</v>
      </c>
    </row>
    <row r="19" spans="1:20" ht="12.75" customHeight="1" x14ac:dyDescent="0.25">
      <c r="A19" s="1111"/>
      <c r="B19" s="507">
        <v>1000</v>
      </c>
      <c r="C19" s="531">
        <v>-3.0000000000000001E-3</v>
      </c>
      <c r="D19" s="531">
        <v>9</v>
      </c>
      <c r="E19" s="532">
        <f t="shared" si="3"/>
        <v>4.5015000000000001</v>
      </c>
      <c r="F19" s="507">
        <v>0.28999999999999998</v>
      </c>
      <c r="G19" s="529"/>
      <c r="H19" s="1111"/>
      <c r="I19" s="507">
        <v>1000</v>
      </c>
      <c r="J19" s="535">
        <v>2</v>
      </c>
      <c r="K19" s="531">
        <v>8.0000000000000002E-3</v>
      </c>
      <c r="L19" s="532">
        <f t="shared" si="4"/>
        <v>0.996</v>
      </c>
      <c r="M19" s="507">
        <v>0.28999999999999998</v>
      </c>
      <c r="N19" s="529"/>
      <c r="O19" s="1111"/>
      <c r="P19" s="507">
        <v>1000</v>
      </c>
      <c r="Q19" s="533">
        <v>9</v>
      </c>
      <c r="R19" s="533">
        <v>3</v>
      </c>
      <c r="S19" s="532">
        <f t="shared" si="5"/>
        <v>3</v>
      </c>
      <c r="T19" s="507">
        <v>0.59</v>
      </c>
    </row>
    <row r="20" spans="1:20" ht="12.75" customHeight="1" x14ac:dyDescent="0.25">
      <c r="A20" s="1111"/>
      <c r="B20" s="1111" t="s">
        <v>314</v>
      </c>
      <c r="C20" s="1111"/>
      <c r="D20" s="1111"/>
      <c r="E20" s="1112" t="s">
        <v>310</v>
      </c>
      <c r="F20" s="1112" t="s">
        <v>170</v>
      </c>
      <c r="G20" s="529"/>
      <c r="H20" s="1111"/>
      <c r="I20" s="1111" t="str">
        <f>B20</f>
        <v>Main-PE</v>
      </c>
      <c r="J20" s="1111"/>
      <c r="K20" s="1111"/>
      <c r="L20" s="1112" t="s">
        <v>310</v>
      </c>
      <c r="M20" s="1112" t="s">
        <v>170</v>
      </c>
      <c r="N20" s="529"/>
      <c r="O20" s="1111"/>
      <c r="P20" s="1111" t="str">
        <f>B20</f>
        <v>Main-PE</v>
      </c>
      <c r="Q20" s="1111"/>
      <c r="R20" s="1111"/>
      <c r="S20" s="1112" t="s">
        <v>310</v>
      </c>
      <c r="T20" s="1112" t="s">
        <v>170</v>
      </c>
    </row>
    <row r="21" spans="1:20" ht="15" customHeight="1" x14ac:dyDescent="0.25">
      <c r="A21" s="1111"/>
      <c r="B21" s="506" t="s">
        <v>504</v>
      </c>
      <c r="C21" s="506">
        <v>2019</v>
      </c>
      <c r="D21" s="506">
        <v>2015</v>
      </c>
      <c r="E21" s="1112"/>
      <c r="F21" s="1112"/>
      <c r="G21" s="529"/>
      <c r="H21" s="1111"/>
      <c r="I21" s="506" t="s">
        <v>504</v>
      </c>
      <c r="J21" s="506">
        <f>J5</f>
        <v>2017</v>
      </c>
      <c r="K21" s="506">
        <f>K5</f>
        <v>2019</v>
      </c>
      <c r="L21" s="1112"/>
      <c r="M21" s="1112"/>
      <c r="N21" s="529"/>
      <c r="O21" s="1111"/>
      <c r="P21" s="506" t="s">
        <v>504</v>
      </c>
      <c r="Q21" s="506">
        <f>Q5</f>
        <v>2017</v>
      </c>
      <c r="R21" s="506">
        <f>R5</f>
        <v>2018</v>
      </c>
      <c r="S21" s="1112"/>
      <c r="T21" s="1112"/>
    </row>
    <row r="22" spans="1:20" ht="12.75" customHeight="1" x14ac:dyDescent="0.25">
      <c r="A22" s="1111"/>
      <c r="B22" s="507">
        <v>10</v>
      </c>
      <c r="C22" s="533" t="s">
        <v>100</v>
      </c>
      <c r="D22" s="533">
        <v>9.9999999999999995E-7</v>
      </c>
      <c r="E22" s="532">
        <f t="shared" ref="E22:E25" si="6">0.5*(MAX(C22:D22)-MIN(C22:D22))</f>
        <v>0</v>
      </c>
      <c r="F22" s="534">
        <v>1.4</v>
      </c>
      <c r="G22" s="529"/>
      <c r="H22" s="1111"/>
      <c r="I22" s="507">
        <v>10</v>
      </c>
      <c r="J22" s="533">
        <v>0</v>
      </c>
      <c r="K22" s="531">
        <v>0.1</v>
      </c>
      <c r="L22" s="532">
        <f t="shared" ref="L22:L25" si="7">0.5*(MAX(J22:K22)-MIN(J22:K22))</f>
        <v>0.05</v>
      </c>
      <c r="M22" s="533">
        <v>1.3</v>
      </c>
      <c r="N22" s="529"/>
      <c r="O22" s="1111"/>
      <c r="P22" s="507">
        <v>10</v>
      </c>
      <c r="Q22" s="533">
        <v>0.1</v>
      </c>
      <c r="R22" s="533">
        <v>0</v>
      </c>
      <c r="S22" s="532">
        <f t="shared" ref="S22:S25" si="8">0.5*(MAX(Q22:R22)-MIN(Q22:R22))</f>
        <v>0.05</v>
      </c>
      <c r="T22" s="534">
        <v>1.7</v>
      </c>
    </row>
    <row r="23" spans="1:20" ht="12.75" customHeight="1" x14ac:dyDescent="0.25">
      <c r="A23" s="1111"/>
      <c r="B23" s="507">
        <v>20</v>
      </c>
      <c r="C23" s="533" t="s">
        <v>100</v>
      </c>
      <c r="D23" s="533">
        <v>9.9999999999999995E-7</v>
      </c>
      <c r="E23" s="532">
        <f t="shared" si="6"/>
        <v>0</v>
      </c>
      <c r="F23" s="534">
        <v>1.4</v>
      </c>
      <c r="G23" s="529"/>
      <c r="H23" s="1111"/>
      <c r="I23" s="507">
        <v>20</v>
      </c>
      <c r="J23" s="533">
        <v>0.1</v>
      </c>
      <c r="K23" s="531">
        <v>0.2</v>
      </c>
      <c r="L23" s="532">
        <f t="shared" si="7"/>
        <v>0.05</v>
      </c>
      <c r="M23" s="533">
        <v>1.3</v>
      </c>
      <c r="N23" s="529"/>
      <c r="O23" s="1111"/>
      <c r="P23" s="507">
        <v>20</v>
      </c>
      <c r="Q23" s="533">
        <v>0.2</v>
      </c>
      <c r="R23" s="533">
        <v>0</v>
      </c>
      <c r="S23" s="532">
        <f t="shared" si="8"/>
        <v>0.1</v>
      </c>
      <c r="T23" s="534">
        <v>1.7</v>
      </c>
    </row>
    <row r="24" spans="1:20" ht="12.75" customHeight="1" x14ac:dyDescent="0.25">
      <c r="A24" s="1111"/>
      <c r="B24" s="507">
        <v>50</v>
      </c>
      <c r="C24" s="533" t="s">
        <v>100</v>
      </c>
      <c r="D24" s="533">
        <v>9.9999999999999995E-7</v>
      </c>
      <c r="E24" s="532">
        <f t="shared" si="6"/>
        <v>0</v>
      </c>
      <c r="F24" s="534">
        <v>1.4</v>
      </c>
      <c r="G24" s="529"/>
      <c r="H24" s="1111"/>
      <c r="I24" s="507">
        <v>50</v>
      </c>
      <c r="J24" s="533">
        <v>0.1</v>
      </c>
      <c r="K24" s="531">
        <v>0.3</v>
      </c>
      <c r="L24" s="532">
        <f t="shared" si="7"/>
        <v>9.9999999999999992E-2</v>
      </c>
      <c r="M24" s="533">
        <v>1.3</v>
      </c>
      <c r="N24" s="529"/>
      <c r="O24" s="1111"/>
      <c r="P24" s="507">
        <v>50</v>
      </c>
      <c r="Q24" s="533">
        <v>0.5</v>
      </c>
      <c r="R24" s="533">
        <v>0.3</v>
      </c>
      <c r="S24" s="532">
        <f t="shared" si="8"/>
        <v>0.1</v>
      </c>
      <c r="T24" s="534">
        <v>1.7</v>
      </c>
    </row>
    <row r="25" spans="1:20" ht="12.75" customHeight="1" x14ac:dyDescent="0.25">
      <c r="A25" s="1111"/>
      <c r="B25" s="507">
        <v>100</v>
      </c>
      <c r="C25" s="533" t="s">
        <v>100</v>
      </c>
      <c r="D25" s="533">
        <v>-0.3</v>
      </c>
      <c r="E25" s="532">
        <f t="shared" si="6"/>
        <v>0</v>
      </c>
      <c r="F25" s="534">
        <v>1.4</v>
      </c>
      <c r="G25" s="529"/>
      <c r="H25" s="1111"/>
      <c r="I25" s="507">
        <v>100</v>
      </c>
      <c r="J25" s="533">
        <v>0</v>
      </c>
      <c r="K25" s="531">
        <v>0.3</v>
      </c>
      <c r="L25" s="532">
        <f t="shared" si="7"/>
        <v>0.15</v>
      </c>
      <c r="M25" s="533">
        <v>1.3</v>
      </c>
      <c r="N25" s="529"/>
      <c r="O25" s="1111"/>
      <c r="P25" s="507">
        <v>100</v>
      </c>
      <c r="Q25" s="533">
        <v>1.7</v>
      </c>
      <c r="R25" s="533">
        <v>0.6</v>
      </c>
      <c r="S25" s="532">
        <f t="shared" si="8"/>
        <v>0.55000000000000004</v>
      </c>
      <c r="T25" s="534">
        <v>1.7</v>
      </c>
    </row>
    <row r="26" spans="1:20" ht="12.75" customHeight="1" x14ac:dyDescent="0.25">
      <c r="A26" s="1111"/>
      <c r="B26" s="1111" t="s">
        <v>315</v>
      </c>
      <c r="C26" s="1111"/>
      <c r="D26" s="1111"/>
      <c r="E26" s="1112" t="s">
        <v>310</v>
      </c>
      <c r="F26" s="1112" t="s">
        <v>170</v>
      </c>
      <c r="G26" s="529"/>
      <c r="H26" s="1111"/>
      <c r="I26" s="1111" t="str">
        <f>B26</f>
        <v>Resistance</v>
      </c>
      <c r="J26" s="1111"/>
      <c r="K26" s="1111"/>
      <c r="L26" s="1112" t="s">
        <v>310</v>
      </c>
      <c r="M26" s="1112" t="s">
        <v>170</v>
      </c>
      <c r="N26" s="529"/>
      <c r="O26" s="1111"/>
      <c r="P26" s="1111" t="str">
        <f>B26</f>
        <v>Resistance</v>
      </c>
      <c r="Q26" s="1111"/>
      <c r="R26" s="1111"/>
      <c r="S26" s="1112" t="s">
        <v>310</v>
      </c>
      <c r="T26" s="1112" t="s">
        <v>170</v>
      </c>
    </row>
    <row r="27" spans="1:20" ht="15" customHeight="1" x14ac:dyDescent="0.25">
      <c r="A27" s="1111"/>
      <c r="B27" s="506" t="s">
        <v>505</v>
      </c>
      <c r="C27" s="506">
        <f>C5</f>
        <v>2019</v>
      </c>
      <c r="D27" s="506">
        <f>D5</f>
        <v>2020</v>
      </c>
      <c r="E27" s="1112"/>
      <c r="F27" s="1112"/>
      <c r="G27" s="529"/>
      <c r="H27" s="1111"/>
      <c r="I27" s="506" t="s">
        <v>505</v>
      </c>
      <c r="J27" s="506">
        <f>J5</f>
        <v>2017</v>
      </c>
      <c r="K27" s="506">
        <f>K5</f>
        <v>2019</v>
      </c>
      <c r="L27" s="1112"/>
      <c r="M27" s="1112"/>
      <c r="N27" s="529"/>
      <c r="O27" s="1111"/>
      <c r="P27" s="506" t="s">
        <v>505</v>
      </c>
      <c r="Q27" s="506">
        <f>Q5</f>
        <v>2017</v>
      </c>
      <c r="R27" s="506">
        <f>R5</f>
        <v>2018</v>
      </c>
      <c r="S27" s="1112"/>
      <c r="T27" s="1112"/>
    </row>
    <row r="28" spans="1:20" ht="12.75" customHeight="1" x14ac:dyDescent="0.25">
      <c r="A28" s="1111"/>
      <c r="B28" s="507">
        <v>0.01</v>
      </c>
      <c r="C28" s="536">
        <v>9.9999999999999995E-7</v>
      </c>
      <c r="D28" s="536">
        <v>9.9999999999999995E-7</v>
      </c>
      <c r="E28" s="532">
        <f t="shared" ref="E28:E31" si="9">0.5*(MAX(C28:D28)-MIN(C28:D28))</f>
        <v>0</v>
      </c>
      <c r="F28" s="507">
        <v>0.43</v>
      </c>
      <c r="G28" s="529"/>
      <c r="H28" s="1111"/>
      <c r="I28" s="507">
        <v>0.01</v>
      </c>
      <c r="J28" s="535">
        <v>9.9999999999999995E-7</v>
      </c>
      <c r="K28" s="536">
        <v>9.9999999999999995E-7</v>
      </c>
      <c r="L28" s="532">
        <f t="shared" ref="L28:L31" si="10">0.5*(MAX(J28:K28)-MIN(J28:K28))</f>
        <v>0</v>
      </c>
      <c r="M28" s="507">
        <v>0.43</v>
      </c>
      <c r="N28" s="529"/>
      <c r="O28" s="1111"/>
      <c r="P28" s="507">
        <v>0.01</v>
      </c>
      <c r="Q28" s="535">
        <v>9.9999999999999995E-7</v>
      </c>
      <c r="R28" s="535">
        <v>9.9999999999999995E-7</v>
      </c>
      <c r="S28" s="532">
        <f t="shared" ref="S28:S31" si="11">0.5*(MAX(Q28:R28)-MIN(Q28:R28))</f>
        <v>0</v>
      </c>
      <c r="T28" s="534">
        <v>1.2</v>
      </c>
    </row>
    <row r="29" spans="1:20" ht="12.75" customHeight="1" x14ac:dyDescent="0.25">
      <c r="A29" s="1111"/>
      <c r="B29" s="507">
        <v>0.1</v>
      </c>
      <c r="C29" s="536">
        <v>2E-3</v>
      </c>
      <c r="D29" s="536">
        <v>-1E-3</v>
      </c>
      <c r="E29" s="532">
        <f t="shared" si="9"/>
        <v>1.5E-3</v>
      </c>
      <c r="F29" s="507">
        <v>0.43</v>
      </c>
      <c r="G29" s="529"/>
      <c r="H29" s="1111"/>
      <c r="I29" s="507">
        <v>0.1</v>
      </c>
      <c r="J29" s="535">
        <v>5.0000000000000001E-3</v>
      </c>
      <c r="K29" s="536">
        <v>6.0000000000000001E-3</v>
      </c>
      <c r="L29" s="532">
        <f t="shared" si="10"/>
        <v>5.0000000000000001E-4</v>
      </c>
      <c r="M29" s="507">
        <v>0.43</v>
      </c>
      <c r="N29" s="529"/>
      <c r="O29" s="1111"/>
      <c r="P29" s="507">
        <v>0.1</v>
      </c>
      <c r="Q29" s="535">
        <v>9.9999999999999995E-7</v>
      </c>
      <c r="R29" s="535">
        <v>9.9999999999999995E-7</v>
      </c>
      <c r="S29" s="532">
        <f t="shared" si="11"/>
        <v>0</v>
      </c>
      <c r="T29" s="534">
        <v>1.2</v>
      </c>
    </row>
    <row r="30" spans="1:20" ht="12.75" customHeight="1" x14ac:dyDescent="0.25">
      <c r="A30" s="1111"/>
      <c r="B30" s="507">
        <v>1</v>
      </c>
      <c r="C30" s="536">
        <v>1.2E-2</v>
      </c>
      <c r="D30" s="536">
        <v>4.0000000000000001E-3</v>
      </c>
      <c r="E30" s="532">
        <f t="shared" si="9"/>
        <v>4.0000000000000001E-3</v>
      </c>
      <c r="F30" s="507">
        <v>0.43</v>
      </c>
      <c r="G30" s="529"/>
      <c r="H30" s="1111"/>
      <c r="I30" s="507">
        <v>1</v>
      </c>
      <c r="J30" s="535">
        <v>5.5E-2</v>
      </c>
      <c r="K30" s="536">
        <v>4.4999999999999998E-2</v>
      </c>
      <c r="L30" s="532">
        <f t="shared" si="10"/>
        <v>5.000000000000001E-3</v>
      </c>
      <c r="M30" s="507">
        <v>0.43</v>
      </c>
      <c r="N30" s="529"/>
      <c r="O30" s="1111"/>
      <c r="P30" s="507">
        <v>1</v>
      </c>
      <c r="Q30" s="535">
        <v>-2E-3</v>
      </c>
      <c r="R30" s="535">
        <v>9.9999999999999995E-7</v>
      </c>
      <c r="S30" s="532">
        <f t="shared" si="11"/>
        <v>1.0005000000000001E-3</v>
      </c>
      <c r="T30" s="534">
        <v>1.2</v>
      </c>
    </row>
    <row r="31" spans="1:20" ht="12.75" customHeight="1" x14ac:dyDescent="0.25">
      <c r="A31" s="1111"/>
      <c r="B31" s="507">
        <v>2</v>
      </c>
      <c r="C31" s="536">
        <v>9.9999999999999995E-7</v>
      </c>
      <c r="D31" s="536">
        <v>7.0000000000000001E-3</v>
      </c>
      <c r="E31" s="532">
        <f t="shared" si="9"/>
        <v>3.4995E-3</v>
      </c>
      <c r="F31" s="507">
        <v>0.43</v>
      </c>
      <c r="G31" s="529"/>
      <c r="H31" s="1111"/>
      <c r="I31" s="507">
        <v>2</v>
      </c>
      <c r="J31" s="535">
        <v>9.9999999999999995E-7</v>
      </c>
      <c r="K31" s="536">
        <v>9.9999999999999995E-7</v>
      </c>
      <c r="L31" s="532">
        <f t="shared" si="10"/>
        <v>0</v>
      </c>
      <c r="M31" s="507">
        <v>0.43</v>
      </c>
      <c r="N31" s="529"/>
      <c r="O31" s="1111"/>
      <c r="P31" s="507">
        <v>2</v>
      </c>
      <c r="Q31" s="535">
        <v>9.9999999999999995E-7</v>
      </c>
      <c r="R31" s="535">
        <v>9.9999999999999995E-7</v>
      </c>
      <c r="S31" s="532">
        <f t="shared" si="11"/>
        <v>0</v>
      </c>
      <c r="T31" s="534">
        <v>1.2</v>
      </c>
    </row>
    <row r="32" spans="1:20" x14ac:dyDescent="0.25">
      <c r="A32" s="537"/>
      <c r="B32" s="529"/>
      <c r="C32" s="529"/>
      <c r="D32" s="529"/>
      <c r="E32" s="529"/>
      <c r="F32" s="529"/>
      <c r="G32" s="529"/>
      <c r="H32" s="529"/>
      <c r="I32" s="529"/>
      <c r="J32" s="529"/>
      <c r="K32" s="529"/>
      <c r="L32" s="529"/>
      <c r="M32" s="529"/>
      <c r="N32" s="529"/>
      <c r="O32" s="529"/>
      <c r="P32" s="529"/>
      <c r="Q32" s="529"/>
      <c r="R32" s="529"/>
      <c r="S32" s="529"/>
      <c r="T32" s="538"/>
    </row>
    <row r="33" spans="1:20" ht="15" customHeight="1" x14ac:dyDescent="0.25">
      <c r="A33" s="1111" t="s">
        <v>316</v>
      </c>
      <c r="B33" s="1112" t="s">
        <v>317</v>
      </c>
      <c r="C33" s="1112"/>
      <c r="D33" s="1112"/>
      <c r="E33" s="1112"/>
      <c r="F33" s="1112"/>
      <c r="G33" s="539"/>
      <c r="H33" s="1111" t="s">
        <v>318</v>
      </c>
      <c r="I33" s="1115" t="s">
        <v>319</v>
      </c>
      <c r="J33" s="1115"/>
      <c r="K33" s="1115"/>
      <c r="L33" s="1115"/>
      <c r="M33" s="1115"/>
      <c r="N33" s="503"/>
      <c r="O33" s="1111" t="s">
        <v>320</v>
      </c>
      <c r="P33" s="1112" t="s">
        <v>321</v>
      </c>
      <c r="Q33" s="1112"/>
      <c r="R33" s="1112"/>
      <c r="S33" s="1112"/>
      <c r="T33" s="1112"/>
    </row>
    <row r="34" spans="1:20" ht="15" customHeight="1" x14ac:dyDescent="0.25">
      <c r="A34" s="1111"/>
      <c r="B34" s="1116" t="s">
        <v>308</v>
      </c>
      <c r="C34" s="1116"/>
      <c r="D34" s="1116"/>
      <c r="E34" s="1116"/>
      <c r="F34" s="1116"/>
      <c r="G34" s="504"/>
      <c r="H34" s="1111"/>
      <c r="I34" s="1116" t="s">
        <v>308</v>
      </c>
      <c r="J34" s="1116"/>
      <c r="K34" s="1116"/>
      <c r="L34" s="1116"/>
      <c r="M34" s="1116"/>
      <c r="N34" s="505"/>
      <c r="O34" s="1111"/>
      <c r="P34" s="1116" t="s">
        <v>308</v>
      </c>
      <c r="Q34" s="1116"/>
      <c r="R34" s="1116"/>
      <c r="S34" s="1116"/>
      <c r="T34" s="1116"/>
    </row>
    <row r="35" spans="1:20" ht="12.75" customHeight="1" x14ac:dyDescent="0.25">
      <c r="A35" s="1111"/>
      <c r="B35" s="1112" t="str">
        <f>B4</f>
        <v>Setting VAC</v>
      </c>
      <c r="C35" s="1112"/>
      <c r="D35" s="1112"/>
      <c r="E35" s="506" t="s">
        <v>310</v>
      </c>
      <c r="F35" s="506" t="s">
        <v>170</v>
      </c>
      <c r="G35" s="529"/>
      <c r="H35" s="1111"/>
      <c r="I35" s="1112" t="str">
        <f>B35</f>
        <v>Setting VAC</v>
      </c>
      <c r="J35" s="1112"/>
      <c r="K35" s="1112"/>
      <c r="L35" s="506" t="s">
        <v>310</v>
      </c>
      <c r="M35" s="506" t="s">
        <v>170</v>
      </c>
      <c r="N35" s="529"/>
      <c r="O35" s="1111"/>
      <c r="P35" s="1112" t="str">
        <f>I35</f>
        <v>Setting VAC</v>
      </c>
      <c r="Q35" s="1112"/>
      <c r="R35" s="1112"/>
      <c r="S35" s="1112" t="s">
        <v>310</v>
      </c>
      <c r="T35" s="1112" t="s">
        <v>170</v>
      </c>
    </row>
    <row r="36" spans="1:20" ht="15" customHeight="1" x14ac:dyDescent="0.25">
      <c r="A36" s="1111"/>
      <c r="B36" s="506" t="s">
        <v>311</v>
      </c>
      <c r="C36" s="506">
        <v>2017</v>
      </c>
      <c r="D36" s="506">
        <v>2019</v>
      </c>
      <c r="E36" s="506"/>
      <c r="F36" s="506"/>
      <c r="G36" s="529"/>
      <c r="H36" s="1111"/>
      <c r="I36" s="506" t="s">
        <v>311</v>
      </c>
      <c r="J36" s="506">
        <v>2017</v>
      </c>
      <c r="K36" s="506">
        <v>2019</v>
      </c>
      <c r="L36" s="506"/>
      <c r="M36" s="506"/>
      <c r="N36" s="529"/>
      <c r="O36" s="1111"/>
      <c r="P36" s="506" t="s">
        <v>311</v>
      </c>
      <c r="Q36" s="506">
        <v>2018</v>
      </c>
      <c r="R36" s="506">
        <v>2019</v>
      </c>
      <c r="S36" s="1112"/>
      <c r="T36" s="1112"/>
    </row>
    <row r="37" spans="1:20" ht="12.75" customHeight="1" x14ac:dyDescent="0.25">
      <c r="A37" s="1111"/>
      <c r="B37" s="507">
        <v>150</v>
      </c>
      <c r="C37" s="533">
        <v>-0.09</v>
      </c>
      <c r="D37" s="533">
        <v>0.11</v>
      </c>
      <c r="E37" s="532">
        <f>0.5*(MAX(C37:D37)-MIN(C37:D37))</f>
        <v>0.1</v>
      </c>
      <c r="F37" s="507">
        <v>0.47</v>
      </c>
      <c r="G37" s="529"/>
      <c r="H37" s="1111"/>
      <c r="I37" s="540">
        <v>150</v>
      </c>
      <c r="J37" s="533">
        <v>-0.06</v>
      </c>
      <c r="K37" s="533">
        <v>0.02</v>
      </c>
      <c r="L37" s="532">
        <f t="shared" ref="L37:L42" si="12">0.5*(MAX(J37:K37)-MIN(J37:K37))</f>
        <v>0.04</v>
      </c>
      <c r="M37" s="507">
        <v>0.47</v>
      </c>
      <c r="N37" s="529"/>
      <c r="O37" s="1111"/>
      <c r="P37" s="530">
        <v>150</v>
      </c>
      <c r="Q37" s="533">
        <v>0.03</v>
      </c>
      <c r="R37" s="533">
        <v>-0.15</v>
      </c>
      <c r="S37" s="532">
        <f t="shared" ref="S37:S42" si="13">0.5*(MAX(Q37:R37)-MIN(Q37:R37))</f>
        <v>0.09</v>
      </c>
      <c r="T37" s="534">
        <v>1.2</v>
      </c>
    </row>
    <row r="38" spans="1:20" ht="12.75" customHeight="1" x14ac:dyDescent="0.25">
      <c r="A38" s="1111"/>
      <c r="B38" s="507">
        <v>180</v>
      </c>
      <c r="C38" s="533">
        <v>-0.09</v>
      </c>
      <c r="D38" s="533">
        <v>0.03</v>
      </c>
      <c r="E38" s="532">
        <f t="shared" ref="E38:E42" si="14">0.5*(MAX(C38:D38)-MIN(C38:D38))</f>
        <v>0.06</v>
      </c>
      <c r="F38" s="507">
        <v>0.47</v>
      </c>
      <c r="G38" s="529"/>
      <c r="H38" s="1111"/>
      <c r="I38" s="540">
        <v>180</v>
      </c>
      <c r="J38" s="533">
        <v>-0.11</v>
      </c>
      <c r="K38" s="533">
        <v>0.1</v>
      </c>
      <c r="L38" s="532">
        <f t="shared" si="12"/>
        <v>0.10500000000000001</v>
      </c>
      <c r="M38" s="507">
        <v>0.47</v>
      </c>
      <c r="N38" s="529"/>
      <c r="O38" s="1111"/>
      <c r="P38" s="530">
        <v>180</v>
      </c>
      <c r="Q38" s="533">
        <v>9.9999999999999995E-7</v>
      </c>
      <c r="R38" s="533">
        <v>-0.11</v>
      </c>
      <c r="S38" s="532">
        <f t="shared" si="13"/>
        <v>5.5000500000000001E-2</v>
      </c>
      <c r="T38" s="534">
        <v>1.2</v>
      </c>
    </row>
    <row r="39" spans="1:20" ht="12.75" customHeight="1" x14ac:dyDescent="0.25">
      <c r="A39" s="1111"/>
      <c r="B39" s="507">
        <v>200</v>
      </c>
      <c r="C39" s="533">
        <v>-0.14000000000000001</v>
      </c>
      <c r="D39" s="533">
        <v>0.05</v>
      </c>
      <c r="E39" s="532">
        <f t="shared" si="14"/>
        <v>9.5000000000000001E-2</v>
      </c>
      <c r="F39" s="507">
        <v>0.47</v>
      </c>
      <c r="G39" s="529"/>
      <c r="H39" s="1111"/>
      <c r="I39" s="540">
        <v>200</v>
      </c>
      <c r="J39" s="533">
        <v>-0.17</v>
      </c>
      <c r="K39" s="533">
        <v>-0.03</v>
      </c>
      <c r="L39" s="532">
        <f t="shared" si="12"/>
        <v>7.0000000000000007E-2</v>
      </c>
      <c r="M39" s="507">
        <v>0.47</v>
      </c>
      <c r="N39" s="529"/>
      <c r="O39" s="1111"/>
      <c r="P39" s="530">
        <v>200</v>
      </c>
      <c r="Q39" s="533">
        <v>0.05</v>
      </c>
      <c r="R39" s="533">
        <v>-0.1</v>
      </c>
      <c r="S39" s="532">
        <f t="shared" si="13"/>
        <v>7.5000000000000011E-2</v>
      </c>
      <c r="T39" s="534">
        <v>1.2</v>
      </c>
    </row>
    <row r="40" spans="1:20" ht="12.75" customHeight="1" x14ac:dyDescent="0.25">
      <c r="A40" s="1111"/>
      <c r="B40" s="507">
        <v>220</v>
      </c>
      <c r="C40" s="533">
        <v>-0.19</v>
      </c>
      <c r="D40" s="533">
        <v>0.1</v>
      </c>
      <c r="E40" s="532">
        <f t="shared" si="14"/>
        <v>0.14500000000000002</v>
      </c>
      <c r="F40" s="507">
        <v>0.47</v>
      </c>
      <c r="G40" s="529"/>
      <c r="H40" s="1111"/>
      <c r="I40" s="540">
        <v>220</v>
      </c>
      <c r="J40" s="533">
        <v>-0.25</v>
      </c>
      <c r="K40" s="533">
        <v>0.38</v>
      </c>
      <c r="L40" s="532">
        <f t="shared" si="12"/>
        <v>0.315</v>
      </c>
      <c r="M40" s="507">
        <v>0.47</v>
      </c>
      <c r="N40" s="529"/>
      <c r="O40" s="1111"/>
      <c r="P40" s="530">
        <v>220</v>
      </c>
      <c r="Q40" s="533">
        <v>0.05</v>
      </c>
      <c r="R40" s="533">
        <v>-0.13</v>
      </c>
      <c r="S40" s="532">
        <f t="shared" si="13"/>
        <v>0.09</v>
      </c>
      <c r="T40" s="534">
        <v>1.2</v>
      </c>
    </row>
    <row r="41" spans="1:20" ht="12.75" customHeight="1" x14ac:dyDescent="0.25">
      <c r="A41" s="1111"/>
      <c r="B41" s="507">
        <v>230</v>
      </c>
      <c r="C41" s="533">
        <v>-0.2</v>
      </c>
      <c r="D41" s="533">
        <v>0.36799999999999999</v>
      </c>
      <c r="E41" s="532">
        <f t="shared" si="14"/>
        <v>0.28400000000000003</v>
      </c>
      <c r="F41" s="507">
        <v>0.47</v>
      </c>
      <c r="G41" s="529"/>
      <c r="H41" s="1111"/>
      <c r="I41" s="540">
        <v>230</v>
      </c>
      <c r="J41" s="533">
        <v>-0.23</v>
      </c>
      <c r="K41" s="533">
        <v>-0.16</v>
      </c>
      <c r="L41" s="532">
        <f t="shared" si="12"/>
        <v>3.5000000000000003E-2</v>
      </c>
      <c r="M41" s="507">
        <v>0.47</v>
      </c>
      <c r="N41" s="529"/>
      <c r="O41" s="1111"/>
      <c r="P41" s="530">
        <v>230</v>
      </c>
      <c r="Q41" s="533">
        <v>-0.05</v>
      </c>
      <c r="R41" s="533">
        <v>-0.15</v>
      </c>
      <c r="S41" s="532">
        <f t="shared" si="13"/>
        <v>4.9999999999999996E-2</v>
      </c>
      <c r="T41" s="534">
        <v>1.2</v>
      </c>
    </row>
    <row r="42" spans="1:20" ht="12.75" customHeight="1" x14ac:dyDescent="0.25">
      <c r="A42" s="1111"/>
      <c r="B42" s="507">
        <v>250</v>
      </c>
      <c r="C42" s="533">
        <v>9.9999999999999995E-7</v>
      </c>
      <c r="D42" s="533">
        <v>9.9999999999999995E-7</v>
      </c>
      <c r="E42" s="532">
        <f t="shared" si="14"/>
        <v>0</v>
      </c>
      <c r="F42" s="507">
        <v>0.47</v>
      </c>
      <c r="G42" s="529"/>
      <c r="H42" s="1111"/>
      <c r="I42" s="540">
        <v>250</v>
      </c>
      <c r="J42" s="533">
        <v>9.9999999999999995E-7</v>
      </c>
      <c r="K42" s="533">
        <v>9.9999999999999995E-7</v>
      </c>
      <c r="L42" s="532">
        <f t="shared" si="12"/>
        <v>0</v>
      </c>
      <c r="M42" s="507">
        <v>0.47</v>
      </c>
      <c r="N42" s="529"/>
      <c r="O42" s="1111"/>
      <c r="P42" s="530">
        <v>250</v>
      </c>
      <c r="Q42" s="533">
        <v>9.9999999999999995E-7</v>
      </c>
      <c r="R42" s="533">
        <v>9.9999999999999995E-7</v>
      </c>
      <c r="S42" s="532">
        <f t="shared" si="13"/>
        <v>0</v>
      </c>
      <c r="T42" s="534">
        <v>1.2</v>
      </c>
    </row>
    <row r="43" spans="1:20" ht="12.75" customHeight="1" x14ac:dyDescent="0.25">
      <c r="A43" s="1111"/>
      <c r="B43" s="1111" t="str">
        <f>B12</f>
        <v>Current Leakage</v>
      </c>
      <c r="C43" s="1111"/>
      <c r="D43" s="1111"/>
      <c r="E43" s="506" t="s">
        <v>310</v>
      </c>
      <c r="F43" s="506" t="s">
        <v>170</v>
      </c>
      <c r="G43" s="529"/>
      <c r="H43" s="1111"/>
      <c r="I43" s="1111" t="str">
        <f>B43</f>
        <v>Current Leakage</v>
      </c>
      <c r="J43" s="1111"/>
      <c r="K43" s="1111"/>
      <c r="L43" s="506" t="s">
        <v>310</v>
      </c>
      <c r="M43" s="506" t="s">
        <v>170</v>
      </c>
      <c r="N43" s="529"/>
      <c r="O43" s="1111"/>
      <c r="P43" s="1111" t="str">
        <f>I43</f>
        <v>Current Leakage</v>
      </c>
      <c r="Q43" s="1111"/>
      <c r="R43" s="1111"/>
      <c r="S43" s="1112" t="s">
        <v>310</v>
      </c>
      <c r="T43" s="1112" t="s">
        <v>170</v>
      </c>
    </row>
    <row r="44" spans="1:20" ht="15" customHeight="1" x14ac:dyDescent="0.25">
      <c r="A44" s="1111"/>
      <c r="B44" s="506" t="s">
        <v>313</v>
      </c>
      <c r="C44" s="506">
        <f>C36</f>
        <v>2017</v>
      </c>
      <c r="D44" s="506">
        <f>D36</f>
        <v>2019</v>
      </c>
      <c r="E44" s="506"/>
      <c r="F44" s="506"/>
      <c r="G44" s="529"/>
      <c r="H44" s="1111"/>
      <c r="I44" s="506" t="s">
        <v>313</v>
      </c>
      <c r="J44" s="506">
        <f>J36</f>
        <v>2017</v>
      </c>
      <c r="K44" s="506">
        <f>K36</f>
        <v>2019</v>
      </c>
      <c r="L44" s="506"/>
      <c r="M44" s="506"/>
      <c r="N44" s="529"/>
      <c r="O44" s="1111"/>
      <c r="P44" s="506" t="s">
        <v>313</v>
      </c>
      <c r="Q44" s="506">
        <f>Q36</f>
        <v>2018</v>
      </c>
      <c r="R44" s="506">
        <f>R36</f>
        <v>2019</v>
      </c>
      <c r="S44" s="1112"/>
      <c r="T44" s="1112"/>
    </row>
    <row r="45" spans="1:20" ht="12.75" customHeight="1" x14ac:dyDescent="0.25">
      <c r="A45" s="1111"/>
      <c r="B45" s="507">
        <v>0</v>
      </c>
      <c r="C45" s="533">
        <v>9.9999999999999995E-7</v>
      </c>
      <c r="D45" s="533">
        <v>9.9999999999999995E-7</v>
      </c>
      <c r="E45" s="532">
        <f>0.5*(MAX(C45:D45)-MIN(C45:D45))</f>
        <v>0</v>
      </c>
      <c r="F45" s="507">
        <v>0.28999999999999998</v>
      </c>
      <c r="G45" s="529"/>
      <c r="H45" s="1111"/>
      <c r="I45" s="540">
        <v>0</v>
      </c>
      <c r="J45" s="533">
        <v>9.9999999999999995E-7</v>
      </c>
      <c r="K45" s="533">
        <v>9.9999999999999995E-7</v>
      </c>
      <c r="L45" s="532">
        <f t="shared" ref="L45:L50" si="15">0.5*(MAX(J45:K45)-MIN(J45:K45))</f>
        <v>0</v>
      </c>
      <c r="M45" s="507">
        <v>0.28999999999999998</v>
      </c>
      <c r="N45" s="529"/>
      <c r="O45" s="1111"/>
      <c r="P45" s="507">
        <v>0</v>
      </c>
      <c r="Q45" s="533">
        <v>9.9999999999999995E-7</v>
      </c>
      <c r="R45" s="533">
        <v>9.9999999999999995E-7</v>
      </c>
      <c r="S45" s="532">
        <f t="shared" ref="S45:S50" si="16">0.5*(MAX(Q45:R45)-MIN(Q45:R45))</f>
        <v>0</v>
      </c>
      <c r="T45" s="507">
        <v>0.59</v>
      </c>
    </row>
    <row r="46" spans="1:20" ht="12.75" customHeight="1" x14ac:dyDescent="0.25">
      <c r="A46" s="1111"/>
      <c r="B46" s="507">
        <v>50</v>
      </c>
      <c r="C46" s="533">
        <v>-0.1</v>
      </c>
      <c r="D46" s="533">
        <v>0.2</v>
      </c>
      <c r="E46" s="532">
        <f t="shared" ref="E46:E50" si="17">0.5*(MAX(C46:D46)-MIN(C46:D46))</f>
        <v>0.15000000000000002</v>
      </c>
      <c r="F46" s="507">
        <v>0.28999999999999998</v>
      </c>
      <c r="G46" s="529"/>
      <c r="H46" s="1111"/>
      <c r="I46" s="540">
        <v>50</v>
      </c>
      <c r="J46" s="533">
        <v>4.7</v>
      </c>
      <c r="K46" s="533">
        <v>-0.33</v>
      </c>
      <c r="L46" s="532">
        <f t="shared" si="15"/>
        <v>2.5150000000000001</v>
      </c>
      <c r="M46" s="507">
        <v>0.28999999999999998</v>
      </c>
      <c r="N46" s="529"/>
      <c r="O46" s="1111"/>
      <c r="P46" s="507">
        <v>50</v>
      </c>
      <c r="Q46" s="533">
        <v>2.1</v>
      </c>
      <c r="R46" s="533">
        <v>2.6</v>
      </c>
      <c r="S46" s="532">
        <f t="shared" si="16"/>
        <v>0.25</v>
      </c>
      <c r="T46" s="507">
        <v>0.59</v>
      </c>
    </row>
    <row r="47" spans="1:20" ht="12.75" customHeight="1" x14ac:dyDescent="0.25">
      <c r="A47" s="1111"/>
      <c r="B47" s="507">
        <v>100</v>
      </c>
      <c r="C47" s="533">
        <v>-0.1</v>
      </c>
      <c r="D47" s="533">
        <v>0.3</v>
      </c>
      <c r="E47" s="532">
        <f t="shared" si="17"/>
        <v>0.2</v>
      </c>
      <c r="F47" s="507">
        <v>0.28999999999999998</v>
      </c>
      <c r="G47" s="529"/>
      <c r="H47" s="1111"/>
      <c r="I47" s="540">
        <v>100</v>
      </c>
      <c r="J47" s="533">
        <v>4.4000000000000004</v>
      </c>
      <c r="K47" s="533">
        <v>-0.42</v>
      </c>
      <c r="L47" s="532">
        <f t="shared" si="15"/>
        <v>2.41</v>
      </c>
      <c r="M47" s="507">
        <v>0.28999999999999998</v>
      </c>
      <c r="N47" s="529"/>
      <c r="O47" s="1111"/>
      <c r="P47" s="507">
        <v>100</v>
      </c>
      <c r="Q47" s="533">
        <v>2.2999999999999998</v>
      </c>
      <c r="R47" s="533">
        <v>2.6</v>
      </c>
      <c r="S47" s="532">
        <f t="shared" si="16"/>
        <v>0.15000000000000013</v>
      </c>
      <c r="T47" s="507">
        <v>0.59</v>
      </c>
    </row>
    <row r="48" spans="1:20" ht="12.75" customHeight="1" x14ac:dyDescent="0.25">
      <c r="A48" s="1111"/>
      <c r="B48" s="507">
        <v>200</v>
      </c>
      <c r="C48" s="533">
        <v>1.1000000000000001</v>
      </c>
      <c r="D48" s="533">
        <v>1.4</v>
      </c>
      <c r="E48" s="532">
        <f t="shared" si="17"/>
        <v>0.14999999999999991</v>
      </c>
      <c r="F48" s="507">
        <v>0.28999999999999998</v>
      </c>
      <c r="G48" s="529"/>
      <c r="H48" s="1111"/>
      <c r="I48" s="540">
        <v>200</v>
      </c>
      <c r="J48" s="533">
        <v>15.6</v>
      </c>
      <c r="K48" s="533">
        <v>1.3</v>
      </c>
      <c r="L48" s="532">
        <f t="shared" si="15"/>
        <v>7.1499999999999995</v>
      </c>
      <c r="M48" s="507">
        <v>0.28999999999999998</v>
      </c>
      <c r="N48" s="529"/>
      <c r="O48" s="1111"/>
      <c r="P48" s="507">
        <v>200</v>
      </c>
      <c r="Q48" s="533">
        <v>0.2</v>
      </c>
      <c r="R48" s="533">
        <v>3.1</v>
      </c>
      <c r="S48" s="532">
        <f t="shared" si="16"/>
        <v>1.45</v>
      </c>
      <c r="T48" s="507">
        <v>0.59</v>
      </c>
    </row>
    <row r="49" spans="1:20" ht="12.75" customHeight="1" x14ac:dyDescent="0.25">
      <c r="A49" s="1111"/>
      <c r="B49" s="507">
        <v>500</v>
      </c>
      <c r="C49" s="533">
        <v>0.9</v>
      </c>
      <c r="D49" s="533">
        <v>2.8</v>
      </c>
      <c r="E49" s="532">
        <f t="shared" si="17"/>
        <v>0.95</v>
      </c>
      <c r="F49" s="507">
        <v>0.28999999999999998</v>
      </c>
      <c r="G49" s="529"/>
      <c r="H49" s="1111"/>
      <c r="I49" s="540">
        <v>500</v>
      </c>
      <c r="J49" s="533">
        <v>14.3</v>
      </c>
      <c r="K49" s="533">
        <v>0.7</v>
      </c>
      <c r="L49" s="532">
        <f t="shared" si="15"/>
        <v>6.8000000000000007</v>
      </c>
      <c r="M49" s="507">
        <v>0.28999999999999998</v>
      </c>
      <c r="N49" s="529"/>
      <c r="O49" s="1111"/>
      <c r="P49" s="507">
        <v>500</v>
      </c>
      <c r="Q49" s="533">
        <v>2.8</v>
      </c>
      <c r="R49" s="533">
        <v>3.9</v>
      </c>
      <c r="S49" s="532">
        <f t="shared" si="16"/>
        <v>0.55000000000000004</v>
      </c>
      <c r="T49" s="507">
        <v>0.59</v>
      </c>
    </row>
    <row r="50" spans="1:20" ht="12.75" customHeight="1" x14ac:dyDescent="0.25">
      <c r="A50" s="1111"/>
      <c r="B50" s="507">
        <v>1000</v>
      </c>
      <c r="C50" s="533">
        <v>2</v>
      </c>
      <c r="D50" s="533">
        <v>1.2E-2</v>
      </c>
      <c r="E50" s="532">
        <f t="shared" si="17"/>
        <v>0.99399999999999999</v>
      </c>
      <c r="F50" s="507">
        <v>0.28999999999999998</v>
      </c>
      <c r="G50" s="529"/>
      <c r="H50" s="1111"/>
      <c r="I50" s="540">
        <v>1000</v>
      </c>
      <c r="J50" s="533">
        <v>15</v>
      </c>
      <c r="K50" s="533">
        <v>2E-3</v>
      </c>
      <c r="L50" s="532">
        <f t="shared" si="15"/>
        <v>7.4989999999999997</v>
      </c>
      <c r="M50" s="507">
        <v>0.28999999999999998</v>
      </c>
      <c r="N50" s="529"/>
      <c r="O50" s="1111"/>
      <c r="P50" s="507">
        <v>1000</v>
      </c>
      <c r="Q50" s="535">
        <v>13</v>
      </c>
      <c r="R50" s="535">
        <v>5.0000000000000001E-3</v>
      </c>
      <c r="S50" s="532">
        <f t="shared" si="16"/>
        <v>6.4974999999999996</v>
      </c>
      <c r="T50" s="507">
        <v>0.59</v>
      </c>
    </row>
    <row r="51" spans="1:20" ht="12.75" customHeight="1" x14ac:dyDescent="0.25">
      <c r="A51" s="1111"/>
      <c r="B51" s="1111" t="str">
        <f>B20</f>
        <v>Main-PE</v>
      </c>
      <c r="C51" s="1111"/>
      <c r="D51" s="1111"/>
      <c r="E51" s="506" t="s">
        <v>310</v>
      </c>
      <c r="F51" s="506" t="s">
        <v>170</v>
      </c>
      <c r="G51" s="529"/>
      <c r="H51" s="1111"/>
      <c r="I51" s="1111" t="str">
        <f>B51</f>
        <v>Main-PE</v>
      </c>
      <c r="J51" s="1111"/>
      <c r="K51" s="1111"/>
      <c r="L51" s="506" t="s">
        <v>310</v>
      </c>
      <c r="M51" s="506" t="s">
        <v>170</v>
      </c>
      <c r="N51" s="529"/>
      <c r="O51" s="1111"/>
      <c r="P51" s="1111" t="str">
        <f>I51</f>
        <v>Main-PE</v>
      </c>
      <c r="Q51" s="1111"/>
      <c r="R51" s="1111"/>
      <c r="S51" s="1112" t="s">
        <v>310</v>
      </c>
      <c r="T51" s="1112" t="s">
        <v>170</v>
      </c>
    </row>
    <row r="52" spans="1:20" ht="15" customHeight="1" x14ac:dyDescent="0.25">
      <c r="A52" s="1111"/>
      <c r="B52" s="506" t="s">
        <v>504</v>
      </c>
      <c r="C52" s="506">
        <f>C36</f>
        <v>2017</v>
      </c>
      <c r="D52" s="506">
        <f>D36</f>
        <v>2019</v>
      </c>
      <c r="E52" s="506"/>
      <c r="F52" s="506"/>
      <c r="G52" s="529"/>
      <c r="H52" s="1111"/>
      <c r="I52" s="506" t="s">
        <v>504</v>
      </c>
      <c r="J52" s="506">
        <f>J36</f>
        <v>2017</v>
      </c>
      <c r="K52" s="506">
        <f>K36</f>
        <v>2019</v>
      </c>
      <c r="L52" s="506"/>
      <c r="M52" s="506"/>
      <c r="N52" s="529"/>
      <c r="O52" s="1111"/>
      <c r="P52" s="506" t="s">
        <v>504</v>
      </c>
      <c r="Q52" s="506">
        <f>Q36</f>
        <v>2018</v>
      </c>
      <c r="R52" s="506">
        <f>R36</f>
        <v>2019</v>
      </c>
      <c r="S52" s="1112"/>
      <c r="T52" s="1112"/>
    </row>
    <row r="53" spans="1:20" ht="12.75" customHeight="1" x14ac:dyDescent="0.25">
      <c r="A53" s="1111"/>
      <c r="B53" s="507">
        <v>10</v>
      </c>
      <c r="C53" s="533">
        <v>9.9999999999999995E-7</v>
      </c>
      <c r="D53" s="533">
        <v>0.1</v>
      </c>
      <c r="E53" s="532">
        <f>0.5*(MAX(C53:D53)-MIN(C53:D53))</f>
        <v>4.9999500000000002E-2</v>
      </c>
      <c r="F53" s="534">
        <v>1.3</v>
      </c>
      <c r="G53" s="529"/>
      <c r="H53" s="1111"/>
      <c r="I53" s="507">
        <v>10</v>
      </c>
      <c r="J53" s="533">
        <v>9.9999999999999995E-7</v>
      </c>
      <c r="K53" s="533">
        <v>0.1</v>
      </c>
      <c r="L53" s="532">
        <f>0.5*(MAX(J53:K53)-MIN(J53:K53))</f>
        <v>4.9999500000000002E-2</v>
      </c>
      <c r="M53" s="534">
        <v>1.3</v>
      </c>
      <c r="N53" s="529"/>
      <c r="O53" s="1111"/>
      <c r="P53" s="507">
        <v>10</v>
      </c>
      <c r="Q53" s="533">
        <v>9.9999999999999995E-7</v>
      </c>
      <c r="R53" s="533">
        <v>0.1</v>
      </c>
      <c r="S53" s="532">
        <f t="shared" ref="S53:S56" si="18">0.5*(MAX(Q53:R53)-MIN(Q53:R53))</f>
        <v>4.9999500000000002E-2</v>
      </c>
      <c r="T53" s="534">
        <v>1.7</v>
      </c>
    </row>
    <row r="54" spans="1:20" ht="12.75" customHeight="1" x14ac:dyDescent="0.25">
      <c r="A54" s="1111"/>
      <c r="B54" s="507">
        <v>20</v>
      </c>
      <c r="C54" s="533">
        <v>0.1</v>
      </c>
      <c r="D54" s="533">
        <v>0.2</v>
      </c>
      <c r="E54" s="532">
        <f t="shared" ref="E54:E56" si="19">0.5*(MAX(C54:D54)-MIN(C54:D54))</f>
        <v>0.05</v>
      </c>
      <c r="F54" s="534">
        <v>1.3</v>
      </c>
      <c r="G54" s="529"/>
      <c r="H54" s="1111"/>
      <c r="I54" s="507">
        <v>20</v>
      </c>
      <c r="J54" s="533">
        <v>0.1</v>
      </c>
      <c r="K54" s="533">
        <v>0.1</v>
      </c>
      <c r="L54" s="532">
        <f>0.5*(MAX(J54:K54)-MIN(J54:K54))</f>
        <v>0</v>
      </c>
      <c r="M54" s="534">
        <v>1.3</v>
      </c>
      <c r="N54" s="529"/>
      <c r="O54" s="1111"/>
      <c r="P54" s="507">
        <v>20</v>
      </c>
      <c r="Q54" s="533">
        <v>0.1</v>
      </c>
      <c r="R54" s="533">
        <v>0.1</v>
      </c>
      <c r="S54" s="532">
        <f t="shared" si="18"/>
        <v>0</v>
      </c>
      <c r="T54" s="534">
        <v>1.7</v>
      </c>
    </row>
    <row r="55" spans="1:20" ht="12.75" customHeight="1" x14ac:dyDescent="0.25">
      <c r="A55" s="1111"/>
      <c r="B55" s="507">
        <v>50</v>
      </c>
      <c r="C55" s="533">
        <v>0.3</v>
      </c>
      <c r="D55" s="533">
        <v>0.5</v>
      </c>
      <c r="E55" s="532">
        <f t="shared" si="19"/>
        <v>0.1</v>
      </c>
      <c r="F55" s="534">
        <v>1.3</v>
      </c>
      <c r="G55" s="529"/>
      <c r="H55" s="1111"/>
      <c r="I55" s="507">
        <v>50</v>
      </c>
      <c r="J55" s="533">
        <v>0.3</v>
      </c>
      <c r="K55" s="533">
        <v>0.4</v>
      </c>
      <c r="L55" s="532">
        <f>0.5*(MAX(J55:K55)-MIN(J55:K55))</f>
        <v>5.0000000000000017E-2</v>
      </c>
      <c r="M55" s="534">
        <v>1.3</v>
      </c>
      <c r="N55" s="529"/>
      <c r="O55" s="1111"/>
      <c r="P55" s="507">
        <v>50</v>
      </c>
      <c r="Q55" s="533">
        <v>0.3</v>
      </c>
      <c r="R55" s="533">
        <v>0.3</v>
      </c>
      <c r="S55" s="532">
        <f t="shared" si="18"/>
        <v>0</v>
      </c>
      <c r="T55" s="534">
        <v>1.7</v>
      </c>
    </row>
    <row r="56" spans="1:20" ht="12.75" customHeight="1" x14ac:dyDescent="0.25">
      <c r="A56" s="1111"/>
      <c r="B56" s="507">
        <v>100</v>
      </c>
      <c r="C56" s="533">
        <v>0.6</v>
      </c>
      <c r="D56" s="533">
        <v>1</v>
      </c>
      <c r="E56" s="532">
        <f t="shared" si="19"/>
        <v>0.2</v>
      </c>
      <c r="F56" s="534">
        <v>1.3</v>
      </c>
      <c r="G56" s="529"/>
      <c r="H56" s="1111"/>
      <c r="I56" s="507">
        <v>100</v>
      </c>
      <c r="J56" s="533">
        <v>1.3</v>
      </c>
      <c r="K56" s="533">
        <v>0.8</v>
      </c>
      <c r="L56" s="532">
        <f>0.5*(MAX(J56:K56)-MIN(J56:K56))</f>
        <v>0.25</v>
      </c>
      <c r="M56" s="534">
        <v>1.3</v>
      </c>
      <c r="N56" s="529"/>
      <c r="O56" s="1111"/>
      <c r="P56" s="507">
        <v>100</v>
      </c>
      <c r="Q56" s="533">
        <v>0.9</v>
      </c>
      <c r="R56" s="533">
        <v>0.6</v>
      </c>
      <c r="S56" s="532">
        <f t="shared" si="18"/>
        <v>0.15000000000000002</v>
      </c>
      <c r="T56" s="534">
        <v>1.7</v>
      </c>
    </row>
    <row r="57" spans="1:20" ht="12.75" customHeight="1" x14ac:dyDescent="0.25">
      <c r="A57" s="1111"/>
      <c r="B57" s="1111" t="str">
        <f>B26</f>
        <v>Resistance</v>
      </c>
      <c r="C57" s="1111"/>
      <c r="D57" s="1111"/>
      <c r="E57" s="506" t="s">
        <v>310</v>
      </c>
      <c r="F57" s="506" t="s">
        <v>170</v>
      </c>
      <c r="G57" s="529"/>
      <c r="H57" s="1111"/>
      <c r="I57" s="1111" t="str">
        <f>B57</f>
        <v>Resistance</v>
      </c>
      <c r="J57" s="1111"/>
      <c r="K57" s="1111"/>
      <c r="L57" s="506" t="s">
        <v>310</v>
      </c>
      <c r="M57" s="506" t="s">
        <v>170</v>
      </c>
      <c r="N57" s="529"/>
      <c r="O57" s="1111"/>
      <c r="P57" s="1111" t="str">
        <f>I57</f>
        <v>Resistance</v>
      </c>
      <c r="Q57" s="1111"/>
      <c r="R57" s="1111"/>
      <c r="S57" s="1112" t="s">
        <v>310</v>
      </c>
      <c r="T57" s="1112" t="s">
        <v>170</v>
      </c>
    </row>
    <row r="58" spans="1:20" ht="15" customHeight="1" x14ac:dyDescent="0.25">
      <c r="A58" s="1111"/>
      <c r="B58" s="506" t="s">
        <v>505</v>
      </c>
      <c r="C58" s="506">
        <f>C36</f>
        <v>2017</v>
      </c>
      <c r="D58" s="506">
        <f>D36</f>
        <v>2019</v>
      </c>
      <c r="E58" s="506"/>
      <c r="F58" s="506"/>
      <c r="G58" s="529"/>
      <c r="H58" s="1111"/>
      <c r="I58" s="506" t="s">
        <v>505</v>
      </c>
      <c r="J58" s="506">
        <f>J36</f>
        <v>2017</v>
      </c>
      <c r="K58" s="506">
        <f>K36</f>
        <v>2019</v>
      </c>
      <c r="L58" s="506"/>
      <c r="M58" s="506"/>
      <c r="N58" s="529"/>
      <c r="O58" s="1111"/>
      <c r="P58" s="506" t="s">
        <v>505</v>
      </c>
      <c r="Q58" s="506">
        <f>Q36</f>
        <v>2018</v>
      </c>
      <c r="R58" s="506">
        <f>R36</f>
        <v>2019</v>
      </c>
      <c r="S58" s="1112"/>
      <c r="T58" s="1112"/>
    </row>
    <row r="59" spans="1:20" ht="12.75" customHeight="1" x14ac:dyDescent="0.25">
      <c r="A59" s="1111"/>
      <c r="B59" s="507">
        <v>0.01</v>
      </c>
      <c r="C59" s="535">
        <v>9.9999999999999995E-7</v>
      </c>
      <c r="D59" s="535">
        <v>9.9999999999999995E-7</v>
      </c>
      <c r="E59" s="532">
        <f>0.5*(MAX(C59:D59)-MIN(C59:D59))</f>
        <v>0</v>
      </c>
      <c r="F59" s="507">
        <v>0.43</v>
      </c>
      <c r="G59" s="529"/>
      <c r="H59" s="1111"/>
      <c r="I59" s="540">
        <v>0.01</v>
      </c>
      <c r="J59" s="535">
        <v>9.9999999999999995E-7</v>
      </c>
      <c r="K59" s="535">
        <v>9.9999999999999995E-7</v>
      </c>
      <c r="L59" s="532">
        <f>0.5*(MAX(J59:K59)-MIN(J59:K59))</f>
        <v>0</v>
      </c>
      <c r="M59" s="507">
        <v>0.43</v>
      </c>
      <c r="N59" s="529"/>
      <c r="O59" s="1111"/>
      <c r="P59" s="507">
        <v>0.01</v>
      </c>
      <c r="Q59" s="535">
        <v>9.9999999999999995E-7</v>
      </c>
      <c r="R59" s="535">
        <v>9.9999999999999995E-7</v>
      </c>
      <c r="S59" s="532">
        <f t="shared" ref="S59:S62" si="20">0.5*(MAX(Q59:R59)-MIN(Q59:R59))</f>
        <v>0</v>
      </c>
      <c r="T59" s="507">
        <v>1.2</v>
      </c>
    </row>
    <row r="60" spans="1:20" ht="12.75" customHeight="1" x14ac:dyDescent="0.25">
      <c r="A60" s="1111"/>
      <c r="B60" s="507">
        <v>0.1</v>
      </c>
      <c r="C60" s="535">
        <v>6.0000000000000001E-3</v>
      </c>
      <c r="D60" s="535">
        <v>9.9999999999999995E-7</v>
      </c>
      <c r="E60" s="532">
        <f t="shared" ref="E60:E62" si="21">0.5*(MAX(C60:D60)-MIN(C60:D60))</f>
        <v>2.9995E-3</v>
      </c>
      <c r="F60" s="507">
        <v>0.43</v>
      </c>
      <c r="G60" s="529"/>
      <c r="H60" s="1111"/>
      <c r="I60" s="540">
        <v>0.1</v>
      </c>
      <c r="J60" s="535">
        <v>2E-3</v>
      </c>
      <c r="K60" s="535">
        <v>2E-3</v>
      </c>
      <c r="L60" s="532">
        <f>0.5*(MAX(J60:K60)-MIN(J60:K60))</f>
        <v>0</v>
      </c>
      <c r="M60" s="507">
        <v>0.43</v>
      </c>
      <c r="N60" s="529"/>
      <c r="O60" s="1111"/>
      <c r="P60" s="507">
        <v>0.1</v>
      </c>
      <c r="Q60" s="535">
        <v>1E-3</v>
      </c>
      <c r="R60" s="535">
        <v>-2E-3</v>
      </c>
      <c r="S60" s="532">
        <f t="shared" si="20"/>
        <v>1.5E-3</v>
      </c>
      <c r="T60" s="507">
        <v>1.2</v>
      </c>
    </row>
    <row r="61" spans="1:20" ht="12.75" customHeight="1" x14ac:dyDescent="0.25">
      <c r="A61" s="1111"/>
      <c r="B61" s="507">
        <v>1</v>
      </c>
      <c r="C61" s="535">
        <v>7.0000000000000001E-3</v>
      </c>
      <c r="D61" s="535">
        <v>-1E-3</v>
      </c>
      <c r="E61" s="532">
        <f t="shared" si="21"/>
        <v>4.0000000000000001E-3</v>
      </c>
      <c r="F61" s="507">
        <v>0.43</v>
      </c>
      <c r="G61" s="529"/>
      <c r="H61" s="1111"/>
      <c r="I61" s="540">
        <v>1</v>
      </c>
      <c r="J61" s="535">
        <v>3.0000000000000001E-3</v>
      </c>
      <c r="K61" s="535">
        <v>1.2E-2</v>
      </c>
      <c r="L61" s="532">
        <f t="shared" ref="L61:L62" si="22">0.5*(MAX(J61:K61)-MIN(J61:K61))</f>
        <v>4.5000000000000005E-3</v>
      </c>
      <c r="M61" s="507">
        <v>0.43</v>
      </c>
      <c r="N61" s="529"/>
      <c r="O61" s="1111"/>
      <c r="P61" s="507">
        <v>1</v>
      </c>
      <c r="Q61" s="535">
        <v>2E-3</v>
      </c>
      <c r="R61" s="535">
        <v>-1E-3</v>
      </c>
      <c r="S61" s="532">
        <f t="shared" si="20"/>
        <v>1.5E-3</v>
      </c>
      <c r="T61" s="507">
        <v>1.2</v>
      </c>
    </row>
    <row r="62" spans="1:20" ht="12.75" customHeight="1" x14ac:dyDescent="0.25">
      <c r="A62" s="1111"/>
      <c r="B62" s="507">
        <v>2</v>
      </c>
      <c r="C62" s="535">
        <v>9.9999999999999995E-7</v>
      </c>
      <c r="D62" s="535">
        <v>9.9999999999999995E-7</v>
      </c>
      <c r="E62" s="532">
        <f t="shared" si="21"/>
        <v>0</v>
      </c>
      <c r="F62" s="507">
        <v>0.43</v>
      </c>
      <c r="G62" s="529"/>
      <c r="H62" s="1111"/>
      <c r="I62" s="540">
        <v>2</v>
      </c>
      <c r="J62" s="535">
        <v>9.9999999999999995E-7</v>
      </c>
      <c r="K62" s="535">
        <v>9.9999999999999995E-7</v>
      </c>
      <c r="L62" s="532">
        <f t="shared" si="22"/>
        <v>0</v>
      </c>
      <c r="M62" s="507">
        <v>0.43</v>
      </c>
      <c r="N62" s="529"/>
      <c r="O62" s="1111"/>
      <c r="P62" s="507">
        <v>2</v>
      </c>
      <c r="Q62" s="535">
        <v>9.9999999999999995E-7</v>
      </c>
      <c r="R62" s="535">
        <v>9.9999999999999995E-7</v>
      </c>
      <c r="S62" s="532">
        <f t="shared" si="20"/>
        <v>0</v>
      </c>
      <c r="T62" s="507">
        <v>1.2</v>
      </c>
    </row>
    <row r="63" spans="1:20" x14ac:dyDescent="0.25">
      <c r="A63" s="541"/>
      <c r="B63" s="542"/>
      <c r="C63" s="543"/>
      <c r="D63" s="543"/>
      <c r="E63" s="543"/>
      <c r="F63" s="543"/>
      <c r="G63" s="529"/>
      <c r="H63" s="544"/>
      <c r="I63" s="545"/>
      <c r="J63" s="543"/>
      <c r="K63" s="543"/>
      <c r="L63" s="543"/>
      <c r="M63" s="543"/>
      <c r="N63" s="529"/>
      <c r="O63" s="544"/>
      <c r="P63" s="542"/>
      <c r="Q63" s="543"/>
      <c r="R63" s="529"/>
      <c r="S63" s="529"/>
      <c r="T63" s="538"/>
    </row>
    <row r="64" spans="1:20" ht="15" customHeight="1" x14ac:dyDescent="0.25">
      <c r="A64" s="1111" t="s">
        <v>322</v>
      </c>
      <c r="B64" s="1112" t="s">
        <v>323</v>
      </c>
      <c r="C64" s="1112"/>
      <c r="D64" s="1112"/>
      <c r="E64" s="1112"/>
      <c r="F64" s="1112"/>
      <c r="G64" s="502"/>
      <c r="H64" s="1111" t="s">
        <v>324</v>
      </c>
      <c r="I64" s="1115" t="s">
        <v>325</v>
      </c>
      <c r="J64" s="1115"/>
      <c r="K64" s="1115"/>
      <c r="L64" s="1115"/>
      <c r="M64" s="1115"/>
      <c r="N64" s="503"/>
      <c r="O64" s="1111" t="s">
        <v>54</v>
      </c>
      <c r="P64" s="1115" t="s">
        <v>326</v>
      </c>
      <c r="Q64" s="1115"/>
      <c r="R64" s="1115"/>
      <c r="S64" s="1115"/>
      <c r="T64" s="1115"/>
    </row>
    <row r="65" spans="1:20" ht="15" customHeight="1" x14ac:dyDescent="0.25">
      <c r="A65" s="1111"/>
      <c r="B65" s="1116" t="s">
        <v>308</v>
      </c>
      <c r="C65" s="1116"/>
      <c r="D65" s="1116"/>
      <c r="E65" s="1116"/>
      <c r="F65" s="1116"/>
      <c r="G65" s="504"/>
      <c r="H65" s="1111"/>
      <c r="I65" s="1112" t="s">
        <v>308</v>
      </c>
      <c r="J65" s="1112"/>
      <c r="K65" s="1112"/>
      <c r="L65" s="1112"/>
      <c r="M65" s="1112"/>
      <c r="N65" s="505"/>
      <c r="O65" s="1111"/>
      <c r="P65" s="1112" t="s">
        <v>308</v>
      </c>
      <c r="Q65" s="1112"/>
      <c r="R65" s="1112"/>
      <c r="S65" s="1112"/>
      <c r="T65" s="1112"/>
    </row>
    <row r="66" spans="1:20" ht="12.75" customHeight="1" x14ac:dyDescent="0.25">
      <c r="A66" s="1111"/>
      <c r="B66" s="1112" t="s">
        <v>309</v>
      </c>
      <c r="C66" s="1112"/>
      <c r="D66" s="1112"/>
      <c r="E66" s="1112" t="s">
        <v>310</v>
      </c>
      <c r="F66" s="1112" t="s">
        <v>170</v>
      </c>
      <c r="G66" s="529"/>
      <c r="H66" s="1111"/>
      <c r="I66" s="1112" t="str">
        <f>B66</f>
        <v>Setting VAC</v>
      </c>
      <c r="J66" s="1112"/>
      <c r="K66" s="1112"/>
      <c r="L66" s="1112" t="s">
        <v>310</v>
      </c>
      <c r="M66" s="1112" t="s">
        <v>170</v>
      </c>
      <c r="N66" s="529"/>
      <c r="O66" s="1111"/>
      <c r="P66" s="1112" t="str">
        <f>B66</f>
        <v>Setting VAC</v>
      </c>
      <c r="Q66" s="1112"/>
      <c r="R66" s="1112"/>
      <c r="S66" s="1112" t="s">
        <v>310</v>
      </c>
      <c r="T66" s="1112" t="s">
        <v>170</v>
      </c>
    </row>
    <row r="67" spans="1:20" ht="15" customHeight="1" x14ac:dyDescent="0.25">
      <c r="A67" s="1111"/>
      <c r="B67" s="506" t="s">
        <v>311</v>
      </c>
      <c r="C67" s="506">
        <v>2019</v>
      </c>
      <c r="D67" s="506">
        <v>2020</v>
      </c>
      <c r="E67" s="1112"/>
      <c r="F67" s="1112"/>
      <c r="G67" s="529"/>
      <c r="H67" s="1111"/>
      <c r="I67" s="506" t="s">
        <v>311</v>
      </c>
      <c r="J67" s="506">
        <v>2019</v>
      </c>
      <c r="K67" s="506">
        <v>2020</v>
      </c>
      <c r="L67" s="1112"/>
      <c r="M67" s="1112"/>
      <c r="N67" s="529"/>
      <c r="O67" s="1111"/>
      <c r="P67" s="506" t="s">
        <v>311</v>
      </c>
      <c r="Q67" s="506">
        <v>2019</v>
      </c>
      <c r="R67" s="506">
        <v>2020</v>
      </c>
      <c r="S67" s="1112"/>
      <c r="T67" s="1112"/>
    </row>
    <row r="68" spans="1:20" ht="12.75" customHeight="1" x14ac:dyDescent="0.25">
      <c r="A68" s="1111"/>
      <c r="B68" s="530">
        <v>150</v>
      </c>
      <c r="C68" s="531">
        <v>0.21</v>
      </c>
      <c r="D68" s="531">
        <v>0.21</v>
      </c>
      <c r="E68" s="532">
        <f t="shared" ref="E68:E73" si="23">0.5*(MAX(C68:D68)-MIN(C68:D68))</f>
        <v>0</v>
      </c>
      <c r="F68" s="534">
        <v>1.2</v>
      </c>
      <c r="G68" s="529"/>
      <c r="H68" s="1111"/>
      <c r="I68" s="530">
        <v>150</v>
      </c>
      <c r="J68" s="533">
        <v>9.9999999999999995E-7</v>
      </c>
      <c r="K68" s="531">
        <v>-0.17</v>
      </c>
      <c r="L68" s="532">
        <f>0.5*(MAX(J68:K68)-MIN(J68:K68))</f>
        <v>8.5000500000000007E-2</v>
      </c>
      <c r="M68" s="531">
        <v>1.2</v>
      </c>
      <c r="N68" s="529"/>
      <c r="O68" s="1111"/>
      <c r="P68" s="530">
        <v>150</v>
      </c>
      <c r="Q68" s="533">
        <v>9.9999999999999995E-7</v>
      </c>
      <c r="R68" s="531">
        <v>-0.24</v>
      </c>
      <c r="S68" s="532">
        <f t="shared" ref="S68:S73" si="24">0.5*(MAX(Q68:R68)-MIN(Q68:R68))</f>
        <v>0.1200005</v>
      </c>
      <c r="T68" s="531">
        <v>1.2</v>
      </c>
    </row>
    <row r="69" spans="1:20" ht="12.75" customHeight="1" x14ac:dyDescent="0.25">
      <c r="A69" s="1111"/>
      <c r="B69" s="530">
        <v>180</v>
      </c>
      <c r="C69" s="531">
        <v>0.33</v>
      </c>
      <c r="D69" s="531">
        <v>0.33</v>
      </c>
      <c r="E69" s="532">
        <f t="shared" si="23"/>
        <v>0</v>
      </c>
      <c r="F69" s="534">
        <v>1.2</v>
      </c>
      <c r="G69" s="529"/>
      <c r="H69" s="1111"/>
      <c r="I69" s="530">
        <v>180</v>
      </c>
      <c r="J69" s="533">
        <v>9.9999999999999995E-7</v>
      </c>
      <c r="K69" s="531">
        <v>-0.22</v>
      </c>
      <c r="L69" s="532">
        <f t="shared" ref="L69:L73" si="25">0.5*(MAX(J69:K69)-MIN(J69:K69))</f>
        <v>0.1100005</v>
      </c>
      <c r="M69" s="531">
        <v>1.2</v>
      </c>
      <c r="N69" s="529"/>
      <c r="O69" s="1111"/>
      <c r="P69" s="530">
        <v>180</v>
      </c>
      <c r="Q69" s="533">
        <v>9.9999999999999995E-7</v>
      </c>
      <c r="R69" s="531">
        <v>-0.14000000000000001</v>
      </c>
      <c r="S69" s="532">
        <f t="shared" si="24"/>
        <v>7.0000500000000007E-2</v>
      </c>
      <c r="T69" s="531">
        <v>1.2</v>
      </c>
    </row>
    <row r="70" spans="1:20" ht="12.75" customHeight="1" x14ac:dyDescent="0.25">
      <c r="A70" s="1111"/>
      <c r="B70" s="530">
        <v>200</v>
      </c>
      <c r="C70" s="531">
        <v>0.34</v>
      </c>
      <c r="D70" s="531">
        <v>0.34</v>
      </c>
      <c r="E70" s="532">
        <f t="shared" si="23"/>
        <v>0</v>
      </c>
      <c r="F70" s="534">
        <v>1.2</v>
      </c>
      <c r="G70" s="529"/>
      <c r="H70" s="1111"/>
      <c r="I70" s="530">
        <v>200</v>
      </c>
      <c r="J70" s="533">
        <v>9.9999999999999995E-7</v>
      </c>
      <c r="K70" s="531">
        <v>-0.33</v>
      </c>
      <c r="L70" s="532">
        <f t="shared" si="25"/>
        <v>0.16500049999999999</v>
      </c>
      <c r="M70" s="531">
        <v>1.2</v>
      </c>
      <c r="N70" s="529"/>
      <c r="O70" s="1111"/>
      <c r="P70" s="530">
        <v>200</v>
      </c>
      <c r="Q70" s="533">
        <v>9.9999999999999995E-7</v>
      </c>
      <c r="R70" s="531">
        <v>-0.33</v>
      </c>
      <c r="S70" s="532">
        <f t="shared" si="24"/>
        <v>0.16500049999999999</v>
      </c>
      <c r="T70" s="531">
        <v>1.2</v>
      </c>
    </row>
    <row r="71" spans="1:20" ht="12.75" customHeight="1" x14ac:dyDescent="0.25">
      <c r="A71" s="1111"/>
      <c r="B71" s="530">
        <v>220</v>
      </c>
      <c r="C71" s="531">
        <v>0.37</v>
      </c>
      <c r="D71" s="531">
        <v>0.37</v>
      </c>
      <c r="E71" s="532">
        <f t="shared" si="23"/>
        <v>0</v>
      </c>
      <c r="F71" s="534">
        <v>1.2</v>
      </c>
      <c r="G71" s="529"/>
      <c r="H71" s="1111"/>
      <c r="I71" s="530">
        <v>220</v>
      </c>
      <c r="J71" s="533">
        <v>9.9999999999999995E-7</v>
      </c>
      <c r="K71" s="531">
        <v>-0.39</v>
      </c>
      <c r="L71" s="532">
        <f t="shared" si="25"/>
        <v>0.19500049999999999</v>
      </c>
      <c r="M71" s="531">
        <v>1.2</v>
      </c>
      <c r="N71" s="529"/>
      <c r="O71" s="1111"/>
      <c r="P71" s="530">
        <v>220</v>
      </c>
      <c r="Q71" s="533">
        <v>9.9999999999999995E-7</v>
      </c>
      <c r="R71" s="531">
        <v>-0.45</v>
      </c>
      <c r="S71" s="532">
        <f t="shared" si="24"/>
        <v>0.22500049999999999</v>
      </c>
      <c r="T71" s="531">
        <v>1.2</v>
      </c>
    </row>
    <row r="72" spans="1:20" ht="12.75" customHeight="1" x14ac:dyDescent="0.25">
      <c r="A72" s="1111"/>
      <c r="B72" s="530">
        <v>230</v>
      </c>
      <c r="C72" s="531">
        <v>0.47</v>
      </c>
      <c r="D72" s="531">
        <v>0.47</v>
      </c>
      <c r="E72" s="532">
        <f t="shared" si="23"/>
        <v>0</v>
      </c>
      <c r="F72" s="534">
        <v>1.2</v>
      </c>
      <c r="G72" s="529"/>
      <c r="H72" s="1111"/>
      <c r="I72" s="530">
        <v>230</v>
      </c>
      <c r="J72" s="533">
        <v>9.9999999999999995E-7</v>
      </c>
      <c r="K72" s="531">
        <v>-0.39</v>
      </c>
      <c r="L72" s="532">
        <f t="shared" si="25"/>
        <v>0.19500049999999999</v>
      </c>
      <c r="M72" s="531">
        <v>1.2</v>
      </c>
      <c r="N72" s="529"/>
      <c r="O72" s="1111"/>
      <c r="P72" s="530">
        <v>230</v>
      </c>
      <c r="Q72" s="533">
        <v>9.9999999999999995E-7</v>
      </c>
      <c r="R72" s="531">
        <v>-0.54</v>
      </c>
      <c r="S72" s="532">
        <f t="shared" si="24"/>
        <v>0.27000050000000003</v>
      </c>
      <c r="T72" s="531">
        <v>1.2</v>
      </c>
    </row>
    <row r="73" spans="1:20" ht="12.75" customHeight="1" x14ac:dyDescent="0.25">
      <c r="A73" s="1111"/>
      <c r="B73" s="530">
        <v>250</v>
      </c>
      <c r="C73" s="531">
        <v>9.9999999999999995E-7</v>
      </c>
      <c r="D73" s="531">
        <v>9.9999999999999995E-7</v>
      </c>
      <c r="E73" s="532">
        <f t="shared" si="23"/>
        <v>0</v>
      </c>
      <c r="F73" s="534">
        <v>1.2</v>
      </c>
      <c r="G73" s="529"/>
      <c r="H73" s="1111"/>
      <c r="I73" s="530">
        <v>250</v>
      </c>
      <c r="J73" s="533">
        <v>9.9999999999999995E-7</v>
      </c>
      <c r="K73" s="533">
        <v>9.9999999999999995E-7</v>
      </c>
      <c r="L73" s="532">
        <f t="shared" si="25"/>
        <v>0</v>
      </c>
      <c r="M73" s="531">
        <v>1.2</v>
      </c>
      <c r="N73" s="529"/>
      <c r="O73" s="1111"/>
      <c r="P73" s="530">
        <v>250</v>
      </c>
      <c r="Q73" s="533">
        <v>9.9999999999999995E-7</v>
      </c>
      <c r="R73" s="533">
        <v>9.9999999999999995E-7</v>
      </c>
      <c r="S73" s="532">
        <f t="shared" si="24"/>
        <v>0</v>
      </c>
      <c r="T73" s="531" t="s">
        <v>100</v>
      </c>
    </row>
    <row r="74" spans="1:20" ht="12.75" customHeight="1" x14ac:dyDescent="0.25">
      <c r="A74" s="1111"/>
      <c r="B74" s="1111" t="s">
        <v>312</v>
      </c>
      <c r="C74" s="1111"/>
      <c r="D74" s="1111"/>
      <c r="E74" s="1112" t="s">
        <v>310</v>
      </c>
      <c r="F74" s="1112" t="s">
        <v>170</v>
      </c>
      <c r="G74" s="529"/>
      <c r="H74" s="1111"/>
      <c r="I74" s="1111" t="str">
        <f>B74</f>
        <v>Current Leakage</v>
      </c>
      <c r="J74" s="1111"/>
      <c r="K74" s="1111"/>
      <c r="L74" s="1112" t="s">
        <v>310</v>
      </c>
      <c r="M74" s="1112" t="s">
        <v>170</v>
      </c>
      <c r="N74" s="529"/>
      <c r="O74" s="1111"/>
      <c r="P74" s="1111" t="str">
        <f>B74</f>
        <v>Current Leakage</v>
      </c>
      <c r="Q74" s="1111"/>
      <c r="R74" s="1111"/>
      <c r="S74" s="1112" t="s">
        <v>310</v>
      </c>
      <c r="T74" s="1112" t="s">
        <v>170</v>
      </c>
    </row>
    <row r="75" spans="1:20" ht="15" customHeight="1" x14ac:dyDescent="0.25">
      <c r="A75" s="1111"/>
      <c r="B75" s="506" t="s">
        <v>313</v>
      </c>
      <c r="C75" s="506">
        <f>C67</f>
        <v>2019</v>
      </c>
      <c r="D75" s="506">
        <f>D67</f>
        <v>2020</v>
      </c>
      <c r="E75" s="1112"/>
      <c r="F75" s="1112"/>
      <c r="G75" s="529"/>
      <c r="H75" s="1111"/>
      <c r="I75" s="506" t="s">
        <v>313</v>
      </c>
      <c r="J75" s="506">
        <f>J67</f>
        <v>2019</v>
      </c>
      <c r="K75" s="506">
        <f>K67</f>
        <v>2020</v>
      </c>
      <c r="L75" s="1112"/>
      <c r="M75" s="1112"/>
      <c r="N75" s="529"/>
      <c r="O75" s="1111"/>
      <c r="P75" s="506" t="s">
        <v>313</v>
      </c>
      <c r="Q75" s="506">
        <f>Q67</f>
        <v>2019</v>
      </c>
      <c r="R75" s="506">
        <f>R67</f>
        <v>2020</v>
      </c>
      <c r="S75" s="1112"/>
      <c r="T75" s="1112"/>
    </row>
    <row r="76" spans="1:20" ht="12.75" customHeight="1" x14ac:dyDescent="0.25">
      <c r="A76" s="1111"/>
      <c r="B76" s="507">
        <v>0</v>
      </c>
      <c r="C76" s="533">
        <v>9.9999999999999995E-7</v>
      </c>
      <c r="D76" s="533">
        <v>9.9999999999999995E-7</v>
      </c>
      <c r="E76" s="532">
        <f t="shared" ref="E76:E81" si="26">0.5*(MAX(C76:D76)-MIN(C76:D76))</f>
        <v>0</v>
      </c>
      <c r="F76" s="507">
        <v>0.59</v>
      </c>
      <c r="G76" s="529"/>
      <c r="H76" s="1111"/>
      <c r="I76" s="507">
        <v>0</v>
      </c>
      <c r="J76" s="533">
        <v>9.9999999999999995E-7</v>
      </c>
      <c r="K76" s="533">
        <v>9.9999999999999995E-7</v>
      </c>
      <c r="L76" s="532">
        <f t="shared" ref="L76:L81" si="27">0.5*(MAX(J76:K76)-MIN(J76:K76))</f>
        <v>0</v>
      </c>
      <c r="M76" s="546">
        <v>0.59</v>
      </c>
      <c r="N76" s="529"/>
      <c r="O76" s="1111"/>
      <c r="P76" s="507">
        <v>0</v>
      </c>
      <c r="Q76" s="533">
        <v>9.9999999999999995E-7</v>
      </c>
      <c r="R76" s="533">
        <v>9.9999999999999995E-7</v>
      </c>
      <c r="S76" s="532">
        <f t="shared" ref="S76:S81" si="28">0.5*(MAX(Q76:R76)-MIN(Q76:R76))</f>
        <v>0</v>
      </c>
      <c r="T76" s="546">
        <v>0.59</v>
      </c>
    </row>
    <row r="77" spans="1:20" ht="12.75" customHeight="1" x14ac:dyDescent="0.25">
      <c r="A77" s="1111"/>
      <c r="B77" s="507">
        <v>50</v>
      </c>
      <c r="C77" s="531">
        <v>1.7</v>
      </c>
      <c r="D77" s="531">
        <v>1.7</v>
      </c>
      <c r="E77" s="532">
        <f t="shared" si="26"/>
        <v>0</v>
      </c>
      <c r="F77" s="507">
        <v>0.59</v>
      </c>
      <c r="G77" s="529"/>
      <c r="H77" s="1111"/>
      <c r="I77" s="507">
        <v>50</v>
      </c>
      <c r="J77" s="533">
        <v>9.9999999999999995E-7</v>
      </c>
      <c r="K77" s="531">
        <v>1.7</v>
      </c>
      <c r="L77" s="532">
        <f t="shared" si="27"/>
        <v>0.84999950000000002</v>
      </c>
      <c r="M77" s="546">
        <v>0.59</v>
      </c>
      <c r="N77" s="529"/>
      <c r="O77" s="1111"/>
      <c r="P77" s="507">
        <v>50</v>
      </c>
      <c r="Q77" s="533">
        <v>9.9999999999999995E-7</v>
      </c>
      <c r="R77" s="531">
        <v>2.1</v>
      </c>
      <c r="S77" s="532">
        <f t="shared" si="28"/>
        <v>1.0499995</v>
      </c>
      <c r="T77" s="531">
        <v>0.59</v>
      </c>
    </row>
    <row r="78" spans="1:20" ht="12.75" customHeight="1" x14ac:dyDescent="0.25">
      <c r="A78" s="1111"/>
      <c r="B78" s="507">
        <v>100</v>
      </c>
      <c r="C78" s="531">
        <v>1.7</v>
      </c>
      <c r="D78" s="531">
        <v>1.7</v>
      </c>
      <c r="E78" s="532">
        <f t="shared" si="26"/>
        <v>0</v>
      </c>
      <c r="F78" s="507">
        <v>0.59</v>
      </c>
      <c r="G78" s="529"/>
      <c r="H78" s="1111"/>
      <c r="I78" s="507">
        <v>100</v>
      </c>
      <c r="J78" s="533">
        <v>9.9999999999999995E-7</v>
      </c>
      <c r="K78" s="531">
        <v>3.4</v>
      </c>
      <c r="L78" s="532">
        <f t="shared" si="27"/>
        <v>1.6999994999999999</v>
      </c>
      <c r="M78" s="546">
        <v>0.59</v>
      </c>
      <c r="N78" s="529"/>
      <c r="O78" s="1111"/>
      <c r="P78" s="507">
        <v>100</v>
      </c>
      <c r="Q78" s="533">
        <v>9.9999999999999995E-7</v>
      </c>
      <c r="R78" s="531">
        <v>3.7</v>
      </c>
      <c r="S78" s="532">
        <f t="shared" si="28"/>
        <v>1.8499995</v>
      </c>
      <c r="T78" s="531">
        <v>0.59</v>
      </c>
    </row>
    <row r="79" spans="1:20" ht="12.75" customHeight="1" x14ac:dyDescent="0.25">
      <c r="A79" s="1111"/>
      <c r="B79" s="507">
        <v>200</v>
      </c>
      <c r="C79" s="531">
        <v>0.4</v>
      </c>
      <c r="D79" s="531">
        <v>0.4</v>
      </c>
      <c r="E79" s="532">
        <f t="shared" si="26"/>
        <v>0</v>
      </c>
      <c r="F79" s="507">
        <v>0.59</v>
      </c>
      <c r="G79" s="529"/>
      <c r="H79" s="1111"/>
      <c r="I79" s="507">
        <v>500</v>
      </c>
      <c r="J79" s="533">
        <v>9.9999999999999995E-7</v>
      </c>
      <c r="K79" s="531">
        <v>7.2</v>
      </c>
      <c r="L79" s="532">
        <f t="shared" si="27"/>
        <v>3.5999995</v>
      </c>
      <c r="M79" s="546">
        <v>0.59</v>
      </c>
      <c r="N79" s="529"/>
      <c r="O79" s="1111"/>
      <c r="P79" s="507">
        <v>500</v>
      </c>
      <c r="Q79" s="533">
        <v>9.9999999999999995E-7</v>
      </c>
      <c r="R79" s="531">
        <v>8.3000000000000007</v>
      </c>
      <c r="S79" s="532">
        <f t="shared" si="28"/>
        <v>4.1499995000000007</v>
      </c>
      <c r="T79" s="531">
        <v>0.59</v>
      </c>
    </row>
    <row r="80" spans="1:20" ht="12.75" customHeight="1" x14ac:dyDescent="0.25">
      <c r="A80" s="1111"/>
      <c r="B80" s="507">
        <v>500</v>
      </c>
      <c r="C80" s="531">
        <v>3</v>
      </c>
      <c r="D80" s="531">
        <v>3</v>
      </c>
      <c r="E80" s="532">
        <f t="shared" si="26"/>
        <v>0</v>
      </c>
      <c r="F80" s="507">
        <v>0.59</v>
      </c>
      <c r="G80" s="529"/>
      <c r="H80" s="1111"/>
      <c r="I80" s="507">
        <v>500</v>
      </c>
      <c r="J80" s="533">
        <v>9.9999999999999995E-7</v>
      </c>
      <c r="K80" s="531">
        <v>7.2</v>
      </c>
      <c r="L80" s="532">
        <f t="shared" si="27"/>
        <v>3.5999995</v>
      </c>
      <c r="M80" s="546">
        <v>0.59</v>
      </c>
      <c r="N80" s="529"/>
      <c r="O80" s="1111"/>
      <c r="P80" s="507">
        <v>500</v>
      </c>
      <c r="Q80" s="533">
        <v>9.9999999999999995E-7</v>
      </c>
      <c r="R80" s="531">
        <v>8.3000000000000007</v>
      </c>
      <c r="S80" s="532">
        <f t="shared" si="28"/>
        <v>4.1499995000000007</v>
      </c>
      <c r="T80" s="531">
        <v>0.59</v>
      </c>
    </row>
    <row r="81" spans="1:20" ht="12.75" customHeight="1" x14ac:dyDescent="0.25">
      <c r="A81" s="1111"/>
      <c r="B81" s="507">
        <v>1000</v>
      </c>
      <c r="C81" s="531">
        <v>5</v>
      </c>
      <c r="D81" s="531">
        <v>4</v>
      </c>
      <c r="E81" s="532">
        <f t="shared" si="26"/>
        <v>0.5</v>
      </c>
      <c r="F81" s="507">
        <v>0.59</v>
      </c>
      <c r="G81" s="529"/>
      <c r="H81" s="1111"/>
      <c r="I81" s="507">
        <v>1000</v>
      </c>
      <c r="J81" s="533">
        <v>9.9999999999999995E-7</v>
      </c>
      <c r="K81" s="531">
        <v>80</v>
      </c>
      <c r="L81" s="532">
        <f t="shared" si="27"/>
        <v>39.999999500000001</v>
      </c>
      <c r="M81" s="546">
        <v>0.59</v>
      </c>
      <c r="N81" s="529"/>
      <c r="O81" s="1111"/>
      <c r="P81" s="507">
        <v>1000</v>
      </c>
      <c r="Q81" s="533">
        <v>9.9999999999999995E-7</v>
      </c>
      <c r="R81" s="531">
        <v>-97</v>
      </c>
      <c r="S81" s="532">
        <f t="shared" si="28"/>
        <v>48.500000499999999</v>
      </c>
      <c r="T81" s="531">
        <v>0.59</v>
      </c>
    </row>
    <row r="82" spans="1:20" ht="12.75" customHeight="1" x14ac:dyDescent="0.25">
      <c r="A82" s="1111"/>
      <c r="B82" s="1111"/>
      <c r="C82" s="1111"/>
      <c r="D82" s="1111"/>
      <c r="E82" s="1112" t="s">
        <v>310</v>
      </c>
      <c r="F82" s="1112" t="s">
        <v>170</v>
      </c>
      <c r="G82" s="529"/>
      <c r="H82" s="1111"/>
      <c r="I82" s="1111" t="s">
        <v>314</v>
      </c>
      <c r="J82" s="1111"/>
      <c r="K82" s="1111"/>
      <c r="L82" s="1112" t="s">
        <v>310</v>
      </c>
      <c r="M82" s="1112" t="s">
        <v>170</v>
      </c>
      <c r="N82" s="529"/>
      <c r="O82" s="1111"/>
      <c r="P82" s="1111">
        <f>B82</f>
        <v>0</v>
      </c>
      <c r="Q82" s="1111"/>
      <c r="R82" s="1111"/>
      <c r="S82" s="1112" t="s">
        <v>310</v>
      </c>
      <c r="T82" s="1112" t="s">
        <v>170</v>
      </c>
    </row>
    <row r="83" spans="1:20" ht="15" customHeight="1" x14ac:dyDescent="0.25">
      <c r="A83" s="1111"/>
      <c r="B83" s="506" t="s">
        <v>504</v>
      </c>
      <c r="C83" s="506">
        <v>2020</v>
      </c>
      <c r="D83" s="506">
        <v>2018</v>
      </c>
      <c r="E83" s="1112"/>
      <c r="F83" s="1112"/>
      <c r="G83" s="529"/>
      <c r="H83" s="1111"/>
      <c r="I83" s="506" t="s">
        <v>504</v>
      </c>
      <c r="J83" s="506">
        <f>J67</f>
        <v>2019</v>
      </c>
      <c r="K83" s="506">
        <f>K67</f>
        <v>2020</v>
      </c>
      <c r="L83" s="1112"/>
      <c r="M83" s="1112"/>
      <c r="N83" s="529"/>
      <c r="O83" s="1111"/>
      <c r="P83" s="506" t="s">
        <v>504</v>
      </c>
      <c r="Q83" s="506">
        <f>Q67</f>
        <v>2019</v>
      </c>
      <c r="R83" s="506">
        <f>R67</f>
        <v>2020</v>
      </c>
      <c r="S83" s="1112"/>
      <c r="T83" s="1112"/>
    </row>
    <row r="84" spans="1:20" ht="12.75" customHeight="1" x14ac:dyDescent="0.25">
      <c r="A84" s="1111"/>
      <c r="B84" s="507">
        <v>10</v>
      </c>
      <c r="C84" s="533" t="s">
        <v>100</v>
      </c>
      <c r="D84" s="533">
        <v>9.9999999999999995E-7</v>
      </c>
      <c r="E84" s="532">
        <f t="shared" ref="E84:E87" si="29">0.5*(MAX(C84:D84)-MIN(C84:D84))</f>
        <v>0</v>
      </c>
      <c r="F84" s="534">
        <v>1.7</v>
      </c>
      <c r="G84" s="529"/>
      <c r="H84" s="1111"/>
      <c r="I84" s="507">
        <v>10</v>
      </c>
      <c r="J84" s="533">
        <v>9.9999999999999995E-7</v>
      </c>
      <c r="K84" s="533">
        <v>9.9999999999999995E-7</v>
      </c>
      <c r="L84" s="532">
        <f t="shared" ref="L84:L87" si="30">0.5*(MAX(J84:K84)-MIN(J84:K84))</f>
        <v>0</v>
      </c>
      <c r="M84" s="531">
        <v>0</v>
      </c>
      <c r="N84" s="529"/>
      <c r="O84" s="1111"/>
      <c r="P84" s="507">
        <v>10</v>
      </c>
      <c r="Q84" s="533">
        <v>9.9999999999999995E-7</v>
      </c>
      <c r="R84" s="533">
        <v>9.9999999999999995E-7</v>
      </c>
      <c r="S84" s="532">
        <f t="shared" ref="S84:S87" si="31">0.5*(MAX(Q84:R84)-MIN(Q84:R84))</f>
        <v>0</v>
      </c>
      <c r="T84" s="531">
        <v>0</v>
      </c>
    </row>
    <row r="85" spans="1:20" ht="12.75" customHeight="1" x14ac:dyDescent="0.25">
      <c r="A85" s="1111"/>
      <c r="B85" s="507">
        <v>20</v>
      </c>
      <c r="C85" s="533" t="s">
        <v>100</v>
      </c>
      <c r="D85" s="533">
        <v>0.1</v>
      </c>
      <c r="E85" s="532">
        <f t="shared" si="29"/>
        <v>0</v>
      </c>
      <c r="F85" s="534">
        <v>1.7</v>
      </c>
      <c r="G85" s="529"/>
      <c r="H85" s="1111"/>
      <c r="I85" s="507">
        <v>20</v>
      </c>
      <c r="J85" s="533">
        <v>9.9999999999999995E-7</v>
      </c>
      <c r="K85" s="533">
        <v>9.9999999999999995E-7</v>
      </c>
      <c r="L85" s="532">
        <f t="shared" si="30"/>
        <v>0</v>
      </c>
      <c r="M85" s="531">
        <v>0</v>
      </c>
      <c r="N85" s="529"/>
      <c r="O85" s="1111"/>
      <c r="P85" s="507">
        <v>20</v>
      </c>
      <c r="Q85" s="533">
        <v>9.9999999999999995E-7</v>
      </c>
      <c r="R85" s="533">
        <v>9.9999999999999995E-7</v>
      </c>
      <c r="S85" s="532">
        <f t="shared" si="31"/>
        <v>0</v>
      </c>
      <c r="T85" s="531">
        <v>0</v>
      </c>
    </row>
    <row r="86" spans="1:20" ht="12.75" customHeight="1" x14ac:dyDescent="0.25">
      <c r="A86" s="1111"/>
      <c r="B86" s="507">
        <v>50</v>
      </c>
      <c r="C86" s="533" t="s">
        <v>100</v>
      </c>
      <c r="D86" s="533">
        <v>0.4</v>
      </c>
      <c r="E86" s="532">
        <f t="shared" si="29"/>
        <v>0</v>
      </c>
      <c r="F86" s="534">
        <v>1.7</v>
      </c>
      <c r="G86" s="529"/>
      <c r="H86" s="1111"/>
      <c r="I86" s="507">
        <v>50</v>
      </c>
      <c r="J86" s="533">
        <v>9.9999999999999995E-7</v>
      </c>
      <c r="K86" s="533">
        <v>9.9999999999999995E-7</v>
      </c>
      <c r="L86" s="532">
        <f t="shared" si="30"/>
        <v>0</v>
      </c>
      <c r="M86" s="531">
        <v>0</v>
      </c>
      <c r="N86" s="529"/>
      <c r="O86" s="1111"/>
      <c r="P86" s="507">
        <v>50</v>
      </c>
      <c r="Q86" s="533">
        <v>9.9999999999999995E-7</v>
      </c>
      <c r="R86" s="533">
        <v>9.9999999999999995E-7</v>
      </c>
      <c r="S86" s="532">
        <f t="shared" si="31"/>
        <v>0</v>
      </c>
      <c r="T86" s="531">
        <v>0</v>
      </c>
    </row>
    <row r="87" spans="1:20" ht="12.75" customHeight="1" x14ac:dyDescent="0.25">
      <c r="A87" s="1111"/>
      <c r="B87" s="507">
        <v>100</v>
      </c>
      <c r="C87" s="533" t="s">
        <v>100</v>
      </c>
      <c r="D87" s="533">
        <v>1.4</v>
      </c>
      <c r="E87" s="532">
        <f t="shared" si="29"/>
        <v>0</v>
      </c>
      <c r="F87" s="534">
        <v>1.7</v>
      </c>
      <c r="G87" s="529"/>
      <c r="H87" s="1111"/>
      <c r="I87" s="507">
        <v>100</v>
      </c>
      <c r="J87" s="533">
        <v>9.9999999999999995E-7</v>
      </c>
      <c r="K87" s="533">
        <v>9.9999999999999995E-7</v>
      </c>
      <c r="L87" s="532">
        <f t="shared" si="30"/>
        <v>0</v>
      </c>
      <c r="M87" s="531">
        <v>0</v>
      </c>
      <c r="N87" s="529"/>
      <c r="O87" s="1111"/>
      <c r="P87" s="507">
        <v>100</v>
      </c>
      <c r="Q87" s="533">
        <v>9.9999999999999995E-7</v>
      </c>
      <c r="R87" s="533">
        <v>9.9999999999999995E-7</v>
      </c>
      <c r="S87" s="532">
        <f t="shared" si="31"/>
        <v>0</v>
      </c>
      <c r="T87" s="531">
        <v>0</v>
      </c>
    </row>
    <row r="88" spans="1:20" ht="12.75" customHeight="1" x14ac:dyDescent="0.25">
      <c r="A88" s="1111"/>
      <c r="B88" s="1111" t="s">
        <v>315</v>
      </c>
      <c r="C88" s="1111"/>
      <c r="D88" s="1111"/>
      <c r="E88" s="1112" t="s">
        <v>310</v>
      </c>
      <c r="F88" s="1112" t="s">
        <v>170</v>
      </c>
      <c r="G88" s="529"/>
      <c r="H88" s="1111"/>
      <c r="I88" s="1111" t="s">
        <v>315</v>
      </c>
      <c r="J88" s="1111"/>
      <c r="K88" s="1111"/>
      <c r="L88" s="1112" t="s">
        <v>310</v>
      </c>
      <c r="M88" s="1112" t="s">
        <v>170</v>
      </c>
      <c r="N88" s="529"/>
      <c r="O88" s="1111"/>
      <c r="P88" s="1111" t="str">
        <f>B88</f>
        <v>Resistance</v>
      </c>
      <c r="Q88" s="1111"/>
      <c r="R88" s="1111"/>
      <c r="S88" s="1112" t="s">
        <v>310</v>
      </c>
      <c r="T88" s="1112" t="s">
        <v>170</v>
      </c>
    </row>
    <row r="89" spans="1:20" ht="15" customHeight="1" x14ac:dyDescent="0.25">
      <c r="A89" s="1111"/>
      <c r="B89" s="506" t="s">
        <v>505</v>
      </c>
      <c r="C89" s="506">
        <f>C67</f>
        <v>2019</v>
      </c>
      <c r="D89" s="506">
        <f>D67</f>
        <v>2020</v>
      </c>
      <c r="E89" s="1112"/>
      <c r="F89" s="1112"/>
      <c r="G89" s="529"/>
      <c r="H89" s="1111"/>
      <c r="I89" s="506" t="s">
        <v>505</v>
      </c>
      <c r="J89" s="506">
        <f>J67</f>
        <v>2019</v>
      </c>
      <c r="K89" s="506">
        <f>K67</f>
        <v>2020</v>
      </c>
      <c r="L89" s="1112"/>
      <c r="M89" s="1112"/>
      <c r="N89" s="529"/>
      <c r="O89" s="1111"/>
      <c r="P89" s="506" t="s">
        <v>505</v>
      </c>
      <c r="Q89" s="506">
        <f>Q67</f>
        <v>2019</v>
      </c>
      <c r="R89" s="506">
        <f>R67</f>
        <v>2020</v>
      </c>
      <c r="S89" s="1112"/>
      <c r="T89" s="1112"/>
    </row>
    <row r="90" spans="1:20" ht="12.75" customHeight="1" x14ac:dyDescent="0.25">
      <c r="A90" s="1111"/>
      <c r="B90" s="507">
        <v>0.01</v>
      </c>
      <c r="C90" s="535">
        <v>9.9999999999999995E-7</v>
      </c>
      <c r="D90" s="535">
        <v>9.9999999999999995E-7</v>
      </c>
      <c r="E90" s="532">
        <f t="shared" ref="E90:E93" si="32">0.5*(MAX(C90:D90)-MIN(C90:D90))</f>
        <v>0</v>
      </c>
      <c r="F90" s="507">
        <v>1.2</v>
      </c>
      <c r="G90" s="529"/>
      <c r="H90" s="1111"/>
      <c r="I90" s="507">
        <v>0.01</v>
      </c>
      <c r="J90" s="535">
        <v>9.9999999999999995E-7</v>
      </c>
      <c r="K90" s="535">
        <v>9.9999999999999995E-7</v>
      </c>
      <c r="L90" s="532">
        <f t="shared" ref="L90:L93" si="33">0.5*(MAX(J90:K90)-MIN(J90:K90))</f>
        <v>0</v>
      </c>
      <c r="M90" s="547">
        <v>1.2</v>
      </c>
      <c r="N90" s="529"/>
      <c r="O90" s="1111"/>
      <c r="P90" s="507">
        <v>0.01</v>
      </c>
      <c r="Q90" s="535">
        <v>9.9999999999999995E-7</v>
      </c>
      <c r="R90" s="535">
        <v>9.9999999999999995E-7</v>
      </c>
      <c r="S90" s="532">
        <f t="shared" ref="S90:S93" si="34">0.5*(MAX(Q90:R90)-MIN(Q90:R90))</f>
        <v>0</v>
      </c>
      <c r="T90" s="546">
        <v>1.2</v>
      </c>
    </row>
    <row r="91" spans="1:20" ht="12.75" customHeight="1" x14ac:dyDescent="0.25">
      <c r="A91" s="1111"/>
      <c r="B91" s="507">
        <v>0.1</v>
      </c>
      <c r="C91" s="535">
        <v>9.9999999999999995E-7</v>
      </c>
      <c r="D91" s="535">
        <v>9.9999999999999995E-7</v>
      </c>
      <c r="E91" s="532">
        <f t="shared" si="32"/>
        <v>0</v>
      </c>
      <c r="F91" s="507">
        <v>1.2</v>
      </c>
      <c r="G91" s="529"/>
      <c r="H91" s="1111"/>
      <c r="I91" s="507">
        <v>0.1</v>
      </c>
      <c r="J91" s="535">
        <v>9.9999999999999995E-7</v>
      </c>
      <c r="K91" s="536">
        <v>-2E-3</v>
      </c>
      <c r="L91" s="532">
        <f t="shared" si="33"/>
        <v>1.0005000000000001E-3</v>
      </c>
      <c r="M91" s="547">
        <v>1.2</v>
      </c>
      <c r="N91" s="529"/>
      <c r="O91" s="1111"/>
      <c r="P91" s="507">
        <v>0.1</v>
      </c>
      <c r="Q91" s="535">
        <v>9.9999999999999995E-7</v>
      </c>
      <c r="R91" s="536">
        <v>-3.0000000000000001E-3</v>
      </c>
      <c r="S91" s="532">
        <f t="shared" si="34"/>
        <v>1.5005000000000001E-3</v>
      </c>
      <c r="T91" s="546">
        <v>1.2</v>
      </c>
    </row>
    <row r="92" spans="1:20" ht="12.75" customHeight="1" x14ac:dyDescent="0.25">
      <c r="A92" s="1111"/>
      <c r="B92" s="507">
        <v>1</v>
      </c>
      <c r="C92" s="536">
        <v>-2.3E-3</v>
      </c>
      <c r="D92" s="536">
        <v>-2.3E-3</v>
      </c>
      <c r="E92" s="532">
        <f t="shared" si="32"/>
        <v>0</v>
      </c>
      <c r="F92" s="507">
        <v>1.2</v>
      </c>
      <c r="G92" s="529"/>
      <c r="H92" s="1111"/>
      <c r="I92" s="507">
        <v>1</v>
      </c>
      <c r="J92" s="535">
        <v>9.9999999999999995E-7</v>
      </c>
      <c r="K92" s="536">
        <v>-1E-3</v>
      </c>
      <c r="L92" s="532">
        <f t="shared" si="33"/>
        <v>5.0049999999999997E-4</v>
      </c>
      <c r="M92" s="547">
        <v>1.2</v>
      </c>
      <c r="N92" s="529"/>
      <c r="O92" s="1111"/>
      <c r="P92" s="507">
        <v>1</v>
      </c>
      <c r="Q92" s="535">
        <v>9.9999999999999995E-7</v>
      </c>
      <c r="R92" s="536">
        <v>-1E-3</v>
      </c>
      <c r="S92" s="532">
        <f t="shared" si="34"/>
        <v>5.0049999999999997E-4</v>
      </c>
      <c r="T92" s="546">
        <v>1.2</v>
      </c>
    </row>
    <row r="93" spans="1:20" ht="12.75" customHeight="1" x14ac:dyDescent="0.25">
      <c r="A93" s="1111"/>
      <c r="B93" s="507">
        <v>2</v>
      </c>
      <c r="C93" s="535">
        <v>9.9999999999999995E-7</v>
      </c>
      <c r="D93" s="535">
        <v>9.9999999999999995E-7</v>
      </c>
      <c r="E93" s="532">
        <f t="shared" si="32"/>
        <v>0</v>
      </c>
      <c r="F93" s="507">
        <v>1.2</v>
      </c>
      <c r="G93" s="529"/>
      <c r="H93" s="1111"/>
      <c r="I93" s="507">
        <v>2</v>
      </c>
      <c r="J93" s="535">
        <v>9.9999999999999995E-7</v>
      </c>
      <c r="K93" s="536">
        <v>-6.0000000000000001E-3</v>
      </c>
      <c r="L93" s="532">
        <f t="shared" si="33"/>
        <v>3.0005000000000001E-3</v>
      </c>
      <c r="M93" s="547">
        <v>1.2</v>
      </c>
      <c r="N93" s="529"/>
      <c r="O93" s="1111"/>
      <c r="P93" s="507">
        <v>2</v>
      </c>
      <c r="Q93" s="535">
        <v>9.9999999999999995E-7</v>
      </c>
      <c r="R93" s="536">
        <v>-6.0000000000000001E-3</v>
      </c>
      <c r="S93" s="532">
        <f t="shared" si="34"/>
        <v>3.0005000000000001E-3</v>
      </c>
      <c r="T93" s="546">
        <v>1.2</v>
      </c>
    </row>
    <row r="94" spans="1:20" ht="14.4" thickBot="1" x14ac:dyDescent="0.3">
      <c r="A94" s="541"/>
      <c r="B94" s="542"/>
      <c r="C94" s="543"/>
      <c r="D94" s="543"/>
      <c r="E94" s="543"/>
      <c r="F94" s="543"/>
      <c r="G94" s="529"/>
      <c r="H94" s="544"/>
      <c r="I94" s="545"/>
      <c r="J94" s="543"/>
      <c r="K94" s="543"/>
      <c r="L94" s="543"/>
      <c r="M94" s="543"/>
      <c r="N94" s="529"/>
      <c r="O94" s="544"/>
      <c r="P94" s="542"/>
      <c r="Q94" s="543"/>
      <c r="R94" s="529"/>
      <c r="S94" s="529"/>
      <c r="T94" s="538"/>
    </row>
    <row r="95" spans="1:20" ht="14.4" thickBot="1" x14ac:dyDescent="0.3">
      <c r="A95" s="1113"/>
      <c r="B95" s="1114"/>
      <c r="C95" s="1114"/>
      <c r="D95" s="1114"/>
      <c r="E95" s="1114"/>
      <c r="F95" s="1114"/>
      <c r="G95" s="1114"/>
      <c r="H95" s="1114"/>
      <c r="I95" s="1114"/>
      <c r="J95" s="1114"/>
      <c r="K95" s="1114"/>
      <c r="L95" s="1114"/>
      <c r="M95" s="1114"/>
      <c r="N95" s="1114"/>
      <c r="O95" s="1114"/>
      <c r="P95" s="1114"/>
      <c r="Q95" s="1114"/>
      <c r="R95" s="548"/>
      <c r="S95" s="548"/>
      <c r="T95" s="549"/>
    </row>
    <row r="96" spans="1:20" ht="14.4" thickBot="1" x14ac:dyDescent="0.3">
      <c r="A96" s="550"/>
      <c r="B96" s="551"/>
      <c r="C96" s="551"/>
    </row>
    <row r="97" spans="1:17" x14ac:dyDescent="0.25">
      <c r="A97" s="1106" t="s">
        <v>33</v>
      </c>
      <c r="B97" s="1105" t="s">
        <v>327</v>
      </c>
      <c r="C97" s="1109" t="s">
        <v>308</v>
      </c>
      <c r="D97" s="1109"/>
      <c r="E97" s="1109"/>
      <c r="F97" s="1109"/>
      <c r="G97" s="1109"/>
      <c r="H97" s="508"/>
      <c r="I97" s="1106" t="s">
        <v>33</v>
      </c>
      <c r="J97" s="1105" t="s">
        <v>327</v>
      </c>
      <c r="K97" s="1109" t="s">
        <v>308</v>
      </c>
      <c r="L97" s="1109"/>
      <c r="M97" s="1109"/>
      <c r="N97" s="1109"/>
      <c r="O97" s="1109"/>
      <c r="Q97" s="509"/>
    </row>
    <row r="98" spans="1:17" x14ac:dyDescent="0.25">
      <c r="A98" s="1106"/>
      <c r="B98" s="1105"/>
      <c r="C98" s="1110" t="str">
        <f>B4</f>
        <v>Setting VAC</v>
      </c>
      <c r="D98" s="1110"/>
      <c r="E98" s="1110"/>
      <c r="F98" s="510" t="s">
        <v>310</v>
      </c>
      <c r="G98" s="510" t="s">
        <v>170</v>
      </c>
      <c r="I98" s="1106"/>
      <c r="J98" s="1105"/>
      <c r="K98" s="1107" t="str">
        <f>B12</f>
        <v>Current Leakage</v>
      </c>
      <c r="L98" s="1107"/>
      <c r="M98" s="1107"/>
      <c r="N98" s="510" t="s">
        <v>310</v>
      </c>
      <c r="O98" s="510" t="s">
        <v>170</v>
      </c>
      <c r="Q98" s="552"/>
    </row>
    <row r="99" spans="1:17" x14ac:dyDescent="0.25">
      <c r="A99" s="1106"/>
      <c r="B99" s="1105"/>
      <c r="C99" s="510" t="s">
        <v>311</v>
      </c>
      <c r="D99" s="510"/>
      <c r="E99" s="510"/>
      <c r="F99" s="510"/>
      <c r="G99" s="510"/>
      <c r="I99" s="1106"/>
      <c r="J99" s="1105"/>
      <c r="K99" s="510" t="s">
        <v>313</v>
      </c>
      <c r="L99" s="510"/>
      <c r="M99" s="510"/>
      <c r="N99" s="510"/>
      <c r="O99" s="510"/>
      <c r="Q99" s="552"/>
    </row>
    <row r="100" spans="1:17" x14ac:dyDescent="0.25">
      <c r="A100" s="1108" t="s">
        <v>54</v>
      </c>
      <c r="B100" s="511">
        <v>1</v>
      </c>
      <c r="C100" s="512">
        <f>B6</f>
        <v>150</v>
      </c>
      <c r="D100" s="512">
        <f t="shared" ref="D100:G100" si="35">C6</f>
        <v>0.76</v>
      </c>
      <c r="E100" s="512">
        <f t="shared" si="35"/>
        <v>0.31</v>
      </c>
      <c r="F100" s="512">
        <f t="shared" si="35"/>
        <v>0.22500000000000001</v>
      </c>
      <c r="G100" s="512">
        <f t="shared" si="35"/>
        <v>0.47</v>
      </c>
      <c r="I100" s="1108" t="s">
        <v>54</v>
      </c>
      <c r="J100" s="511">
        <v>1</v>
      </c>
      <c r="K100" s="553">
        <f>B14</f>
        <v>0</v>
      </c>
      <c r="L100" s="553">
        <f t="shared" ref="L100:O100" si="36">C14</f>
        <v>9.9999999999999995E-7</v>
      </c>
      <c r="M100" s="553">
        <f t="shared" si="36"/>
        <v>9.9999999999999995E-7</v>
      </c>
      <c r="N100" s="553">
        <f t="shared" si="36"/>
        <v>0</v>
      </c>
      <c r="O100" s="553">
        <f t="shared" si="36"/>
        <v>0.28999999999999998</v>
      </c>
    </row>
    <row r="101" spans="1:17" x14ac:dyDescent="0.25">
      <c r="A101" s="1108"/>
      <c r="B101" s="513">
        <v>2</v>
      </c>
      <c r="C101" s="512">
        <f>I6</f>
        <v>150</v>
      </c>
      <c r="D101" s="512">
        <f t="shared" ref="D101:G101" si="37">J6</f>
        <v>0.23</v>
      </c>
      <c r="E101" s="512">
        <f t="shared" si="37"/>
        <v>0.15</v>
      </c>
      <c r="F101" s="512">
        <f t="shared" si="37"/>
        <v>4.0000000000000008E-2</v>
      </c>
      <c r="G101" s="512">
        <f t="shared" si="37"/>
        <v>0.47</v>
      </c>
      <c r="I101" s="1108"/>
      <c r="J101" s="513">
        <v>2</v>
      </c>
      <c r="K101" s="553">
        <f>I14</f>
        <v>0</v>
      </c>
      <c r="L101" s="553">
        <f t="shared" ref="L101:O101" si="38">J14</f>
        <v>9.9999999999999995E-7</v>
      </c>
      <c r="M101" s="553">
        <f t="shared" si="38"/>
        <v>9.9999999999999995E-7</v>
      </c>
      <c r="N101" s="553">
        <f t="shared" si="38"/>
        <v>0</v>
      </c>
      <c r="O101" s="553">
        <f t="shared" si="38"/>
        <v>0.28999999999999998</v>
      </c>
    </row>
    <row r="102" spans="1:17" x14ac:dyDescent="0.25">
      <c r="A102" s="1108"/>
      <c r="B102" s="513">
        <v>3</v>
      </c>
      <c r="C102" s="512">
        <f>P6</f>
        <v>150</v>
      </c>
      <c r="D102" s="512">
        <f t="shared" ref="D102:G102" si="39">Q6</f>
        <v>-0.24</v>
      </c>
      <c r="E102" s="512">
        <f t="shared" si="39"/>
        <v>-7.0000000000000007E-2</v>
      </c>
      <c r="F102" s="512">
        <f t="shared" si="39"/>
        <v>8.4999999999999992E-2</v>
      </c>
      <c r="G102" s="512">
        <f t="shared" si="39"/>
        <v>1.2</v>
      </c>
      <c r="I102" s="1108"/>
      <c r="J102" s="513">
        <v>3</v>
      </c>
      <c r="K102" s="553">
        <f>P14</f>
        <v>0</v>
      </c>
      <c r="L102" s="553">
        <f t="shared" ref="L102:O102" si="40">Q14</f>
        <v>9.9999999999999995E-7</v>
      </c>
      <c r="M102" s="553">
        <f t="shared" si="40"/>
        <v>9.9999999999999995E-7</v>
      </c>
      <c r="N102" s="553">
        <f t="shared" si="40"/>
        <v>0</v>
      </c>
      <c r="O102" s="553">
        <f t="shared" si="40"/>
        <v>0.59</v>
      </c>
    </row>
    <row r="103" spans="1:17" x14ac:dyDescent="0.25">
      <c r="A103" s="1108"/>
      <c r="B103" s="513">
        <v>4</v>
      </c>
      <c r="C103" s="512">
        <f>B37</f>
        <v>150</v>
      </c>
      <c r="D103" s="512">
        <f t="shared" ref="D103:G103" si="41">C37</f>
        <v>-0.09</v>
      </c>
      <c r="E103" s="512">
        <f t="shared" si="41"/>
        <v>0.11</v>
      </c>
      <c r="F103" s="512">
        <f t="shared" si="41"/>
        <v>0.1</v>
      </c>
      <c r="G103" s="512">
        <f t="shared" si="41"/>
        <v>0.47</v>
      </c>
      <c r="I103" s="1108"/>
      <c r="J103" s="513">
        <v>4</v>
      </c>
      <c r="K103" s="553">
        <f>B45</f>
        <v>0</v>
      </c>
      <c r="L103" s="553">
        <f t="shared" ref="L103:O103" si="42">C45</f>
        <v>9.9999999999999995E-7</v>
      </c>
      <c r="M103" s="553">
        <f t="shared" si="42"/>
        <v>9.9999999999999995E-7</v>
      </c>
      <c r="N103" s="553">
        <f t="shared" si="42"/>
        <v>0</v>
      </c>
      <c r="O103" s="553">
        <f t="shared" si="42"/>
        <v>0.28999999999999998</v>
      </c>
    </row>
    <row r="104" spans="1:17" x14ac:dyDescent="0.25">
      <c r="A104" s="1108"/>
      <c r="B104" s="513">
        <v>5</v>
      </c>
      <c r="C104" s="512">
        <f>I37</f>
        <v>150</v>
      </c>
      <c r="D104" s="512">
        <f t="shared" ref="D104:G104" si="43">J37</f>
        <v>-0.06</v>
      </c>
      <c r="E104" s="512">
        <f t="shared" si="43"/>
        <v>0.02</v>
      </c>
      <c r="F104" s="512">
        <f t="shared" si="43"/>
        <v>0.04</v>
      </c>
      <c r="G104" s="512">
        <f t="shared" si="43"/>
        <v>0.47</v>
      </c>
      <c r="I104" s="1108"/>
      <c r="J104" s="513">
        <v>5</v>
      </c>
      <c r="K104" s="553">
        <f>I45</f>
        <v>0</v>
      </c>
      <c r="L104" s="553">
        <f t="shared" ref="L104:O104" si="44">J45</f>
        <v>9.9999999999999995E-7</v>
      </c>
      <c r="M104" s="553">
        <f t="shared" si="44"/>
        <v>9.9999999999999995E-7</v>
      </c>
      <c r="N104" s="553">
        <f t="shared" si="44"/>
        <v>0</v>
      </c>
      <c r="O104" s="553">
        <f t="shared" si="44"/>
        <v>0.28999999999999998</v>
      </c>
    </row>
    <row r="105" spans="1:17" x14ac:dyDescent="0.25">
      <c r="A105" s="1108"/>
      <c r="B105" s="513">
        <v>6</v>
      </c>
      <c r="C105" s="512">
        <f>P37</f>
        <v>150</v>
      </c>
      <c r="D105" s="512">
        <f t="shared" ref="D105:G105" si="45">Q37</f>
        <v>0.03</v>
      </c>
      <c r="E105" s="512">
        <f t="shared" si="45"/>
        <v>-0.15</v>
      </c>
      <c r="F105" s="512">
        <f t="shared" si="45"/>
        <v>0.09</v>
      </c>
      <c r="G105" s="512">
        <f t="shared" si="45"/>
        <v>1.2</v>
      </c>
      <c r="I105" s="1108"/>
      <c r="J105" s="513">
        <v>6</v>
      </c>
      <c r="K105" s="553">
        <f>P45</f>
        <v>0</v>
      </c>
      <c r="L105" s="553">
        <f t="shared" ref="L105:O105" si="46">Q45</f>
        <v>9.9999999999999995E-7</v>
      </c>
      <c r="M105" s="553">
        <f t="shared" si="46"/>
        <v>9.9999999999999995E-7</v>
      </c>
      <c r="N105" s="553">
        <f t="shared" si="46"/>
        <v>0</v>
      </c>
      <c r="O105" s="553">
        <f t="shared" si="46"/>
        <v>0.59</v>
      </c>
    </row>
    <row r="106" spans="1:17" x14ac:dyDescent="0.25">
      <c r="A106" s="1108"/>
      <c r="B106" s="513">
        <v>7</v>
      </c>
      <c r="C106" s="512">
        <f>B68</f>
        <v>150</v>
      </c>
      <c r="D106" s="512">
        <f t="shared" ref="D106:G106" si="47">C68</f>
        <v>0.21</v>
      </c>
      <c r="E106" s="512">
        <f t="shared" si="47"/>
        <v>0.21</v>
      </c>
      <c r="F106" s="512">
        <f t="shared" si="47"/>
        <v>0</v>
      </c>
      <c r="G106" s="512">
        <f t="shared" si="47"/>
        <v>1.2</v>
      </c>
      <c r="I106" s="1108"/>
      <c r="J106" s="513">
        <v>7</v>
      </c>
      <c r="K106" s="553">
        <f>B76</f>
        <v>0</v>
      </c>
      <c r="L106" s="553">
        <f t="shared" ref="L106:O106" si="48">C76</f>
        <v>9.9999999999999995E-7</v>
      </c>
      <c r="M106" s="553">
        <f t="shared" si="48"/>
        <v>9.9999999999999995E-7</v>
      </c>
      <c r="N106" s="553">
        <f t="shared" si="48"/>
        <v>0</v>
      </c>
      <c r="O106" s="553">
        <f t="shared" si="48"/>
        <v>0.59</v>
      </c>
    </row>
    <row r="107" spans="1:17" x14ac:dyDescent="0.25">
      <c r="A107" s="1108"/>
      <c r="B107" s="513">
        <v>8</v>
      </c>
      <c r="C107" s="512">
        <f>I68</f>
        <v>150</v>
      </c>
      <c r="D107" s="512">
        <f t="shared" ref="D107:G107" si="49">J68</f>
        <v>9.9999999999999995E-7</v>
      </c>
      <c r="E107" s="512">
        <f t="shared" si="49"/>
        <v>-0.17</v>
      </c>
      <c r="F107" s="512">
        <f t="shared" si="49"/>
        <v>8.5000500000000007E-2</v>
      </c>
      <c r="G107" s="512">
        <f t="shared" si="49"/>
        <v>1.2</v>
      </c>
      <c r="I107" s="1108"/>
      <c r="J107" s="513">
        <v>8</v>
      </c>
      <c r="K107" s="553">
        <f>I76</f>
        <v>0</v>
      </c>
      <c r="L107" s="553">
        <f t="shared" ref="L107:O107" si="50">J76</f>
        <v>9.9999999999999995E-7</v>
      </c>
      <c r="M107" s="553">
        <f t="shared" si="50"/>
        <v>9.9999999999999995E-7</v>
      </c>
      <c r="N107" s="553">
        <f t="shared" si="50"/>
        <v>0</v>
      </c>
      <c r="O107" s="553">
        <f t="shared" si="50"/>
        <v>0.59</v>
      </c>
    </row>
    <row r="108" spans="1:17" x14ac:dyDescent="0.25">
      <c r="A108" s="1108"/>
      <c r="B108" s="513">
        <v>9</v>
      </c>
      <c r="C108" s="512">
        <f>P68</f>
        <v>150</v>
      </c>
      <c r="D108" s="512">
        <f t="shared" ref="D108:G108" si="51">Q68</f>
        <v>9.9999999999999995E-7</v>
      </c>
      <c r="E108" s="512">
        <f t="shared" si="51"/>
        <v>-0.24</v>
      </c>
      <c r="F108" s="512">
        <f t="shared" si="51"/>
        <v>0.1200005</v>
      </c>
      <c r="G108" s="512">
        <f t="shared" si="51"/>
        <v>1.2</v>
      </c>
      <c r="I108" s="1108"/>
      <c r="J108" s="513">
        <v>9</v>
      </c>
      <c r="K108" s="553">
        <f>P76</f>
        <v>0</v>
      </c>
      <c r="L108" s="553">
        <f t="shared" ref="L108:O108" si="52">Q76</f>
        <v>9.9999999999999995E-7</v>
      </c>
      <c r="M108" s="553">
        <f t="shared" si="52"/>
        <v>9.9999999999999995E-7</v>
      </c>
      <c r="N108" s="553">
        <f t="shared" si="52"/>
        <v>0</v>
      </c>
      <c r="O108" s="553">
        <f t="shared" si="52"/>
        <v>0.59</v>
      </c>
    </row>
    <row r="109" spans="1:17" x14ac:dyDescent="0.25">
      <c r="A109" s="1108" t="s">
        <v>55</v>
      </c>
      <c r="B109" s="511">
        <v>1</v>
      </c>
      <c r="C109" s="512">
        <f>B7</f>
        <v>180</v>
      </c>
      <c r="D109" s="512">
        <f t="shared" ref="D109:G109" si="53">C7</f>
        <v>-0.13</v>
      </c>
      <c r="E109" s="512">
        <f t="shared" si="53"/>
        <v>0.1</v>
      </c>
      <c r="F109" s="512">
        <f t="shared" si="53"/>
        <v>0.115</v>
      </c>
      <c r="G109" s="512">
        <f t="shared" si="53"/>
        <v>0.47</v>
      </c>
      <c r="I109" s="1108" t="s">
        <v>55</v>
      </c>
      <c r="J109" s="511">
        <v>1</v>
      </c>
      <c r="K109" s="512">
        <f>B15</f>
        <v>50</v>
      </c>
      <c r="L109" s="512">
        <f t="shared" ref="L109:O109" si="54">C15</f>
        <v>-0.06</v>
      </c>
      <c r="M109" s="512">
        <f t="shared" si="54"/>
        <v>0.1</v>
      </c>
      <c r="N109" s="512">
        <f t="shared" si="54"/>
        <v>0.08</v>
      </c>
      <c r="O109" s="512">
        <f t="shared" si="54"/>
        <v>0.28999999999999998</v>
      </c>
    </row>
    <row r="110" spans="1:17" x14ac:dyDescent="0.25">
      <c r="A110" s="1108"/>
      <c r="B110" s="513">
        <v>2</v>
      </c>
      <c r="C110" s="512">
        <f>I7</f>
        <v>180</v>
      </c>
      <c r="D110" s="512">
        <f t="shared" ref="D110:G110" si="55">J7</f>
        <v>-0.06</v>
      </c>
      <c r="E110" s="554">
        <f t="shared" si="55"/>
        <v>0.12</v>
      </c>
      <c r="F110" s="512">
        <f t="shared" si="55"/>
        <v>0.09</v>
      </c>
      <c r="G110" s="512">
        <f t="shared" si="55"/>
        <v>0.47</v>
      </c>
      <c r="I110" s="1108"/>
      <c r="J110" s="513">
        <v>2</v>
      </c>
      <c r="K110" s="512">
        <f>I15</f>
        <v>50</v>
      </c>
      <c r="L110" s="512">
        <f t="shared" ref="L110:O110" si="56">J15</f>
        <v>0.1</v>
      </c>
      <c r="M110" s="554">
        <f t="shared" si="56"/>
        <v>0.1</v>
      </c>
      <c r="N110" s="512">
        <f t="shared" si="56"/>
        <v>0</v>
      </c>
      <c r="O110" s="512">
        <f t="shared" si="56"/>
        <v>0.28999999999999998</v>
      </c>
    </row>
    <row r="111" spans="1:17" x14ac:dyDescent="0.25">
      <c r="A111" s="1108"/>
      <c r="B111" s="513">
        <v>3</v>
      </c>
      <c r="C111" s="512">
        <f>P7</f>
        <v>180</v>
      </c>
      <c r="D111" s="512">
        <f t="shared" ref="D111:G111" si="57">Q7</f>
        <v>-0.3</v>
      </c>
      <c r="E111" s="512">
        <f t="shared" si="57"/>
        <v>-0.13</v>
      </c>
      <c r="F111" s="512">
        <f t="shared" si="57"/>
        <v>8.4999999999999992E-2</v>
      </c>
      <c r="G111" s="512">
        <f t="shared" si="57"/>
        <v>1.2</v>
      </c>
      <c r="I111" s="1108"/>
      <c r="J111" s="513">
        <v>3</v>
      </c>
      <c r="K111" s="512">
        <f>P15</f>
        <v>50</v>
      </c>
      <c r="L111" s="512">
        <f t="shared" ref="L111:O111" si="58">Q15</f>
        <v>0.4</v>
      </c>
      <c r="M111" s="512">
        <f t="shared" si="58"/>
        <v>2</v>
      </c>
      <c r="N111" s="512">
        <f t="shared" si="58"/>
        <v>0.8</v>
      </c>
      <c r="O111" s="512">
        <f t="shared" si="58"/>
        <v>0.59</v>
      </c>
    </row>
    <row r="112" spans="1:17" x14ac:dyDescent="0.25">
      <c r="A112" s="1108"/>
      <c r="B112" s="513">
        <v>4</v>
      </c>
      <c r="C112" s="512">
        <f>B38</f>
        <v>180</v>
      </c>
      <c r="D112" s="512">
        <f t="shared" ref="D112:G112" si="59">C38</f>
        <v>-0.09</v>
      </c>
      <c r="E112" s="512">
        <f t="shared" si="59"/>
        <v>0.03</v>
      </c>
      <c r="F112" s="512">
        <f t="shared" si="59"/>
        <v>0.06</v>
      </c>
      <c r="G112" s="512">
        <f t="shared" si="59"/>
        <v>0.47</v>
      </c>
      <c r="I112" s="1108"/>
      <c r="J112" s="513">
        <v>4</v>
      </c>
      <c r="K112" s="512">
        <f>B46</f>
        <v>50</v>
      </c>
      <c r="L112" s="512">
        <f t="shared" ref="L112:O112" si="60">C46</f>
        <v>-0.1</v>
      </c>
      <c r="M112" s="512">
        <f t="shared" si="60"/>
        <v>0.2</v>
      </c>
      <c r="N112" s="512">
        <f t="shared" si="60"/>
        <v>0.15000000000000002</v>
      </c>
      <c r="O112" s="512">
        <f t="shared" si="60"/>
        <v>0.28999999999999998</v>
      </c>
    </row>
    <row r="113" spans="1:15" x14ac:dyDescent="0.25">
      <c r="A113" s="1108"/>
      <c r="B113" s="513">
        <v>5</v>
      </c>
      <c r="C113" s="512">
        <f>I38</f>
        <v>180</v>
      </c>
      <c r="D113" s="512">
        <f t="shared" ref="D113:G113" si="61">J38</f>
        <v>-0.11</v>
      </c>
      <c r="E113" s="512">
        <f t="shared" si="61"/>
        <v>0.1</v>
      </c>
      <c r="F113" s="512">
        <f t="shared" si="61"/>
        <v>0.10500000000000001</v>
      </c>
      <c r="G113" s="512">
        <f t="shared" si="61"/>
        <v>0.47</v>
      </c>
      <c r="I113" s="1108"/>
      <c r="J113" s="513">
        <v>5</v>
      </c>
      <c r="K113" s="512">
        <f>I46</f>
        <v>50</v>
      </c>
      <c r="L113" s="512">
        <f t="shared" ref="L113:O113" si="62">J46</f>
        <v>4.7</v>
      </c>
      <c r="M113" s="512">
        <f t="shared" si="62"/>
        <v>-0.33</v>
      </c>
      <c r="N113" s="512">
        <f t="shared" si="62"/>
        <v>2.5150000000000001</v>
      </c>
      <c r="O113" s="512">
        <f t="shared" si="62"/>
        <v>0.28999999999999998</v>
      </c>
    </row>
    <row r="114" spans="1:15" x14ac:dyDescent="0.25">
      <c r="A114" s="1108"/>
      <c r="B114" s="513">
        <v>6</v>
      </c>
      <c r="C114" s="512">
        <f>P38</f>
        <v>180</v>
      </c>
      <c r="D114" s="512">
        <f t="shared" ref="D114:G114" si="63">Q38</f>
        <v>9.9999999999999995E-7</v>
      </c>
      <c r="E114" s="512">
        <f t="shared" si="63"/>
        <v>-0.11</v>
      </c>
      <c r="F114" s="512">
        <f t="shared" si="63"/>
        <v>5.5000500000000001E-2</v>
      </c>
      <c r="G114" s="512">
        <f t="shared" si="63"/>
        <v>1.2</v>
      </c>
      <c r="I114" s="1108"/>
      <c r="J114" s="513">
        <v>6</v>
      </c>
      <c r="K114" s="512">
        <f>P46</f>
        <v>50</v>
      </c>
      <c r="L114" s="512">
        <f t="shared" ref="L114:O114" si="64">Q46</f>
        <v>2.1</v>
      </c>
      <c r="M114" s="512">
        <f t="shared" si="64"/>
        <v>2.6</v>
      </c>
      <c r="N114" s="512">
        <f t="shared" si="64"/>
        <v>0.25</v>
      </c>
      <c r="O114" s="512">
        <f t="shared" si="64"/>
        <v>0.59</v>
      </c>
    </row>
    <row r="115" spans="1:15" x14ac:dyDescent="0.25">
      <c r="A115" s="1108"/>
      <c r="B115" s="513">
        <v>7</v>
      </c>
      <c r="C115" s="512">
        <f>B69</f>
        <v>180</v>
      </c>
      <c r="D115" s="512">
        <f t="shared" ref="D115:G115" si="65">C69</f>
        <v>0.33</v>
      </c>
      <c r="E115" s="512">
        <f t="shared" si="65"/>
        <v>0.33</v>
      </c>
      <c r="F115" s="512">
        <f t="shared" si="65"/>
        <v>0</v>
      </c>
      <c r="G115" s="512">
        <f t="shared" si="65"/>
        <v>1.2</v>
      </c>
      <c r="I115" s="1108"/>
      <c r="J115" s="513">
        <v>7</v>
      </c>
      <c r="K115" s="512">
        <f>B77</f>
        <v>50</v>
      </c>
      <c r="L115" s="512">
        <f t="shared" ref="L115:O115" si="66">C77</f>
        <v>1.7</v>
      </c>
      <c r="M115" s="512">
        <f t="shared" si="66"/>
        <v>1.7</v>
      </c>
      <c r="N115" s="512">
        <f t="shared" si="66"/>
        <v>0</v>
      </c>
      <c r="O115" s="512">
        <f t="shared" si="66"/>
        <v>0.59</v>
      </c>
    </row>
    <row r="116" spans="1:15" x14ac:dyDescent="0.25">
      <c r="A116" s="1108"/>
      <c r="B116" s="513">
        <v>8</v>
      </c>
      <c r="C116" s="512">
        <f>I69</f>
        <v>180</v>
      </c>
      <c r="D116" s="512">
        <f t="shared" ref="D116:G116" si="67">J69</f>
        <v>9.9999999999999995E-7</v>
      </c>
      <c r="E116" s="512">
        <f t="shared" si="67"/>
        <v>-0.22</v>
      </c>
      <c r="F116" s="512">
        <f t="shared" si="67"/>
        <v>0.1100005</v>
      </c>
      <c r="G116" s="512">
        <f t="shared" si="67"/>
        <v>1.2</v>
      </c>
      <c r="I116" s="1108"/>
      <c r="J116" s="513">
        <v>8</v>
      </c>
      <c r="K116" s="512">
        <f>I77</f>
        <v>50</v>
      </c>
      <c r="L116" s="512">
        <f t="shared" ref="L116:O116" si="68">J77</f>
        <v>9.9999999999999995E-7</v>
      </c>
      <c r="M116" s="512">
        <f t="shared" si="68"/>
        <v>1.7</v>
      </c>
      <c r="N116" s="512">
        <f t="shared" si="68"/>
        <v>0.84999950000000002</v>
      </c>
      <c r="O116" s="512">
        <f t="shared" si="68"/>
        <v>0.59</v>
      </c>
    </row>
    <row r="117" spans="1:15" x14ac:dyDescent="0.25">
      <c r="A117" s="1108"/>
      <c r="B117" s="513">
        <v>9</v>
      </c>
      <c r="C117" s="512">
        <f>P69</f>
        <v>180</v>
      </c>
      <c r="D117" s="512">
        <f t="shared" ref="D117:G117" si="69">Q69</f>
        <v>9.9999999999999995E-7</v>
      </c>
      <c r="E117" s="512">
        <f t="shared" si="69"/>
        <v>-0.14000000000000001</v>
      </c>
      <c r="F117" s="512">
        <f t="shared" si="69"/>
        <v>7.0000500000000007E-2</v>
      </c>
      <c r="G117" s="512">
        <f t="shared" si="69"/>
        <v>1.2</v>
      </c>
      <c r="I117" s="1108"/>
      <c r="J117" s="513">
        <v>9</v>
      </c>
      <c r="K117" s="512">
        <f>P77</f>
        <v>50</v>
      </c>
      <c r="L117" s="512">
        <f t="shared" ref="L117:O117" si="70">Q77</f>
        <v>9.9999999999999995E-7</v>
      </c>
      <c r="M117" s="512">
        <f t="shared" si="70"/>
        <v>2.1</v>
      </c>
      <c r="N117" s="512">
        <f t="shared" si="70"/>
        <v>1.0499995</v>
      </c>
      <c r="O117" s="512">
        <f t="shared" si="70"/>
        <v>0.59</v>
      </c>
    </row>
    <row r="118" spans="1:15" x14ac:dyDescent="0.25">
      <c r="A118" s="1108" t="s">
        <v>56</v>
      </c>
      <c r="B118" s="511">
        <v>1</v>
      </c>
      <c r="C118" s="512">
        <f>B8</f>
        <v>200</v>
      </c>
      <c r="D118" s="512">
        <f t="shared" ref="D118:G118" si="71">C8</f>
        <v>-0.16</v>
      </c>
      <c r="E118" s="512">
        <f t="shared" si="71"/>
        <v>-0.04</v>
      </c>
      <c r="F118" s="512">
        <f t="shared" si="71"/>
        <v>0.06</v>
      </c>
      <c r="G118" s="512">
        <f t="shared" si="71"/>
        <v>0.47</v>
      </c>
      <c r="I118" s="1108" t="s">
        <v>56</v>
      </c>
      <c r="J118" s="511">
        <v>1</v>
      </c>
      <c r="K118" s="512">
        <f>B16</f>
        <v>100</v>
      </c>
      <c r="L118" s="512">
        <f t="shared" ref="L118:O118" si="72">C16</f>
        <v>-0.06</v>
      </c>
      <c r="M118" s="512">
        <f t="shared" si="72"/>
        <v>0.2</v>
      </c>
      <c r="N118" s="512">
        <f t="shared" si="72"/>
        <v>0.13</v>
      </c>
      <c r="O118" s="512">
        <f t="shared" si="72"/>
        <v>0.28999999999999998</v>
      </c>
    </row>
    <row r="119" spans="1:15" x14ac:dyDescent="0.25">
      <c r="A119" s="1108"/>
      <c r="B119" s="513">
        <v>2</v>
      </c>
      <c r="C119" s="512">
        <f>I8</f>
        <v>200</v>
      </c>
      <c r="D119" s="512">
        <f t="shared" ref="D119:G119" si="73">J8</f>
        <v>-0.18</v>
      </c>
      <c r="E119" s="512">
        <f t="shared" si="73"/>
        <v>0.06</v>
      </c>
      <c r="F119" s="512">
        <f t="shared" si="73"/>
        <v>0.12</v>
      </c>
      <c r="G119" s="512">
        <f t="shared" si="73"/>
        <v>0.47</v>
      </c>
      <c r="I119" s="1108"/>
      <c r="J119" s="513">
        <v>2</v>
      </c>
      <c r="K119" s="512">
        <f>I16</f>
        <v>100</v>
      </c>
      <c r="L119" s="512">
        <f t="shared" ref="L119:O119" si="74">J16</f>
        <v>2.2000000000000002</v>
      </c>
      <c r="M119" s="512">
        <f t="shared" si="74"/>
        <v>0.4</v>
      </c>
      <c r="N119" s="512">
        <f t="shared" si="74"/>
        <v>0.90000000000000013</v>
      </c>
      <c r="O119" s="512">
        <f t="shared" si="74"/>
        <v>0.28999999999999998</v>
      </c>
    </row>
    <row r="120" spans="1:15" x14ac:dyDescent="0.25">
      <c r="A120" s="1108"/>
      <c r="B120" s="513">
        <v>3</v>
      </c>
      <c r="C120" s="512">
        <f>P8</f>
        <v>200</v>
      </c>
      <c r="D120" s="512">
        <f t="shared" ref="D120:G120" si="75">Q8</f>
        <v>-0.24</v>
      </c>
      <c r="E120" s="512">
        <f t="shared" si="75"/>
        <v>-0.26</v>
      </c>
      <c r="F120" s="512">
        <f t="shared" si="75"/>
        <v>1.0000000000000009E-2</v>
      </c>
      <c r="G120" s="512">
        <f t="shared" si="75"/>
        <v>1.2</v>
      </c>
      <c r="I120" s="1108"/>
      <c r="J120" s="513">
        <v>3</v>
      </c>
      <c r="K120" s="512">
        <f>P16</f>
        <v>100</v>
      </c>
      <c r="L120" s="512">
        <f t="shared" ref="L120:O120" si="76">Q16</f>
        <v>0.4</v>
      </c>
      <c r="M120" s="512">
        <f t="shared" si="76"/>
        <v>2</v>
      </c>
      <c r="N120" s="512">
        <f t="shared" si="76"/>
        <v>0.8</v>
      </c>
      <c r="O120" s="512">
        <f t="shared" si="76"/>
        <v>0.59</v>
      </c>
    </row>
    <row r="121" spans="1:15" x14ac:dyDescent="0.25">
      <c r="A121" s="1108"/>
      <c r="B121" s="513">
        <v>4</v>
      </c>
      <c r="C121" s="512">
        <f>B39</f>
        <v>200</v>
      </c>
      <c r="D121" s="512">
        <f t="shared" ref="D121:G121" si="77">C39</f>
        <v>-0.14000000000000001</v>
      </c>
      <c r="E121" s="512">
        <f t="shared" si="77"/>
        <v>0.05</v>
      </c>
      <c r="F121" s="512">
        <f t="shared" si="77"/>
        <v>9.5000000000000001E-2</v>
      </c>
      <c r="G121" s="512">
        <f t="shared" si="77"/>
        <v>0.47</v>
      </c>
      <c r="I121" s="1108"/>
      <c r="J121" s="513">
        <v>4</v>
      </c>
      <c r="K121" s="512">
        <f>B47</f>
        <v>100</v>
      </c>
      <c r="L121" s="512">
        <f t="shared" ref="L121:O121" si="78">C47</f>
        <v>-0.1</v>
      </c>
      <c r="M121" s="512">
        <f t="shared" si="78"/>
        <v>0.3</v>
      </c>
      <c r="N121" s="512">
        <f t="shared" si="78"/>
        <v>0.2</v>
      </c>
      <c r="O121" s="512">
        <f t="shared" si="78"/>
        <v>0.28999999999999998</v>
      </c>
    </row>
    <row r="122" spans="1:15" x14ac:dyDescent="0.25">
      <c r="A122" s="1108"/>
      <c r="B122" s="513">
        <v>5</v>
      </c>
      <c r="C122" s="512">
        <f>I39</f>
        <v>200</v>
      </c>
      <c r="D122" s="512">
        <f t="shared" ref="D122:G122" si="79">J39</f>
        <v>-0.17</v>
      </c>
      <c r="E122" s="512">
        <f t="shared" si="79"/>
        <v>-0.03</v>
      </c>
      <c r="F122" s="512">
        <f t="shared" si="79"/>
        <v>7.0000000000000007E-2</v>
      </c>
      <c r="G122" s="512">
        <f t="shared" si="79"/>
        <v>0.47</v>
      </c>
      <c r="I122" s="1108"/>
      <c r="J122" s="513">
        <v>5</v>
      </c>
      <c r="K122" s="512">
        <f>I47</f>
        <v>100</v>
      </c>
      <c r="L122" s="512">
        <f t="shared" ref="L122:O122" si="80">J47</f>
        <v>4.4000000000000004</v>
      </c>
      <c r="M122" s="512">
        <f t="shared" si="80"/>
        <v>-0.42</v>
      </c>
      <c r="N122" s="512">
        <f t="shared" si="80"/>
        <v>2.41</v>
      </c>
      <c r="O122" s="512">
        <f t="shared" si="80"/>
        <v>0.28999999999999998</v>
      </c>
    </row>
    <row r="123" spans="1:15" x14ac:dyDescent="0.25">
      <c r="A123" s="1108"/>
      <c r="B123" s="513">
        <v>6</v>
      </c>
      <c r="C123" s="512">
        <f>P39</f>
        <v>200</v>
      </c>
      <c r="D123" s="512">
        <f t="shared" ref="D123:G123" si="81">Q39</f>
        <v>0.05</v>
      </c>
      <c r="E123" s="512">
        <f t="shared" si="81"/>
        <v>-0.1</v>
      </c>
      <c r="F123" s="512">
        <f t="shared" si="81"/>
        <v>7.5000000000000011E-2</v>
      </c>
      <c r="G123" s="512">
        <f t="shared" si="81"/>
        <v>1.2</v>
      </c>
      <c r="I123" s="1108"/>
      <c r="J123" s="513">
        <v>6</v>
      </c>
      <c r="K123" s="512">
        <f>P47</f>
        <v>100</v>
      </c>
      <c r="L123" s="512">
        <f t="shared" ref="L123:O123" si="82">Q47</f>
        <v>2.2999999999999998</v>
      </c>
      <c r="M123" s="512">
        <f t="shared" si="82"/>
        <v>2.6</v>
      </c>
      <c r="N123" s="512">
        <f t="shared" si="82"/>
        <v>0.15000000000000013</v>
      </c>
      <c r="O123" s="512">
        <f t="shared" si="82"/>
        <v>0.59</v>
      </c>
    </row>
    <row r="124" spans="1:15" x14ac:dyDescent="0.25">
      <c r="A124" s="1108"/>
      <c r="B124" s="513">
        <v>7</v>
      </c>
      <c r="C124" s="512">
        <f>B70</f>
        <v>200</v>
      </c>
      <c r="D124" s="512">
        <f t="shared" ref="D124:G124" si="83">C70</f>
        <v>0.34</v>
      </c>
      <c r="E124" s="512">
        <f t="shared" si="83"/>
        <v>0.34</v>
      </c>
      <c r="F124" s="512">
        <f t="shared" si="83"/>
        <v>0</v>
      </c>
      <c r="G124" s="512">
        <f t="shared" si="83"/>
        <v>1.2</v>
      </c>
      <c r="I124" s="1108"/>
      <c r="J124" s="513">
        <v>7</v>
      </c>
      <c r="K124" s="512">
        <f>B78</f>
        <v>100</v>
      </c>
      <c r="L124" s="512">
        <f t="shared" ref="L124:O124" si="84">C78</f>
        <v>1.7</v>
      </c>
      <c r="M124" s="512">
        <f t="shared" si="84"/>
        <v>1.7</v>
      </c>
      <c r="N124" s="512">
        <f t="shared" si="84"/>
        <v>0</v>
      </c>
      <c r="O124" s="512">
        <f t="shared" si="84"/>
        <v>0.59</v>
      </c>
    </row>
    <row r="125" spans="1:15" x14ac:dyDescent="0.25">
      <c r="A125" s="1108"/>
      <c r="B125" s="513">
        <v>8</v>
      </c>
      <c r="C125" s="512">
        <f>I70</f>
        <v>200</v>
      </c>
      <c r="D125" s="512">
        <f t="shared" ref="D125:G125" si="85">J70</f>
        <v>9.9999999999999995E-7</v>
      </c>
      <c r="E125" s="512">
        <f t="shared" si="85"/>
        <v>-0.33</v>
      </c>
      <c r="F125" s="512">
        <f t="shared" si="85"/>
        <v>0.16500049999999999</v>
      </c>
      <c r="G125" s="512">
        <f t="shared" si="85"/>
        <v>1.2</v>
      </c>
      <c r="I125" s="1108"/>
      <c r="J125" s="513">
        <v>8</v>
      </c>
      <c r="K125" s="512">
        <f>I78</f>
        <v>100</v>
      </c>
      <c r="L125" s="512">
        <f t="shared" ref="L125:O125" si="86">J78</f>
        <v>9.9999999999999995E-7</v>
      </c>
      <c r="M125" s="512">
        <f t="shared" si="86"/>
        <v>3.4</v>
      </c>
      <c r="N125" s="512">
        <f t="shared" si="86"/>
        <v>1.6999994999999999</v>
      </c>
      <c r="O125" s="512">
        <f t="shared" si="86"/>
        <v>0.59</v>
      </c>
    </row>
    <row r="126" spans="1:15" x14ac:dyDescent="0.25">
      <c r="A126" s="1108"/>
      <c r="B126" s="513">
        <v>9</v>
      </c>
      <c r="C126" s="512">
        <f>P70</f>
        <v>200</v>
      </c>
      <c r="D126" s="512">
        <f t="shared" ref="D126:G126" si="87">Q70</f>
        <v>9.9999999999999995E-7</v>
      </c>
      <c r="E126" s="512">
        <f t="shared" si="87"/>
        <v>-0.33</v>
      </c>
      <c r="F126" s="512">
        <f t="shared" si="87"/>
        <v>0.16500049999999999</v>
      </c>
      <c r="G126" s="512">
        <f t="shared" si="87"/>
        <v>1.2</v>
      </c>
      <c r="I126" s="1108"/>
      <c r="J126" s="513">
        <v>9</v>
      </c>
      <c r="K126" s="512">
        <f>P78</f>
        <v>100</v>
      </c>
      <c r="L126" s="512">
        <f t="shared" ref="L126:O126" si="88">Q78</f>
        <v>9.9999999999999995E-7</v>
      </c>
      <c r="M126" s="512">
        <f t="shared" si="88"/>
        <v>3.7</v>
      </c>
      <c r="N126" s="512">
        <f t="shared" si="88"/>
        <v>1.8499995</v>
      </c>
      <c r="O126" s="512">
        <f t="shared" si="88"/>
        <v>0.59</v>
      </c>
    </row>
    <row r="127" spans="1:15" x14ac:dyDescent="0.25">
      <c r="A127" s="1108" t="s">
        <v>57</v>
      </c>
      <c r="B127" s="511">
        <v>1</v>
      </c>
      <c r="C127" s="512">
        <f>B9</f>
        <v>220</v>
      </c>
      <c r="D127" s="512">
        <f t="shared" ref="D127:G127" si="89">C9</f>
        <v>-0.18</v>
      </c>
      <c r="E127" s="512">
        <f t="shared" si="89"/>
        <v>-0.28000000000000003</v>
      </c>
      <c r="F127" s="512">
        <f t="shared" si="89"/>
        <v>5.0000000000000017E-2</v>
      </c>
      <c r="G127" s="512">
        <f t="shared" si="89"/>
        <v>0.47</v>
      </c>
      <c r="I127" s="1108" t="s">
        <v>57</v>
      </c>
      <c r="J127" s="511">
        <v>1</v>
      </c>
      <c r="K127" s="512">
        <f>B17</f>
        <v>200</v>
      </c>
      <c r="L127" s="512">
        <f t="shared" ref="L127:O127" si="90">C17</f>
        <v>0</v>
      </c>
      <c r="M127" s="512">
        <f t="shared" si="90"/>
        <v>0.4</v>
      </c>
      <c r="N127" s="512">
        <f t="shared" si="90"/>
        <v>0.2</v>
      </c>
      <c r="O127" s="512">
        <f t="shared" si="90"/>
        <v>0.28999999999999998</v>
      </c>
    </row>
    <row r="128" spans="1:15" x14ac:dyDescent="0.25">
      <c r="A128" s="1108"/>
      <c r="B128" s="513">
        <v>2</v>
      </c>
      <c r="C128" s="512">
        <f>I9</f>
        <v>220</v>
      </c>
      <c r="D128" s="512">
        <f t="shared" ref="D128:G128" si="91">J9</f>
        <v>-0.03</v>
      </c>
      <c r="E128" s="512">
        <f t="shared" si="91"/>
        <v>0.05</v>
      </c>
      <c r="F128" s="512">
        <f t="shared" si="91"/>
        <v>0.04</v>
      </c>
      <c r="G128" s="512">
        <f t="shared" si="91"/>
        <v>0.47</v>
      </c>
      <c r="I128" s="1108"/>
      <c r="J128" s="513">
        <v>2</v>
      </c>
      <c r="K128" s="512">
        <f>I17</f>
        <v>200</v>
      </c>
      <c r="L128" s="512">
        <f t="shared" ref="L128:O128" si="92">J17</f>
        <v>3.3</v>
      </c>
      <c r="M128" s="512">
        <f t="shared" si="92"/>
        <v>0.7</v>
      </c>
      <c r="N128" s="512">
        <f t="shared" si="92"/>
        <v>1.2999999999999998</v>
      </c>
      <c r="O128" s="512">
        <f t="shared" si="92"/>
        <v>0.28999999999999998</v>
      </c>
    </row>
    <row r="129" spans="1:15" x14ac:dyDescent="0.25">
      <c r="A129" s="1108"/>
      <c r="B129" s="513">
        <v>3</v>
      </c>
      <c r="C129" s="512">
        <f>P9</f>
        <v>220</v>
      </c>
      <c r="D129" s="512">
        <f t="shared" ref="D129:G129" si="93">Q9</f>
        <v>-0.28000000000000003</v>
      </c>
      <c r="E129" s="512">
        <f t="shared" si="93"/>
        <v>-0.28999999999999998</v>
      </c>
      <c r="F129" s="512">
        <f t="shared" si="93"/>
        <v>4.9999999999999767E-3</v>
      </c>
      <c r="G129" s="512">
        <f t="shared" si="93"/>
        <v>1.2</v>
      </c>
      <c r="I129" s="1108"/>
      <c r="J129" s="513">
        <v>3</v>
      </c>
      <c r="K129" s="512">
        <f>P17</f>
        <v>200</v>
      </c>
      <c r="L129" s="512">
        <f t="shared" ref="L129:O129" si="94">Q17</f>
        <v>1.3</v>
      </c>
      <c r="M129" s="512">
        <f t="shared" si="94"/>
        <v>3.6</v>
      </c>
      <c r="N129" s="512">
        <f t="shared" si="94"/>
        <v>1.1499999999999999</v>
      </c>
      <c r="O129" s="512">
        <f t="shared" si="94"/>
        <v>0.59</v>
      </c>
    </row>
    <row r="130" spans="1:15" x14ac:dyDescent="0.25">
      <c r="A130" s="1108"/>
      <c r="B130" s="513">
        <v>4</v>
      </c>
      <c r="C130" s="512">
        <f>B40</f>
        <v>220</v>
      </c>
      <c r="D130" s="512">
        <f t="shared" ref="D130:G130" si="95">C40</f>
        <v>-0.19</v>
      </c>
      <c r="E130" s="512">
        <f t="shared" si="95"/>
        <v>0.1</v>
      </c>
      <c r="F130" s="512">
        <f t="shared" si="95"/>
        <v>0.14500000000000002</v>
      </c>
      <c r="G130" s="512">
        <f t="shared" si="95"/>
        <v>0.47</v>
      </c>
      <c r="I130" s="1108"/>
      <c r="J130" s="513">
        <v>4</v>
      </c>
      <c r="K130" s="512">
        <f>B48</f>
        <v>200</v>
      </c>
      <c r="L130" s="512">
        <f t="shared" ref="L130:O130" si="96">C48</f>
        <v>1.1000000000000001</v>
      </c>
      <c r="M130" s="512">
        <f t="shared" si="96"/>
        <v>1.4</v>
      </c>
      <c r="N130" s="512">
        <f t="shared" si="96"/>
        <v>0.14999999999999991</v>
      </c>
      <c r="O130" s="512">
        <f t="shared" si="96"/>
        <v>0.28999999999999998</v>
      </c>
    </row>
    <row r="131" spans="1:15" x14ac:dyDescent="0.25">
      <c r="A131" s="1108"/>
      <c r="B131" s="513">
        <v>5</v>
      </c>
      <c r="C131" s="512">
        <f>I40</f>
        <v>220</v>
      </c>
      <c r="D131" s="512">
        <f t="shared" ref="D131:G131" si="97">J40</f>
        <v>-0.25</v>
      </c>
      <c r="E131" s="512">
        <f t="shared" si="97"/>
        <v>0.38</v>
      </c>
      <c r="F131" s="512">
        <f t="shared" si="97"/>
        <v>0.315</v>
      </c>
      <c r="G131" s="512">
        <f t="shared" si="97"/>
        <v>0.47</v>
      </c>
      <c r="I131" s="1108"/>
      <c r="J131" s="513">
        <v>5</v>
      </c>
      <c r="K131" s="512">
        <f>I48</f>
        <v>200</v>
      </c>
      <c r="L131" s="512">
        <f t="shared" ref="L131:O131" si="98">J48</f>
        <v>15.6</v>
      </c>
      <c r="M131" s="512">
        <f t="shared" si="98"/>
        <v>1.3</v>
      </c>
      <c r="N131" s="512">
        <f t="shared" si="98"/>
        <v>7.1499999999999995</v>
      </c>
      <c r="O131" s="512">
        <f t="shared" si="98"/>
        <v>0.28999999999999998</v>
      </c>
    </row>
    <row r="132" spans="1:15" x14ac:dyDescent="0.25">
      <c r="A132" s="1108"/>
      <c r="B132" s="513">
        <v>6</v>
      </c>
      <c r="C132" s="512">
        <f>P40</f>
        <v>220</v>
      </c>
      <c r="D132" s="512">
        <f t="shared" ref="D132:G132" si="99">Q40</f>
        <v>0.05</v>
      </c>
      <c r="E132" s="512">
        <f t="shared" si="99"/>
        <v>-0.13</v>
      </c>
      <c r="F132" s="512">
        <f t="shared" si="99"/>
        <v>0.09</v>
      </c>
      <c r="G132" s="512">
        <f t="shared" si="99"/>
        <v>1.2</v>
      </c>
      <c r="I132" s="1108"/>
      <c r="J132" s="513">
        <v>6</v>
      </c>
      <c r="K132" s="512">
        <f>P48</f>
        <v>200</v>
      </c>
      <c r="L132" s="512">
        <f t="shared" ref="L132:O132" si="100">Q48</f>
        <v>0.2</v>
      </c>
      <c r="M132" s="512">
        <f t="shared" si="100"/>
        <v>3.1</v>
      </c>
      <c r="N132" s="512">
        <f t="shared" si="100"/>
        <v>1.45</v>
      </c>
      <c r="O132" s="512">
        <f t="shared" si="100"/>
        <v>0.59</v>
      </c>
    </row>
    <row r="133" spans="1:15" x14ac:dyDescent="0.25">
      <c r="A133" s="1108"/>
      <c r="B133" s="513">
        <v>7</v>
      </c>
      <c r="C133" s="512">
        <f>B71</f>
        <v>220</v>
      </c>
      <c r="D133" s="512">
        <f t="shared" ref="D133:G133" si="101">C71</f>
        <v>0.37</v>
      </c>
      <c r="E133" s="512">
        <f t="shared" si="101"/>
        <v>0.37</v>
      </c>
      <c r="F133" s="512">
        <f t="shared" si="101"/>
        <v>0</v>
      </c>
      <c r="G133" s="512">
        <f t="shared" si="101"/>
        <v>1.2</v>
      </c>
      <c r="I133" s="1108"/>
      <c r="J133" s="513">
        <v>7</v>
      </c>
      <c r="K133" s="512">
        <f>B79</f>
        <v>200</v>
      </c>
      <c r="L133" s="512">
        <f t="shared" ref="L133:O133" si="102">C79</f>
        <v>0.4</v>
      </c>
      <c r="M133" s="512">
        <f t="shared" si="102"/>
        <v>0.4</v>
      </c>
      <c r="N133" s="512">
        <f t="shared" si="102"/>
        <v>0</v>
      </c>
      <c r="O133" s="512">
        <f t="shared" si="102"/>
        <v>0.59</v>
      </c>
    </row>
    <row r="134" spans="1:15" x14ac:dyDescent="0.25">
      <c r="A134" s="1108"/>
      <c r="B134" s="513">
        <v>8</v>
      </c>
      <c r="C134" s="512">
        <f>I71</f>
        <v>220</v>
      </c>
      <c r="D134" s="512">
        <f t="shared" ref="D134:G134" si="103">J71</f>
        <v>9.9999999999999995E-7</v>
      </c>
      <c r="E134" s="512">
        <f t="shared" si="103"/>
        <v>-0.39</v>
      </c>
      <c r="F134" s="512">
        <f t="shared" si="103"/>
        <v>0.19500049999999999</v>
      </c>
      <c r="G134" s="512">
        <f t="shared" si="103"/>
        <v>1.2</v>
      </c>
      <c r="I134" s="1108"/>
      <c r="J134" s="513">
        <v>8</v>
      </c>
      <c r="K134" s="512">
        <f>I79</f>
        <v>500</v>
      </c>
      <c r="L134" s="512">
        <f t="shared" ref="L134:O134" si="104">J79</f>
        <v>9.9999999999999995E-7</v>
      </c>
      <c r="M134" s="512">
        <f t="shared" si="104"/>
        <v>7.2</v>
      </c>
      <c r="N134" s="512">
        <f t="shared" si="104"/>
        <v>3.5999995</v>
      </c>
      <c r="O134" s="512">
        <f t="shared" si="104"/>
        <v>0.59</v>
      </c>
    </row>
    <row r="135" spans="1:15" x14ac:dyDescent="0.25">
      <c r="A135" s="1108"/>
      <c r="B135" s="513">
        <v>9</v>
      </c>
      <c r="C135" s="512">
        <f>P71</f>
        <v>220</v>
      </c>
      <c r="D135" s="512">
        <f t="shared" ref="D135:G135" si="105">Q71</f>
        <v>9.9999999999999995E-7</v>
      </c>
      <c r="E135" s="512">
        <f t="shared" si="105"/>
        <v>-0.45</v>
      </c>
      <c r="F135" s="512">
        <f t="shared" si="105"/>
        <v>0.22500049999999999</v>
      </c>
      <c r="G135" s="512">
        <f t="shared" si="105"/>
        <v>1.2</v>
      </c>
      <c r="I135" s="1108"/>
      <c r="J135" s="513">
        <v>9</v>
      </c>
      <c r="K135" s="512">
        <f>P79</f>
        <v>500</v>
      </c>
      <c r="L135" s="512">
        <f t="shared" ref="L135:O135" si="106">Q79</f>
        <v>9.9999999999999995E-7</v>
      </c>
      <c r="M135" s="512">
        <f t="shared" si="106"/>
        <v>8.3000000000000007</v>
      </c>
      <c r="N135" s="512">
        <f t="shared" si="106"/>
        <v>4.1499995000000007</v>
      </c>
      <c r="O135" s="512">
        <f t="shared" si="106"/>
        <v>0.59</v>
      </c>
    </row>
    <row r="136" spans="1:15" x14ac:dyDescent="0.25">
      <c r="A136" s="1108" t="s">
        <v>58</v>
      </c>
      <c r="B136" s="511">
        <v>1</v>
      </c>
      <c r="C136" s="512">
        <f>B10</f>
        <v>230</v>
      </c>
      <c r="D136" s="512">
        <f t="shared" ref="D136:G136" si="107">C10</f>
        <v>-0.26</v>
      </c>
      <c r="E136" s="512">
        <f t="shared" si="107"/>
        <v>-0.2</v>
      </c>
      <c r="F136" s="512">
        <f t="shared" si="107"/>
        <v>0.03</v>
      </c>
      <c r="G136" s="512">
        <f t="shared" si="107"/>
        <v>0.47</v>
      </c>
      <c r="I136" s="1108" t="s">
        <v>58</v>
      </c>
      <c r="J136" s="511">
        <v>1</v>
      </c>
      <c r="K136" s="512">
        <f>B18</f>
        <v>500</v>
      </c>
      <c r="L136" s="512">
        <f t="shared" ref="L136:O136" si="108">C18</f>
        <v>-0.9</v>
      </c>
      <c r="M136" s="512">
        <f t="shared" si="108"/>
        <v>3.8</v>
      </c>
      <c r="N136" s="512">
        <f t="shared" si="108"/>
        <v>2.35</v>
      </c>
      <c r="O136" s="512">
        <f t="shared" si="108"/>
        <v>0.28999999999999998</v>
      </c>
    </row>
    <row r="137" spans="1:15" x14ac:dyDescent="0.25">
      <c r="A137" s="1108"/>
      <c r="B137" s="513">
        <v>2</v>
      </c>
      <c r="C137" s="512">
        <f>I10</f>
        <v>230</v>
      </c>
      <c r="D137" s="512">
        <f t="shared" ref="D137:G137" si="109">J10</f>
        <v>-10.02</v>
      </c>
      <c r="E137" s="512">
        <f t="shared" si="109"/>
        <v>0.05</v>
      </c>
      <c r="F137" s="512">
        <f t="shared" si="109"/>
        <v>5.0350000000000001</v>
      </c>
      <c r="G137" s="512">
        <f t="shared" si="109"/>
        <v>0.47</v>
      </c>
      <c r="I137" s="1108"/>
      <c r="J137" s="513">
        <v>2</v>
      </c>
      <c r="K137" s="512">
        <f>I18</f>
        <v>500</v>
      </c>
      <c r="L137" s="512">
        <f t="shared" ref="L137:O137" si="110">J18</f>
        <v>20</v>
      </c>
      <c r="M137" s="512">
        <f t="shared" si="110"/>
        <v>0.8</v>
      </c>
      <c r="N137" s="512">
        <f t="shared" si="110"/>
        <v>9.6</v>
      </c>
      <c r="O137" s="512">
        <f t="shared" si="110"/>
        <v>0.28999999999999998</v>
      </c>
    </row>
    <row r="138" spans="1:15" x14ac:dyDescent="0.25">
      <c r="A138" s="1108"/>
      <c r="B138" s="513">
        <v>3</v>
      </c>
      <c r="C138" s="512">
        <f>P10</f>
        <v>230</v>
      </c>
      <c r="D138" s="512">
        <f t="shared" ref="D138:G138" si="111">Q10</f>
        <v>-0.15</v>
      </c>
      <c r="E138" s="512">
        <f t="shared" si="111"/>
        <v>-0.23</v>
      </c>
      <c r="F138" s="512">
        <f t="shared" si="111"/>
        <v>4.0000000000000008E-2</v>
      </c>
      <c r="G138" s="512">
        <f t="shared" si="111"/>
        <v>1.2</v>
      </c>
      <c r="I138" s="1108"/>
      <c r="J138" s="513">
        <v>3</v>
      </c>
      <c r="K138" s="512">
        <f>P18</f>
        <v>500</v>
      </c>
      <c r="L138" s="512">
        <f t="shared" ref="L138:O138" si="112">Q18</f>
        <v>-0.3</v>
      </c>
      <c r="M138" s="512">
        <f t="shared" si="112"/>
        <v>2.9</v>
      </c>
      <c r="N138" s="512">
        <f t="shared" si="112"/>
        <v>1.5999999999999999</v>
      </c>
      <c r="O138" s="512">
        <f t="shared" si="112"/>
        <v>0.59</v>
      </c>
    </row>
    <row r="139" spans="1:15" x14ac:dyDescent="0.25">
      <c r="A139" s="1108"/>
      <c r="B139" s="513">
        <v>4</v>
      </c>
      <c r="C139" s="512">
        <f>B41</f>
        <v>230</v>
      </c>
      <c r="D139" s="512">
        <f t="shared" ref="D139:G139" si="113">C41</f>
        <v>-0.2</v>
      </c>
      <c r="E139" s="512">
        <f t="shared" si="113"/>
        <v>0.36799999999999999</v>
      </c>
      <c r="F139" s="512">
        <f t="shared" si="113"/>
        <v>0.28400000000000003</v>
      </c>
      <c r="G139" s="512">
        <f t="shared" si="113"/>
        <v>0.47</v>
      </c>
      <c r="I139" s="1108"/>
      <c r="J139" s="513">
        <v>4</v>
      </c>
      <c r="K139" s="512">
        <f>B49</f>
        <v>500</v>
      </c>
      <c r="L139" s="512">
        <f t="shared" ref="L139:O139" si="114">C49</f>
        <v>0.9</v>
      </c>
      <c r="M139" s="512">
        <f t="shared" si="114"/>
        <v>2.8</v>
      </c>
      <c r="N139" s="512">
        <f t="shared" si="114"/>
        <v>0.95</v>
      </c>
      <c r="O139" s="512">
        <f t="shared" si="114"/>
        <v>0.28999999999999998</v>
      </c>
    </row>
    <row r="140" spans="1:15" x14ac:dyDescent="0.25">
      <c r="A140" s="1108"/>
      <c r="B140" s="513">
        <v>5</v>
      </c>
      <c r="C140" s="512">
        <f>I41</f>
        <v>230</v>
      </c>
      <c r="D140" s="512">
        <f t="shared" ref="D140:G140" si="115">J41</f>
        <v>-0.23</v>
      </c>
      <c r="E140" s="512">
        <f t="shared" si="115"/>
        <v>-0.16</v>
      </c>
      <c r="F140" s="512">
        <f t="shared" si="115"/>
        <v>3.5000000000000003E-2</v>
      </c>
      <c r="G140" s="512">
        <f t="shared" si="115"/>
        <v>0.47</v>
      </c>
      <c r="I140" s="1108"/>
      <c r="J140" s="513">
        <v>5</v>
      </c>
      <c r="K140" s="512">
        <f>I49</f>
        <v>500</v>
      </c>
      <c r="L140" s="512">
        <f t="shared" ref="L140:O140" si="116">J49</f>
        <v>14.3</v>
      </c>
      <c r="M140" s="512">
        <f t="shared" si="116"/>
        <v>0.7</v>
      </c>
      <c r="N140" s="512">
        <f t="shared" si="116"/>
        <v>6.8000000000000007</v>
      </c>
      <c r="O140" s="512">
        <f t="shared" si="116"/>
        <v>0.28999999999999998</v>
      </c>
    </row>
    <row r="141" spans="1:15" x14ac:dyDescent="0.25">
      <c r="A141" s="1108"/>
      <c r="B141" s="513">
        <v>6</v>
      </c>
      <c r="C141" s="512">
        <f>P41</f>
        <v>230</v>
      </c>
      <c r="D141" s="512">
        <f t="shared" ref="D141:G141" si="117">Q41</f>
        <v>-0.05</v>
      </c>
      <c r="E141" s="512">
        <f t="shared" si="117"/>
        <v>-0.15</v>
      </c>
      <c r="F141" s="512">
        <f t="shared" si="117"/>
        <v>4.9999999999999996E-2</v>
      </c>
      <c r="G141" s="512">
        <f t="shared" si="117"/>
        <v>1.2</v>
      </c>
      <c r="I141" s="1108"/>
      <c r="J141" s="513">
        <v>6</v>
      </c>
      <c r="K141" s="512">
        <f>P49</f>
        <v>500</v>
      </c>
      <c r="L141" s="512">
        <f t="shared" ref="L141:O141" si="118">Q49</f>
        <v>2.8</v>
      </c>
      <c r="M141" s="512">
        <f t="shared" si="118"/>
        <v>3.9</v>
      </c>
      <c r="N141" s="512">
        <f t="shared" si="118"/>
        <v>0.55000000000000004</v>
      </c>
      <c r="O141" s="512">
        <f t="shared" si="118"/>
        <v>0.59</v>
      </c>
    </row>
    <row r="142" spans="1:15" x14ac:dyDescent="0.25">
      <c r="A142" s="1108"/>
      <c r="B142" s="513">
        <v>7</v>
      </c>
      <c r="C142" s="512">
        <f>B72</f>
        <v>230</v>
      </c>
      <c r="D142" s="512">
        <f t="shared" ref="D142:G142" si="119">C72</f>
        <v>0.47</v>
      </c>
      <c r="E142" s="512">
        <f t="shared" si="119"/>
        <v>0.47</v>
      </c>
      <c r="F142" s="512">
        <f t="shared" si="119"/>
        <v>0</v>
      </c>
      <c r="G142" s="512">
        <f t="shared" si="119"/>
        <v>1.2</v>
      </c>
      <c r="I142" s="1108"/>
      <c r="J142" s="513">
        <v>7</v>
      </c>
      <c r="K142" s="512">
        <f>B80</f>
        <v>500</v>
      </c>
      <c r="L142" s="512">
        <f t="shared" ref="L142:O142" si="120">C80</f>
        <v>3</v>
      </c>
      <c r="M142" s="512">
        <f t="shared" si="120"/>
        <v>3</v>
      </c>
      <c r="N142" s="512">
        <f t="shared" si="120"/>
        <v>0</v>
      </c>
      <c r="O142" s="512">
        <f t="shared" si="120"/>
        <v>0.59</v>
      </c>
    </row>
    <row r="143" spans="1:15" x14ac:dyDescent="0.25">
      <c r="A143" s="1108"/>
      <c r="B143" s="513">
        <v>8</v>
      </c>
      <c r="C143" s="512">
        <f>I72</f>
        <v>230</v>
      </c>
      <c r="D143" s="512">
        <f t="shared" ref="D143:G143" si="121">J72</f>
        <v>9.9999999999999995E-7</v>
      </c>
      <c r="E143" s="512">
        <f t="shared" si="121"/>
        <v>-0.39</v>
      </c>
      <c r="F143" s="512">
        <f t="shared" si="121"/>
        <v>0.19500049999999999</v>
      </c>
      <c r="G143" s="512">
        <f t="shared" si="121"/>
        <v>1.2</v>
      </c>
      <c r="I143" s="1108"/>
      <c r="J143" s="513">
        <v>8</v>
      </c>
      <c r="K143" s="512">
        <f>I80</f>
        <v>500</v>
      </c>
      <c r="L143" s="512">
        <f t="shared" ref="L143:O143" si="122">J80</f>
        <v>9.9999999999999995E-7</v>
      </c>
      <c r="M143" s="512">
        <f t="shared" si="122"/>
        <v>7.2</v>
      </c>
      <c r="N143" s="512">
        <f t="shared" si="122"/>
        <v>3.5999995</v>
      </c>
      <c r="O143" s="512">
        <f t="shared" si="122"/>
        <v>0.59</v>
      </c>
    </row>
    <row r="144" spans="1:15" x14ac:dyDescent="0.25">
      <c r="A144" s="1108"/>
      <c r="B144" s="513">
        <v>9</v>
      </c>
      <c r="C144" s="512">
        <f>P72</f>
        <v>230</v>
      </c>
      <c r="D144" s="512">
        <f t="shared" ref="D144:G144" si="123">Q72</f>
        <v>9.9999999999999995E-7</v>
      </c>
      <c r="E144" s="512">
        <f t="shared" si="123"/>
        <v>-0.54</v>
      </c>
      <c r="F144" s="512">
        <f t="shared" si="123"/>
        <v>0.27000050000000003</v>
      </c>
      <c r="G144" s="512">
        <f t="shared" si="123"/>
        <v>1.2</v>
      </c>
      <c r="I144" s="1108"/>
      <c r="J144" s="513">
        <v>9</v>
      </c>
      <c r="K144" s="512">
        <f>P80</f>
        <v>500</v>
      </c>
      <c r="L144" s="512">
        <f t="shared" ref="L144:O144" si="124">Q80</f>
        <v>9.9999999999999995E-7</v>
      </c>
      <c r="M144" s="512">
        <f t="shared" si="124"/>
        <v>8.3000000000000007</v>
      </c>
      <c r="N144" s="512">
        <f t="shared" si="124"/>
        <v>4.1499995000000007</v>
      </c>
      <c r="O144" s="512">
        <f t="shared" si="124"/>
        <v>0.59</v>
      </c>
    </row>
    <row r="145" spans="1:16" x14ac:dyDescent="0.25">
      <c r="A145" s="1108" t="s">
        <v>59</v>
      </c>
      <c r="B145" s="511">
        <v>1</v>
      </c>
      <c r="C145" s="512">
        <f>B11</f>
        <v>250</v>
      </c>
      <c r="D145" s="512">
        <f t="shared" ref="D145:G145" si="125">C11</f>
        <v>9.9999999999999995E-7</v>
      </c>
      <c r="E145" s="512">
        <f t="shared" si="125"/>
        <v>9.9999999999999995E-7</v>
      </c>
      <c r="F145" s="512">
        <f t="shared" si="125"/>
        <v>0</v>
      </c>
      <c r="G145" s="512">
        <f t="shared" si="125"/>
        <v>0.47</v>
      </c>
      <c r="I145" s="1108" t="s">
        <v>59</v>
      </c>
      <c r="J145" s="511">
        <v>1</v>
      </c>
      <c r="K145" s="512">
        <f>B19</f>
        <v>1000</v>
      </c>
      <c r="L145" s="512">
        <f t="shared" ref="L145:O145" si="126">C19</f>
        <v>-3.0000000000000001E-3</v>
      </c>
      <c r="M145" s="512">
        <f t="shared" si="126"/>
        <v>9</v>
      </c>
      <c r="N145" s="512">
        <f t="shared" si="126"/>
        <v>4.5015000000000001</v>
      </c>
      <c r="O145" s="512">
        <f t="shared" si="126"/>
        <v>0.28999999999999998</v>
      </c>
    </row>
    <row r="146" spans="1:16" x14ac:dyDescent="0.25">
      <c r="A146" s="1108"/>
      <c r="B146" s="513">
        <v>2</v>
      </c>
      <c r="C146" s="512">
        <f>I11</f>
        <v>250</v>
      </c>
      <c r="D146" s="512">
        <f t="shared" ref="D146:G146" si="127">J11</f>
        <v>9.9999999999999995E-7</v>
      </c>
      <c r="E146" s="512">
        <f t="shared" si="127"/>
        <v>9.9999999999999995E-7</v>
      </c>
      <c r="F146" s="512">
        <f t="shared" si="127"/>
        <v>0</v>
      </c>
      <c r="G146" s="512">
        <f t="shared" si="127"/>
        <v>0.47</v>
      </c>
      <c r="I146" s="1108"/>
      <c r="J146" s="513">
        <v>2</v>
      </c>
      <c r="K146" s="512">
        <f>I19</f>
        <v>1000</v>
      </c>
      <c r="L146" s="512">
        <f t="shared" ref="L146:O146" si="128">J19</f>
        <v>2</v>
      </c>
      <c r="M146" s="512">
        <f t="shared" si="128"/>
        <v>8.0000000000000002E-3</v>
      </c>
      <c r="N146" s="512">
        <f t="shared" si="128"/>
        <v>0.996</v>
      </c>
      <c r="O146" s="512">
        <f t="shared" si="128"/>
        <v>0.28999999999999998</v>
      </c>
    </row>
    <row r="147" spans="1:16" x14ac:dyDescent="0.25">
      <c r="A147" s="1108"/>
      <c r="B147" s="513">
        <v>3</v>
      </c>
      <c r="C147" s="512">
        <f>P11</f>
        <v>250</v>
      </c>
      <c r="D147" s="512">
        <f t="shared" ref="D147:G147" si="129">Q11</f>
        <v>9.9999999999999995E-7</v>
      </c>
      <c r="E147" s="512">
        <f t="shared" si="129"/>
        <v>9.9999999999999995E-7</v>
      </c>
      <c r="F147" s="512">
        <f t="shared" si="129"/>
        <v>0</v>
      </c>
      <c r="G147" s="512">
        <f t="shared" si="129"/>
        <v>1.2</v>
      </c>
      <c r="I147" s="1108"/>
      <c r="J147" s="513">
        <v>3</v>
      </c>
      <c r="K147" s="512">
        <f>P19</f>
        <v>1000</v>
      </c>
      <c r="L147" s="512">
        <f t="shared" ref="L147:O147" si="130">Q19</f>
        <v>9</v>
      </c>
      <c r="M147" s="512">
        <f t="shared" si="130"/>
        <v>3</v>
      </c>
      <c r="N147" s="512">
        <f t="shared" si="130"/>
        <v>3</v>
      </c>
      <c r="O147" s="512">
        <f t="shared" si="130"/>
        <v>0.59</v>
      </c>
    </row>
    <row r="148" spans="1:16" x14ac:dyDescent="0.25">
      <c r="A148" s="1108"/>
      <c r="B148" s="513">
        <v>4</v>
      </c>
      <c r="C148" s="512">
        <f>B42</f>
        <v>250</v>
      </c>
      <c r="D148" s="512">
        <f t="shared" ref="D148:G148" si="131">C42</f>
        <v>9.9999999999999995E-7</v>
      </c>
      <c r="E148" s="512">
        <f t="shared" si="131"/>
        <v>9.9999999999999995E-7</v>
      </c>
      <c r="F148" s="512">
        <f t="shared" si="131"/>
        <v>0</v>
      </c>
      <c r="G148" s="512">
        <f t="shared" si="131"/>
        <v>0.47</v>
      </c>
      <c r="I148" s="1108"/>
      <c r="J148" s="513">
        <v>4</v>
      </c>
      <c r="K148" s="512">
        <f>B50</f>
        <v>1000</v>
      </c>
      <c r="L148" s="512">
        <f t="shared" ref="L148:O148" si="132">C50</f>
        <v>2</v>
      </c>
      <c r="M148" s="512">
        <f t="shared" si="132"/>
        <v>1.2E-2</v>
      </c>
      <c r="N148" s="512">
        <f t="shared" si="132"/>
        <v>0.99399999999999999</v>
      </c>
      <c r="O148" s="512">
        <f t="shared" si="132"/>
        <v>0.28999999999999998</v>
      </c>
    </row>
    <row r="149" spans="1:16" x14ac:dyDescent="0.25">
      <c r="A149" s="1108"/>
      <c r="B149" s="513">
        <v>5</v>
      </c>
      <c r="C149" s="512">
        <f>I42</f>
        <v>250</v>
      </c>
      <c r="D149" s="512">
        <f t="shared" ref="D149:G149" si="133">J42</f>
        <v>9.9999999999999995E-7</v>
      </c>
      <c r="E149" s="512">
        <f t="shared" si="133"/>
        <v>9.9999999999999995E-7</v>
      </c>
      <c r="F149" s="512">
        <f t="shared" si="133"/>
        <v>0</v>
      </c>
      <c r="G149" s="512">
        <f t="shared" si="133"/>
        <v>0.47</v>
      </c>
      <c r="I149" s="1108"/>
      <c r="J149" s="513">
        <v>5</v>
      </c>
      <c r="K149" s="512">
        <f>I50</f>
        <v>1000</v>
      </c>
      <c r="L149" s="512">
        <f t="shared" ref="L149:O149" si="134">J50</f>
        <v>15</v>
      </c>
      <c r="M149" s="512">
        <f t="shared" si="134"/>
        <v>2E-3</v>
      </c>
      <c r="N149" s="512">
        <f t="shared" si="134"/>
        <v>7.4989999999999997</v>
      </c>
      <c r="O149" s="512">
        <f t="shared" si="134"/>
        <v>0.28999999999999998</v>
      </c>
    </row>
    <row r="150" spans="1:16" x14ac:dyDescent="0.25">
      <c r="A150" s="1108"/>
      <c r="B150" s="513">
        <v>6</v>
      </c>
      <c r="C150" s="512">
        <f>P42</f>
        <v>250</v>
      </c>
      <c r="D150" s="512">
        <f t="shared" ref="D150:G150" si="135">Q42</f>
        <v>9.9999999999999995E-7</v>
      </c>
      <c r="E150" s="512">
        <f t="shared" si="135"/>
        <v>9.9999999999999995E-7</v>
      </c>
      <c r="F150" s="512">
        <f t="shared" si="135"/>
        <v>0</v>
      </c>
      <c r="G150" s="512">
        <f t="shared" si="135"/>
        <v>1.2</v>
      </c>
      <c r="I150" s="1108"/>
      <c r="J150" s="513">
        <v>6</v>
      </c>
      <c r="K150" s="512">
        <f>P50</f>
        <v>1000</v>
      </c>
      <c r="L150" s="512">
        <f t="shared" ref="L150:O150" si="136">Q50</f>
        <v>13</v>
      </c>
      <c r="M150" s="512">
        <f t="shared" si="136"/>
        <v>5.0000000000000001E-3</v>
      </c>
      <c r="N150" s="512">
        <f t="shared" si="136"/>
        <v>6.4974999999999996</v>
      </c>
      <c r="O150" s="512">
        <f t="shared" si="136"/>
        <v>0.59</v>
      </c>
    </row>
    <row r="151" spans="1:16" x14ac:dyDescent="0.25">
      <c r="A151" s="1108"/>
      <c r="B151" s="513">
        <v>7</v>
      </c>
      <c r="C151" s="512">
        <f>B73</f>
        <v>250</v>
      </c>
      <c r="D151" s="512">
        <f t="shared" ref="D151:G151" si="137">C73</f>
        <v>9.9999999999999995E-7</v>
      </c>
      <c r="E151" s="512">
        <f t="shared" si="137"/>
        <v>9.9999999999999995E-7</v>
      </c>
      <c r="F151" s="512">
        <f t="shared" si="137"/>
        <v>0</v>
      </c>
      <c r="G151" s="512">
        <f t="shared" si="137"/>
        <v>1.2</v>
      </c>
      <c r="I151" s="1108"/>
      <c r="J151" s="513">
        <v>7</v>
      </c>
      <c r="K151" s="512">
        <f>B81</f>
        <v>1000</v>
      </c>
      <c r="L151" s="512">
        <f t="shared" ref="L151:O151" si="138">C81</f>
        <v>5</v>
      </c>
      <c r="M151" s="512">
        <f t="shared" si="138"/>
        <v>4</v>
      </c>
      <c r="N151" s="512">
        <f t="shared" si="138"/>
        <v>0.5</v>
      </c>
      <c r="O151" s="512">
        <f t="shared" si="138"/>
        <v>0.59</v>
      </c>
    </row>
    <row r="152" spans="1:16" x14ac:dyDescent="0.25">
      <c r="A152" s="1108"/>
      <c r="B152" s="513">
        <v>8</v>
      </c>
      <c r="C152" s="512">
        <f>I73</f>
        <v>250</v>
      </c>
      <c r="D152" s="512">
        <f t="shared" ref="D152:G152" si="139">J73</f>
        <v>9.9999999999999995E-7</v>
      </c>
      <c r="E152" s="512">
        <f t="shared" si="139"/>
        <v>9.9999999999999995E-7</v>
      </c>
      <c r="F152" s="512">
        <f t="shared" si="139"/>
        <v>0</v>
      </c>
      <c r="G152" s="512">
        <f t="shared" si="139"/>
        <v>1.2</v>
      </c>
      <c r="I152" s="1108"/>
      <c r="J152" s="513">
        <v>8</v>
      </c>
      <c r="K152" s="512">
        <f>I81</f>
        <v>1000</v>
      </c>
      <c r="L152" s="512">
        <f t="shared" ref="L152:O152" si="140">J81</f>
        <v>9.9999999999999995E-7</v>
      </c>
      <c r="M152" s="512">
        <f t="shared" si="140"/>
        <v>80</v>
      </c>
      <c r="N152" s="512">
        <f t="shared" si="140"/>
        <v>39.999999500000001</v>
      </c>
      <c r="O152" s="512">
        <f t="shared" si="140"/>
        <v>0.59</v>
      </c>
    </row>
    <row r="153" spans="1:16" x14ac:dyDescent="0.25">
      <c r="A153" s="1108"/>
      <c r="B153" s="513">
        <v>9</v>
      </c>
      <c r="C153" s="512">
        <f>P73</f>
        <v>250</v>
      </c>
      <c r="D153" s="512">
        <f t="shared" ref="D153:G153" si="141">Q73</f>
        <v>9.9999999999999995E-7</v>
      </c>
      <c r="E153" s="512">
        <f t="shared" si="141"/>
        <v>9.9999999999999995E-7</v>
      </c>
      <c r="F153" s="512">
        <f t="shared" si="141"/>
        <v>0</v>
      </c>
      <c r="G153" s="512" t="str">
        <f t="shared" si="141"/>
        <v>-</v>
      </c>
      <c r="I153" s="1108"/>
      <c r="J153" s="513">
        <v>9</v>
      </c>
      <c r="K153" s="512">
        <f>P81</f>
        <v>1000</v>
      </c>
      <c r="L153" s="512">
        <f t="shared" ref="L153:O153" si="142">Q81</f>
        <v>9.9999999999999995E-7</v>
      </c>
      <c r="M153" s="512">
        <f t="shared" si="142"/>
        <v>-97</v>
      </c>
      <c r="N153" s="512">
        <f t="shared" si="142"/>
        <v>48.500000499999999</v>
      </c>
      <c r="O153" s="512">
        <f t="shared" si="142"/>
        <v>0.59</v>
      </c>
    </row>
    <row r="154" spans="1:16" x14ac:dyDescent="0.25">
      <c r="A154" s="550"/>
      <c r="B154" s="551"/>
      <c r="C154" s="551"/>
      <c r="O154" s="555"/>
    </row>
    <row r="155" spans="1:16" x14ac:dyDescent="0.25">
      <c r="A155" s="1106" t="s">
        <v>33</v>
      </c>
      <c r="B155" s="1105" t="s">
        <v>327</v>
      </c>
      <c r="C155" s="1109" t="s">
        <v>308</v>
      </c>
      <c r="D155" s="1109"/>
      <c r="E155" s="1109"/>
      <c r="F155" s="1109"/>
      <c r="G155" s="1109"/>
      <c r="H155" s="509"/>
      <c r="I155" s="1106" t="s">
        <v>33</v>
      </c>
      <c r="J155" s="1105" t="s">
        <v>327</v>
      </c>
      <c r="K155" s="1106" t="s">
        <v>308</v>
      </c>
      <c r="L155" s="1106"/>
      <c r="M155" s="1106"/>
      <c r="N155" s="1106"/>
      <c r="O155" s="1106"/>
      <c r="P155" s="514"/>
    </row>
    <row r="156" spans="1:16" x14ac:dyDescent="0.25">
      <c r="A156" s="1106"/>
      <c r="B156" s="1105"/>
      <c r="C156" s="1107" t="str">
        <f>B20</f>
        <v>Main-PE</v>
      </c>
      <c r="D156" s="1107"/>
      <c r="E156" s="1107"/>
      <c r="F156" s="510" t="s">
        <v>310</v>
      </c>
      <c r="G156" s="510" t="s">
        <v>170</v>
      </c>
      <c r="I156" s="1106"/>
      <c r="J156" s="1105"/>
      <c r="K156" s="1107" t="str">
        <f>B26</f>
        <v>Resistance</v>
      </c>
      <c r="L156" s="1107"/>
      <c r="M156" s="1107"/>
      <c r="N156" s="510" t="s">
        <v>310</v>
      </c>
      <c r="O156" s="510" t="s">
        <v>170</v>
      </c>
    </row>
    <row r="157" spans="1:16" x14ac:dyDescent="0.25">
      <c r="A157" s="1106"/>
      <c r="B157" s="1105"/>
      <c r="C157" s="510" t="s">
        <v>504</v>
      </c>
      <c r="D157" s="510"/>
      <c r="E157" s="510"/>
      <c r="F157" s="510"/>
      <c r="G157" s="510"/>
      <c r="I157" s="1106"/>
      <c r="J157" s="1105"/>
      <c r="K157" s="510" t="s">
        <v>505</v>
      </c>
      <c r="L157" s="510"/>
      <c r="M157" s="510"/>
      <c r="N157" s="510"/>
      <c r="O157" s="510"/>
    </row>
    <row r="158" spans="1:16" x14ac:dyDescent="0.25">
      <c r="A158" s="1104" t="s">
        <v>54</v>
      </c>
      <c r="B158" s="511">
        <v>1</v>
      </c>
      <c r="C158" s="512">
        <f>B22</f>
        <v>10</v>
      </c>
      <c r="D158" s="512" t="str">
        <f t="shared" ref="D158:G158" si="143">C22</f>
        <v>-</v>
      </c>
      <c r="E158" s="512">
        <f t="shared" si="143"/>
        <v>9.9999999999999995E-7</v>
      </c>
      <c r="F158" s="512">
        <f t="shared" si="143"/>
        <v>0</v>
      </c>
      <c r="G158" s="512">
        <f t="shared" si="143"/>
        <v>1.4</v>
      </c>
      <c r="I158" s="1104" t="s">
        <v>54</v>
      </c>
      <c r="J158" s="511">
        <v>1</v>
      </c>
      <c r="K158" s="512">
        <f>B28</f>
        <v>0.01</v>
      </c>
      <c r="L158" s="512">
        <f t="shared" ref="L158:O158" si="144">C28</f>
        <v>9.9999999999999995E-7</v>
      </c>
      <c r="M158" s="512">
        <f t="shared" si="144"/>
        <v>9.9999999999999995E-7</v>
      </c>
      <c r="N158" s="512">
        <f t="shared" si="144"/>
        <v>0</v>
      </c>
      <c r="O158" s="512">
        <f t="shared" si="144"/>
        <v>0.43</v>
      </c>
    </row>
    <row r="159" spans="1:16" x14ac:dyDescent="0.25">
      <c r="A159" s="1104"/>
      <c r="B159" s="511">
        <v>2</v>
      </c>
      <c r="C159" s="512">
        <f>I22</f>
        <v>10</v>
      </c>
      <c r="D159" s="512">
        <f t="shared" ref="D159:G159" si="145">J22</f>
        <v>0</v>
      </c>
      <c r="E159" s="512">
        <f t="shared" si="145"/>
        <v>0.1</v>
      </c>
      <c r="F159" s="512">
        <f t="shared" si="145"/>
        <v>0.05</v>
      </c>
      <c r="G159" s="512">
        <f t="shared" si="145"/>
        <v>1.3</v>
      </c>
      <c r="I159" s="1104"/>
      <c r="J159" s="511">
        <v>2</v>
      </c>
      <c r="K159" s="512">
        <f>I28</f>
        <v>0.01</v>
      </c>
      <c r="L159" s="512">
        <f t="shared" ref="L159:O159" si="146">J28</f>
        <v>9.9999999999999995E-7</v>
      </c>
      <c r="M159" s="512">
        <f t="shared" si="146"/>
        <v>9.9999999999999995E-7</v>
      </c>
      <c r="N159" s="512">
        <f t="shared" si="146"/>
        <v>0</v>
      </c>
      <c r="O159" s="512">
        <f t="shared" si="146"/>
        <v>0.43</v>
      </c>
    </row>
    <row r="160" spans="1:16" x14ac:dyDescent="0.25">
      <c r="A160" s="1104"/>
      <c r="B160" s="511">
        <v>3</v>
      </c>
      <c r="C160" s="512">
        <f>P22</f>
        <v>10</v>
      </c>
      <c r="D160" s="512">
        <f t="shared" ref="D160:G160" si="147">Q22</f>
        <v>0.1</v>
      </c>
      <c r="E160" s="512">
        <f t="shared" si="147"/>
        <v>0</v>
      </c>
      <c r="F160" s="512">
        <f t="shared" si="147"/>
        <v>0.05</v>
      </c>
      <c r="G160" s="512">
        <f t="shared" si="147"/>
        <v>1.7</v>
      </c>
      <c r="I160" s="1104"/>
      <c r="J160" s="511">
        <v>3</v>
      </c>
      <c r="K160" s="512">
        <f>P28</f>
        <v>0.01</v>
      </c>
      <c r="L160" s="512">
        <f t="shared" ref="L160:O160" si="148">Q28</f>
        <v>9.9999999999999995E-7</v>
      </c>
      <c r="M160" s="512">
        <f t="shared" si="148"/>
        <v>9.9999999999999995E-7</v>
      </c>
      <c r="N160" s="512">
        <f t="shared" si="148"/>
        <v>0</v>
      </c>
      <c r="O160" s="512">
        <f t="shared" si="148"/>
        <v>1.2</v>
      </c>
    </row>
    <row r="161" spans="1:15" x14ac:dyDescent="0.25">
      <c r="A161" s="1104"/>
      <c r="B161" s="511">
        <v>4</v>
      </c>
      <c r="C161" s="512">
        <f>B53</f>
        <v>10</v>
      </c>
      <c r="D161" s="512">
        <f t="shared" ref="D161:G161" si="149">C53</f>
        <v>9.9999999999999995E-7</v>
      </c>
      <c r="E161" s="512">
        <f t="shared" si="149"/>
        <v>0.1</v>
      </c>
      <c r="F161" s="512">
        <f t="shared" si="149"/>
        <v>4.9999500000000002E-2</v>
      </c>
      <c r="G161" s="512">
        <f t="shared" si="149"/>
        <v>1.3</v>
      </c>
      <c r="I161" s="1104"/>
      <c r="J161" s="511">
        <v>4</v>
      </c>
      <c r="K161" s="512">
        <f>B59</f>
        <v>0.01</v>
      </c>
      <c r="L161" s="512">
        <f t="shared" ref="L161:O161" si="150">C59</f>
        <v>9.9999999999999995E-7</v>
      </c>
      <c r="M161" s="512">
        <f t="shared" si="150"/>
        <v>9.9999999999999995E-7</v>
      </c>
      <c r="N161" s="512">
        <f t="shared" si="150"/>
        <v>0</v>
      </c>
      <c r="O161" s="512">
        <f t="shared" si="150"/>
        <v>0.43</v>
      </c>
    </row>
    <row r="162" spans="1:15" x14ac:dyDescent="0.25">
      <c r="A162" s="1104"/>
      <c r="B162" s="511">
        <v>5</v>
      </c>
      <c r="C162" s="512">
        <f>I53</f>
        <v>10</v>
      </c>
      <c r="D162" s="512">
        <f t="shared" ref="D162:G162" si="151">J53</f>
        <v>9.9999999999999995E-7</v>
      </c>
      <c r="E162" s="512">
        <f t="shared" si="151"/>
        <v>0.1</v>
      </c>
      <c r="F162" s="512">
        <f t="shared" si="151"/>
        <v>4.9999500000000002E-2</v>
      </c>
      <c r="G162" s="512">
        <f t="shared" si="151"/>
        <v>1.3</v>
      </c>
      <c r="I162" s="1104"/>
      <c r="J162" s="511">
        <v>5</v>
      </c>
      <c r="K162" s="512">
        <f>I59</f>
        <v>0.01</v>
      </c>
      <c r="L162" s="512">
        <f t="shared" ref="L162:O162" si="152">J59</f>
        <v>9.9999999999999995E-7</v>
      </c>
      <c r="M162" s="512">
        <f t="shared" si="152"/>
        <v>9.9999999999999995E-7</v>
      </c>
      <c r="N162" s="512">
        <f t="shared" si="152"/>
        <v>0</v>
      </c>
      <c r="O162" s="512">
        <f t="shared" si="152"/>
        <v>0.43</v>
      </c>
    </row>
    <row r="163" spans="1:15" x14ac:dyDescent="0.25">
      <c r="A163" s="1104"/>
      <c r="B163" s="511">
        <v>6</v>
      </c>
      <c r="C163" s="512">
        <f>P53</f>
        <v>10</v>
      </c>
      <c r="D163" s="512">
        <f t="shared" ref="D163:G163" si="153">Q53</f>
        <v>9.9999999999999995E-7</v>
      </c>
      <c r="E163" s="512">
        <f t="shared" si="153"/>
        <v>0.1</v>
      </c>
      <c r="F163" s="512">
        <f t="shared" si="153"/>
        <v>4.9999500000000002E-2</v>
      </c>
      <c r="G163" s="512">
        <f t="shared" si="153"/>
        <v>1.7</v>
      </c>
      <c r="I163" s="1104"/>
      <c r="J163" s="511">
        <v>6</v>
      </c>
      <c r="K163" s="512">
        <f>P59</f>
        <v>0.01</v>
      </c>
      <c r="L163" s="512">
        <f t="shared" ref="L163:O163" si="154">Q59</f>
        <v>9.9999999999999995E-7</v>
      </c>
      <c r="M163" s="512">
        <f t="shared" si="154"/>
        <v>9.9999999999999995E-7</v>
      </c>
      <c r="N163" s="512">
        <f t="shared" si="154"/>
        <v>0</v>
      </c>
      <c r="O163" s="512">
        <f t="shared" si="154"/>
        <v>1.2</v>
      </c>
    </row>
    <row r="164" spans="1:15" x14ac:dyDescent="0.25">
      <c r="A164" s="1104"/>
      <c r="B164" s="511">
        <v>7</v>
      </c>
      <c r="C164" s="512">
        <f>B84</f>
        <v>10</v>
      </c>
      <c r="D164" s="512" t="str">
        <f t="shared" ref="D164:G164" si="155">C84</f>
        <v>-</v>
      </c>
      <c r="E164" s="512">
        <f t="shared" si="155"/>
        <v>9.9999999999999995E-7</v>
      </c>
      <c r="F164" s="512">
        <f t="shared" si="155"/>
        <v>0</v>
      </c>
      <c r="G164" s="512">
        <f t="shared" si="155"/>
        <v>1.7</v>
      </c>
      <c r="I164" s="1104"/>
      <c r="J164" s="511">
        <v>7</v>
      </c>
      <c r="K164" s="512">
        <f>B90</f>
        <v>0.01</v>
      </c>
      <c r="L164" s="512">
        <f t="shared" ref="L164:O164" si="156">C90</f>
        <v>9.9999999999999995E-7</v>
      </c>
      <c r="M164" s="512">
        <f t="shared" si="156"/>
        <v>9.9999999999999995E-7</v>
      </c>
      <c r="N164" s="512">
        <f t="shared" si="156"/>
        <v>0</v>
      </c>
      <c r="O164" s="512">
        <f t="shared" si="156"/>
        <v>1.2</v>
      </c>
    </row>
    <row r="165" spans="1:15" x14ac:dyDescent="0.25">
      <c r="A165" s="1104"/>
      <c r="B165" s="511">
        <v>8</v>
      </c>
      <c r="C165" s="512">
        <f>I84</f>
        <v>10</v>
      </c>
      <c r="D165" s="512">
        <f t="shared" ref="D165:G165" si="157">J84</f>
        <v>9.9999999999999995E-7</v>
      </c>
      <c r="E165" s="512">
        <f t="shared" si="157"/>
        <v>9.9999999999999995E-7</v>
      </c>
      <c r="F165" s="512">
        <f t="shared" si="157"/>
        <v>0</v>
      </c>
      <c r="G165" s="512">
        <f t="shared" si="157"/>
        <v>0</v>
      </c>
      <c r="I165" s="1104"/>
      <c r="J165" s="511">
        <v>8</v>
      </c>
      <c r="K165" s="512">
        <f>I90</f>
        <v>0.01</v>
      </c>
      <c r="L165" s="512">
        <f t="shared" ref="L165:O165" si="158">J90</f>
        <v>9.9999999999999995E-7</v>
      </c>
      <c r="M165" s="512">
        <f t="shared" si="158"/>
        <v>9.9999999999999995E-7</v>
      </c>
      <c r="N165" s="512">
        <f t="shared" si="158"/>
        <v>0</v>
      </c>
      <c r="O165" s="512">
        <f t="shared" si="158"/>
        <v>1.2</v>
      </c>
    </row>
    <row r="166" spans="1:15" x14ac:dyDescent="0.25">
      <c r="A166" s="1104"/>
      <c r="B166" s="511">
        <v>9</v>
      </c>
      <c r="C166" s="512">
        <f>P84</f>
        <v>10</v>
      </c>
      <c r="D166" s="512">
        <f t="shared" ref="D166:G166" si="159">Q84</f>
        <v>9.9999999999999995E-7</v>
      </c>
      <c r="E166" s="512">
        <f t="shared" si="159"/>
        <v>9.9999999999999995E-7</v>
      </c>
      <c r="F166" s="512">
        <f t="shared" si="159"/>
        <v>0</v>
      </c>
      <c r="G166" s="512">
        <f t="shared" si="159"/>
        <v>0</v>
      </c>
      <c r="I166" s="1104"/>
      <c r="J166" s="511">
        <v>9</v>
      </c>
      <c r="K166" s="512">
        <f>P90</f>
        <v>0.01</v>
      </c>
      <c r="L166" s="512">
        <f t="shared" ref="L166:O166" si="160">Q90</f>
        <v>9.9999999999999995E-7</v>
      </c>
      <c r="M166" s="512">
        <f t="shared" si="160"/>
        <v>9.9999999999999995E-7</v>
      </c>
      <c r="N166" s="512">
        <f t="shared" si="160"/>
        <v>0</v>
      </c>
      <c r="O166" s="512">
        <f t="shared" si="160"/>
        <v>1.2</v>
      </c>
    </row>
    <row r="167" spans="1:15" x14ac:dyDescent="0.25">
      <c r="A167" s="1104" t="s">
        <v>55</v>
      </c>
      <c r="B167" s="511">
        <v>1</v>
      </c>
      <c r="C167" s="512">
        <f>B23</f>
        <v>20</v>
      </c>
      <c r="D167" s="512" t="str">
        <f t="shared" ref="D167:G167" si="161">C23</f>
        <v>-</v>
      </c>
      <c r="E167" s="512">
        <f t="shared" si="161"/>
        <v>9.9999999999999995E-7</v>
      </c>
      <c r="F167" s="512">
        <f t="shared" si="161"/>
        <v>0</v>
      </c>
      <c r="G167" s="512">
        <f t="shared" si="161"/>
        <v>1.4</v>
      </c>
      <c r="I167" s="1104" t="s">
        <v>55</v>
      </c>
      <c r="J167" s="511">
        <v>1</v>
      </c>
      <c r="K167" s="512">
        <f>B29</f>
        <v>0.1</v>
      </c>
      <c r="L167" s="512">
        <f t="shared" ref="L167:O167" si="162">C29</f>
        <v>2E-3</v>
      </c>
      <c r="M167" s="512">
        <f t="shared" si="162"/>
        <v>-1E-3</v>
      </c>
      <c r="N167" s="512">
        <f t="shared" si="162"/>
        <v>1.5E-3</v>
      </c>
      <c r="O167" s="512">
        <f t="shared" si="162"/>
        <v>0.43</v>
      </c>
    </row>
    <row r="168" spans="1:15" x14ac:dyDescent="0.25">
      <c r="A168" s="1104"/>
      <c r="B168" s="511">
        <v>2</v>
      </c>
      <c r="C168" s="512">
        <f>I23</f>
        <v>20</v>
      </c>
      <c r="D168" s="512">
        <f t="shared" ref="D168:G168" si="163">J23</f>
        <v>0.1</v>
      </c>
      <c r="E168" s="512">
        <f t="shared" si="163"/>
        <v>0.2</v>
      </c>
      <c r="F168" s="512">
        <f t="shared" si="163"/>
        <v>0.05</v>
      </c>
      <c r="G168" s="512">
        <f t="shared" si="163"/>
        <v>1.3</v>
      </c>
      <c r="I168" s="1104"/>
      <c r="J168" s="511">
        <v>2</v>
      </c>
      <c r="K168" s="512">
        <f>I29</f>
        <v>0.1</v>
      </c>
      <c r="L168" s="512">
        <f t="shared" ref="L168:O168" si="164">J29</f>
        <v>5.0000000000000001E-3</v>
      </c>
      <c r="M168" s="512">
        <f t="shared" si="164"/>
        <v>6.0000000000000001E-3</v>
      </c>
      <c r="N168" s="512">
        <f t="shared" si="164"/>
        <v>5.0000000000000001E-4</v>
      </c>
      <c r="O168" s="512">
        <f t="shared" si="164"/>
        <v>0.43</v>
      </c>
    </row>
    <row r="169" spans="1:15" x14ac:dyDescent="0.25">
      <c r="A169" s="1104"/>
      <c r="B169" s="511">
        <v>3</v>
      </c>
      <c r="C169" s="512">
        <f>P23</f>
        <v>20</v>
      </c>
      <c r="D169" s="512">
        <f t="shared" ref="D169:G169" si="165">Q23</f>
        <v>0.2</v>
      </c>
      <c r="E169" s="512">
        <f t="shared" si="165"/>
        <v>0</v>
      </c>
      <c r="F169" s="512">
        <f t="shared" si="165"/>
        <v>0.1</v>
      </c>
      <c r="G169" s="512">
        <f t="shared" si="165"/>
        <v>1.7</v>
      </c>
      <c r="I169" s="1104"/>
      <c r="J169" s="511">
        <v>3</v>
      </c>
      <c r="K169" s="512">
        <f>P29</f>
        <v>0.1</v>
      </c>
      <c r="L169" s="512">
        <f t="shared" ref="L169:O169" si="166">Q29</f>
        <v>9.9999999999999995E-7</v>
      </c>
      <c r="M169" s="512">
        <f t="shared" si="166"/>
        <v>9.9999999999999995E-7</v>
      </c>
      <c r="N169" s="512">
        <f t="shared" si="166"/>
        <v>0</v>
      </c>
      <c r="O169" s="512">
        <f t="shared" si="166"/>
        <v>1.2</v>
      </c>
    </row>
    <row r="170" spans="1:15" x14ac:dyDescent="0.25">
      <c r="A170" s="1104"/>
      <c r="B170" s="511">
        <v>4</v>
      </c>
      <c r="C170" s="512">
        <f>B54</f>
        <v>20</v>
      </c>
      <c r="D170" s="512">
        <f t="shared" ref="D170:G170" si="167">C54</f>
        <v>0.1</v>
      </c>
      <c r="E170" s="512">
        <f t="shared" si="167"/>
        <v>0.2</v>
      </c>
      <c r="F170" s="512">
        <f t="shared" si="167"/>
        <v>0.05</v>
      </c>
      <c r="G170" s="512">
        <f t="shared" si="167"/>
        <v>1.3</v>
      </c>
      <c r="I170" s="1104"/>
      <c r="J170" s="511">
        <v>4</v>
      </c>
      <c r="K170" s="512">
        <f>B60</f>
        <v>0.1</v>
      </c>
      <c r="L170" s="512">
        <f t="shared" ref="L170:O170" si="168">C60</f>
        <v>6.0000000000000001E-3</v>
      </c>
      <c r="M170" s="512">
        <f t="shared" si="168"/>
        <v>9.9999999999999995E-7</v>
      </c>
      <c r="N170" s="512">
        <f t="shared" si="168"/>
        <v>2.9995E-3</v>
      </c>
      <c r="O170" s="512">
        <f t="shared" si="168"/>
        <v>0.43</v>
      </c>
    </row>
    <row r="171" spans="1:15" x14ac:dyDescent="0.25">
      <c r="A171" s="1104"/>
      <c r="B171" s="511">
        <v>5</v>
      </c>
      <c r="C171" s="512">
        <f>I54</f>
        <v>20</v>
      </c>
      <c r="D171" s="512">
        <f t="shared" ref="D171:G171" si="169">J54</f>
        <v>0.1</v>
      </c>
      <c r="E171" s="512">
        <f t="shared" si="169"/>
        <v>0.1</v>
      </c>
      <c r="F171" s="512">
        <f t="shared" si="169"/>
        <v>0</v>
      </c>
      <c r="G171" s="512">
        <f t="shared" si="169"/>
        <v>1.3</v>
      </c>
      <c r="I171" s="1104"/>
      <c r="J171" s="511">
        <v>5</v>
      </c>
      <c r="K171" s="512">
        <f>I60</f>
        <v>0.1</v>
      </c>
      <c r="L171" s="512">
        <f t="shared" ref="L171:O171" si="170">J60</f>
        <v>2E-3</v>
      </c>
      <c r="M171" s="512">
        <f t="shared" si="170"/>
        <v>2E-3</v>
      </c>
      <c r="N171" s="512">
        <f t="shared" si="170"/>
        <v>0</v>
      </c>
      <c r="O171" s="512">
        <f t="shared" si="170"/>
        <v>0.43</v>
      </c>
    </row>
    <row r="172" spans="1:15" x14ac:dyDescent="0.25">
      <c r="A172" s="1104"/>
      <c r="B172" s="511">
        <v>6</v>
      </c>
      <c r="C172" s="512">
        <f>P54</f>
        <v>20</v>
      </c>
      <c r="D172" s="512">
        <f t="shared" ref="D172:G172" si="171">Q54</f>
        <v>0.1</v>
      </c>
      <c r="E172" s="512">
        <f t="shared" si="171"/>
        <v>0.1</v>
      </c>
      <c r="F172" s="512">
        <f t="shared" si="171"/>
        <v>0</v>
      </c>
      <c r="G172" s="512">
        <f t="shared" si="171"/>
        <v>1.7</v>
      </c>
      <c r="I172" s="1104"/>
      <c r="J172" s="511">
        <v>6</v>
      </c>
      <c r="K172" s="512">
        <f>P60</f>
        <v>0.1</v>
      </c>
      <c r="L172" s="512">
        <f t="shared" ref="L172:O172" si="172">Q60</f>
        <v>1E-3</v>
      </c>
      <c r="M172" s="512">
        <f t="shared" si="172"/>
        <v>-2E-3</v>
      </c>
      <c r="N172" s="512">
        <f t="shared" si="172"/>
        <v>1.5E-3</v>
      </c>
      <c r="O172" s="512">
        <f t="shared" si="172"/>
        <v>1.2</v>
      </c>
    </row>
    <row r="173" spans="1:15" x14ac:dyDescent="0.25">
      <c r="A173" s="1104"/>
      <c r="B173" s="511">
        <v>7</v>
      </c>
      <c r="C173" s="512">
        <f>B85</f>
        <v>20</v>
      </c>
      <c r="D173" s="512" t="str">
        <f t="shared" ref="D173:G173" si="173">C85</f>
        <v>-</v>
      </c>
      <c r="E173" s="512">
        <f t="shared" si="173"/>
        <v>0.1</v>
      </c>
      <c r="F173" s="512">
        <f t="shared" si="173"/>
        <v>0</v>
      </c>
      <c r="G173" s="512">
        <f t="shared" si="173"/>
        <v>1.7</v>
      </c>
      <c r="I173" s="1104"/>
      <c r="J173" s="511">
        <v>7</v>
      </c>
      <c r="K173" s="512">
        <f>B91</f>
        <v>0.1</v>
      </c>
      <c r="L173" s="512">
        <f t="shared" ref="L173:O173" si="174">C91</f>
        <v>9.9999999999999995E-7</v>
      </c>
      <c r="M173" s="512">
        <f t="shared" si="174"/>
        <v>9.9999999999999995E-7</v>
      </c>
      <c r="N173" s="512">
        <f t="shared" si="174"/>
        <v>0</v>
      </c>
      <c r="O173" s="512">
        <f t="shared" si="174"/>
        <v>1.2</v>
      </c>
    </row>
    <row r="174" spans="1:15" x14ac:dyDescent="0.25">
      <c r="A174" s="1104"/>
      <c r="B174" s="511">
        <v>8</v>
      </c>
      <c r="C174" s="512">
        <f>I85</f>
        <v>20</v>
      </c>
      <c r="D174" s="512">
        <f t="shared" ref="D174:G174" si="175">J85</f>
        <v>9.9999999999999995E-7</v>
      </c>
      <c r="E174" s="512">
        <f t="shared" si="175"/>
        <v>9.9999999999999995E-7</v>
      </c>
      <c r="F174" s="512">
        <f t="shared" si="175"/>
        <v>0</v>
      </c>
      <c r="G174" s="512">
        <f t="shared" si="175"/>
        <v>0</v>
      </c>
      <c r="I174" s="1104"/>
      <c r="J174" s="511">
        <v>8</v>
      </c>
      <c r="K174" s="512">
        <f>I91</f>
        <v>0.1</v>
      </c>
      <c r="L174" s="512">
        <f t="shared" ref="L174:O174" si="176">J91</f>
        <v>9.9999999999999995E-7</v>
      </c>
      <c r="M174" s="512">
        <f t="shared" si="176"/>
        <v>-2E-3</v>
      </c>
      <c r="N174" s="512">
        <f t="shared" si="176"/>
        <v>1.0005000000000001E-3</v>
      </c>
      <c r="O174" s="512">
        <f t="shared" si="176"/>
        <v>1.2</v>
      </c>
    </row>
    <row r="175" spans="1:15" x14ac:dyDescent="0.25">
      <c r="A175" s="1104"/>
      <c r="B175" s="511">
        <v>9</v>
      </c>
      <c r="C175" s="512">
        <f>P85</f>
        <v>20</v>
      </c>
      <c r="D175" s="512">
        <f t="shared" ref="D175:G175" si="177">Q85</f>
        <v>9.9999999999999995E-7</v>
      </c>
      <c r="E175" s="512">
        <f t="shared" si="177"/>
        <v>9.9999999999999995E-7</v>
      </c>
      <c r="F175" s="512">
        <f t="shared" si="177"/>
        <v>0</v>
      </c>
      <c r="G175" s="512">
        <f t="shared" si="177"/>
        <v>0</v>
      </c>
      <c r="I175" s="1104"/>
      <c r="J175" s="511">
        <v>9</v>
      </c>
      <c r="K175" s="512">
        <f>P91</f>
        <v>0.1</v>
      </c>
      <c r="L175" s="512">
        <f t="shared" ref="L175:O175" si="178">Q91</f>
        <v>9.9999999999999995E-7</v>
      </c>
      <c r="M175" s="512">
        <f t="shared" si="178"/>
        <v>-3.0000000000000001E-3</v>
      </c>
      <c r="N175" s="512">
        <f t="shared" si="178"/>
        <v>1.5005000000000001E-3</v>
      </c>
      <c r="O175" s="512">
        <f t="shared" si="178"/>
        <v>1.2</v>
      </c>
    </row>
    <row r="176" spans="1:15" x14ac:dyDescent="0.25">
      <c r="A176" s="1104" t="s">
        <v>56</v>
      </c>
      <c r="B176" s="511">
        <v>1</v>
      </c>
      <c r="C176" s="512">
        <f>B24</f>
        <v>50</v>
      </c>
      <c r="D176" s="512" t="str">
        <f>C24</f>
        <v>-</v>
      </c>
      <c r="E176" s="512">
        <f>D24</f>
        <v>9.9999999999999995E-7</v>
      </c>
      <c r="F176" s="512">
        <f>E24</f>
        <v>0</v>
      </c>
      <c r="G176" s="512">
        <f>F24</f>
        <v>1.4</v>
      </c>
      <c r="I176" s="1104" t="s">
        <v>56</v>
      </c>
      <c r="J176" s="511">
        <v>1</v>
      </c>
      <c r="K176" s="512">
        <f>B30</f>
        <v>1</v>
      </c>
      <c r="L176" s="512">
        <f t="shared" ref="L176:O176" si="179">C30</f>
        <v>1.2E-2</v>
      </c>
      <c r="M176" s="512">
        <f t="shared" si="179"/>
        <v>4.0000000000000001E-3</v>
      </c>
      <c r="N176" s="512">
        <f t="shared" si="179"/>
        <v>4.0000000000000001E-3</v>
      </c>
      <c r="O176" s="512">
        <f t="shared" si="179"/>
        <v>0.43</v>
      </c>
    </row>
    <row r="177" spans="1:15" x14ac:dyDescent="0.25">
      <c r="A177" s="1104"/>
      <c r="B177" s="511">
        <v>2</v>
      </c>
      <c r="C177" s="512">
        <f>I24</f>
        <v>50</v>
      </c>
      <c r="D177" s="512">
        <f>J24</f>
        <v>0.1</v>
      </c>
      <c r="E177" s="512">
        <f>K24</f>
        <v>0.3</v>
      </c>
      <c r="F177" s="512">
        <f>L24</f>
        <v>9.9999999999999992E-2</v>
      </c>
      <c r="G177" s="512">
        <f>M24</f>
        <v>1.3</v>
      </c>
      <c r="I177" s="1104"/>
      <c r="J177" s="511">
        <v>2</v>
      </c>
      <c r="K177" s="512">
        <f>I30</f>
        <v>1</v>
      </c>
      <c r="L177" s="512">
        <f t="shared" ref="L177:O177" si="180">J30</f>
        <v>5.5E-2</v>
      </c>
      <c r="M177" s="512">
        <f t="shared" si="180"/>
        <v>4.4999999999999998E-2</v>
      </c>
      <c r="N177" s="512">
        <f t="shared" si="180"/>
        <v>5.000000000000001E-3</v>
      </c>
      <c r="O177" s="512">
        <f t="shared" si="180"/>
        <v>0.43</v>
      </c>
    </row>
    <row r="178" spans="1:15" x14ac:dyDescent="0.25">
      <c r="A178" s="1104"/>
      <c r="B178" s="511">
        <v>3</v>
      </c>
      <c r="C178" s="512">
        <f>P24</f>
        <v>50</v>
      </c>
      <c r="D178" s="512">
        <f>Q24</f>
        <v>0.5</v>
      </c>
      <c r="E178" s="512">
        <f t="shared" ref="E178:G178" si="181">R24</f>
        <v>0.3</v>
      </c>
      <c r="F178" s="512">
        <f t="shared" si="181"/>
        <v>0.1</v>
      </c>
      <c r="G178" s="512">
        <f t="shared" si="181"/>
        <v>1.7</v>
      </c>
      <c r="I178" s="1104"/>
      <c r="J178" s="511">
        <v>3</v>
      </c>
      <c r="K178" s="512">
        <f>P30</f>
        <v>1</v>
      </c>
      <c r="L178" s="512">
        <f t="shared" ref="L178:O178" si="182">Q30</f>
        <v>-2E-3</v>
      </c>
      <c r="M178" s="512">
        <f t="shared" si="182"/>
        <v>9.9999999999999995E-7</v>
      </c>
      <c r="N178" s="512">
        <f t="shared" si="182"/>
        <v>1.0005000000000001E-3</v>
      </c>
      <c r="O178" s="512">
        <f t="shared" si="182"/>
        <v>1.2</v>
      </c>
    </row>
    <row r="179" spans="1:15" x14ac:dyDescent="0.25">
      <c r="A179" s="1104"/>
      <c r="B179" s="511">
        <v>4</v>
      </c>
      <c r="C179" s="512">
        <f>B55</f>
        <v>50</v>
      </c>
      <c r="D179" s="512">
        <f>C55</f>
        <v>0.3</v>
      </c>
      <c r="E179" s="512">
        <f>D55</f>
        <v>0.5</v>
      </c>
      <c r="F179" s="512">
        <f>E55</f>
        <v>0.1</v>
      </c>
      <c r="G179" s="512">
        <f>F55</f>
        <v>1.3</v>
      </c>
      <c r="I179" s="1104"/>
      <c r="J179" s="511">
        <v>4</v>
      </c>
      <c r="K179" s="512">
        <f>B61</f>
        <v>1</v>
      </c>
      <c r="L179" s="512">
        <f t="shared" ref="L179:O179" si="183">C61</f>
        <v>7.0000000000000001E-3</v>
      </c>
      <c r="M179" s="512">
        <f t="shared" si="183"/>
        <v>-1E-3</v>
      </c>
      <c r="N179" s="512">
        <f t="shared" si="183"/>
        <v>4.0000000000000001E-3</v>
      </c>
      <c r="O179" s="512">
        <f t="shared" si="183"/>
        <v>0.43</v>
      </c>
    </row>
    <row r="180" spans="1:15" x14ac:dyDescent="0.25">
      <c r="A180" s="1104"/>
      <c r="B180" s="511">
        <v>5</v>
      </c>
      <c r="C180" s="512">
        <f>I55</f>
        <v>50</v>
      </c>
      <c r="D180" s="512">
        <f>J55</f>
        <v>0.3</v>
      </c>
      <c r="E180" s="512">
        <f>K55</f>
        <v>0.4</v>
      </c>
      <c r="F180" s="512">
        <f>L55</f>
        <v>5.0000000000000017E-2</v>
      </c>
      <c r="G180" s="512">
        <f>M55</f>
        <v>1.3</v>
      </c>
      <c r="I180" s="1104"/>
      <c r="J180" s="511">
        <v>5</v>
      </c>
      <c r="K180" s="512">
        <f>I61</f>
        <v>1</v>
      </c>
      <c r="L180" s="512">
        <f t="shared" ref="L180:O180" si="184">J61</f>
        <v>3.0000000000000001E-3</v>
      </c>
      <c r="M180" s="512">
        <f t="shared" si="184"/>
        <v>1.2E-2</v>
      </c>
      <c r="N180" s="512">
        <f t="shared" si="184"/>
        <v>4.5000000000000005E-3</v>
      </c>
      <c r="O180" s="512">
        <f t="shared" si="184"/>
        <v>0.43</v>
      </c>
    </row>
    <row r="181" spans="1:15" x14ac:dyDescent="0.25">
      <c r="A181" s="1104"/>
      <c r="B181" s="511">
        <v>6</v>
      </c>
      <c r="C181" s="512">
        <f>P55</f>
        <v>50</v>
      </c>
      <c r="D181" s="512">
        <f>Q55</f>
        <v>0.3</v>
      </c>
      <c r="E181" s="512">
        <f t="shared" ref="E181:G181" si="185">R55</f>
        <v>0.3</v>
      </c>
      <c r="F181" s="512">
        <f t="shared" si="185"/>
        <v>0</v>
      </c>
      <c r="G181" s="512">
        <f t="shared" si="185"/>
        <v>1.7</v>
      </c>
      <c r="I181" s="1104"/>
      <c r="J181" s="511">
        <v>6</v>
      </c>
      <c r="K181" s="512">
        <f>P61</f>
        <v>1</v>
      </c>
      <c r="L181" s="512">
        <f t="shared" ref="L181:O181" si="186">Q61</f>
        <v>2E-3</v>
      </c>
      <c r="M181" s="512">
        <f t="shared" si="186"/>
        <v>-1E-3</v>
      </c>
      <c r="N181" s="512">
        <f t="shared" si="186"/>
        <v>1.5E-3</v>
      </c>
      <c r="O181" s="512">
        <f t="shared" si="186"/>
        <v>1.2</v>
      </c>
    </row>
    <row r="182" spans="1:15" x14ac:dyDescent="0.25">
      <c r="A182" s="1104"/>
      <c r="B182" s="511">
        <v>7</v>
      </c>
      <c r="C182" s="512">
        <f>B86</f>
        <v>50</v>
      </c>
      <c r="D182" s="512" t="str">
        <f t="shared" ref="D182:G182" si="187">C86</f>
        <v>-</v>
      </c>
      <c r="E182" s="512">
        <f t="shared" si="187"/>
        <v>0.4</v>
      </c>
      <c r="F182" s="512">
        <f t="shared" si="187"/>
        <v>0</v>
      </c>
      <c r="G182" s="512">
        <f t="shared" si="187"/>
        <v>1.7</v>
      </c>
      <c r="I182" s="1104"/>
      <c r="J182" s="511">
        <v>7</v>
      </c>
      <c r="K182" s="512">
        <f>B92</f>
        <v>1</v>
      </c>
      <c r="L182" s="512">
        <f t="shared" ref="L182:O182" si="188">C92</f>
        <v>-2.3E-3</v>
      </c>
      <c r="M182" s="512">
        <f t="shared" si="188"/>
        <v>-2.3E-3</v>
      </c>
      <c r="N182" s="512">
        <f t="shared" si="188"/>
        <v>0</v>
      </c>
      <c r="O182" s="512">
        <f t="shared" si="188"/>
        <v>1.2</v>
      </c>
    </row>
    <row r="183" spans="1:15" x14ac:dyDescent="0.25">
      <c r="A183" s="1104"/>
      <c r="B183" s="511">
        <v>8</v>
      </c>
      <c r="C183" s="512">
        <f>I86</f>
        <v>50</v>
      </c>
      <c r="D183" s="512">
        <f t="shared" ref="D183:G183" si="189">J86</f>
        <v>9.9999999999999995E-7</v>
      </c>
      <c r="E183" s="512">
        <f t="shared" si="189"/>
        <v>9.9999999999999995E-7</v>
      </c>
      <c r="F183" s="512">
        <f t="shared" si="189"/>
        <v>0</v>
      </c>
      <c r="G183" s="512">
        <f t="shared" si="189"/>
        <v>0</v>
      </c>
      <c r="I183" s="1104"/>
      <c r="J183" s="511">
        <v>8</v>
      </c>
      <c r="K183" s="512">
        <f>I92</f>
        <v>1</v>
      </c>
      <c r="L183" s="512">
        <f t="shared" ref="L183:O183" si="190">J92</f>
        <v>9.9999999999999995E-7</v>
      </c>
      <c r="M183" s="512">
        <f t="shared" si="190"/>
        <v>-1E-3</v>
      </c>
      <c r="N183" s="512">
        <f t="shared" si="190"/>
        <v>5.0049999999999997E-4</v>
      </c>
      <c r="O183" s="512">
        <f t="shared" si="190"/>
        <v>1.2</v>
      </c>
    </row>
    <row r="184" spans="1:15" x14ac:dyDescent="0.25">
      <c r="A184" s="1104"/>
      <c r="B184" s="511">
        <v>9</v>
      </c>
      <c r="C184" s="512">
        <f>P86</f>
        <v>50</v>
      </c>
      <c r="D184" s="512">
        <f t="shared" ref="D184:G184" si="191">Q86</f>
        <v>9.9999999999999995E-7</v>
      </c>
      <c r="E184" s="512">
        <f t="shared" si="191"/>
        <v>9.9999999999999995E-7</v>
      </c>
      <c r="F184" s="512">
        <f t="shared" si="191"/>
        <v>0</v>
      </c>
      <c r="G184" s="512">
        <f t="shared" si="191"/>
        <v>0</v>
      </c>
      <c r="I184" s="1104"/>
      <c r="J184" s="511">
        <v>9</v>
      </c>
      <c r="K184" s="512">
        <f>P92</f>
        <v>1</v>
      </c>
      <c r="L184" s="512">
        <f t="shared" ref="L184:O184" si="192">Q92</f>
        <v>9.9999999999999995E-7</v>
      </c>
      <c r="M184" s="512">
        <f t="shared" si="192"/>
        <v>-1E-3</v>
      </c>
      <c r="N184" s="512">
        <f t="shared" si="192"/>
        <v>5.0049999999999997E-4</v>
      </c>
      <c r="O184" s="512">
        <f t="shared" si="192"/>
        <v>1.2</v>
      </c>
    </row>
    <row r="185" spans="1:15" x14ac:dyDescent="0.25">
      <c r="A185" s="1104" t="s">
        <v>57</v>
      </c>
      <c r="B185" s="511">
        <v>1</v>
      </c>
      <c r="C185" s="512">
        <f>B25</f>
        <v>100</v>
      </c>
      <c r="D185" s="512" t="str">
        <f t="shared" ref="D185:G185" si="193">C25</f>
        <v>-</v>
      </c>
      <c r="E185" s="512">
        <f t="shared" si="193"/>
        <v>-0.3</v>
      </c>
      <c r="F185" s="512">
        <f t="shared" si="193"/>
        <v>0</v>
      </c>
      <c r="G185" s="512">
        <f t="shared" si="193"/>
        <v>1.4</v>
      </c>
      <c r="I185" s="1104" t="s">
        <v>57</v>
      </c>
      <c r="J185" s="511">
        <v>1</v>
      </c>
      <c r="K185" s="512">
        <f>B31</f>
        <v>2</v>
      </c>
      <c r="L185" s="512">
        <f t="shared" ref="L185:O185" si="194">C31</f>
        <v>9.9999999999999995E-7</v>
      </c>
      <c r="M185" s="512">
        <f t="shared" si="194"/>
        <v>7.0000000000000001E-3</v>
      </c>
      <c r="N185" s="512">
        <f t="shared" si="194"/>
        <v>3.4995E-3</v>
      </c>
      <c r="O185" s="512">
        <f t="shared" si="194"/>
        <v>0.43</v>
      </c>
    </row>
    <row r="186" spans="1:15" x14ac:dyDescent="0.25">
      <c r="A186" s="1104"/>
      <c r="B186" s="511">
        <v>2</v>
      </c>
      <c r="C186" s="512">
        <f>I25</f>
        <v>100</v>
      </c>
      <c r="D186" s="512">
        <f t="shared" ref="D186:G186" si="195">J25</f>
        <v>0</v>
      </c>
      <c r="E186" s="512">
        <f t="shared" si="195"/>
        <v>0.3</v>
      </c>
      <c r="F186" s="512">
        <f t="shared" si="195"/>
        <v>0.15</v>
      </c>
      <c r="G186" s="512">
        <f t="shared" si="195"/>
        <v>1.3</v>
      </c>
      <c r="I186" s="1104"/>
      <c r="J186" s="511">
        <v>2</v>
      </c>
      <c r="K186" s="512">
        <f>I31</f>
        <v>2</v>
      </c>
      <c r="L186" s="512">
        <f t="shared" ref="L186:O186" si="196">J31</f>
        <v>9.9999999999999995E-7</v>
      </c>
      <c r="M186" s="512">
        <f t="shared" si="196"/>
        <v>9.9999999999999995E-7</v>
      </c>
      <c r="N186" s="512">
        <f t="shared" si="196"/>
        <v>0</v>
      </c>
      <c r="O186" s="512">
        <f t="shared" si="196"/>
        <v>0.43</v>
      </c>
    </row>
    <row r="187" spans="1:15" x14ac:dyDescent="0.25">
      <c r="A187" s="1104"/>
      <c r="B187" s="511">
        <v>3</v>
      </c>
      <c r="C187" s="512">
        <f>P25</f>
        <v>100</v>
      </c>
      <c r="D187" s="512">
        <f t="shared" ref="D187:G187" si="197">Q25</f>
        <v>1.7</v>
      </c>
      <c r="E187" s="512">
        <f t="shared" si="197"/>
        <v>0.6</v>
      </c>
      <c r="F187" s="512">
        <f t="shared" si="197"/>
        <v>0.55000000000000004</v>
      </c>
      <c r="G187" s="512">
        <f t="shared" si="197"/>
        <v>1.7</v>
      </c>
      <c r="I187" s="1104"/>
      <c r="J187" s="511">
        <v>3</v>
      </c>
      <c r="K187" s="512">
        <f>P31</f>
        <v>2</v>
      </c>
      <c r="L187" s="512">
        <f t="shared" ref="L187:O187" si="198">Q31</f>
        <v>9.9999999999999995E-7</v>
      </c>
      <c r="M187" s="512">
        <f t="shared" si="198"/>
        <v>9.9999999999999995E-7</v>
      </c>
      <c r="N187" s="512">
        <f t="shared" si="198"/>
        <v>0</v>
      </c>
      <c r="O187" s="512">
        <f t="shared" si="198"/>
        <v>1.2</v>
      </c>
    </row>
    <row r="188" spans="1:15" x14ac:dyDescent="0.25">
      <c r="A188" s="1104"/>
      <c r="B188" s="511">
        <v>4</v>
      </c>
      <c r="C188" s="512">
        <f>B56</f>
        <v>100</v>
      </c>
      <c r="D188" s="512">
        <f t="shared" ref="D188:G188" si="199">C56</f>
        <v>0.6</v>
      </c>
      <c r="E188" s="512">
        <f t="shared" si="199"/>
        <v>1</v>
      </c>
      <c r="F188" s="512">
        <f t="shared" si="199"/>
        <v>0.2</v>
      </c>
      <c r="G188" s="512">
        <f t="shared" si="199"/>
        <v>1.3</v>
      </c>
      <c r="I188" s="1104"/>
      <c r="J188" s="511">
        <v>4</v>
      </c>
      <c r="K188" s="512">
        <f>B62</f>
        <v>2</v>
      </c>
      <c r="L188" s="512">
        <f t="shared" ref="L188:O188" si="200">C62</f>
        <v>9.9999999999999995E-7</v>
      </c>
      <c r="M188" s="512">
        <f t="shared" si="200"/>
        <v>9.9999999999999995E-7</v>
      </c>
      <c r="N188" s="512">
        <f t="shared" si="200"/>
        <v>0</v>
      </c>
      <c r="O188" s="512">
        <f t="shared" si="200"/>
        <v>0.43</v>
      </c>
    </row>
    <row r="189" spans="1:15" x14ac:dyDescent="0.25">
      <c r="A189" s="1104"/>
      <c r="B189" s="511">
        <v>5</v>
      </c>
      <c r="C189" s="512">
        <f>I56</f>
        <v>100</v>
      </c>
      <c r="D189" s="512">
        <f t="shared" ref="D189:G189" si="201">J56</f>
        <v>1.3</v>
      </c>
      <c r="E189" s="512">
        <f t="shared" si="201"/>
        <v>0.8</v>
      </c>
      <c r="F189" s="512">
        <f t="shared" si="201"/>
        <v>0.25</v>
      </c>
      <c r="G189" s="512">
        <f t="shared" si="201"/>
        <v>1.3</v>
      </c>
      <c r="I189" s="1104"/>
      <c r="J189" s="511">
        <v>5</v>
      </c>
      <c r="K189" s="512">
        <f>I62</f>
        <v>2</v>
      </c>
      <c r="L189" s="512">
        <f t="shared" ref="L189:O189" si="202">J62</f>
        <v>9.9999999999999995E-7</v>
      </c>
      <c r="M189" s="512">
        <f t="shared" si="202"/>
        <v>9.9999999999999995E-7</v>
      </c>
      <c r="N189" s="512">
        <f t="shared" si="202"/>
        <v>0</v>
      </c>
      <c r="O189" s="512">
        <f t="shared" si="202"/>
        <v>0.43</v>
      </c>
    </row>
    <row r="190" spans="1:15" x14ac:dyDescent="0.25">
      <c r="A190" s="1104"/>
      <c r="B190" s="511">
        <v>6</v>
      </c>
      <c r="C190" s="512">
        <f>P56</f>
        <v>100</v>
      </c>
      <c r="D190" s="512">
        <f t="shared" ref="D190:G190" si="203">Q56</f>
        <v>0.9</v>
      </c>
      <c r="E190" s="512">
        <f t="shared" si="203"/>
        <v>0.6</v>
      </c>
      <c r="F190" s="512">
        <f t="shared" si="203"/>
        <v>0.15000000000000002</v>
      </c>
      <c r="G190" s="512">
        <f t="shared" si="203"/>
        <v>1.7</v>
      </c>
      <c r="I190" s="1104"/>
      <c r="J190" s="511">
        <v>6</v>
      </c>
      <c r="K190" s="512">
        <f>P62</f>
        <v>2</v>
      </c>
      <c r="L190" s="512">
        <f t="shared" ref="L190:O190" si="204">Q62</f>
        <v>9.9999999999999995E-7</v>
      </c>
      <c r="M190" s="512">
        <f t="shared" si="204"/>
        <v>9.9999999999999995E-7</v>
      </c>
      <c r="N190" s="512">
        <f t="shared" si="204"/>
        <v>0</v>
      </c>
      <c r="O190" s="512">
        <f t="shared" si="204"/>
        <v>1.2</v>
      </c>
    </row>
    <row r="191" spans="1:15" x14ac:dyDescent="0.25">
      <c r="A191" s="1104"/>
      <c r="B191" s="511">
        <v>7</v>
      </c>
      <c r="C191" s="512">
        <f>B87</f>
        <v>100</v>
      </c>
      <c r="D191" s="512" t="str">
        <f t="shared" ref="D191:G191" si="205">C87</f>
        <v>-</v>
      </c>
      <c r="E191" s="512">
        <f t="shared" si="205"/>
        <v>1.4</v>
      </c>
      <c r="F191" s="512">
        <f t="shared" si="205"/>
        <v>0</v>
      </c>
      <c r="G191" s="512">
        <f t="shared" si="205"/>
        <v>1.7</v>
      </c>
      <c r="I191" s="1104"/>
      <c r="J191" s="511">
        <v>7</v>
      </c>
      <c r="K191" s="512">
        <f>B93</f>
        <v>2</v>
      </c>
      <c r="L191" s="512">
        <f t="shared" ref="L191:O191" si="206">C93</f>
        <v>9.9999999999999995E-7</v>
      </c>
      <c r="M191" s="512">
        <f t="shared" si="206"/>
        <v>9.9999999999999995E-7</v>
      </c>
      <c r="N191" s="512">
        <f t="shared" si="206"/>
        <v>0</v>
      </c>
      <c r="O191" s="512">
        <f t="shared" si="206"/>
        <v>1.2</v>
      </c>
    </row>
    <row r="192" spans="1:15" x14ac:dyDescent="0.25">
      <c r="A192" s="1104"/>
      <c r="B192" s="511">
        <v>8</v>
      </c>
      <c r="C192" s="512">
        <f>I87</f>
        <v>100</v>
      </c>
      <c r="D192" s="512">
        <f t="shared" ref="D192:G192" si="207">J87</f>
        <v>9.9999999999999995E-7</v>
      </c>
      <c r="E192" s="512">
        <f t="shared" si="207"/>
        <v>9.9999999999999995E-7</v>
      </c>
      <c r="F192" s="512">
        <f t="shared" si="207"/>
        <v>0</v>
      </c>
      <c r="G192" s="512">
        <f t="shared" si="207"/>
        <v>0</v>
      </c>
      <c r="I192" s="1104"/>
      <c r="J192" s="511">
        <v>8</v>
      </c>
      <c r="K192" s="512">
        <f>I93</f>
        <v>2</v>
      </c>
      <c r="L192" s="512">
        <f t="shared" ref="L192:O192" si="208">J93</f>
        <v>9.9999999999999995E-7</v>
      </c>
      <c r="M192" s="512">
        <f t="shared" si="208"/>
        <v>-6.0000000000000001E-3</v>
      </c>
      <c r="N192" s="512">
        <f t="shared" si="208"/>
        <v>3.0005000000000001E-3</v>
      </c>
      <c r="O192" s="512">
        <f t="shared" si="208"/>
        <v>1.2</v>
      </c>
    </row>
    <row r="193" spans="1:20" x14ac:dyDescent="0.25">
      <c r="A193" s="1104"/>
      <c r="B193" s="511">
        <v>9</v>
      </c>
      <c r="C193" s="512">
        <f>P87</f>
        <v>100</v>
      </c>
      <c r="D193" s="512">
        <f t="shared" ref="D193:G193" si="209">Q87</f>
        <v>9.9999999999999995E-7</v>
      </c>
      <c r="E193" s="512">
        <f t="shared" si="209"/>
        <v>9.9999999999999995E-7</v>
      </c>
      <c r="F193" s="512">
        <f t="shared" si="209"/>
        <v>0</v>
      </c>
      <c r="G193" s="512">
        <f t="shared" si="209"/>
        <v>0</v>
      </c>
      <c r="I193" s="1104"/>
      <c r="J193" s="511">
        <v>9</v>
      </c>
      <c r="K193" s="512">
        <f>P93</f>
        <v>2</v>
      </c>
      <c r="L193" s="512">
        <f t="shared" ref="L193:O193" si="210">Q93</f>
        <v>9.9999999999999995E-7</v>
      </c>
      <c r="M193" s="512">
        <f t="shared" si="210"/>
        <v>-6.0000000000000001E-3</v>
      </c>
      <c r="N193" s="512">
        <f t="shared" si="210"/>
        <v>3.0005000000000001E-3</v>
      </c>
      <c r="O193" s="512">
        <f t="shared" si="210"/>
        <v>1.2</v>
      </c>
    </row>
    <row r="194" spans="1:20" ht="14.4" thickBot="1" x14ac:dyDescent="0.3">
      <c r="A194" s="550"/>
      <c r="B194" s="551"/>
      <c r="C194" s="551"/>
    </row>
    <row r="195" spans="1:20" ht="24.75" customHeight="1" x14ac:dyDescent="0.25">
      <c r="A195" s="556">
        <f>A244</f>
        <v>7</v>
      </c>
      <c r="B195" s="1084" t="str">
        <f>A234</f>
        <v>Electrical Safety Analyzer, Merek : Fluke, Model : ESA 615, SN : 3699030</v>
      </c>
      <c r="C195" s="1084"/>
      <c r="D195" s="1084"/>
      <c r="E195" s="1085"/>
      <c r="F195" s="557"/>
      <c r="G195" s="1086" t="s">
        <v>328</v>
      </c>
      <c r="H195" s="1087"/>
      <c r="I195" s="1087"/>
      <c r="J195" s="1088"/>
      <c r="K195" s="557"/>
      <c r="L195" s="1079" t="s">
        <v>329</v>
      </c>
      <c r="M195" s="1091" t="s">
        <v>330</v>
      </c>
      <c r="N195" s="1094" t="s">
        <v>331</v>
      </c>
    </row>
    <row r="196" spans="1:20" ht="14.4" thickBot="1" x14ac:dyDescent="0.3">
      <c r="A196" s="1090" t="s">
        <v>308</v>
      </c>
      <c r="B196" s="1096"/>
      <c r="C196" s="1096"/>
      <c r="D196" s="1096"/>
      <c r="E196" s="1097"/>
      <c r="F196" s="558"/>
      <c r="G196" s="515"/>
      <c r="H196" s="559">
        <f>IF($G$197&lt;=$A$200,A199,IF($G$197&lt;=$A$201,A200,IF($G$197&lt;=$A$202,A201,IF($G$197&lt;=$A$203,A202,IF($G$197&lt;=$A$204,A203,IF($G$197&gt;=$A$204,A204))))))</f>
        <v>250</v>
      </c>
      <c r="I196" s="559"/>
      <c r="J196" s="560">
        <f>IF($G$197&lt;=$A$200,C199,IF($G$197&lt;=$A$201,C200,IF($G$197&lt;=$A$202,C201,IF($G$197&lt;=$A$203,C202,IF($G$197&lt;=$A$204,C203,IF($G$197&gt;=$A$204,C204,))))))</f>
        <v>9.9999999999999995E-7</v>
      </c>
      <c r="K196" s="558"/>
      <c r="L196" s="1089"/>
      <c r="M196" s="1092"/>
      <c r="N196" s="1095"/>
    </row>
    <row r="197" spans="1:20" ht="14.4" thickBot="1" x14ac:dyDescent="0.3">
      <c r="A197" s="1098" t="str">
        <f>B4</f>
        <v>Setting VAC</v>
      </c>
      <c r="B197" s="1099"/>
      <c r="C197" s="1099"/>
      <c r="D197" s="1100" t="s">
        <v>310</v>
      </c>
      <c r="E197" s="1102" t="s">
        <v>170</v>
      </c>
      <c r="F197" s="558"/>
      <c r="G197" s="561" t="str">
        <f>L198</f>
        <v>-</v>
      </c>
      <c r="H197" s="559"/>
      <c r="I197" s="562" t="e">
        <f>((G197-H196)/(H198-H196)*(J198-J196)+J196)</f>
        <v>#VALUE!</v>
      </c>
      <c r="J197" s="560"/>
      <c r="K197" s="558"/>
      <c r="L197" s="1090"/>
      <c r="M197" s="1093"/>
      <c r="N197" s="1095"/>
    </row>
    <row r="198" spans="1:20" x14ac:dyDescent="0.25">
      <c r="A198" s="515" t="s">
        <v>311</v>
      </c>
      <c r="B198" s="559">
        <f>VLOOKUP(B195,A235:K243,9,FALSE)</f>
        <v>2019</v>
      </c>
      <c r="C198" s="559">
        <f>VLOOKUP(B195,A235:K243,10,FALSE)</f>
        <v>2020</v>
      </c>
      <c r="D198" s="1101"/>
      <c r="E198" s="1103"/>
      <c r="F198" s="558"/>
      <c r="G198" s="515"/>
      <c r="H198" s="559" t="str">
        <f>IF($G$197&lt;=$A$200,A200,IF($G$197&lt;=$A$201,A201,IF($G$197&lt;=$A$202,A202,IF($G$197&lt;=$A$203,A203,IF($G$197&lt;=$A$204,A204,IF($G$197&lt;="250","250",))))))</f>
        <v>250</v>
      </c>
      <c r="I198" s="559"/>
      <c r="J198" s="560">
        <f>IF($G$197&lt;=$A$200,C200,IF($G$197&lt;=$A$201,C201,IF($G$197&lt;=$A$202,C202,IF($G$197&lt;=$A$203,C203,IF($G$197&lt;=$A$204,C204,IF($G$197&lt;="250",C204,))))))</f>
        <v>9.9999999999999995E-7</v>
      </c>
      <c r="K198" s="558"/>
      <c r="L198" s="563" t="str">
        <f>ID!E17</f>
        <v>-</v>
      </c>
      <c r="M198" s="564" t="e">
        <f>L198+I197</f>
        <v>#VALUE!</v>
      </c>
      <c r="N198" s="565" t="str">
        <f>IF(L198="-","-",IF(L198=L198,M198,))</f>
        <v>-</v>
      </c>
      <c r="P198" s="528" t="s">
        <v>23</v>
      </c>
      <c r="Q198" s="566"/>
    </row>
    <row r="199" spans="1:20" x14ac:dyDescent="0.25">
      <c r="A199" s="516">
        <f>VLOOKUP($A195,$B100:$G108,2,(FALSE))</f>
        <v>150</v>
      </c>
      <c r="B199" s="517">
        <f>VLOOKUP($A$195,$B$100:$G$108,3,(FALSE))</f>
        <v>0.21</v>
      </c>
      <c r="C199" s="517">
        <f>VLOOKUP($A$195,$B$100:$G$108,4,(FALSE))</f>
        <v>0.21</v>
      </c>
      <c r="D199" s="517">
        <f>VLOOKUP($A$195,$B$100:$G$108,5,(FALSE))</f>
        <v>0</v>
      </c>
      <c r="E199" s="518">
        <f>VLOOKUP($A$195,$B$100:$G$108,6,(FALSE))</f>
        <v>1.2</v>
      </c>
      <c r="F199" s="558"/>
      <c r="G199" s="1081" t="s">
        <v>332</v>
      </c>
      <c r="H199" s="1082"/>
      <c r="I199" s="1082"/>
      <c r="J199" s="1083"/>
      <c r="K199" s="558"/>
      <c r="L199" s="567" t="str">
        <f>ID!K26</f>
        <v>-</v>
      </c>
      <c r="M199" s="568" t="e">
        <f>L199+I201</f>
        <v>#VALUE!</v>
      </c>
      <c r="N199" s="569" t="str">
        <f>IF(L199="OL","OL",IF(L199="NC","NC",IF(L199="-","-",IF(L199=L199,M199,))))</f>
        <v>-</v>
      </c>
      <c r="Q199" s="566"/>
    </row>
    <row r="200" spans="1:20" x14ac:dyDescent="0.25">
      <c r="A200" s="516">
        <f>VLOOKUP($A$195,$B$109:$G$117,2,(FALSE))</f>
        <v>180</v>
      </c>
      <c r="B200" s="517">
        <f>VLOOKUP($A$195,$B$109:$G$117,3,(FALSE))</f>
        <v>0.33</v>
      </c>
      <c r="C200" s="517">
        <f>VLOOKUP($A$195,$B$109:$G$117,4,(FALSE))</f>
        <v>0.33</v>
      </c>
      <c r="D200" s="517">
        <f>VLOOKUP($A$195,$B$109:$G$117,5,(FALSE))</f>
        <v>0</v>
      </c>
      <c r="E200" s="518">
        <f>VLOOKUP($A$195,$B$109:$G$117,6,(FALSE))</f>
        <v>1.2</v>
      </c>
      <c r="F200" s="558"/>
      <c r="G200" s="515"/>
      <c r="H200" s="559">
        <f>IF($G$201&lt;=$A$215,0,IF($G$201&lt;=$A$216,$A$215,IF($G$201&lt;=$A$217,$A$216,IF($G$201&lt;=$A$218,$A$217,))))</f>
        <v>0</v>
      </c>
      <c r="I200" s="559"/>
      <c r="J200" s="560">
        <f>IF($G$201&lt;=$A$215,0,IF($G$201&lt;=$A$216,$C$215,IF($G$201&lt;=$A$217,$C$216,IF($G$201&lt;=$A$218,$C$217,))))</f>
        <v>0</v>
      </c>
      <c r="K200" s="558"/>
      <c r="L200" s="567" t="str">
        <f>ID!K27</f>
        <v>-</v>
      </c>
      <c r="M200" s="570" t="e">
        <f>L200+I205</f>
        <v>#VALUE!</v>
      </c>
      <c r="N200" s="571" t="str">
        <f>IF(L200="OL","OL",IF(L200="NC","NC",IF(L200="-","-",IF(L200=L200,M200,))))</f>
        <v>-</v>
      </c>
      <c r="Q200" s="566"/>
      <c r="T200" s="566"/>
    </row>
    <row r="201" spans="1:20" ht="14.4" thickBot="1" x14ac:dyDescent="0.3">
      <c r="A201" s="516">
        <f>VLOOKUP($A$195,$B$118:$G$126,2,(FALSE))</f>
        <v>200</v>
      </c>
      <c r="B201" s="517">
        <f>VLOOKUP($A$195,$B$118:$G$126,3,(FALSE))</f>
        <v>0.34</v>
      </c>
      <c r="C201" s="517">
        <f>VLOOKUP($A$195,$B$118:$G$126,4,(FALSE))</f>
        <v>0.34</v>
      </c>
      <c r="D201" s="517">
        <f>VLOOKUP($A$195,$B$118:$G$126,5,(FALSE))</f>
        <v>0</v>
      </c>
      <c r="E201" s="518">
        <f>VLOOKUP($A$195,$B$118:$G$126,6,(FALSE))</f>
        <v>1.2</v>
      </c>
      <c r="F201" s="558"/>
      <c r="G201" s="561" t="str">
        <f>L199</f>
        <v>-</v>
      </c>
      <c r="H201" s="559"/>
      <c r="I201" s="562" t="e">
        <f>((G201-H200)/(H202-H200)*(J202-J200)+J200)</f>
        <v>#VALUE!</v>
      </c>
      <c r="J201" s="560"/>
      <c r="K201" s="572" t="s">
        <v>333</v>
      </c>
      <c r="L201" s="567" t="str">
        <f>ID!K28</f>
        <v>-</v>
      </c>
      <c r="M201" s="573" t="e">
        <f>L201+I209</f>
        <v>#VALUE!</v>
      </c>
      <c r="N201" s="574" t="str">
        <f>IF(L201="-","-",IF(L201=L201,M201,))</f>
        <v>-</v>
      </c>
      <c r="Q201" s="566"/>
      <c r="T201" s="566"/>
    </row>
    <row r="202" spans="1:20" ht="14.4" thickBot="1" x14ac:dyDescent="0.3">
      <c r="A202" s="516">
        <f>VLOOKUP($A$195,$B$127:$G$135,2,(FALSE))</f>
        <v>220</v>
      </c>
      <c r="B202" s="517">
        <f>VLOOKUP($A$195,$B$127:$G$135,3,(FALSE))</f>
        <v>0.37</v>
      </c>
      <c r="C202" s="517">
        <f>VLOOKUP($A$195,$B$127:$G$135,4,(FALSE))</f>
        <v>0.37</v>
      </c>
      <c r="D202" s="517">
        <f>VLOOKUP($A$195,$B$127:$G$135,5,(FALSE))</f>
        <v>0</v>
      </c>
      <c r="E202" s="518">
        <f>VLOOKUP($A$195,$B$127:$G$135,6,(FALSE))</f>
        <v>1.2</v>
      </c>
      <c r="F202" s="558"/>
      <c r="G202" s="515"/>
      <c r="H202" s="559">
        <f>IF($G$201&lt;=$A$215,$A$215,IF($G$201&lt;=$A$216,$A$216,IF($G$201&lt;=$A$217,$A$217,IF($G$201&lt;=$A$218,$A$218,))))</f>
        <v>0</v>
      </c>
      <c r="I202" s="559"/>
      <c r="J202" s="560">
        <f>IF($G$201&lt;=$A$215,$C$215,IF($G$201&lt;=$A$216,$C$216,IF($G$201&lt;=$A$217,$C$217,IF($G$201&lt;=$A$218,$C$218,))))</f>
        <v>0</v>
      </c>
      <c r="K202" s="572" t="s">
        <v>150</v>
      </c>
      <c r="L202" s="575">
        <f>ID!Q32</f>
        <v>0</v>
      </c>
      <c r="M202" s="573">
        <f>L202+I213</f>
        <v>9.9999999999999995E-7</v>
      </c>
      <c r="N202" s="574">
        <f t="shared" ref="N202" si="211">IF(L202="-","-",IF(L202=L202,M202,))</f>
        <v>9.9999999999999995E-7</v>
      </c>
      <c r="Q202" s="566"/>
      <c r="T202" s="566"/>
    </row>
    <row r="203" spans="1:20" x14ac:dyDescent="0.25">
      <c r="A203" s="516">
        <f>VLOOKUP($A$195,$B$136:$G$144,2,(FALSE))</f>
        <v>230</v>
      </c>
      <c r="B203" s="517">
        <f>VLOOKUP($A$195,$B$136:$G$144,3,(FALSE))</f>
        <v>0.47</v>
      </c>
      <c r="C203" s="517">
        <f>VLOOKUP($A$195,$B$136:$G$144,4,(FALSE))</f>
        <v>0.47</v>
      </c>
      <c r="D203" s="517">
        <f>VLOOKUP($A$195,$B$136:$G$144,5,(FALSE))</f>
        <v>0</v>
      </c>
      <c r="E203" s="518">
        <f>VLOOKUP($A$195,$B$136:$G$144,6,(FALSE))</f>
        <v>1.2</v>
      </c>
      <c r="F203" s="558"/>
      <c r="G203" s="1081" t="s">
        <v>334</v>
      </c>
      <c r="H203" s="1082"/>
      <c r="I203" s="1082"/>
      <c r="J203" s="1083"/>
      <c r="K203" s="558"/>
      <c r="L203" s="576"/>
      <c r="M203" s="577"/>
      <c r="N203" s="578"/>
      <c r="Q203" s="566"/>
      <c r="T203" s="566"/>
    </row>
    <row r="204" spans="1:20" ht="14.4" thickBot="1" x14ac:dyDescent="0.3">
      <c r="A204" s="579">
        <f>VLOOKUP($A$195,$B$145:$G$153,2,(FALSE))</f>
        <v>250</v>
      </c>
      <c r="B204" s="580">
        <f>VLOOKUP($A$195,$B$145:$G$153,3,(FALSE))</f>
        <v>9.9999999999999995E-7</v>
      </c>
      <c r="C204" s="580">
        <f>VLOOKUP($A$195,$B$145:$G$153,4,(FALSE))</f>
        <v>9.9999999999999995E-7</v>
      </c>
      <c r="D204" s="580">
        <f>VLOOKUP($A$195,$B$145:$G$153,5,(FALSE))</f>
        <v>0</v>
      </c>
      <c r="E204" s="581">
        <f>VLOOKUP($A$195,$B$145:$G$153,6,(FALSE))</f>
        <v>1.2</v>
      </c>
      <c r="F204" s="558"/>
      <c r="G204" s="515"/>
      <c r="H204" s="559">
        <f>IF($G$205&lt;=A222,A221,IF($G$205&lt;=A223,A222,IF($G$205&lt;=A224,A223,)))</f>
        <v>0</v>
      </c>
      <c r="I204" s="559"/>
      <c r="J204" s="582">
        <f>IF($G$205&lt;=A222,C221,IF($G$205&lt;=A223,C222,IF($G$205&lt;=A224,C223,)))</f>
        <v>0</v>
      </c>
      <c r="K204" s="558"/>
      <c r="L204" s="576"/>
      <c r="M204" s="577"/>
      <c r="N204" s="578"/>
      <c r="Q204" s="566"/>
      <c r="T204" s="566"/>
    </row>
    <row r="205" spans="1:20" x14ac:dyDescent="0.25">
      <c r="A205" s="1079" t="str">
        <f>B12</f>
        <v>Current Leakage</v>
      </c>
      <c r="B205" s="1080"/>
      <c r="C205" s="1080"/>
      <c r="D205" s="583" t="s">
        <v>310</v>
      </c>
      <c r="E205" s="584" t="s">
        <v>170</v>
      </c>
      <c r="F205" s="558"/>
      <c r="G205" s="585" t="str">
        <f>L200</f>
        <v>-</v>
      </c>
      <c r="H205" s="559"/>
      <c r="I205" s="562" t="e">
        <f>((G205-H204)/(H206-H204)*(J206-J204)+J204)</f>
        <v>#VALUE!</v>
      </c>
      <c r="J205" s="582"/>
      <c r="K205" s="558"/>
      <c r="L205" s="576"/>
      <c r="M205" s="577"/>
      <c r="N205" s="578"/>
      <c r="S205" s="586"/>
      <c r="T205" s="566"/>
    </row>
    <row r="206" spans="1:20" x14ac:dyDescent="0.25">
      <c r="A206" s="515" t="s">
        <v>313</v>
      </c>
      <c r="B206" s="559">
        <f>B198</f>
        <v>2019</v>
      </c>
      <c r="C206" s="559">
        <f>C198</f>
        <v>2020</v>
      </c>
      <c r="D206" s="559"/>
      <c r="E206" s="587"/>
      <c r="F206" s="558"/>
      <c r="G206" s="515"/>
      <c r="H206" s="559">
        <f>IF($G$205&lt;=A222,A222,IF($G$205&lt;=A223,A223,IF($G$205&lt;=A224,A224,)))</f>
        <v>0</v>
      </c>
      <c r="I206" s="559"/>
      <c r="J206" s="582">
        <f>IF($G$205&lt;=A222,C222,IF($G$205&lt;=A223,C223,IF($G$205&lt;=A224,C224,)))</f>
        <v>0</v>
      </c>
      <c r="K206" s="558"/>
      <c r="L206" s="576"/>
      <c r="M206" s="577"/>
      <c r="N206" s="578"/>
      <c r="T206" s="566"/>
    </row>
    <row r="207" spans="1:20" x14ac:dyDescent="0.25">
      <c r="A207" s="519">
        <f>VLOOKUP($A$195,$J$100:$O$108,2,(FALSE))</f>
        <v>0</v>
      </c>
      <c r="B207" s="517">
        <f>VLOOKUP($A$195,$J$100:$O$108,3,(FALSE))</f>
        <v>9.9999999999999995E-7</v>
      </c>
      <c r="C207" s="517">
        <f>VLOOKUP($A$195,$J$100:$O$108,4,(FALSE))</f>
        <v>9.9999999999999995E-7</v>
      </c>
      <c r="D207" s="517">
        <f>VLOOKUP($A$195,$J$100:$O$108,5,(FALSE))</f>
        <v>0</v>
      </c>
      <c r="E207" s="518">
        <f>VLOOKUP($A$195,$J$100:$O$108,6,(FALSE))</f>
        <v>0.59</v>
      </c>
      <c r="F207" s="558"/>
      <c r="G207" s="1081" t="s">
        <v>335</v>
      </c>
      <c r="H207" s="1082"/>
      <c r="I207" s="1082"/>
      <c r="J207" s="1083"/>
      <c r="K207" s="558"/>
      <c r="L207" s="588"/>
      <c r="M207" s="588"/>
      <c r="N207" s="589"/>
    </row>
    <row r="208" spans="1:20" x14ac:dyDescent="0.25">
      <c r="A208" s="519">
        <f>VLOOKUP($A$195,$J$109:$O$117,2,(FALSE))</f>
        <v>50</v>
      </c>
      <c r="B208" s="517">
        <f>VLOOKUP($A$195,$J$109:$O$117,3,(FALSE))</f>
        <v>1.7</v>
      </c>
      <c r="C208" s="517">
        <f>VLOOKUP($A$195,$J$109:$O$117,4,(FALSE))</f>
        <v>1.7</v>
      </c>
      <c r="D208" s="517">
        <f>VLOOKUP($A$195,$J$109:$O$117,5,(FALSE))</f>
        <v>0</v>
      </c>
      <c r="E208" s="518">
        <f>VLOOKUP($A$195,$J$109:$O$117,6,(FALSE))</f>
        <v>0.59</v>
      </c>
      <c r="F208" s="558"/>
      <c r="G208" s="515"/>
      <c r="H208" s="559">
        <f>IF(G209&lt;=$A$208,$A$207,IF(G209&lt;=$A$209,$A$208,IF(G209&lt;=$A$210,$A$209,IF(G209&lt;=$A$211,$A$210,IF(G209&lt;=$A$212,$A$211,)))))</f>
        <v>0</v>
      </c>
      <c r="I208" s="559"/>
      <c r="J208" s="560">
        <f>IF(G209&lt;=$A$208,$C$207,IF(G209&lt;=$A$209,$C$208,IF(G209&lt;=$A$210,$C$209,IF(G209&lt;=$A$211,$C$210,IF(G209&lt;=$A$212,$C$211,)))))</f>
        <v>0</v>
      </c>
      <c r="K208" s="558"/>
      <c r="L208" s="577"/>
      <c r="M208" s="577"/>
      <c r="N208" s="578"/>
    </row>
    <row r="209" spans="1:15" x14ac:dyDescent="0.25">
      <c r="A209" s="519">
        <f>VLOOKUP($A$195,$J$118:$O$126,2,(FALSE))</f>
        <v>100</v>
      </c>
      <c r="B209" s="517">
        <f>VLOOKUP($A$195,$J$118:$O$126,3,(FALSE))</f>
        <v>1.7</v>
      </c>
      <c r="C209" s="517">
        <f>VLOOKUP($A$195,$J$118:$O$126,4,(FALSE))</f>
        <v>1.7</v>
      </c>
      <c r="D209" s="517">
        <f>VLOOKUP($A$195,$J$118:$O$126,5,(FALSE))</f>
        <v>0</v>
      </c>
      <c r="E209" s="518">
        <f>VLOOKUP($A$195,$J$118:$O$126,6,(FALSE))</f>
        <v>0.59</v>
      </c>
      <c r="F209" s="558"/>
      <c r="G209" s="590" t="str">
        <f>L201</f>
        <v>-</v>
      </c>
      <c r="H209" s="559"/>
      <c r="I209" s="591" t="e">
        <f>((G209-H208)/(H210-H208)*(J210-J208)+J208)</f>
        <v>#VALUE!</v>
      </c>
      <c r="J209" s="560"/>
      <c r="K209" s="558"/>
      <c r="L209" s="558"/>
      <c r="M209" s="558"/>
      <c r="N209" s="592"/>
    </row>
    <row r="210" spans="1:15" ht="14.4" thickBot="1" x14ac:dyDescent="0.3">
      <c r="A210" s="519">
        <f>VLOOKUP($A$195,$J$127:$O$135,2,(FALSE))</f>
        <v>200</v>
      </c>
      <c r="B210" s="517">
        <f>VLOOKUP($A$195,$J$127:$O$135,3,(FALSE))</f>
        <v>0.4</v>
      </c>
      <c r="C210" s="517">
        <f>VLOOKUP($A$195,$J$127:$O$135,4,(FALSE))</f>
        <v>0.4</v>
      </c>
      <c r="D210" s="517">
        <f>VLOOKUP($A$195,$J$127:$O$135,5,(FALSE))</f>
        <v>0</v>
      </c>
      <c r="E210" s="518">
        <f>VLOOKUP($A$195,$J$127:$O$135,6,(FALSE))</f>
        <v>0.59</v>
      </c>
      <c r="F210" s="558"/>
      <c r="G210" s="593"/>
      <c r="H210" s="594">
        <f>IF(G209&lt;=$A$208,$A$208,IF(G209&lt;=$A$209,$A$209,IF(G209&lt;=$A$210,$A$210,IF(G209&lt;=$A$211,$A$211,IF(G209&lt;=$A$212,$A$212,)))))</f>
        <v>0</v>
      </c>
      <c r="I210" s="594"/>
      <c r="J210" s="595">
        <f>IF(G209&lt;=$A$208,$C$208,IF(G209&lt;=$A$209,$C$209,IF(G209&lt;=$A$210,$C$210,IF(G209&lt;=$A$211,$C$211,IF(G209&lt;=$A$212,$C$212,)))))</f>
        <v>0</v>
      </c>
      <c r="K210" s="558"/>
      <c r="L210" s="558"/>
      <c r="M210" s="558"/>
      <c r="N210" s="592"/>
    </row>
    <row r="211" spans="1:15" x14ac:dyDescent="0.25">
      <c r="A211" s="519">
        <f>VLOOKUP($A$195,$J$136:$O$144,2,(FALSE))</f>
        <v>500</v>
      </c>
      <c r="B211" s="517">
        <f>VLOOKUP($A$195,$J$136:$O$144,3,(FALSE))</f>
        <v>3</v>
      </c>
      <c r="C211" s="517">
        <f>VLOOKUP($A$195,$J$136:$O$144,4,(FALSE))</f>
        <v>3</v>
      </c>
      <c r="D211" s="517">
        <f>VLOOKUP($A$195,$J$136:$O$144,5,(FALSE))</f>
        <v>0</v>
      </c>
      <c r="E211" s="518">
        <f>VLOOKUP($A$195,$J$136:$O$144,6,(FALSE))</f>
        <v>0.59</v>
      </c>
      <c r="F211" s="558"/>
      <c r="G211" s="1081" t="s">
        <v>335</v>
      </c>
      <c r="H211" s="1082"/>
      <c r="I211" s="1082"/>
      <c r="J211" s="1083"/>
      <c r="K211" s="558"/>
      <c r="L211" s="509"/>
      <c r="M211" s="509"/>
      <c r="N211" s="596"/>
      <c r="O211" s="597"/>
    </row>
    <row r="212" spans="1:15" ht="14.4" thickBot="1" x14ac:dyDescent="0.3">
      <c r="A212" s="522">
        <f>VLOOKUP($A$195,$J$145:$O$153,2,(FALSE))</f>
        <v>1000</v>
      </c>
      <c r="B212" s="580">
        <f>VLOOKUP($A$195,$J$145:$O$153,3,(FALSE))</f>
        <v>5</v>
      </c>
      <c r="C212" s="580">
        <f>VLOOKUP($A$195,$J$145:$O$153,4,(FALSE))</f>
        <v>4</v>
      </c>
      <c r="D212" s="580">
        <f>VLOOKUP($A$195,$J$145:$O$153,5,(FALSE))</f>
        <v>0.5</v>
      </c>
      <c r="E212" s="581">
        <f>VLOOKUP($A$195,$J$145:$O$153,6,(FALSE))</f>
        <v>0.59</v>
      </c>
      <c r="F212" s="558"/>
      <c r="G212" s="515"/>
      <c r="H212" s="559">
        <f>IF(G213&lt;=$A$208,$A$207,IF(G213&lt;=$A$209,$A$208,IF(G213&lt;=$A$210,$A$209,IF(G213&lt;=$A$211,$A$210,IF(G213&lt;=$A$212,$A$211,)))))</f>
        <v>0</v>
      </c>
      <c r="I212" s="559"/>
      <c r="J212" s="560">
        <f>IF(G213&lt;=$A$208,$C$207,IF(G213&lt;=$A$209,$C$208,IF(G213&lt;=$A$210,$C$209,IF(G213&lt;=$A$211,$C$210,IF(G213&lt;=$A$212,$C$211,)))))</f>
        <v>9.9999999999999995E-7</v>
      </c>
      <c r="K212" s="558"/>
      <c r="L212" s="598"/>
      <c r="M212" s="598"/>
      <c r="N212" s="599"/>
      <c r="O212" s="600"/>
    </row>
    <row r="213" spans="1:15" x14ac:dyDescent="0.25">
      <c r="A213" s="1079" t="str">
        <f>B20</f>
        <v>Main-PE</v>
      </c>
      <c r="B213" s="1080"/>
      <c r="C213" s="1080"/>
      <c r="D213" s="583" t="s">
        <v>310</v>
      </c>
      <c r="E213" s="584" t="s">
        <v>170</v>
      </c>
      <c r="F213" s="558"/>
      <c r="G213" s="590">
        <f>L202</f>
        <v>0</v>
      </c>
      <c r="H213" s="559"/>
      <c r="I213" s="591">
        <f>((G213-H212)/(H214-H212)*(J214-J212)+J212)</f>
        <v>9.9999999999999995E-7</v>
      </c>
      <c r="J213" s="560"/>
      <c r="K213" s="558"/>
      <c r="L213" s="601"/>
      <c r="M213" s="598"/>
      <c r="N213" s="602"/>
      <c r="O213" s="603"/>
    </row>
    <row r="214" spans="1:15" ht="14.4" thickBot="1" x14ac:dyDescent="0.3">
      <c r="A214" s="515" t="s">
        <v>504</v>
      </c>
      <c r="B214" s="559">
        <f>B206</f>
        <v>2019</v>
      </c>
      <c r="C214" s="559">
        <f>C206</f>
        <v>2020</v>
      </c>
      <c r="D214" s="559"/>
      <c r="E214" s="587"/>
      <c r="F214" s="558"/>
      <c r="G214" s="593"/>
      <c r="H214" s="594">
        <f>IF(G213&lt;=$A$208,$A$208,IF(G213&lt;=$A$209,$A$209,IF(G213&lt;=$A$210,$A$210,IF(G213&lt;=$A$211,$A$211,IF(G213&lt;=$A$212,$A$212,)))))</f>
        <v>50</v>
      </c>
      <c r="I214" s="594"/>
      <c r="J214" s="595">
        <f>IF(G213&lt;=$A$208,$C$208,IF(G213&lt;=$A$209,$C$209,IF(G213&lt;=$A$210,$C$210,IF(G213&lt;=$A$211,$C$211,IF(G213&lt;=$A$212,$C$212,)))))</f>
        <v>1.7</v>
      </c>
      <c r="K214" s="558"/>
      <c r="L214" s="598"/>
      <c r="M214" s="598"/>
      <c r="N214" s="599"/>
      <c r="O214" s="600"/>
    </row>
    <row r="215" spans="1:15" x14ac:dyDescent="0.25">
      <c r="A215" s="519">
        <f>VLOOKUP($A$195,$B$158:$G$166,2,(FALSE))</f>
        <v>10</v>
      </c>
      <c r="B215" s="517" t="str">
        <f>VLOOKUP($A$195,$B$158:$G$166,3,(FALSE))</f>
        <v>-</v>
      </c>
      <c r="C215" s="517">
        <f>VLOOKUP($A$195,$B$158:$G$166,4,(FALSE))</f>
        <v>9.9999999999999995E-7</v>
      </c>
      <c r="D215" s="517">
        <f>VLOOKUP($A$195,$B$158:$G$166,5,(FALSE))</f>
        <v>0</v>
      </c>
      <c r="E215" s="521">
        <f>VLOOKUP($A$195,$B$158:$G$166,6,(FALSE))</f>
        <v>1.7</v>
      </c>
      <c r="F215" s="558"/>
      <c r="G215" s="1078" t="s">
        <v>335</v>
      </c>
      <c r="H215" s="1078"/>
      <c r="I215" s="1078"/>
      <c r="J215" s="1078"/>
      <c r="K215" s="558"/>
      <c r="L215" s="558"/>
      <c r="M215" s="558"/>
      <c r="N215" s="592"/>
    </row>
    <row r="216" spans="1:15" x14ac:dyDescent="0.25">
      <c r="A216" s="519">
        <f>VLOOKUP($A$195,$B$167:$G$175,2,(FALSE))</f>
        <v>20</v>
      </c>
      <c r="B216" s="517" t="str">
        <f>VLOOKUP($A$195,$B$167:$G$175,3,(FALSE))</f>
        <v>-</v>
      </c>
      <c r="C216" s="517">
        <f>VLOOKUP($A$195,$B$167:$G$175,4,(FALSE))</f>
        <v>0.1</v>
      </c>
      <c r="D216" s="517">
        <f>VLOOKUP($A$195,$B$167:$G$175,5,(FALSE))</f>
        <v>0</v>
      </c>
      <c r="E216" s="521">
        <f>VLOOKUP($A$195,$B$167:$G$175,6,(FALSE))</f>
        <v>1.7</v>
      </c>
      <c r="F216" s="558"/>
      <c r="G216" s="604"/>
      <c r="H216" s="604">
        <f>IF(G217&lt;=$A$208,$A$207,IF(G217&lt;=$A$209,$A$208,IF(G217&lt;=$A$210,$A$209,IF(G217&lt;=$A$211,$A$210,IF(G217&lt;=$A$212,$A$211,)))))</f>
        <v>0</v>
      </c>
      <c r="I216" s="604"/>
      <c r="J216" s="605">
        <f>IF(G217&lt;=$A$208,$B$207,IF(G217&lt;=$A$209,$B$208,IF(G217&lt;=$A$210,$B$209,IF(G217&lt;=$A$211,$B$210,IF(G217&lt;=$A$212,$B$211,)))))</f>
        <v>9.9999999999999995E-7</v>
      </c>
      <c r="K216" s="558"/>
      <c r="L216" s="558"/>
      <c r="M216" s="558"/>
      <c r="N216" s="592"/>
    </row>
    <row r="217" spans="1:15" x14ac:dyDescent="0.25">
      <c r="A217" s="519">
        <f>VLOOKUP($A$195,$B$176:$G$184,2,(FALSE))</f>
        <v>50</v>
      </c>
      <c r="B217" s="517" t="str">
        <f>VLOOKUP($A$195,$B$176:$G$184,3,(FALSE))</f>
        <v>-</v>
      </c>
      <c r="C217" s="517">
        <f>VLOOKUP($A$195,$B$176:$G$184,4,(FALSE))</f>
        <v>0.4</v>
      </c>
      <c r="D217" s="517">
        <f>VLOOKUP($A$195,$B$176:$G$184,5,(FALSE))</f>
        <v>0</v>
      </c>
      <c r="E217" s="521">
        <f>VLOOKUP($A$195,$B$176:$G$184,6,(FALSE))</f>
        <v>1.7</v>
      </c>
      <c r="F217" s="558"/>
      <c r="G217" s="605">
        <f>L203</f>
        <v>0</v>
      </c>
      <c r="H217" s="604"/>
      <c r="I217" s="605">
        <f>((G217-H216)/(H218-H216)*(J218-J216)+J216)</f>
        <v>9.9999999999999995E-7</v>
      </c>
      <c r="J217" s="605"/>
      <c r="K217" s="558"/>
      <c r="L217" s="558"/>
      <c r="M217" s="558"/>
      <c r="N217" s="592"/>
    </row>
    <row r="218" spans="1:15" ht="14.4" thickBot="1" x14ac:dyDescent="0.3">
      <c r="A218" s="522">
        <f>VLOOKUP($A$195,$B$185:$G$193,2,(FALSE))</f>
        <v>100</v>
      </c>
      <c r="B218" s="580" t="str">
        <f>VLOOKUP($A$195,$B$185:$G$193,3,(FALSE))</f>
        <v>-</v>
      </c>
      <c r="C218" s="580">
        <f>VLOOKUP($A$195,$B$185:$G$193,4,(FALSE))</f>
        <v>1.4</v>
      </c>
      <c r="D218" s="580">
        <f>VLOOKUP($A$195,$B$185:$G$193,5,(FALSE))</f>
        <v>0</v>
      </c>
      <c r="E218" s="525">
        <f>VLOOKUP($A$195,$B$185:$G$193,6,(FALSE))</f>
        <v>1.7</v>
      </c>
      <c r="F218" s="558"/>
      <c r="G218" s="604"/>
      <c r="H218" s="604">
        <f>IF(G217&lt;=$A$208,$A$208,IF(G217&lt;=$A$209,$A$209,IF(G217&lt;=$A$210,$A$210,IF(G217&lt;=$A$211,$A$211,IF(G217&lt;=$A$212,$A$212,)))))</f>
        <v>50</v>
      </c>
      <c r="I218" s="604"/>
      <c r="J218" s="605">
        <f>IF(G217&lt;=$A$208,$B$208,IF(G217&lt;=$A$209,$B$209,IF(G217&lt;=$A$210,$B$210,IF(G217&lt;=$A$211,$B$211,IF(G217&lt;=$A$212,$B$212,)))))</f>
        <v>1.7</v>
      </c>
      <c r="K218" s="558"/>
      <c r="L218" s="558"/>
      <c r="M218" s="558"/>
      <c r="N218" s="592"/>
    </row>
    <row r="219" spans="1:15" x14ac:dyDescent="0.25">
      <c r="A219" s="1079" t="str">
        <f>B26</f>
        <v>Resistance</v>
      </c>
      <c r="B219" s="1080"/>
      <c r="C219" s="1080"/>
      <c r="D219" s="583" t="s">
        <v>310</v>
      </c>
      <c r="E219" s="584" t="s">
        <v>170</v>
      </c>
      <c r="F219" s="558"/>
      <c r="G219" s="1078" t="s">
        <v>335</v>
      </c>
      <c r="H219" s="1078"/>
      <c r="I219" s="1078"/>
      <c r="J219" s="1078"/>
      <c r="K219" s="558"/>
      <c r="L219" s="558"/>
      <c r="M219" s="558"/>
      <c r="N219" s="592"/>
    </row>
    <row r="220" spans="1:15" x14ac:dyDescent="0.25">
      <c r="A220" s="515" t="s">
        <v>505</v>
      </c>
      <c r="B220" s="559">
        <f>B214</f>
        <v>2019</v>
      </c>
      <c r="C220" s="559">
        <f>C214</f>
        <v>2020</v>
      </c>
      <c r="D220" s="559"/>
      <c r="E220" s="587"/>
      <c r="F220" s="558"/>
      <c r="G220" s="604"/>
      <c r="H220" s="604">
        <f>IF(G221&lt;=$A$208,$A$207,IF(G221&lt;=$A$209,$A$208,IF(G221&lt;=$A$210,$A$209,IF(G221&lt;=$A$211,$A$210,IF(G221&lt;=$A$212,$A$211,)))))</f>
        <v>0</v>
      </c>
      <c r="I220" s="604"/>
      <c r="J220" s="605">
        <f>IF(G221&lt;=$A$208,$B$207,IF(G221&lt;=$A$209,$B$208,IF(G221&lt;=$A$210,$B$209,IF(G221&lt;=$A$211,$B$210,IF(G221&lt;=$A$212,$B$211,)))))</f>
        <v>9.9999999999999995E-7</v>
      </c>
      <c r="K220" s="558"/>
      <c r="L220" s="558"/>
      <c r="M220" s="558"/>
      <c r="N220" s="592"/>
    </row>
    <row r="221" spans="1:15" x14ac:dyDescent="0.25">
      <c r="A221" s="519">
        <f>VLOOKUP($A$195,$J$158:$O$166,2,(FALSE))</f>
        <v>0.01</v>
      </c>
      <c r="B221" s="520">
        <f>VLOOKUP($A$195,$J$158:$O$166,3,(FALSE))</f>
        <v>9.9999999999999995E-7</v>
      </c>
      <c r="C221" s="520">
        <f>VLOOKUP($A$195,$J$158:$O$166,4,(FALSE))</f>
        <v>9.9999999999999995E-7</v>
      </c>
      <c r="D221" s="520">
        <f>VLOOKUP($A$195,$J$158:$O$166,5,(FALSE))</f>
        <v>0</v>
      </c>
      <c r="E221" s="521">
        <f>VLOOKUP($A$195,$J$158:$O$166,6,(FALSE))</f>
        <v>1.2</v>
      </c>
      <c r="F221" s="558"/>
      <c r="G221" s="605">
        <f>L204</f>
        <v>0</v>
      </c>
      <c r="H221" s="604"/>
      <c r="I221" s="605">
        <f>((G221-H220)/(H222-H220)*(J222-J220)+J220)</f>
        <v>9.9999999999999995E-7</v>
      </c>
      <c r="J221" s="605"/>
      <c r="K221" s="558"/>
      <c r="L221" s="558"/>
      <c r="M221" s="558"/>
      <c r="N221" s="592"/>
    </row>
    <row r="222" spans="1:15" x14ac:dyDescent="0.25">
      <c r="A222" s="519">
        <f>VLOOKUP($A$195,$J$167:$O$175,2,(FALSE))</f>
        <v>0.1</v>
      </c>
      <c r="B222" s="520">
        <f>VLOOKUP($A$195,$J$167:$O$175,3,(FALSE))</f>
        <v>9.9999999999999995E-7</v>
      </c>
      <c r="C222" s="520">
        <f>VLOOKUP($A$195,$J$167:$O$175,4,(FALSE))</f>
        <v>9.9999999999999995E-7</v>
      </c>
      <c r="D222" s="520">
        <f>VLOOKUP($A$195,$J$167:$O$175,5,(FALSE))</f>
        <v>0</v>
      </c>
      <c r="E222" s="521">
        <f>VLOOKUP($A$195,$J$167:$O$175,6,(FALSE))</f>
        <v>1.2</v>
      </c>
      <c r="F222" s="558"/>
      <c r="G222" s="604"/>
      <c r="H222" s="604">
        <f>IF(G221&lt;=$A$208,$A$208,IF(G221&lt;=$A$209,$A$209,IF(G221&lt;=$A$210,$A$210,IF(G221&lt;=$A$211,$A$211,IF(G221&lt;=$A$212,$A$212,)))))</f>
        <v>50</v>
      </c>
      <c r="I222" s="604"/>
      <c r="J222" s="605">
        <f>IF(G221&lt;=$A$208,$B$208,IF(G221&lt;=$A$209,$B$209,IF(G221&lt;=$A$210,$B$210,IF(G221&lt;=$A$211,$B$211,IF(G221&lt;=$A$212,$B$212,)))))</f>
        <v>1.7</v>
      </c>
      <c r="K222" s="558"/>
      <c r="L222" s="558"/>
      <c r="M222" s="558"/>
      <c r="N222" s="592"/>
    </row>
    <row r="223" spans="1:15" x14ac:dyDescent="0.25">
      <c r="A223" s="519">
        <f>VLOOKUP($A$195,$J$176:$O$184,2,(FALSE))</f>
        <v>1</v>
      </c>
      <c r="B223" s="520">
        <f>VLOOKUP($A$195,$J$176:$O$184,3,(FALSE))</f>
        <v>-2.3E-3</v>
      </c>
      <c r="C223" s="520">
        <f>VLOOKUP($A$195,$J$176:$O$184,4,(FALSE))</f>
        <v>-2.3E-3</v>
      </c>
      <c r="D223" s="520">
        <f>VLOOKUP($A$195,$J$176:$O$184,5,(FALSE))</f>
        <v>0</v>
      </c>
      <c r="E223" s="521">
        <f>VLOOKUP($A$195,$J$176:$O$184,6,(FALSE))</f>
        <v>1.2</v>
      </c>
      <c r="F223" s="558"/>
      <c r="G223" s="1078" t="s">
        <v>335</v>
      </c>
      <c r="H223" s="1078"/>
      <c r="I223" s="1078"/>
      <c r="J223" s="1078"/>
      <c r="K223" s="558"/>
      <c r="L223" s="558"/>
      <c r="M223" s="558"/>
      <c r="N223" s="592"/>
    </row>
    <row r="224" spans="1:15" ht="14.4" thickBot="1" x14ac:dyDescent="0.3">
      <c r="A224" s="522">
        <f>VLOOKUP($A$195,$J$185:$O$193,2,(FALSE))</f>
        <v>2</v>
      </c>
      <c r="B224" s="523">
        <f>VLOOKUP($A$195,$J$185:$O$193,3,(FALSE))</f>
        <v>9.9999999999999995E-7</v>
      </c>
      <c r="C224" s="524">
        <f>VLOOKUP($A$195,$J$185:$O$193,4,(FALSE))</f>
        <v>9.9999999999999995E-7</v>
      </c>
      <c r="D224" s="524">
        <f>VLOOKUP($A$195,$J$185:$O$193,5,(FALSE))</f>
        <v>0</v>
      </c>
      <c r="E224" s="525">
        <f>VLOOKUP($A$195,$J$185:$O$193,6,(FALSE))</f>
        <v>1.2</v>
      </c>
      <c r="F224" s="558"/>
      <c r="G224" s="604"/>
      <c r="H224" s="604">
        <f>IF(G225&lt;=$A$208,$A$207,IF(G225&lt;=$A$209,$A$208,IF(G225&lt;=$A$210,$A$209,IF(G225&lt;=$A$211,$A$210,IF(G225&lt;=$A$212,$A$211,)))))</f>
        <v>0</v>
      </c>
      <c r="I224" s="604"/>
      <c r="J224" s="605">
        <f>IF(G225&lt;=$A$208,$B$207,IF(G225&lt;=$A$209,$B$208,IF(G225&lt;=$A$210,$B$209,IF(G225&lt;=$A$211,$B$210,IF(G225&lt;=$A$212,$B$211,)))))</f>
        <v>9.9999999999999995E-7</v>
      </c>
      <c r="K224" s="558"/>
      <c r="L224" s="558"/>
      <c r="M224" s="558"/>
      <c r="N224" s="592"/>
    </row>
    <row r="225" spans="1:24" x14ac:dyDescent="0.25">
      <c r="A225" s="606"/>
      <c r="B225" s="558"/>
      <c r="C225" s="558"/>
      <c r="D225" s="558"/>
      <c r="E225" s="558"/>
      <c r="F225" s="558"/>
      <c r="G225" s="605">
        <f>L205</f>
        <v>0</v>
      </c>
      <c r="H225" s="604"/>
      <c r="I225" s="605">
        <f>((G225-H224)/(H226-H224)*(J226-J224)+J224)</f>
        <v>9.9999999999999995E-7</v>
      </c>
      <c r="J225" s="605"/>
      <c r="K225" s="558"/>
      <c r="L225" s="558"/>
      <c r="M225" s="558"/>
      <c r="N225" s="592"/>
    </row>
    <row r="226" spans="1:24" x14ac:dyDescent="0.25">
      <c r="A226" s="606"/>
      <c r="B226" s="558"/>
      <c r="C226" s="558"/>
      <c r="D226" s="558"/>
      <c r="E226" s="558"/>
      <c r="F226" s="558"/>
      <c r="G226" s="604"/>
      <c r="H226" s="604">
        <f>IF(G225&lt;=$A$208,$A$208,IF(G225&lt;=$A$209,$A$209,IF(G225&lt;=$A$210,$A$210,IF(G225&lt;=$A$211,$A$211,IF(G225&lt;=$A$212,$A$212,)))))</f>
        <v>50</v>
      </c>
      <c r="I226" s="604"/>
      <c r="J226" s="605">
        <f>IF(G225&lt;=$A$208,$B$208,IF(G225&lt;=$A$209,$B$209,IF(G225&lt;=$A$210,$B$210,IF(G225&lt;=$A$211,$B$211,IF(G225&lt;=$A$212,$B$212,)))))</f>
        <v>1.7</v>
      </c>
      <c r="K226" s="558"/>
      <c r="L226" s="558"/>
      <c r="M226" s="558"/>
      <c r="N226" s="592"/>
    </row>
    <row r="227" spans="1:24" ht="15.75" customHeight="1" x14ac:dyDescent="0.25">
      <c r="A227" s="606"/>
      <c r="B227" s="558"/>
      <c r="C227" s="558"/>
      <c r="D227" s="558"/>
      <c r="E227" s="558"/>
      <c r="F227" s="558"/>
      <c r="G227" s="1078" t="s">
        <v>335</v>
      </c>
      <c r="H227" s="1078"/>
      <c r="I227" s="1078"/>
      <c r="J227" s="1078"/>
      <c r="K227" s="558"/>
      <c r="L227" s="558"/>
      <c r="M227" s="558"/>
      <c r="N227" s="592"/>
    </row>
    <row r="228" spans="1:24" x14ac:dyDescent="0.25">
      <c r="A228" s="606"/>
      <c r="B228" s="558"/>
      <c r="C228" s="558"/>
      <c r="D228" s="558"/>
      <c r="E228" s="558"/>
      <c r="F228" s="558"/>
      <c r="G228" s="604"/>
      <c r="H228" s="604">
        <f>IF(G229&lt;=$A$208,$A$207,IF(G229&lt;=$A$209,$A$208,IF(G229&lt;=$A$210,$A$209,IF(G229&lt;=$A$211,$A$210,IF(G229&lt;=$A$212,$A$211,)))))</f>
        <v>0</v>
      </c>
      <c r="I228" s="604"/>
      <c r="J228" s="605">
        <f>IF(G229&lt;=$A$208,$B$207,IF(G229&lt;=$A$209,$B$208,IF(G229&lt;=$A$210,$B$209,IF(G229&lt;=$A$211,$B$210,IF(G229&lt;=$A$212,$B$211,)))))</f>
        <v>9.9999999999999995E-7</v>
      </c>
      <c r="K228" s="558"/>
      <c r="L228" s="558"/>
      <c r="M228" s="558"/>
      <c r="N228" s="592"/>
    </row>
    <row r="229" spans="1:24" x14ac:dyDescent="0.25">
      <c r="A229" s="606"/>
      <c r="B229" s="558"/>
      <c r="C229" s="558"/>
      <c r="D229" s="558"/>
      <c r="E229" s="558"/>
      <c r="F229" s="558"/>
      <c r="G229" s="605">
        <f>L206</f>
        <v>0</v>
      </c>
      <c r="H229" s="604"/>
      <c r="I229" s="605">
        <f>((G229-H228)/(H230-H228)*(J230-J228)+J228)</f>
        <v>9.9999999999999995E-7</v>
      </c>
      <c r="J229" s="605"/>
      <c r="K229" s="558"/>
      <c r="L229" s="558"/>
      <c r="M229" s="558"/>
      <c r="N229" s="592"/>
    </row>
    <row r="230" spans="1:24" ht="14.4" thickBot="1" x14ac:dyDescent="0.3">
      <c r="A230" s="607"/>
      <c r="B230" s="608"/>
      <c r="C230" s="608"/>
      <c r="D230" s="608"/>
      <c r="E230" s="608"/>
      <c r="F230" s="608"/>
      <c r="G230" s="609"/>
      <c r="H230" s="609">
        <f>IF(G229&lt;=$A$208,$A$208,IF(G229&lt;=$A$209,$A$209,IF(G229&lt;=$A$210,$A$210,IF(G229&lt;=$A$211,$A$211,IF(G229&lt;=$A$212,$A$212,)))))</f>
        <v>50</v>
      </c>
      <c r="I230" s="609"/>
      <c r="J230" s="610">
        <f>IF(G229&lt;=$A$208,$B$208,IF(G229&lt;=$A$209,$B$209,IF(G229&lt;=$A$210,$B$210,IF(G229&lt;=$A$211,$B$211,IF(G229&lt;=$A$212,$B$212,)))))</f>
        <v>1.7</v>
      </c>
      <c r="K230" s="608"/>
      <c r="L230" s="608"/>
      <c r="M230" s="608"/>
      <c r="N230" s="611"/>
    </row>
    <row r="233" spans="1:24" ht="14.4" thickBot="1" x14ac:dyDescent="0.3"/>
    <row r="234" spans="1:24" x14ac:dyDescent="0.25">
      <c r="A234" s="526" t="str">
        <f>ID!B59</f>
        <v>Electrical Safety Analyzer, Merek : Fluke, Model : ESA 615, SN : 3699030</v>
      </c>
      <c r="B234" s="623"/>
      <c r="C234" s="623"/>
      <c r="D234" s="623"/>
      <c r="E234" s="623"/>
      <c r="F234" s="623"/>
      <c r="G234" s="623"/>
      <c r="H234" s="623"/>
      <c r="I234" s="623"/>
      <c r="J234" s="623"/>
      <c r="K234" s="624"/>
      <c r="L234" s="612"/>
      <c r="M234" s="1072">
        <f>A244</f>
        <v>7</v>
      </c>
      <c r="N234" s="1073"/>
      <c r="O234" s="1073"/>
      <c r="P234" s="1073"/>
      <c r="Q234" s="1073"/>
      <c r="R234" s="1073"/>
      <c r="S234" s="1073"/>
      <c r="T234" s="1073"/>
      <c r="U234" s="1073"/>
      <c r="V234" s="1073"/>
      <c r="W234" s="1073"/>
      <c r="X234" s="1074"/>
    </row>
    <row r="235" spans="1:24" x14ac:dyDescent="0.25">
      <c r="A235" s="526" t="s">
        <v>495</v>
      </c>
      <c r="B235" s="527"/>
      <c r="C235" s="527"/>
      <c r="D235" s="613"/>
      <c r="E235" s="613"/>
      <c r="F235" s="613"/>
      <c r="G235" s="613"/>
      <c r="H235" s="613"/>
      <c r="I235" s="614">
        <f>C5</f>
        <v>2019</v>
      </c>
      <c r="J235" s="614">
        <f>D5</f>
        <v>2020</v>
      </c>
      <c r="K235" s="615">
        <v>1</v>
      </c>
      <c r="L235" s="612"/>
      <c r="M235" s="616">
        <v>1</v>
      </c>
      <c r="N235" s="617" t="s">
        <v>336</v>
      </c>
      <c r="O235" s="618"/>
      <c r="P235" s="618"/>
      <c r="Q235" s="618"/>
      <c r="R235" s="618"/>
      <c r="S235" s="618"/>
      <c r="T235" s="618"/>
      <c r="U235" s="618"/>
      <c r="V235" s="618"/>
      <c r="W235" s="618"/>
      <c r="X235" s="619"/>
    </row>
    <row r="236" spans="1:24" x14ac:dyDescent="0.25">
      <c r="A236" s="526" t="s">
        <v>496</v>
      </c>
      <c r="B236" s="527"/>
      <c r="C236" s="527"/>
      <c r="D236" s="613"/>
      <c r="E236" s="613"/>
      <c r="F236" s="613"/>
      <c r="G236" s="613"/>
      <c r="H236" s="613"/>
      <c r="I236" s="614">
        <f>J5</f>
        <v>2017</v>
      </c>
      <c r="J236" s="614">
        <f>K5</f>
        <v>2019</v>
      </c>
      <c r="K236" s="615">
        <v>2</v>
      </c>
      <c r="L236" s="612"/>
      <c r="M236" s="616">
        <v>2</v>
      </c>
      <c r="N236" s="617" t="s">
        <v>337</v>
      </c>
      <c r="O236" s="618"/>
      <c r="P236" s="618"/>
      <c r="Q236" s="618"/>
      <c r="R236" s="618"/>
      <c r="S236" s="618"/>
      <c r="T236" s="618"/>
      <c r="U236" s="618"/>
      <c r="V236" s="618"/>
      <c r="W236" s="618"/>
      <c r="X236" s="619"/>
    </row>
    <row r="237" spans="1:24" x14ac:dyDescent="0.25">
      <c r="A237" s="526" t="s">
        <v>338</v>
      </c>
      <c r="B237" s="527"/>
      <c r="C237" s="527"/>
      <c r="D237" s="613"/>
      <c r="E237" s="613"/>
      <c r="F237" s="613"/>
      <c r="G237" s="613"/>
      <c r="H237" s="613"/>
      <c r="I237" s="614">
        <f>Q5</f>
        <v>2017</v>
      </c>
      <c r="J237" s="614">
        <f>R5</f>
        <v>2018</v>
      </c>
      <c r="K237" s="615">
        <v>3</v>
      </c>
      <c r="L237" s="612"/>
      <c r="M237" s="616">
        <v>3</v>
      </c>
      <c r="N237" s="617" t="s">
        <v>336</v>
      </c>
      <c r="O237" s="618"/>
      <c r="P237" s="618"/>
      <c r="Q237" s="618"/>
      <c r="R237" s="618"/>
      <c r="S237" s="618"/>
      <c r="T237" s="618"/>
      <c r="U237" s="618"/>
      <c r="V237" s="618"/>
      <c r="W237" s="618"/>
      <c r="X237" s="619"/>
    </row>
    <row r="238" spans="1:24" x14ac:dyDescent="0.25">
      <c r="A238" s="526" t="s">
        <v>497</v>
      </c>
      <c r="B238" s="527"/>
      <c r="C238" s="527"/>
      <c r="D238" s="613"/>
      <c r="E238" s="613"/>
      <c r="F238" s="613"/>
      <c r="G238" s="613"/>
      <c r="H238" s="613"/>
      <c r="I238" s="614">
        <f>C36</f>
        <v>2017</v>
      </c>
      <c r="J238" s="614">
        <f>D36</f>
        <v>2019</v>
      </c>
      <c r="K238" s="615">
        <v>4</v>
      </c>
      <c r="L238" s="612"/>
      <c r="M238" s="616">
        <v>4</v>
      </c>
      <c r="N238" s="617" t="s">
        <v>336</v>
      </c>
      <c r="O238" s="618"/>
      <c r="P238" s="618"/>
      <c r="Q238" s="618"/>
      <c r="R238" s="618"/>
      <c r="S238" s="618"/>
      <c r="T238" s="618"/>
      <c r="U238" s="618"/>
      <c r="V238" s="618"/>
      <c r="W238" s="618"/>
      <c r="X238" s="619"/>
    </row>
    <row r="239" spans="1:24" x14ac:dyDescent="0.25">
      <c r="A239" s="526" t="s">
        <v>498</v>
      </c>
      <c r="B239" s="527"/>
      <c r="C239" s="527"/>
      <c r="D239" s="613"/>
      <c r="E239" s="613"/>
      <c r="F239" s="613"/>
      <c r="G239" s="613"/>
      <c r="H239" s="613"/>
      <c r="I239" s="614">
        <f>J36</f>
        <v>2017</v>
      </c>
      <c r="J239" s="614">
        <f>K36</f>
        <v>2019</v>
      </c>
      <c r="K239" s="615">
        <v>5</v>
      </c>
      <c r="L239" s="612"/>
      <c r="M239" s="616">
        <v>5</v>
      </c>
      <c r="N239" s="617" t="s">
        <v>336</v>
      </c>
      <c r="O239" s="618"/>
      <c r="P239" s="618"/>
      <c r="Q239" s="618"/>
      <c r="R239" s="618"/>
      <c r="S239" s="618"/>
      <c r="T239" s="618"/>
      <c r="U239" s="618"/>
      <c r="V239" s="618"/>
      <c r="W239" s="618"/>
      <c r="X239" s="619"/>
    </row>
    <row r="240" spans="1:24" x14ac:dyDescent="0.25">
      <c r="A240" s="526" t="s">
        <v>339</v>
      </c>
      <c r="B240" s="527"/>
      <c r="C240" s="527"/>
      <c r="D240" s="613"/>
      <c r="E240" s="613"/>
      <c r="F240" s="613"/>
      <c r="G240" s="613"/>
      <c r="H240" s="613"/>
      <c r="I240" s="614">
        <f>Q36</f>
        <v>2018</v>
      </c>
      <c r="J240" s="614">
        <f>R36</f>
        <v>2019</v>
      </c>
      <c r="K240" s="615">
        <v>6</v>
      </c>
      <c r="L240" s="612"/>
      <c r="M240" s="616">
        <v>6</v>
      </c>
      <c r="N240" s="617" t="s">
        <v>336</v>
      </c>
      <c r="O240" s="618"/>
      <c r="P240" s="618"/>
      <c r="Q240" s="618"/>
      <c r="R240" s="618"/>
      <c r="S240" s="618"/>
      <c r="T240" s="618"/>
      <c r="U240" s="618"/>
      <c r="V240" s="618"/>
      <c r="W240" s="618"/>
      <c r="X240" s="619"/>
    </row>
    <row r="241" spans="1:24" x14ac:dyDescent="0.25">
      <c r="A241" s="526" t="s">
        <v>340</v>
      </c>
      <c r="B241" s="527"/>
      <c r="C241" s="527"/>
      <c r="D241" s="613"/>
      <c r="E241" s="613"/>
      <c r="F241" s="613"/>
      <c r="G241" s="613"/>
      <c r="H241" s="613"/>
      <c r="I241" s="614">
        <f>C67</f>
        <v>2019</v>
      </c>
      <c r="J241" s="614">
        <f>D67</f>
        <v>2020</v>
      </c>
      <c r="K241" s="615">
        <v>7</v>
      </c>
      <c r="L241" s="612"/>
      <c r="M241" s="616">
        <v>7</v>
      </c>
      <c r="N241" s="617" t="s">
        <v>336</v>
      </c>
      <c r="O241" s="618"/>
      <c r="P241" s="618"/>
      <c r="Q241" s="618"/>
      <c r="R241" s="618"/>
      <c r="S241" s="618"/>
      <c r="T241" s="618"/>
      <c r="U241" s="618"/>
      <c r="V241" s="618"/>
      <c r="W241" s="618"/>
      <c r="X241" s="619"/>
    </row>
    <row r="242" spans="1:24" x14ac:dyDescent="0.25">
      <c r="A242" s="526" t="s">
        <v>341</v>
      </c>
      <c r="B242" s="527"/>
      <c r="C242" s="527"/>
      <c r="D242" s="613"/>
      <c r="E242" s="613"/>
      <c r="F242" s="613"/>
      <c r="G242" s="613"/>
      <c r="H242" s="613"/>
      <c r="I242" s="614">
        <f>J67</f>
        <v>2019</v>
      </c>
      <c r="J242" s="614">
        <f>K67</f>
        <v>2020</v>
      </c>
      <c r="K242" s="615">
        <v>8</v>
      </c>
      <c r="L242" s="612"/>
      <c r="M242" s="616">
        <v>8</v>
      </c>
      <c r="N242" s="617" t="s">
        <v>336</v>
      </c>
      <c r="O242" s="618"/>
      <c r="P242" s="618"/>
      <c r="Q242" s="618"/>
      <c r="R242" s="618"/>
      <c r="S242" s="618"/>
      <c r="T242" s="618"/>
      <c r="U242" s="618"/>
      <c r="V242" s="618"/>
      <c r="W242" s="618"/>
      <c r="X242" s="619"/>
    </row>
    <row r="243" spans="1:24" x14ac:dyDescent="0.25">
      <c r="A243" s="526" t="s">
        <v>342</v>
      </c>
      <c r="B243" s="527"/>
      <c r="C243" s="527"/>
      <c r="D243" s="613"/>
      <c r="E243" s="613"/>
      <c r="F243" s="613"/>
      <c r="G243" s="613"/>
      <c r="H243" s="613"/>
      <c r="I243" s="614">
        <f>Q67</f>
        <v>2019</v>
      </c>
      <c r="J243" s="614">
        <f>R67</f>
        <v>2020</v>
      </c>
      <c r="K243" s="615">
        <v>9</v>
      </c>
      <c r="L243" s="612"/>
      <c r="M243" s="616">
        <v>9</v>
      </c>
      <c r="N243" s="617" t="s">
        <v>336</v>
      </c>
      <c r="O243" s="618"/>
      <c r="P243" s="618"/>
      <c r="Q243" s="618"/>
      <c r="R243" s="618"/>
      <c r="S243" s="618"/>
      <c r="T243" s="618"/>
      <c r="U243" s="618"/>
      <c r="V243" s="618"/>
      <c r="W243" s="618"/>
      <c r="X243" s="619"/>
    </row>
    <row r="244" spans="1:24" ht="14.4" thickBot="1" x14ac:dyDescent="0.3">
      <c r="A244" s="1075">
        <f>VLOOKUP(A234,A235:K243,11,(FALSE))</f>
        <v>7</v>
      </c>
      <c r="B244" s="1076"/>
      <c r="C244" s="1076"/>
      <c r="D244" s="1076"/>
      <c r="E244" s="1076"/>
      <c r="F244" s="1076"/>
      <c r="G244" s="1076"/>
      <c r="H244" s="1076"/>
      <c r="I244" s="1076"/>
      <c r="J244" s="1076"/>
      <c r="K244" s="1077"/>
      <c r="L244" s="612"/>
      <c r="M244" s="620" t="str">
        <f>VLOOKUP(M234,M235:X243,2,FALSE)</f>
        <v>Hasil pengujian Keselamatan Listrik tertelusur ke Satuan Internasional ( SI ) melalui PT. Kaliman (LK-032-IDN)</v>
      </c>
      <c r="N244" s="621"/>
      <c r="O244" s="621"/>
      <c r="P244" s="621"/>
      <c r="Q244" s="621"/>
      <c r="R244" s="621"/>
      <c r="S244" s="621"/>
      <c r="T244" s="621"/>
      <c r="U244" s="621"/>
      <c r="V244" s="621"/>
      <c r="W244" s="621"/>
      <c r="X244" s="622"/>
    </row>
    <row r="245" spans="1:24" x14ac:dyDescent="0.25">
      <c r="A245" s="612"/>
      <c r="B245" s="612"/>
      <c r="C245" s="612"/>
      <c r="D245" s="612"/>
      <c r="E245" s="612"/>
      <c r="F245" s="612"/>
      <c r="G245" s="612"/>
      <c r="H245" s="612"/>
      <c r="I245" s="612"/>
      <c r="J245" s="612"/>
      <c r="K245" s="612"/>
      <c r="L245" s="612"/>
      <c r="M245" s="612"/>
      <c r="N245" s="612"/>
      <c r="O245" s="612"/>
      <c r="P245" s="612"/>
      <c r="Q245" s="612"/>
      <c r="R245" s="612"/>
      <c r="S245" s="612"/>
      <c r="T245" s="612"/>
      <c r="U245" s="612"/>
      <c r="V245" s="612"/>
      <c r="W245" s="612"/>
      <c r="X245" s="612"/>
    </row>
    <row r="246" spans="1:24" x14ac:dyDescent="0.25">
      <c r="A246" s="612"/>
      <c r="B246" s="612"/>
      <c r="C246" s="612"/>
      <c r="D246" s="612"/>
      <c r="E246" s="612"/>
      <c r="F246" s="612"/>
      <c r="G246" s="612"/>
      <c r="H246" s="612"/>
      <c r="I246" s="612"/>
      <c r="J246" s="612"/>
      <c r="K246" s="612"/>
      <c r="L246" s="612"/>
      <c r="M246" s="612"/>
      <c r="N246" s="612"/>
      <c r="O246" s="612"/>
      <c r="P246" s="612"/>
      <c r="Q246" s="612"/>
      <c r="R246" s="612"/>
      <c r="S246" s="612"/>
      <c r="T246" s="612"/>
      <c r="U246" s="612"/>
      <c r="V246" s="612"/>
      <c r="W246" s="612"/>
      <c r="X246" s="612"/>
    </row>
    <row r="247" spans="1:24" x14ac:dyDescent="0.25">
      <c r="A247" s="612"/>
      <c r="B247" s="612"/>
      <c r="C247" s="612"/>
      <c r="D247" s="612"/>
      <c r="E247" s="612"/>
      <c r="F247" s="612"/>
      <c r="G247" s="612"/>
      <c r="H247" s="612"/>
      <c r="I247" s="612"/>
      <c r="J247" s="612"/>
      <c r="K247" s="612"/>
      <c r="L247" s="612"/>
      <c r="M247" s="612"/>
      <c r="N247" s="612"/>
      <c r="O247" s="612"/>
      <c r="P247" s="612"/>
      <c r="Q247" s="612"/>
      <c r="R247" s="612"/>
      <c r="S247" s="612"/>
      <c r="T247" s="612"/>
      <c r="U247" s="612"/>
      <c r="V247" s="612"/>
      <c r="W247" s="612"/>
      <c r="X247" s="612"/>
    </row>
    <row r="248" spans="1:24" x14ac:dyDescent="0.25">
      <c r="A248" s="612"/>
      <c r="B248" s="612"/>
      <c r="C248" s="612"/>
      <c r="D248" s="612"/>
      <c r="E248" s="612"/>
      <c r="F248" s="612"/>
      <c r="G248" s="612"/>
      <c r="H248" s="612"/>
      <c r="I248" s="612"/>
      <c r="J248" s="612"/>
      <c r="K248" s="612"/>
      <c r="L248" s="612"/>
      <c r="M248" s="612"/>
      <c r="N248" s="612"/>
      <c r="O248" s="612"/>
      <c r="P248" s="612"/>
      <c r="Q248" s="612"/>
      <c r="R248" s="612"/>
      <c r="S248" s="612"/>
      <c r="T248" s="612"/>
      <c r="U248" s="612"/>
      <c r="V248" s="612"/>
      <c r="W248" s="612"/>
      <c r="X248" s="612"/>
    </row>
    <row r="249" spans="1:24" x14ac:dyDescent="0.25">
      <c r="A249" s="612"/>
      <c r="B249" s="612"/>
      <c r="C249" s="612"/>
      <c r="D249" s="612"/>
      <c r="E249" s="612"/>
      <c r="F249" s="612"/>
      <c r="G249" s="612"/>
      <c r="H249" s="612"/>
      <c r="I249" s="612"/>
      <c r="J249" s="612"/>
      <c r="K249" s="612"/>
      <c r="L249" s="612"/>
      <c r="M249" s="612"/>
      <c r="N249" s="612"/>
      <c r="O249" s="612"/>
      <c r="P249" s="612"/>
      <c r="Q249" s="612"/>
      <c r="R249" s="612"/>
      <c r="S249" s="612"/>
      <c r="T249" s="612"/>
      <c r="U249" s="612"/>
      <c r="V249" s="612"/>
      <c r="W249" s="612"/>
      <c r="X249" s="612"/>
    </row>
  </sheetData>
  <mergeCells count="179">
    <mergeCell ref="A1:T1"/>
    <mergeCell ref="A2:A31"/>
    <mergeCell ref="B2:F2"/>
    <mergeCell ref="H2:H31"/>
    <mergeCell ref="I2:M2"/>
    <mergeCell ref="O2:O31"/>
    <mergeCell ref="P2:T2"/>
    <mergeCell ref="B3:F3"/>
    <mergeCell ref="I3:M3"/>
    <mergeCell ref="P3:T3"/>
    <mergeCell ref="P4:R4"/>
    <mergeCell ref="S4:S5"/>
    <mergeCell ref="T4:T5"/>
    <mergeCell ref="B12:D12"/>
    <mergeCell ref="E12:E13"/>
    <mergeCell ref="F12:F13"/>
    <mergeCell ref="I12:K12"/>
    <mergeCell ref="L12:L13"/>
    <mergeCell ref="M12:M13"/>
    <mergeCell ref="P12:R12"/>
    <mergeCell ref="B4:D4"/>
    <mergeCell ref="E4:E5"/>
    <mergeCell ref="F4:F5"/>
    <mergeCell ref="I4:K4"/>
    <mergeCell ref="L4:L5"/>
    <mergeCell ref="M4:M5"/>
    <mergeCell ref="S12:S13"/>
    <mergeCell ref="T12:T13"/>
    <mergeCell ref="B20:D20"/>
    <mergeCell ref="E20:E21"/>
    <mergeCell ref="F20:F21"/>
    <mergeCell ref="I20:K20"/>
    <mergeCell ref="L20:L21"/>
    <mergeCell ref="M20:M21"/>
    <mergeCell ref="P20:R20"/>
    <mergeCell ref="S20:S21"/>
    <mergeCell ref="T20:T21"/>
    <mergeCell ref="B26:D26"/>
    <mergeCell ref="E26:E27"/>
    <mergeCell ref="F26:F27"/>
    <mergeCell ref="I26:K26"/>
    <mergeCell ref="L26:L27"/>
    <mergeCell ref="M26:M27"/>
    <mergeCell ref="P26:R26"/>
    <mergeCell ref="S26:S27"/>
    <mergeCell ref="T26:T27"/>
    <mergeCell ref="A33:A62"/>
    <mergeCell ref="B33:F33"/>
    <mergeCell ref="H33:H62"/>
    <mergeCell ref="I33:M33"/>
    <mergeCell ref="O33:O62"/>
    <mergeCell ref="P33:T33"/>
    <mergeCell ref="B34:F34"/>
    <mergeCell ref="I34:M34"/>
    <mergeCell ref="P34:T34"/>
    <mergeCell ref="B35:D35"/>
    <mergeCell ref="I35:K35"/>
    <mergeCell ref="P35:R35"/>
    <mergeCell ref="S35:S36"/>
    <mergeCell ref="T35:T36"/>
    <mergeCell ref="B43:D43"/>
    <mergeCell ref="I43:K43"/>
    <mergeCell ref="P43:R43"/>
    <mergeCell ref="S43:S44"/>
    <mergeCell ref="T43:T44"/>
    <mergeCell ref="B51:D51"/>
    <mergeCell ref="I51:K51"/>
    <mergeCell ref="P51:R51"/>
    <mergeCell ref="S51:S52"/>
    <mergeCell ref="T51:T52"/>
    <mergeCell ref="B57:D57"/>
    <mergeCell ref="I57:K57"/>
    <mergeCell ref="P57:R57"/>
    <mergeCell ref="S57:S58"/>
    <mergeCell ref="T57:T58"/>
    <mergeCell ref="S66:S67"/>
    <mergeCell ref="T66:T67"/>
    <mergeCell ref="B74:D74"/>
    <mergeCell ref="E74:E75"/>
    <mergeCell ref="F74:F75"/>
    <mergeCell ref="I74:K74"/>
    <mergeCell ref="L74:L75"/>
    <mergeCell ref="M74:M75"/>
    <mergeCell ref="P74:R74"/>
    <mergeCell ref="S74:S75"/>
    <mergeCell ref="E66:E67"/>
    <mergeCell ref="F66:F67"/>
    <mergeCell ref="I66:K66"/>
    <mergeCell ref="L66:L67"/>
    <mergeCell ref="M66:M67"/>
    <mergeCell ref="P66:R66"/>
    <mergeCell ref="H64:H93"/>
    <mergeCell ref="I64:M64"/>
    <mergeCell ref="O64:O93"/>
    <mergeCell ref="P64:T64"/>
    <mergeCell ref="B65:F65"/>
    <mergeCell ref="I65:M65"/>
    <mergeCell ref="P65:T65"/>
    <mergeCell ref="B66:D66"/>
    <mergeCell ref="T74:T75"/>
    <mergeCell ref="B82:D82"/>
    <mergeCell ref="E82:E83"/>
    <mergeCell ref="F82:F83"/>
    <mergeCell ref="I82:K82"/>
    <mergeCell ref="L82:L83"/>
    <mergeCell ref="M82:M83"/>
    <mergeCell ref="P82:R82"/>
    <mergeCell ref="S82:S83"/>
    <mergeCell ref="T82:T83"/>
    <mergeCell ref="C98:E98"/>
    <mergeCell ref="K98:M98"/>
    <mergeCell ref="A100:A108"/>
    <mergeCell ref="I100:I108"/>
    <mergeCell ref="A109:A117"/>
    <mergeCell ref="I109:I117"/>
    <mergeCell ref="P88:R88"/>
    <mergeCell ref="S88:S89"/>
    <mergeCell ref="T88:T89"/>
    <mergeCell ref="A95:Q95"/>
    <mergeCell ref="A97:A99"/>
    <mergeCell ref="B97:B99"/>
    <mergeCell ref="C97:G97"/>
    <mergeCell ref="I97:I99"/>
    <mergeCell ref="J97:J99"/>
    <mergeCell ref="K97:O97"/>
    <mergeCell ref="B88:D88"/>
    <mergeCell ref="E88:E89"/>
    <mergeCell ref="F88:F89"/>
    <mergeCell ref="I88:K88"/>
    <mergeCell ref="L88:L89"/>
    <mergeCell ref="M88:M89"/>
    <mergeCell ref="A64:A93"/>
    <mergeCell ref="B64:F64"/>
    <mergeCell ref="A145:A153"/>
    <mergeCell ref="I145:I153"/>
    <mergeCell ref="A155:A157"/>
    <mergeCell ref="B155:B157"/>
    <mergeCell ref="C155:G155"/>
    <mergeCell ref="I155:I157"/>
    <mergeCell ref="A118:A126"/>
    <mergeCell ref="I118:I126"/>
    <mergeCell ref="A127:A135"/>
    <mergeCell ref="I127:I135"/>
    <mergeCell ref="A136:A144"/>
    <mergeCell ref="I136:I144"/>
    <mergeCell ref="A167:A175"/>
    <mergeCell ref="I167:I175"/>
    <mergeCell ref="A176:A184"/>
    <mergeCell ref="I176:I184"/>
    <mergeCell ref="A185:A193"/>
    <mergeCell ref="I185:I193"/>
    <mergeCell ref="J155:J157"/>
    <mergeCell ref="K155:O155"/>
    <mergeCell ref="C156:E156"/>
    <mergeCell ref="K156:M156"/>
    <mergeCell ref="A158:A166"/>
    <mergeCell ref="I158:I166"/>
    <mergeCell ref="B195:E195"/>
    <mergeCell ref="G195:J195"/>
    <mergeCell ref="L195:L197"/>
    <mergeCell ref="M195:M197"/>
    <mergeCell ref="N195:N197"/>
    <mergeCell ref="A196:E196"/>
    <mergeCell ref="A197:C197"/>
    <mergeCell ref="D197:D198"/>
    <mergeCell ref="E197:E198"/>
    <mergeCell ref="M234:X234"/>
    <mergeCell ref="A244:K244"/>
    <mergeCell ref="G215:J215"/>
    <mergeCell ref="A219:C219"/>
    <mergeCell ref="G219:J219"/>
    <mergeCell ref="G223:J223"/>
    <mergeCell ref="G227:J227"/>
    <mergeCell ref="G199:J199"/>
    <mergeCell ref="G203:J203"/>
    <mergeCell ref="A205:C205"/>
    <mergeCell ref="G207:J207"/>
    <mergeCell ref="G211:J211"/>
    <mergeCell ref="A213:C213"/>
  </mergeCells>
  <pageMargins left="0.7" right="0.7" top="0.75" bottom="0.75" header="0.3" footer="0.3"/>
  <ignoredErrors>
    <ignoredError sqref="A234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R372"/>
  <sheetViews>
    <sheetView zoomScaleNormal="100" zoomScaleSheetLayoutView="100" workbookViewId="0">
      <selection activeCell="A353" sqref="A353"/>
    </sheetView>
  </sheetViews>
  <sheetFormatPr defaultColWidth="9.109375" defaultRowHeight="13.8" x14ac:dyDescent="0.25"/>
  <cols>
    <col min="1" max="5" width="9.109375" style="745"/>
    <col min="6" max="6" width="11.5546875" style="745" customWidth="1"/>
    <col min="7" max="16384" width="9.109375" style="745"/>
  </cols>
  <sheetData>
    <row r="1" spans="1:18" ht="14.4" thickBot="1" x14ac:dyDescent="0.3">
      <c r="A1" s="1180" t="s">
        <v>343</v>
      </c>
      <c r="B1" s="1181"/>
      <c r="C1" s="1181"/>
      <c r="D1" s="1181"/>
      <c r="E1" s="1181"/>
      <c r="F1" s="1181"/>
      <c r="G1" s="1182"/>
      <c r="H1" s="1181"/>
      <c r="I1" s="1181"/>
      <c r="J1" s="1181"/>
      <c r="K1" s="1181"/>
      <c r="L1" s="1181"/>
      <c r="M1" s="1182"/>
      <c r="N1" s="1181"/>
      <c r="O1" s="1183"/>
      <c r="P1" s="749"/>
    </row>
    <row r="2" spans="1:18" x14ac:dyDescent="0.25">
      <c r="A2" s="1176">
        <v>1</v>
      </c>
      <c r="B2" s="1175" t="s">
        <v>344</v>
      </c>
      <c r="C2" s="1175"/>
      <c r="D2" s="1175"/>
      <c r="E2" s="1175"/>
      <c r="F2" s="1175"/>
      <c r="G2" s="750"/>
      <c r="H2" s="1175" t="str">
        <f>B2</f>
        <v>KOREKSI KIMO THERMOHYGROMETER 15062873</v>
      </c>
      <c r="I2" s="1175"/>
      <c r="J2" s="1175"/>
      <c r="K2" s="1175"/>
      <c r="L2" s="1175"/>
      <c r="M2" s="750"/>
      <c r="N2" s="1179" t="s">
        <v>170</v>
      </c>
      <c r="O2" s="1179"/>
      <c r="P2" s="749"/>
    </row>
    <row r="3" spans="1:18" x14ac:dyDescent="0.25">
      <c r="A3" s="1177"/>
      <c r="B3" s="1174" t="s">
        <v>227</v>
      </c>
      <c r="C3" s="1174"/>
      <c r="D3" s="1174" t="s">
        <v>284</v>
      </c>
      <c r="E3" s="1174"/>
      <c r="F3" s="1174" t="s">
        <v>234</v>
      </c>
      <c r="G3" s="751"/>
      <c r="H3" s="1174" t="s">
        <v>228</v>
      </c>
      <c r="I3" s="1174"/>
      <c r="J3" s="1174" t="s">
        <v>284</v>
      </c>
      <c r="K3" s="1174"/>
      <c r="L3" s="1174" t="s">
        <v>234</v>
      </c>
      <c r="M3" s="751"/>
      <c r="N3" s="752" t="s">
        <v>227</v>
      </c>
      <c r="O3" s="753">
        <v>0.6</v>
      </c>
      <c r="P3" s="749"/>
    </row>
    <row r="4" spans="1:18" x14ac:dyDescent="0.25">
      <c r="A4" s="1177"/>
      <c r="B4" s="1174" t="s">
        <v>515</v>
      </c>
      <c r="C4" s="1174"/>
      <c r="D4" s="754">
        <v>2020</v>
      </c>
      <c r="E4" s="754">
        <v>2017</v>
      </c>
      <c r="F4" s="1174"/>
      <c r="G4" s="751"/>
      <c r="H4" s="1175" t="s">
        <v>141</v>
      </c>
      <c r="I4" s="1174"/>
      <c r="J4" s="755">
        <f>D4</f>
        <v>2020</v>
      </c>
      <c r="K4" s="755">
        <v>2021</v>
      </c>
      <c r="L4" s="1174"/>
      <c r="M4" s="751"/>
      <c r="N4" s="752" t="s">
        <v>141</v>
      </c>
      <c r="O4" s="753">
        <v>3.1</v>
      </c>
      <c r="P4" s="749"/>
    </row>
    <row r="5" spans="1:18" x14ac:dyDescent="0.25">
      <c r="A5" s="1177"/>
      <c r="B5" s="756"/>
      <c r="C5" s="757">
        <v>15</v>
      </c>
      <c r="D5" s="757">
        <v>-0.5</v>
      </c>
      <c r="E5" s="757">
        <v>0.3</v>
      </c>
      <c r="F5" s="758">
        <f t="shared" ref="F5:F11" si="0">0.5*(MAX(D5:E5)-MIN(D5:E5))</f>
        <v>0.4</v>
      </c>
      <c r="G5" s="751"/>
      <c r="H5" s="756"/>
      <c r="I5" s="757">
        <v>35</v>
      </c>
      <c r="J5" s="757">
        <v>-6</v>
      </c>
      <c r="K5" s="757">
        <v>9.9999999999999995E-7</v>
      </c>
      <c r="L5" s="758">
        <f t="shared" ref="L5:L11" si="1">0.5*(MAX(J5:K5)-MIN(J5:K5))</f>
        <v>3.0000005000000001</v>
      </c>
      <c r="M5" s="751"/>
      <c r="N5" s="751"/>
      <c r="O5" s="759"/>
      <c r="P5" s="749"/>
    </row>
    <row r="6" spans="1:18" x14ac:dyDescent="0.25">
      <c r="A6" s="1177"/>
      <c r="B6" s="756"/>
      <c r="C6" s="757">
        <v>20</v>
      </c>
      <c r="D6" s="757">
        <v>-0.2</v>
      </c>
      <c r="E6" s="757">
        <v>0.2</v>
      </c>
      <c r="F6" s="758">
        <f>0.5*(MAX(D6:E6)-MIN(D6:E6))</f>
        <v>0.2</v>
      </c>
      <c r="G6" s="751"/>
      <c r="H6" s="756"/>
      <c r="I6" s="757">
        <v>40</v>
      </c>
      <c r="J6" s="757">
        <v>-5.8</v>
      </c>
      <c r="K6" s="757">
        <v>9.9999999999999995E-7</v>
      </c>
      <c r="L6" s="758">
        <f t="shared" si="1"/>
        <v>2.9000005</v>
      </c>
      <c r="M6" s="751"/>
      <c r="N6" s="751"/>
      <c r="O6" s="759"/>
      <c r="P6" s="749"/>
    </row>
    <row r="7" spans="1:18" x14ac:dyDescent="0.25">
      <c r="A7" s="1177"/>
      <c r="B7" s="756"/>
      <c r="C7" s="757">
        <v>25</v>
      </c>
      <c r="D7" s="757">
        <v>9.9999999999999995E-7</v>
      </c>
      <c r="E7" s="757">
        <v>0.1</v>
      </c>
      <c r="F7" s="758">
        <f t="shared" si="0"/>
        <v>4.9999500000000002E-2</v>
      </c>
      <c r="G7" s="751"/>
      <c r="H7" s="756"/>
      <c r="I7" s="757">
        <v>50</v>
      </c>
      <c r="J7" s="757">
        <v>-5.3</v>
      </c>
      <c r="K7" s="757">
        <v>9.9999999999999995E-7</v>
      </c>
      <c r="L7" s="758">
        <f t="shared" si="1"/>
        <v>2.6500005</v>
      </c>
      <c r="M7" s="751"/>
      <c r="N7" s="751"/>
      <c r="O7" s="759"/>
      <c r="P7" s="749"/>
      <c r="R7" s="760"/>
    </row>
    <row r="8" spans="1:18" x14ac:dyDescent="0.25">
      <c r="A8" s="1177"/>
      <c r="B8" s="756"/>
      <c r="C8" s="761">
        <v>30</v>
      </c>
      <c r="D8" s="762">
        <v>9.9999999999999995E-7</v>
      </c>
      <c r="E8" s="762">
        <v>-0.2</v>
      </c>
      <c r="F8" s="758">
        <f t="shared" si="0"/>
        <v>0.10000050000000001</v>
      </c>
      <c r="G8" s="751"/>
      <c r="H8" s="756"/>
      <c r="I8" s="761">
        <v>60</v>
      </c>
      <c r="J8" s="763">
        <v>-4.4000000000000004</v>
      </c>
      <c r="K8" s="757">
        <v>9.9999999999999995E-7</v>
      </c>
      <c r="L8" s="758">
        <f t="shared" si="1"/>
        <v>2.2000005000000002</v>
      </c>
      <c r="M8" s="751"/>
      <c r="N8" s="751"/>
      <c r="O8" s="759"/>
      <c r="P8" s="749"/>
    </row>
    <row r="9" spans="1:18" x14ac:dyDescent="0.25">
      <c r="A9" s="1177"/>
      <c r="B9" s="756"/>
      <c r="C9" s="761">
        <v>35</v>
      </c>
      <c r="D9" s="763">
        <v>-0.1</v>
      </c>
      <c r="E9" s="762">
        <v>-0.5</v>
      </c>
      <c r="F9" s="758">
        <f t="shared" si="0"/>
        <v>0.2</v>
      </c>
      <c r="G9" s="751"/>
      <c r="H9" s="756"/>
      <c r="I9" s="761">
        <v>70</v>
      </c>
      <c r="J9" s="763">
        <v>-3.2</v>
      </c>
      <c r="K9" s="757">
        <v>9.9999999999999995E-7</v>
      </c>
      <c r="L9" s="758">
        <f t="shared" si="1"/>
        <v>1.6000005000000002</v>
      </c>
      <c r="M9" s="751"/>
      <c r="N9" s="751"/>
      <c r="O9" s="759"/>
      <c r="P9" s="749"/>
    </row>
    <row r="10" spans="1:18" x14ac:dyDescent="0.25">
      <c r="A10" s="1177"/>
      <c r="B10" s="756"/>
      <c r="C10" s="761">
        <v>37</v>
      </c>
      <c r="D10" s="763">
        <v>-0.2</v>
      </c>
      <c r="E10" s="762">
        <v>-0.6</v>
      </c>
      <c r="F10" s="758">
        <f t="shared" si="0"/>
        <v>0.19999999999999998</v>
      </c>
      <c r="G10" s="751"/>
      <c r="H10" s="756"/>
      <c r="I10" s="761">
        <v>80</v>
      </c>
      <c r="J10" s="763">
        <v>-1.6</v>
      </c>
      <c r="K10" s="757">
        <v>9.9999999999999995E-7</v>
      </c>
      <c r="L10" s="758">
        <f t="shared" si="1"/>
        <v>0.8000005</v>
      </c>
      <c r="M10" s="751"/>
      <c r="N10" s="751"/>
      <c r="O10" s="759"/>
      <c r="P10" s="749"/>
    </row>
    <row r="11" spans="1:18" ht="14.4" thickBot="1" x14ac:dyDescent="0.3">
      <c r="A11" s="1178"/>
      <c r="B11" s="756"/>
      <c r="C11" s="761">
        <v>40</v>
      </c>
      <c r="D11" s="763">
        <v>-0.3</v>
      </c>
      <c r="E11" s="762">
        <v>-0.8</v>
      </c>
      <c r="F11" s="758">
        <f t="shared" si="0"/>
        <v>0.25</v>
      </c>
      <c r="G11" s="764"/>
      <c r="H11" s="756"/>
      <c r="I11" s="761">
        <v>90</v>
      </c>
      <c r="J11" s="763">
        <v>0.3</v>
      </c>
      <c r="K11" s="757">
        <v>9.9999999999999995E-7</v>
      </c>
      <c r="L11" s="758">
        <f t="shared" si="1"/>
        <v>0.14999950000000001</v>
      </c>
      <c r="M11" s="764"/>
      <c r="N11" s="764"/>
      <c r="O11" s="765"/>
      <c r="P11" s="749"/>
    </row>
    <row r="12" spans="1:18" ht="14.4" thickBot="1" x14ac:dyDescent="0.3">
      <c r="A12" s="766"/>
      <c r="B12" s="766"/>
      <c r="C12" s="751"/>
      <c r="D12" s="751"/>
      <c r="E12" s="751"/>
      <c r="F12" s="751"/>
      <c r="G12" s="751"/>
      <c r="H12" s="751"/>
      <c r="I12" s="751"/>
      <c r="J12" s="751"/>
      <c r="K12" s="751"/>
      <c r="L12" s="751"/>
      <c r="M12" s="751"/>
      <c r="N12" s="751"/>
      <c r="O12" s="759"/>
      <c r="P12" s="749"/>
    </row>
    <row r="13" spans="1:18" x14ac:dyDescent="0.25">
      <c r="A13" s="1176">
        <v>2</v>
      </c>
      <c r="B13" s="1175" t="s">
        <v>345</v>
      </c>
      <c r="C13" s="1175"/>
      <c r="D13" s="1175"/>
      <c r="E13" s="1175"/>
      <c r="F13" s="1175"/>
      <c r="G13" s="750"/>
      <c r="H13" s="1175" t="str">
        <f>B13</f>
        <v>KOREKSI KIMO THERMOHYGROMETER 15062874</v>
      </c>
      <c r="I13" s="1175"/>
      <c r="J13" s="1175"/>
      <c r="K13" s="1175"/>
      <c r="L13" s="1175"/>
      <c r="M13" s="750"/>
      <c r="N13" s="1179" t="s">
        <v>170</v>
      </c>
      <c r="O13" s="1179"/>
      <c r="P13" s="749"/>
    </row>
    <row r="14" spans="1:18" x14ac:dyDescent="0.25">
      <c r="A14" s="1177"/>
      <c r="B14" s="1174" t="s">
        <v>227</v>
      </c>
      <c r="C14" s="1174"/>
      <c r="D14" s="1174" t="s">
        <v>284</v>
      </c>
      <c r="E14" s="1174"/>
      <c r="F14" s="1174" t="s">
        <v>234</v>
      </c>
      <c r="G14" s="751"/>
      <c r="H14" s="1174" t="s">
        <v>228</v>
      </c>
      <c r="I14" s="1174"/>
      <c r="J14" s="1174" t="s">
        <v>284</v>
      </c>
      <c r="K14" s="1174"/>
      <c r="L14" s="1174" t="s">
        <v>234</v>
      </c>
      <c r="M14" s="751"/>
      <c r="N14" s="752" t="s">
        <v>227</v>
      </c>
      <c r="O14" s="767">
        <v>0.3</v>
      </c>
      <c r="P14" s="749"/>
    </row>
    <row r="15" spans="1:18" x14ac:dyDescent="0.25">
      <c r="A15" s="1177"/>
      <c r="B15" s="1174" t="s">
        <v>515</v>
      </c>
      <c r="C15" s="1174"/>
      <c r="D15" s="754">
        <v>2018</v>
      </c>
      <c r="E15" s="754">
        <v>2017</v>
      </c>
      <c r="F15" s="1174"/>
      <c r="G15" s="751"/>
      <c r="H15" s="1175" t="s">
        <v>141</v>
      </c>
      <c r="I15" s="1174"/>
      <c r="J15" s="755">
        <f>D15</f>
        <v>2018</v>
      </c>
      <c r="K15" s="755">
        <f>E15</f>
        <v>2017</v>
      </c>
      <c r="L15" s="1174"/>
      <c r="M15" s="751"/>
      <c r="N15" s="752" t="s">
        <v>141</v>
      </c>
      <c r="O15" s="767">
        <v>3.3</v>
      </c>
      <c r="P15" s="749"/>
    </row>
    <row r="16" spans="1:18" x14ac:dyDescent="0.25">
      <c r="A16" s="1177"/>
      <c r="B16" s="756"/>
      <c r="C16" s="757">
        <v>15</v>
      </c>
      <c r="D16" s="757">
        <v>9.9999999999999995E-7</v>
      </c>
      <c r="E16" s="757">
        <v>0.5</v>
      </c>
      <c r="F16" s="758">
        <f t="shared" ref="F16:F22" si="2">0.5*(MAX(D16:E16)-MIN(D16:E16))</f>
        <v>0.24999950000000001</v>
      </c>
      <c r="G16" s="751"/>
      <c r="H16" s="756"/>
      <c r="I16" s="757">
        <v>35</v>
      </c>
      <c r="J16" s="757">
        <v>-1.6</v>
      </c>
      <c r="K16" s="757">
        <v>-0.9</v>
      </c>
      <c r="L16" s="758">
        <f t="shared" ref="L16:L22" si="3">0.5*(MAX(J16:K16)-MIN(J16:K16))</f>
        <v>0.35000000000000003</v>
      </c>
      <c r="M16" s="751"/>
      <c r="N16" s="751"/>
      <c r="O16" s="759"/>
      <c r="P16" s="749"/>
    </row>
    <row r="17" spans="1:16" x14ac:dyDescent="0.25">
      <c r="A17" s="1177"/>
      <c r="B17" s="756"/>
      <c r="C17" s="757">
        <v>20</v>
      </c>
      <c r="D17" s="757">
        <v>-0.1</v>
      </c>
      <c r="E17" s="757">
        <v>9.9999999999999995E-7</v>
      </c>
      <c r="F17" s="758">
        <f t="shared" si="2"/>
        <v>5.0000500000000003E-2</v>
      </c>
      <c r="G17" s="751"/>
      <c r="H17" s="756"/>
      <c r="I17" s="757">
        <v>40</v>
      </c>
      <c r="J17" s="757">
        <v>-1.6</v>
      </c>
      <c r="K17" s="757">
        <v>-1.1000000000000001</v>
      </c>
      <c r="L17" s="758">
        <f t="shared" si="3"/>
        <v>0.25</v>
      </c>
      <c r="M17" s="751"/>
      <c r="N17" s="751"/>
      <c r="O17" s="759"/>
      <c r="P17" s="749"/>
    </row>
    <row r="18" spans="1:16" x14ac:dyDescent="0.25">
      <c r="A18" s="1177"/>
      <c r="B18" s="756"/>
      <c r="C18" s="757">
        <v>25</v>
      </c>
      <c r="D18" s="757">
        <v>-0.2</v>
      </c>
      <c r="E18" s="757">
        <v>-0.5</v>
      </c>
      <c r="F18" s="758">
        <f t="shared" si="2"/>
        <v>0.15</v>
      </c>
      <c r="G18" s="751"/>
      <c r="H18" s="756"/>
      <c r="I18" s="757">
        <v>50</v>
      </c>
      <c r="J18" s="757">
        <v>-1.5</v>
      </c>
      <c r="K18" s="757">
        <v>-1.4</v>
      </c>
      <c r="L18" s="758">
        <f t="shared" si="3"/>
        <v>5.0000000000000044E-2</v>
      </c>
      <c r="M18" s="751"/>
      <c r="N18" s="751"/>
      <c r="O18" s="759"/>
      <c r="P18" s="749"/>
    </row>
    <row r="19" spans="1:16" x14ac:dyDescent="0.25">
      <c r="A19" s="1177"/>
      <c r="B19" s="756"/>
      <c r="C19" s="761">
        <v>30</v>
      </c>
      <c r="D19" s="762">
        <v>-0.3</v>
      </c>
      <c r="E19" s="761">
        <v>-1</v>
      </c>
      <c r="F19" s="758">
        <f t="shared" si="2"/>
        <v>0.35</v>
      </c>
      <c r="G19" s="751"/>
      <c r="H19" s="756"/>
      <c r="I19" s="761">
        <v>60</v>
      </c>
      <c r="J19" s="762">
        <v>-1.3</v>
      </c>
      <c r="K19" s="761">
        <v>-1.3</v>
      </c>
      <c r="L19" s="758">
        <f t="shared" si="3"/>
        <v>0</v>
      </c>
      <c r="M19" s="751"/>
      <c r="N19" s="751"/>
      <c r="O19" s="759"/>
      <c r="P19" s="749"/>
    </row>
    <row r="20" spans="1:16" x14ac:dyDescent="0.25">
      <c r="A20" s="1177"/>
      <c r="B20" s="756"/>
      <c r="C20" s="761">
        <v>35</v>
      </c>
      <c r="D20" s="762">
        <v>-0.3</v>
      </c>
      <c r="E20" s="761">
        <v>-1.6</v>
      </c>
      <c r="F20" s="758">
        <f t="shared" si="2"/>
        <v>0.65</v>
      </c>
      <c r="G20" s="751"/>
      <c r="H20" s="756"/>
      <c r="I20" s="761">
        <v>70</v>
      </c>
      <c r="J20" s="762">
        <v>-1.1000000000000001</v>
      </c>
      <c r="K20" s="761">
        <v>-1</v>
      </c>
      <c r="L20" s="758">
        <f t="shared" si="3"/>
        <v>5.0000000000000044E-2</v>
      </c>
      <c r="M20" s="751"/>
      <c r="N20" s="751"/>
      <c r="O20" s="759"/>
      <c r="P20" s="749"/>
    </row>
    <row r="21" spans="1:16" x14ac:dyDescent="0.25">
      <c r="A21" s="1177"/>
      <c r="B21" s="756"/>
      <c r="C21" s="761">
        <v>37</v>
      </c>
      <c r="D21" s="762">
        <v>-0.3</v>
      </c>
      <c r="E21" s="761">
        <v>-1.8</v>
      </c>
      <c r="F21" s="758">
        <f t="shared" si="2"/>
        <v>0.75</v>
      </c>
      <c r="G21" s="751"/>
      <c r="H21" s="756"/>
      <c r="I21" s="761">
        <v>80</v>
      </c>
      <c r="J21" s="762">
        <v>-0.7</v>
      </c>
      <c r="K21" s="761">
        <v>-0.4</v>
      </c>
      <c r="L21" s="758">
        <f t="shared" si="3"/>
        <v>0.14999999999999997</v>
      </c>
      <c r="M21" s="751"/>
      <c r="N21" s="751"/>
      <c r="O21" s="759"/>
      <c r="P21" s="749"/>
    </row>
    <row r="22" spans="1:16" ht="14.4" thickBot="1" x14ac:dyDescent="0.3">
      <c r="A22" s="1178"/>
      <c r="B22" s="756"/>
      <c r="C22" s="761">
        <v>40</v>
      </c>
      <c r="D22" s="762">
        <v>-0.3</v>
      </c>
      <c r="E22" s="761">
        <v>-2.1</v>
      </c>
      <c r="F22" s="758">
        <f t="shared" si="2"/>
        <v>0.9</v>
      </c>
      <c r="G22" s="764"/>
      <c r="H22" s="756"/>
      <c r="I22" s="761">
        <v>90</v>
      </c>
      <c r="J22" s="762">
        <v>-0.3</v>
      </c>
      <c r="K22" s="761">
        <v>0.6</v>
      </c>
      <c r="L22" s="758">
        <f t="shared" si="3"/>
        <v>0.44999999999999996</v>
      </c>
      <c r="M22" s="764"/>
      <c r="N22" s="764"/>
      <c r="O22" s="765"/>
      <c r="P22" s="749"/>
    </row>
    <row r="23" spans="1:16" ht="14.4" thickBot="1" x14ac:dyDescent="0.3">
      <c r="A23" s="766"/>
      <c r="B23" s="766"/>
      <c r="C23" s="751"/>
      <c r="D23" s="751"/>
      <c r="E23" s="751"/>
      <c r="F23" s="751"/>
      <c r="G23" s="751"/>
      <c r="H23" s="751"/>
      <c r="I23" s="751"/>
      <c r="J23" s="751"/>
      <c r="K23" s="751"/>
      <c r="L23" s="751"/>
      <c r="M23" s="751"/>
      <c r="N23" s="751"/>
      <c r="O23" s="759"/>
      <c r="P23" s="749"/>
    </row>
    <row r="24" spans="1:16" x14ac:dyDescent="0.25">
      <c r="A24" s="1176">
        <v>3</v>
      </c>
      <c r="B24" s="1175" t="s">
        <v>346</v>
      </c>
      <c r="C24" s="1175"/>
      <c r="D24" s="1175"/>
      <c r="E24" s="1175"/>
      <c r="F24" s="1175"/>
      <c r="G24" s="750"/>
      <c r="H24" s="1175" t="str">
        <f>B24</f>
        <v>KOREKSI KIMO THERMOHYGROMETER 14082463</v>
      </c>
      <c r="I24" s="1175"/>
      <c r="J24" s="1175"/>
      <c r="K24" s="1175"/>
      <c r="L24" s="1175"/>
      <c r="M24" s="750"/>
      <c r="N24" s="1179" t="s">
        <v>170</v>
      </c>
      <c r="O24" s="1179"/>
      <c r="P24" s="749"/>
    </row>
    <row r="25" spans="1:16" x14ac:dyDescent="0.25">
      <c r="A25" s="1177"/>
      <c r="B25" s="1174" t="s">
        <v>227</v>
      </c>
      <c r="C25" s="1174"/>
      <c r="D25" s="1174" t="s">
        <v>284</v>
      </c>
      <c r="E25" s="1174"/>
      <c r="F25" s="1174" t="s">
        <v>234</v>
      </c>
      <c r="G25" s="751"/>
      <c r="H25" s="1174" t="s">
        <v>228</v>
      </c>
      <c r="I25" s="1174"/>
      <c r="J25" s="1174" t="s">
        <v>284</v>
      </c>
      <c r="K25" s="1174"/>
      <c r="L25" s="1174" t="s">
        <v>234</v>
      </c>
      <c r="M25" s="751"/>
      <c r="N25" s="752" t="s">
        <v>227</v>
      </c>
      <c r="O25" s="767">
        <v>0.3</v>
      </c>
      <c r="P25" s="749"/>
    </row>
    <row r="26" spans="1:16" x14ac:dyDescent="0.25">
      <c r="A26" s="1177"/>
      <c r="B26" s="1174" t="s">
        <v>515</v>
      </c>
      <c r="C26" s="1174"/>
      <c r="D26" s="754">
        <v>2018</v>
      </c>
      <c r="E26" s="754">
        <v>2017</v>
      </c>
      <c r="F26" s="1174"/>
      <c r="G26" s="751"/>
      <c r="H26" s="1175" t="s">
        <v>141</v>
      </c>
      <c r="I26" s="1174"/>
      <c r="J26" s="755">
        <f>D26</f>
        <v>2018</v>
      </c>
      <c r="K26" s="755">
        <f>E26</f>
        <v>2017</v>
      </c>
      <c r="L26" s="1174"/>
      <c r="M26" s="751"/>
      <c r="N26" s="752" t="s">
        <v>141</v>
      </c>
      <c r="O26" s="767">
        <v>3.1</v>
      </c>
      <c r="P26" s="749"/>
    </row>
    <row r="27" spans="1:16" x14ac:dyDescent="0.25">
      <c r="A27" s="1177"/>
      <c r="B27" s="756"/>
      <c r="C27" s="757">
        <v>15</v>
      </c>
      <c r="D27" s="757">
        <v>9.9999999999999995E-7</v>
      </c>
      <c r="E27" s="757">
        <v>0.2</v>
      </c>
      <c r="F27" s="758">
        <f t="shared" ref="F27:F33" si="4">0.5*(MAX(D27:E27)-MIN(D27:E27))</f>
        <v>9.9999500000000005E-2</v>
      </c>
      <c r="G27" s="751"/>
      <c r="H27" s="756"/>
      <c r="I27" s="757">
        <v>30</v>
      </c>
      <c r="J27" s="757">
        <v>-5.7</v>
      </c>
      <c r="K27" s="757">
        <v>-1.1000000000000001</v>
      </c>
      <c r="L27" s="758">
        <f t="shared" ref="L27:L33" si="5">0.5*(MAX(J27:K27)-MIN(J27:K27))</f>
        <v>2.2999999999999998</v>
      </c>
      <c r="M27" s="751"/>
      <c r="N27" s="751"/>
      <c r="O27" s="759"/>
      <c r="P27" s="749"/>
    </row>
    <row r="28" spans="1:16" x14ac:dyDescent="0.25">
      <c r="A28" s="1177"/>
      <c r="B28" s="756"/>
      <c r="C28" s="757">
        <v>20</v>
      </c>
      <c r="D28" s="757">
        <v>9.9999999999999995E-7</v>
      </c>
      <c r="E28" s="757">
        <v>9.9999999999999995E-7</v>
      </c>
      <c r="F28" s="758">
        <f t="shared" si="4"/>
        <v>0</v>
      </c>
      <c r="G28" s="751"/>
      <c r="H28" s="756"/>
      <c r="I28" s="757">
        <v>40</v>
      </c>
      <c r="J28" s="757">
        <v>-5.3</v>
      </c>
      <c r="K28" s="757">
        <v>-1.9</v>
      </c>
      <c r="L28" s="758">
        <f t="shared" si="5"/>
        <v>1.7</v>
      </c>
      <c r="M28" s="751"/>
      <c r="N28" s="751"/>
      <c r="O28" s="759"/>
      <c r="P28" s="749"/>
    </row>
    <row r="29" spans="1:16" x14ac:dyDescent="0.25">
      <c r="A29" s="1177"/>
      <c r="B29" s="756"/>
      <c r="C29" s="757">
        <v>25</v>
      </c>
      <c r="D29" s="757">
        <v>-0.1</v>
      </c>
      <c r="E29" s="757">
        <v>-0.2</v>
      </c>
      <c r="F29" s="758">
        <f t="shared" si="4"/>
        <v>0.05</v>
      </c>
      <c r="G29" s="751"/>
      <c r="H29" s="756"/>
      <c r="I29" s="757">
        <v>50</v>
      </c>
      <c r="J29" s="757">
        <v>-4.9000000000000004</v>
      </c>
      <c r="K29" s="757">
        <v>-2.2999999999999998</v>
      </c>
      <c r="L29" s="758">
        <f t="shared" si="5"/>
        <v>1.3000000000000003</v>
      </c>
      <c r="M29" s="751"/>
      <c r="N29" s="751"/>
      <c r="O29" s="759"/>
      <c r="P29" s="749"/>
    </row>
    <row r="30" spans="1:16" x14ac:dyDescent="0.25">
      <c r="A30" s="1177"/>
      <c r="B30" s="756"/>
      <c r="C30" s="761">
        <v>30</v>
      </c>
      <c r="D30" s="762">
        <v>-0.3</v>
      </c>
      <c r="E30" s="761">
        <v>-0.3</v>
      </c>
      <c r="F30" s="758">
        <f t="shared" si="4"/>
        <v>0</v>
      </c>
      <c r="G30" s="751"/>
      <c r="H30" s="756"/>
      <c r="I30" s="761">
        <v>60</v>
      </c>
      <c r="J30" s="762">
        <v>-4.3</v>
      </c>
      <c r="K30" s="761">
        <v>-2.2000000000000002</v>
      </c>
      <c r="L30" s="758">
        <f t="shared" si="5"/>
        <v>1.0499999999999998</v>
      </c>
      <c r="M30" s="751"/>
      <c r="N30" s="751"/>
      <c r="O30" s="759"/>
      <c r="P30" s="749"/>
    </row>
    <row r="31" spans="1:16" x14ac:dyDescent="0.25">
      <c r="A31" s="1177"/>
      <c r="B31" s="756"/>
      <c r="C31" s="761">
        <v>35</v>
      </c>
      <c r="D31" s="762">
        <v>-0.5</v>
      </c>
      <c r="E31" s="761">
        <v>-0.4</v>
      </c>
      <c r="F31" s="758">
        <f t="shared" si="4"/>
        <v>4.9999999999999989E-2</v>
      </c>
      <c r="G31" s="751"/>
      <c r="H31" s="756"/>
      <c r="I31" s="761">
        <v>70</v>
      </c>
      <c r="J31" s="762">
        <v>-3.6</v>
      </c>
      <c r="K31" s="761">
        <v>-1.6</v>
      </c>
      <c r="L31" s="758">
        <f t="shared" si="5"/>
        <v>1</v>
      </c>
      <c r="M31" s="751"/>
      <c r="N31" s="751"/>
      <c r="O31" s="759"/>
      <c r="P31" s="749"/>
    </row>
    <row r="32" spans="1:16" x14ac:dyDescent="0.25">
      <c r="A32" s="1177"/>
      <c r="B32" s="756"/>
      <c r="C32" s="761">
        <v>37</v>
      </c>
      <c r="D32" s="762">
        <v>-0.6</v>
      </c>
      <c r="E32" s="761">
        <v>-0.5</v>
      </c>
      <c r="F32" s="758">
        <f t="shared" si="4"/>
        <v>4.9999999999999989E-2</v>
      </c>
      <c r="G32" s="751"/>
      <c r="H32" s="756"/>
      <c r="I32" s="761">
        <v>80</v>
      </c>
      <c r="J32" s="762">
        <v>-2.9</v>
      </c>
      <c r="K32" s="761">
        <v>-0.6</v>
      </c>
      <c r="L32" s="758">
        <f t="shared" si="5"/>
        <v>1.1499999999999999</v>
      </c>
      <c r="M32" s="751"/>
      <c r="N32" s="751"/>
      <c r="O32" s="759"/>
      <c r="P32" s="749"/>
    </row>
    <row r="33" spans="1:16" ht="14.4" thickBot="1" x14ac:dyDescent="0.3">
      <c r="A33" s="1178"/>
      <c r="B33" s="756"/>
      <c r="C33" s="761">
        <v>40</v>
      </c>
      <c r="D33" s="762">
        <v>-0.7</v>
      </c>
      <c r="E33" s="761">
        <v>-0.5</v>
      </c>
      <c r="F33" s="758">
        <f t="shared" si="4"/>
        <v>9.9999999999999978E-2</v>
      </c>
      <c r="G33" s="764"/>
      <c r="H33" s="756"/>
      <c r="I33" s="761">
        <v>90</v>
      </c>
      <c r="J33" s="762">
        <v>-2</v>
      </c>
      <c r="K33" s="761">
        <v>0.9</v>
      </c>
      <c r="L33" s="758">
        <f t="shared" si="5"/>
        <v>1.45</v>
      </c>
      <c r="M33" s="764"/>
      <c r="N33" s="764"/>
      <c r="O33" s="765"/>
      <c r="P33" s="749"/>
    </row>
    <row r="34" spans="1:16" ht="14.4" thickBot="1" x14ac:dyDescent="0.3">
      <c r="A34" s="766"/>
      <c r="B34" s="766"/>
      <c r="C34" s="751"/>
      <c r="D34" s="751"/>
      <c r="E34" s="751"/>
      <c r="F34" s="751"/>
      <c r="G34" s="751"/>
      <c r="H34" s="768"/>
      <c r="I34" s="751"/>
      <c r="J34" s="751"/>
      <c r="K34" s="751"/>
      <c r="L34" s="751"/>
      <c r="M34" s="751"/>
      <c r="N34" s="751"/>
      <c r="O34" s="759"/>
      <c r="P34" s="749"/>
    </row>
    <row r="35" spans="1:16" ht="14.4" thickBot="1" x14ac:dyDescent="0.3">
      <c r="A35" s="1165">
        <v>4</v>
      </c>
      <c r="B35" s="1168" t="s">
        <v>347</v>
      </c>
      <c r="C35" s="1169"/>
      <c r="D35" s="1169"/>
      <c r="E35" s="1169"/>
      <c r="F35" s="1170"/>
      <c r="G35" s="750"/>
      <c r="H35" s="1168" t="str">
        <f>B35</f>
        <v>KOREKSI KIMO THERMOHYGROMETER 15062872</v>
      </c>
      <c r="I35" s="1169"/>
      <c r="J35" s="1169"/>
      <c r="K35" s="1169"/>
      <c r="L35" s="1170"/>
      <c r="M35" s="750"/>
      <c r="N35" s="1155" t="s">
        <v>170</v>
      </c>
      <c r="O35" s="1156"/>
      <c r="P35" s="749"/>
    </row>
    <row r="36" spans="1:16" ht="14.4" thickBot="1" x14ac:dyDescent="0.3">
      <c r="A36" s="1166"/>
      <c r="B36" s="1157" t="s">
        <v>227</v>
      </c>
      <c r="C36" s="1158"/>
      <c r="D36" s="1159" t="s">
        <v>284</v>
      </c>
      <c r="E36" s="1160"/>
      <c r="F36" s="1161" t="s">
        <v>234</v>
      </c>
      <c r="G36" s="751"/>
      <c r="H36" s="1157" t="s">
        <v>228</v>
      </c>
      <c r="I36" s="1158"/>
      <c r="J36" s="1159" t="s">
        <v>284</v>
      </c>
      <c r="K36" s="1160"/>
      <c r="L36" s="1161" t="s">
        <v>234</v>
      </c>
      <c r="M36" s="751"/>
      <c r="N36" s="769" t="s">
        <v>227</v>
      </c>
      <c r="O36" s="770">
        <v>0.6</v>
      </c>
      <c r="P36" s="749"/>
    </row>
    <row r="37" spans="1:16" ht="14.4" thickBot="1" x14ac:dyDescent="0.3">
      <c r="A37" s="1166"/>
      <c r="B37" s="1157" t="s">
        <v>515</v>
      </c>
      <c r="C37" s="1158"/>
      <c r="D37" s="771">
        <v>2017</v>
      </c>
      <c r="E37" s="771">
        <v>2015</v>
      </c>
      <c r="F37" s="1162"/>
      <c r="G37" s="751"/>
      <c r="H37" s="1163" t="s">
        <v>141</v>
      </c>
      <c r="I37" s="1164"/>
      <c r="J37" s="772">
        <f>D37</f>
        <v>2017</v>
      </c>
      <c r="K37" s="772">
        <f>E37</f>
        <v>2015</v>
      </c>
      <c r="L37" s="1162"/>
      <c r="M37" s="751"/>
      <c r="N37" s="773" t="s">
        <v>141</v>
      </c>
      <c r="O37" s="774">
        <v>2.6</v>
      </c>
      <c r="P37" s="749"/>
    </row>
    <row r="38" spans="1:16" x14ac:dyDescent="0.25">
      <c r="A38" s="1166"/>
      <c r="B38" s="751"/>
      <c r="C38" s="775">
        <v>15</v>
      </c>
      <c r="D38" s="776">
        <v>-0.1</v>
      </c>
      <c r="E38" s="776">
        <v>0.4</v>
      </c>
      <c r="F38" s="777">
        <f t="shared" ref="F38:F44" si="6">0.5*(MAX(D38:E38)-MIN(D38:E38))</f>
        <v>0.25</v>
      </c>
      <c r="G38" s="751"/>
      <c r="H38" s="766"/>
      <c r="I38" s="775">
        <v>35</v>
      </c>
      <c r="J38" s="776">
        <v>-1.7</v>
      </c>
      <c r="K38" s="776">
        <v>-0.8</v>
      </c>
      <c r="L38" s="777">
        <f t="shared" ref="L38:L44" si="7">0.5*(MAX(J38:K38)-MIN(J38:K38))</f>
        <v>0.44999999999999996</v>
      </c>
      <c r="M38" s="751"/>
      <c r="N38" s="751"/>
      <c r="O38" s="759"/>
      <c r="P38" s="749"/>
    </row>
    <row r="39" spans="1:16" x14ac:dyDescent="0.25">
      <c r="A39" s="1166"/>
      <c r="B39" s="751"/>
      <c r="C39" s="778">
        <v>20</v>
      </c>
      <c r="D39" s="757">
        <v>-0.3</v>
      </c>
      <c r="E39" s="757">
        <v>9.9999999999999995E-7</v>
      </c>
      <c r="F39" s="779">
        <f>0.5*(MAX(D39:E39)-MIN(D39:E39))</f>
        <v>0.15000049999999998</v>
      </c>
      <c r="G39" s="751"/>
      <c r="H39" s="766"/>
      <c r="I39" s="778">
        <v>40</v>
      </c>
      <c r="J39" s="757">
        <v>-1.5</v>
      </c>
      <c r="K39" s="757">
        <v>-0.9</v>
      </c>
      <c r="L39" s="779">
        <f t="shared" si="7"/>
        <v>0.3</v>
      </c>
      <c r="M39" s="751"/>
      <c r="N39" s="751"/>
      <c r="O39" s="759"/>
      <c r="P39" s="749"/>
    </row>
    <row r="40" spans="1:16" x14ac:dyDescent="0.25">
      <c r="A40" s="1166"/>
      <c r="B40" s="751"/>
      <c r="C40" s="778">
        <v>25</v>
      </c>
      <c r="D40" s="757">
        <v>-0.5</v>
      </c>
      <c r="E40" s="757">
        <v>-0.5</v>
      </c>
      <c r="F40" s="779">
        <f t="shared" si="6"/>
        <v>0</v>
      </c>
      <c r="G40" s="751"/>
      <c r="H40" s="766"/>
      <c r="I40" s="778">
        <v>50</v>
      </c>
      <c r="J40" s="757">
        <v>-1</v>
      </c>
      <c r="K40" s="757">
        <v>-1</v>
      </c>
      <c r="L40" s="779">
        <f t="shared" si="7"/>
        <v>0</v>
      </c>
      <c r="M40" s="751"/>
      <c r="N40" s="751"/>
      <c r="O40" s="759"/>
      <c r="P40" s="749"/>
    </row>
    <row r="41" spans="1:16" x14ac:dyDescent="0.25">
      <c r="A41" s="1166"/>
      <c r="B41" s="751"/>
      <c r="C41" s="780">
        <v>30</v>
      </c>
      <c r="D41" s="763">
        <v>-0.6</v>
      </c>
      <c r="E41" s="761">
        <v>-1</v>
      </c>
      <c r="F41" s="779">
        <f t="shared" si="6"/>
        <v>0.2</v>
      </c>
      <c r="G41" s="751"/>
      <c r="H41" s="766"/>
      <c r="I41" s="780">
        <v>60</v>
      </c>
      <c r="J41" s="763">
        <v>-0.3</v>
      </c>
      <c r="K41" s="761">
        <v>-0.9</v>
      </c>
      <c r="L41" s="779">
        <f t="shared" si="7"/>
        <v>0.30000000000000004</v>
      </c>
      <c r="M41" s="751"/>
      <c r="N41" s="751"/>
      <c r="O41" s="759"/>
      <c r="P41" s="749"/>
    </row>
    <row r="42" spans="1:16" x14ac:dyDescent="0.25">
      <c r="A42" s="1166"/>
      <c r="B42" s="751"/>
      <c r="C42" s="780">
        <v>35</v>
      </c>
      <c r="D42" s="763">
        <v>-0.6</v>
      </c>
      <c r="E42" s="761">
        <v>-1.5</v>
      </c>
      <c r="F42" s="779">
        <f t="shared" si="6"/>
        <v>0.45</v>
      </c>
      <c r="G42" s="751"/>
      <c r="H42" s="766"/>
      <c r="I42" s="780">
        <v>70</v>
      </c>
      <c r="J42" s="763">
        <v>0.7</v>
      </c>
      <c r="K42" s="761">
        <v>-0.7</v>
      </c>
      <c r="L42" s="779">
        <f t="shared" si="7"/>
        <v>0.7</v>
      </c>
      <c r="M42" s="751"/>
      <c r="N42" s="751"/>
      <c r="O42" s="759"/>
      <c r="P42" s="749"/>
    </row>
    <row r="43" spans="1:16" x14ac:dyDescent="0.25">
      <c r="A43" s="1166"/>
      <c r="B43" s="751"/>
      <c r="C43" s="780">
        <v>37</v>
      </c>
      <c r="D43" s="763">
        <v>-0.6</v>
      </c>
      <c r="E43" s="761">
        <v>-1.8</v>
      </c>
      <c r="F43" s="779">
        <f t="shared" si="6"/>
        <v>0.60000000000000009</v>
      </c>
      <c r="G43" s="751"/>
      <c r="H43" s="766"/>
      <c r="I43" s="780">
        <v>80</v>
      </c>
      <c r="J43" s="763">
        <v>1.9</v>
      </c>
      <c r="K43" s="761">
        <v>-0.4</v>
      </c>
      <c r="L43" s="779">
        <f t="shared" si="7"/>
        <v>1.1499999999999999</v>
      </c>
      <c r="M43" s="751"/>
      <c r="N43" s="751"/>
      <c r="O43" s="759"/>
      <c r="P43" s="749"/>
    </row>
    <row r="44" spans="1:16" ht="14.4" thickBot="1" x14ac:dyDescent="0.3">
      <c r="A44" s="1167"/>
      <c r="B44" s="764"/>
      <c r="C44" s="781">
        <v>40</v>
      </c>
      <c r="D44" s="763">
        <v>-0.6</v>
      </c>
      <c r="E44" s="782">
        <v>-2.1</v>
      </c>
      <c r="F44" s="783">
        <f t="shared" si="6"/>
        <v>0.75</v>
      </c>
      <c r="G44" s="764"/>
      <c r="H44" s="784"/>
      <c r="I44" s="781">
        <v>90</v>
      </c>
      <c r="J44" s="785">
        <v>3.3</v>
      </c>
      <c r="K44" s="782">
        <v>0.2</v>
      </c>
      <c r="L44" s="783">
        <f t="shared" si="7"/>
        <v>1.5499999999999998</v>
      </c>
      <c r="M44" s="764"/>
      <c r="N44" s="764"/>
      <c r="O44" s="765"/>
      <c r="P44" s="749"/>
    </row>
    <row r="45" spans="1:16" ht="14.4" thickBot="1" x14ac:dyDescent="0.3">
      <c r="A45" s="766"/>
      <c r="B45" s="766"/>
      <c r="C45" s="751"/>
      <c r="D45" s="751"/>
      <c r="E45" s="751"/>
      <c r="F45" s="751"/>
      <c r="G45" s="751"/>
      <c r="H45" s="751"/>
      <c r="I45" s="751"/>
      <c r="J45" s="751"/>
      <c r="K45" s="751"/>
      <c r="L45" s="751"/>
      <c r="M45" s="751"/>
      <c r="N45" s="751"/>
      <c r="O45" s="759"/>
      <c r="P45" s="749"/>
    </row>
    <row r="46" spans="1:16" ht="14.4" thickBot="1" x14ac:dyDescent="0.3">
      <c r="A46" s="1165">
        <v>5</v>
      </c>
      <c r="B46" s="1168" t="s">
        <v>348</v>
      </c>
      <c r="C46" s="1169"/>
      <c r="D46" s="1169"/>
      <c r="E46" s="1169"/>
      <c r="F46" s="1170"/>
      <c r="G46" s="750"/>
      <c r="H46" s="1168" t="str">
        <f>B46</f>
        <v>KOREKSI KIMO THERMOHYGROMETER 15062875</v>
      </c>
      <c r="I46" s="1169"/>
      <c r="J46" s="1169"/>
      <c r="K46" s="1169"/>
      <c r="L46" s="1170"/>
      <c r="M46" s="750"/>
      <c r="N46" s="1155" t="s">
        <v>170</v>
      </c>
      <c r="O46" s="1156"/>
      <c r="P46" s="749"/>
    </row>
    <row r="47" spans="1:16" ht="14.4" thickBot="1" x14ac:dyDescent="0.3">
      <c r="A47" s="1166"/>
      <c r="B47" s="1157" t="s">
        <v>227</v>
      </c>
      <c r="C47" s="1158"/>
      <c r="D47" s="1159" t="s">
        <v>284</v>
      </c>
      <c r="E47" s="1160"/>
      <c r="F47" s="1161" t="s">
        <v>234</v>
      </c>
      <c r="G47" s="751"/>
      <c r="H47" s="1157" t="s">
        <v>228</v>
      </c>
      <c r="I47" s="1158"/>
      <c r="J47" s="1159" t="s">
        <v>284</v>
      </c>
      <c r="K47" s="1160"/>
      <c r="L47" s="1161" t="s">
        <v>234</v>
      </c>
      <c r="M47" s="751"/>
      <c r="N47" s="769" t="s">
        <v>227</v>
      </c>
      <c r="O47" s="770">
        <v>0.3</v>
      </c>
      <c r="P47" s="749"/>
    </row>
    <row r="48" spans="1:16" ht="14.4" thickBot="1" x14ac:dyDescent="0.3">
      <c r="A48" s="1166"/>
      <c r="B48" s="1157" t="s">
        <v>515</v>
      </c>
      <c r="C48" s="1158"/>
      <c r="D48" s="771">
        <v>2017</v>
      </c>
      <c r="E48" s="771">
        <v>2015</v>
      </c>
      <c r="F48" s="1162"/>
      <c r="G48" s="751"/>
      <c r="H48" s="1163" t="s">
        <v>141</v>
      </c>
      <c r="I48" s="1164"/>
      <c r="J48" s="772">
        <f>D48</f>
        <v>2017</v>
      </c>
      <c r="K48" s="772">
        <f>E48</f>
        <v>2015</v>
      </c>
      <c r="L48" s="1162"/>
      <c r="M48" s="751"/>
      <c r="N48" s="773" t="s">
        <v>141</v>
      </c>
      <c r="O48" s="774">
        <v>3.2</v>
      </c>
      <c r="P48" s="749"/>
    </row>
    <row r="49" spans="1:16" x14ac:dyDescent="0.25">
      <c r="A49" s="1166"/>
      <c r="B49" s="751"/>
      <c r="C49" s="775">
        <v>15</v>
      </c>
      <c r="D49" s="776">
        <v>0.3</v>
      </c>
      <c r="E49" s="776">
        <v>0.4</v>
      </c>
      <c r="F49" s="777">
        <f t="shared" ref="F49:F55" si="8">0.5*(MAX(D49:E49)-MIN(D49:E49))</f>
        <v>5.0000000000000017E-2</v>
      </c>
      <c r="G49" s="751"/>
      <c r="H49" s="766"/>
      <c r="I49" s="775">
        <v>35</v>
      </c>
      <c r="J49" s="776">
        <v>-9.6</v>
      </c>
      <c r="K49" s="776">
        <v>-1.6</v>
      </c>
      <c r="L49" s="777">
        <f t="shared" ref="L49:L55" si="9">0.5*(MAX(J49:K49)-MIN(J49:K49))</f>
        <v>4</v>
      </c>
      <c r="M49" s="751"/>
      <c r="N49" s="751"/>
      <c r="O49" s="759"/>
      <c r="P49" s="749"/>
    </row>
    <row r="50" spans="1:16" x14ac:dyDescent="0.25">
      <c r="A50" s="1166"/>
      <c r="B50" s="751"/>
      <c r="C50" s="778">
        <v>20</v>
      </c>
      <c r="D50" s="757">
        <v>0.3</v>
      </c>
      <c r="E50" s="757">
        <v>9.9999999999999995E-7</v>
      </c>
      <c r="F50" s="779">
        <f t="shared" si="8"/>
        <v>0.14999950000000001</v>
      </c>
      <c r="G50" s="751"/>
      <c r="H50" s="766"/>
      <c r="I50" s="778">
        <v>40</v>
      </c>
      <c r="J50" s="757">
        <v>-8</v>
      </c>
      <c r="K50" s="757">
        <v>-1.8</v>
      </c>
      <c r="L50" s="779">
        <f t="shared" si="9"/>
        <v>3.1</v>
      </c>
      <c r="M50" s="751"/>
      <c r="N50" s="751"/>
      <c r="O50" s="759"/>
      <c r="P50" s="749"/>
    </row>
    <row r="51" spans="1:16" x14ac:dyDescent="0.25">
      <c r="A51" s="1166"/>
      <c r="B51" s="751"/>
      <c r="C51" s="778">
        <v>25</v>
      </c>
      <c r="D51" s="757">
        <v>0.2</v>
      </c>
      <c r="E51" s="757">
        <v>-0.3</v>
      </c>
      <c r="F51" s="779">
        <f t="shared" si="8"/>
        <v>0.25</v>
      </c>
      <c r="G51" s="751"/>
      <c r="H51" s="766"/>
      <c r="I51" s="778">
        <v>50</v>
      </c>
      <c r="J51" s="757">
        <v>-6.2</v>
      </c>
      <c r="K51" s="757">
        <v>-2.1</v>
      </c>
      <c r="L51" s="779">
        <f t="shared" si="9"/>
        <v>2.0499999999999998</v>
      </c>
      <c r="M51" s="751"/>
      <c r="N51" s="751"/>
      <c r="O51" s="759"/>
      <c r="P51" s="749"/>
    </row>
    <row r="52" spans="1:16" x14ac:dyDescent="0.25">
      <c r="A52" s="1166"/>
      <c r="B52" s="751"/>
      <c r="C52" s="780">
        <v>30</v>
      </c>
      <c r="D52" s="763">
        <v>0.1</v>
      </c>
      <c r="E52" s="761">
        <v>-0.7</v>
      </c>
      <c r="F52" s="779">
        <f t="shared" si="8"/>
        <v>0.39999999999999997</v>
      </c>
      <c r="G52" s="751"/>
      <c r="H52" s="766"/>
      <c r="I52" s="780">
        <v>60</v>
      </c>
      <c r="J52" s="763">
        <v>-4.2</v>
      </c>
      <c r="K52" s="761">
        <v>-2</v>
      </c>
      <c r="L52" s="779">
        <f t="shared" si="9"/>
        <v>1.1000000000000001</v>
      </c>
      <c r="M52" s="751"/>
      <c r="N52" s="751"/>
      <c r="O52" s="759"/>
      <c r="P52" s="749"/>
    </row>
    <row r="53" spans="1:16" x14ac:dyDescent="0.25">
      <c r="A53" s="1166"/>
      <c r="B53" s="751"/>
      <c r="C53" s="780">
        <v>35</v>
      </c>
      <c r="D53" s="757">
        <v>9.9999999999999995E-7</v>
      </c>
      <c r="E53" s="761">
        <v>-1.1000000000000001</v>
      </c>
      <c r="F53" s="779">
        <f t="shared" si="8"/>
        <v>0.5500005</v>
      </c>
      <c r="G53" s="751"/>
      <c r="H53" s="766"/>
      <c r="I53" s="780">
        <v>70</v>
      </c>
      <c r="J53" s="763">
        <v>-2.1</v>
      </c>
      <c r="K53" s="761">
        <v>-1.6</v>
      </c>
      <c r="L53" s="779">
        <f t="shared" si="9"/>
        <v>0.25</v>
      </c>
      <c r="M53" s="751"/>
      <c r="N53" s="751"/>
      <c r="O53" s="759"/>
      <c r="P53" s="749"/>
    </row>
    <row r="54" spans="1:16" x14ac:dyDescent="0.25">
      <c r="A54" s="1166"/>
      <c r="B54" s="751"/>
      <c r="C54" s="780">
        <v>37</v>
      </c>
      <c r="D54" s="757">
        <v>9.9999999999999995E-7</v>
      </c>
      <c r="E54" s="761">
        <v>-1.2</v>
      </c>
      <c r="F54" s="779">
        <f t="shared" si="8"/>
        <v>0.60000049999999994</v>
      </c>
      <c r="G54" s="751"/>
      <c r="H54" s="766"/>
      <c r="I54" s="780">
        <v>80</v>
      </c>
      <c r="J54" s="763">
        <v>0.2</v>
      </c>
      <c r="K54" s="761">
        <v>-0.9</v>
      </c>
      <c r="L54" s="779">
        <f t="shared" si="9"/>
        <v>0.55000000000000004</v>
      </c>
      <c r="M54" s="751"/>
      <c r="N54" s="751"/>
      <c r="O54" s="759"/>
      <c r="P54" s="749"/>
    </row>
    <row r="55" spans="1:16" ht="14.4" thickBot="1" x14ac:dyDescent="0.3">
      <c r="A55" s="1167"/>
      <c r="B55" s="764"/>
      <c r="C55" s="781">
        <v>40</v>
      </c>
      <c r="D55" s="785">
        <v>-0.1</v>
      </c>
      <c r="E55" s="782">
        <v>-1.5</v>
      </c>
      <c r="F55" s="783">
        <f t="shared" si="8"/>
        <v>0.7</v>
      </c>
      <c r="G55" s="764"/>
      <c r="H55" s="784"/>
      <c r="I55" s="781">
        <v>90</v>
      </c>
      <c r="J55" s="785">
        <v>2.7</v>
      </c>
      <c r="K55" s="782">
        <v>0.2</v>
      </c>
      <c r="L55" s="783">
        <f t="shared" si="9"/>
        <v>1.25</v>
      </c>
      <c r="M55" s="764"/>
      <c r="N55" s="764"/>
      <c r="O55" s="765"/>
      <c r="P55" s="749"/>
    </row>
    <row r="56" spans="1:16" ht="14.4" thickBot="1" x14ac:dyDescent="0.3">
      <c r="A56" s="786"/>
      <c r="B56" s="787"/>
      <c r="C56" s="787"/>
      <c r="D56" s="787"/>
      <c r="E56" s="788"/>
      <c r="F56" s="789"/>
      <c r="G56" s="790"/>
      <c r="H56" s="787"/>
      <c r="I56" s="787"/>
      <c r="J56" s="787"/>
      <c r="K56" s="788"/>
      <c r="L56" s="789"/>
      <c r="M56" s="751"/>
      <c r="N56" s="751"/>
      <c r="O56" s="759"/>
      <c r="P56" s="749"/>
    </row>
    <row r="57" spans="1:16" ht="14.4" thickBot="1" x14ac:dyDescent="0.3">
      <c r="A57" s="1165">
        <v>6</v>
      </c>
      <c r="B57" s="1168" t="s">
        <v>349</v>
      </c>
      <c r="C57" s="1169"/>
      <c r="D57" s="1169"/>
      <c r="E57" s="1169"/>
      <c r="F57" s="1170"/>
      <c r="G57" s="750"/>
      <c r="H57" s="1168" t="str">
        <f>B57</f>
        <v>KOREKSI GREISINGER 34903046</v>
      </c>
      <c r="I57" s="1169"/>
      <c r="J57" s="1169"/>
      <c r="K57" s="1169"/>
      <c r="L57" s="1170"/>
      <c r="M57" s="750"/>
      <c r="N57" s="1155" t="s">
        <v>170</v>
      </c>
      <c r="O57" s="1156"/>
      <c r="P57" s="749"/>
    </row>
    <row r="58" spans="1:16" ht="14.4" thickBot="1" x14ac:dyDescent="0.3">
      <c r="A58" s="1166"/>
      <c r="B58" s="1157" t="s">
        <v>227</v>
      </c>
      <c r="C58" s="1158"/>
      <c r="D58" s="1159" t="s">
        <v>284</v>
      </c>
      <c r="E58" s="1160"/>
      <c r="F58" s="1161" t="s">
        <v>234</v>
      </c>
      <c r="G58" s="751"/>
      <c r="H58" s="1157" t="s">
        <v>228</v>
      </c>
      <c r="I58" s="1158"/>
      <c r="J58" s="1159" t="s">
        <v>284</v>
      </c>
      <c r="K58" s="1160"/>
      <c r="L58" s="1161" t="s">
        <v>234</v>
      </c>
      <c r="M58" s="751"/>
      <c r="N58" s="769" t="s">
        <v>227</v>
      </c>
      <c r="O58" s="770">
        <v>0.5</v>
      </c>
      <c r="P58" s="749"/>
    </row>
    <row r="59" spans="1:16" ht="14.4" thickBot="1" x14ac:dyDescent="0.3">
      <c r="A59" s="1166"/>
      <c r="B59" s="1157" t="s">
        <v>515</v>
      </c>
      <c r="C59" s="1158"/>
      <c r="D59" s="771">
        <v>2018</v>
      </c>
      <c r="E59" s="771">
        <v>2017</v>
      </c>
      <c r="F59" s="1162"/>
      <c r="G59" s="751"/>
      <c r="H59" s="1163" t="s">
        <v>141</v>
      </c>
      <c r="I59" s="1164"/>
      <c r="J59" s="772">
        <f>D59</f>
        <v>2018</v>
      </c>
      <c r="K59" s="772">
        <f>E59</f>
        <v>2017</v>
      </c>
      <c r="L59" s="1162"/>
      <c r="M59" s="751"/>
      <c r="N59" s="773" t="s">
        <v>141</v>
      </c>
      <c r="O59" s="791">
        <v>2</v>
      </c>
      <c r="P59" s="749"/>
    </row>
    <row r="60" spans="1:16" x14ac:dyDescent="0.25">
      <c r="A60" s="1166"/>
      <c r="B60" s="751"/>
      <c r="C60" s="775">
        <v>15</v>
      </c>
      <c r="D60" s="776">
        <v>0.4</v>
      </c>
      <c r="E60" s="776">
        <v>-0.2</v>
      </c>
      <c r="F60" s="777">
        <f t="shared" ref="F60:F66" si="10">0.5*(MAX(D60:E60)-MIN(D60:E60))</f>
        <v>0.30000000000000004</v>
      </c>
      <c r="G60" s="751"/>
      <c r="H60" s="766"/>
      <c r="I60" s="775">
        <v>30</v>
      </c>
      <c r="J60" s="776">
        <v>1.7</v>
      </c>
      <c r="K60" s="776">
        <v>-4.9000000000000004</v>
      </c>
      <c r="L60" s="777">
        <f t="shared" ref="L60:L66" si="11">0.5*(MAX(J60:K60)-MIN(J60:K60))</f>
        <v>3.3000000000000003</v>
      </c>
      <c r="M60" s="751"/>
      <c r="N60" s="751"/>
      <c r="O60" s="759"/>
      <c r="P60" s="749"/>
    </row>
    <row r="61" spans="1:16" x14ac:dyDescent="0.25">
      <c r="A61" s="1166"/>
      <c r="B61" s="751"/>
      <c r="C61" s="778">
        <v>20</v>
      </c>
      <c r="D61" s="757">
        <v>0.2</v>
      </c>
      <c r="E61" s="757">
        <v>9.9999999999999995E-7</v>
      </c>
      <c r="F61" s="779">
        <f t="shared" si="10"/>
        <v>9.9999500000000005E-2</v>
      </c>
      <c r="G61" s="751"/>
      <c r="H61" s="766"/>
      <c r="I61" s="778">
        <v>40</v>
      </c>
      <c r="J61" s="757">
        <v>1.5</v>
      </c>
      <c r="K61" s="757">
        <v>-3.4</v>
      </c>
      <c r="L61" s="779">
        <f t="shared" si="11"/>
        <v>2.4500000000000002</v>
      </c>
      <c r="M61" s="751"/>
      <c r="N61" s="751"/>
      <c r="O61" s="759"/>
      <c r="P61" s="749"/>
    </row>
    <row r="62" spans="1:16" x14ac:dyDescent="0.25">
      <c r="A62" s="1166"/>
      <c r="B62" s="751"/>
      <c r="C62" s="778">
        <v>25</v>
      </c>
      <c r="D62" s="757">
        <v>-0.1</v>
      </c>
      <c r="E62" s="757">
        <v>0.1</v>
      </c>
      <c r="F62" s="779">
        <f t="shared" si="10"/>
        <v>0.1</v>
      </c>
      <c r="G62" s="751"/>
      <c r="H62" s="766"/>
      <c r="I62" s="778">
        <v>50</v>
      </c>
      <c r="J62" s="757">
        <v>1.2</v>
      </c>
      <c r="K62" s="757">
        <v>-2.5</v>
      </c>
      <c r="L62" s="779">
        <f t="shared" si="11"/>
        <v>1.85</v>
      </c>
      <c r="M62" s="751"/>
      <c r="N62" s="751"/>
      <c r="O62" s="759"/>
      <c r="P62" s="749"/>
    </row>
    <row r="63" spans="1:16" x14ac:dyDescent="0.25">
      <c r="A63" s="1166"/>
      <c r="B63" s="751"/>
      <c r="C63" s="780">
        <v>30</v>
      </c>
      <c r="D63" s="761">
        <v>-0.5</v>
      </c>
      <c r="E63" s="761">
        <v>0.13</v>
      </c>
      <c r="F63" s="779">
        <f t="shared" si="10"/>
        <v>0.315</v>
      </c>
      <c r="G63" s="751"/>
      <c r="H63" s="766"/>
      <c r="I63" s="780">
        <v>60</v>
      </c>
      <c r="J63" s="761">
        <v>1.1000000000000001</v>
      </c>
      <c r="K63" s="761">
        <v>-2</v>
      </c>
      <c r="L63" s="779">
        <f t="shared" si="11"/>
        <v>1.55</v>
      </c>
      <c r="M63" s="751"/>
      <c r="N63" s="751"/>
      <c r="O63" s="759"/>
      <c r="P63" s="749"/>
    </row>
    <row r="64" spans="1:16" x14ac:dyDescent="0.25">
      <c r="A64" s="1166"/>
      <c r="B64" s="751"/>
      <c r="C64" s="780">
        <v>35</v>
      </c>
      <c r="D64" s="761">
        <v>-0.9</v>
      </c>
      <c r="E64" s="761">
        <v>0.1</v>
      </c>
      <c r="F64" s="779">
        <f t="shared" si="10"/>
        <v>0.5</v>
      </c>
      <c r="G64" s="751"/>
      <c r="H64" s="766"/>
      <c r="I64" s="780">
        <v>70</v>
      </c>
      <c r="J64" s="761">
        <v>0.9</v>
      </c>
      <c r="K64" s="761">
        <v>-2.1</v>
      </c>
      <c r="L64" s="779">
        <f t="shared" si="11"/>
        <v>1.5</v>
      </c>
      <c r="M64" s="751"/>
      <c r="N64" s="751"/>
      <c r="O64" s="759"/>
      <c r="P64" s="749"/>
    </row>
    <row r="65" spans="1:16" x14ac:dyDescent="0.25">
      <c r="A65" s="1166"/>
      <c r="B65" s="751"/>
      <c r="C65" s="780">
        <v>37</v>
      </c>
      <c r="D65" s="761">
        <v>-1.1000000000000001</v>
      </c>
      <c r="E65" s="757">
        <v>9.9999999999999995E-7</v>
      </c>
      <c r="F65" s="779">
        <f t="shared" si="10"/>
        <v>0.5500005</v>
      </c>
      <c r="G65" s="751"/>
      <c r="H65" s="766"/>
      <c r="I65" s="780">
        <v>80</v>
      </c>
      <c r="J65" s="761">
        <v>0.8</v>
      </c>
      <c r="K65" s="761">
        <v>-2.6</v>
      </c>
      <c r="L65" s="779">
        <f t="shared" si="11"/>
        <v>1.7000000000000002</v>
      </c>
      <c r="M65" s="751"/>
      <c r="N65" s="751"/>
      <c r="O65" s="759"/>
      <c r="P65" s="749"/>
    </row>
    <row r="66" spans="1:16" ht="14.4" thickBot="1" x14ac:dyDescent="0.3">
      <c r="A66" s="1167"/>
      <c r="B66" s="764"/>
      <c r="C66" s="781">
        <v>40</v>
      </c>
      <c r="D66" s="782">
        <v>-1.4</v>
      </c>
      <c r="E66" s="782">
        <v>-0.1</v>
      </c>
      <c r="F66" s="783">
        <f t="shared" si="10"/>
        <v>0.64999999999999991</v>
      </c>
      <c r="G66" s="764"/>
      <c r="H66" s="784"/>
      <c r="I66" s="781">
        <v>90</v>
      </c>
      <c r="J66" s="782">
        <v>0.7</v>
      </c>
      <c r="K66" s="782">
        <v>-2.6</v>
      </c>
      <c r="L66" s="783">
        <f t="shared" si="11"/>
        <v>1.65</v>
      </c>
      <c r="M66" s="764"/>
      <c r="N66" s="764"/>
      <c r="O66" s="765"/>
      <c r="P66" s="749"/>
    </row>
    <row r="67" spans="1:16" ht="14.4" thickBot="1" x14ac:dyDescent="0.3">
      <c r="A67" s="786"/>
      <c r="B67" s="787"/>
      <c r="C67" s="787"/>
      <c r="D67" s="787"/>
      <c r="E67" s="788"/>
      <c r="F67" s="789"/>
      <c r="G67" s="790"/>
      <c r="H67" s="787"/>
      <c r="I67" s="787"/>
      <c r="J67" s="787"/>
      <c r="K67" s="788"/>
      <c r="L67" s="789"/>
      <c r="M67" s="751"/>
      <c r="N67" s="751"/>
      <c r="O67" s="759"/>
      <c r="P67" s="749"/>
    </row>
    <row r="68" spans="1:16" ht="14.4" thickBot="1" x14ac:dyDescent="0.3">
      <c r="A68" s="1165">
        <v>7</v>
      </c>
      <c r="B68" s="1168" t="s">
        <v>350</v>
      </c>
      <c r="C68" s="1169"/>
      <c r="D68" s="1169"/>
      <c r="E68" s="1169"/>
      <c r="F68" s="1170"/>
      <c r="G68" s="750"/>
      <c r="H68" s="1168" t="str">
        <f>B68</f>
        <v>KOREKSI GREISINGER 34903053</v>
      </c>
      <c r="I68" s="1169"/>
      <c r="J68" s="1169"/>
      <c r="K68" s="1169"/>
      <c r="L68" s="1170"/>
      <c r="M68" s="750"/>
      <c r="N68" s="1155" t="s">
        <v>170</v>
      </c>
      <c r="O68" s="1156"/>
      <c r="P68" s="749"/>
    </row>
    <row r="69" spans="1:16" ht="14.4" thickBot="1" x14ac:dyDescent="0.3">
      <c r="A69" s="1166"/>
      <c r="B69" s="1157" t="s">
        <v>227</v>
      </c>
      <c r="C69" s="1158"/>
      <c r="D69" s="1159" t="s">
        <v>284</v>
      </c>
      <c r="E69" s="1160"/>
      <c r="F69" s="1161" t="s">
        <v>234</v>
      </c>
      <c r="G69" s="751"/>
      <c r="H69" s="1157" t="s">
        <v>228</v>
      </c>
      <c r="I69" s="1158"/>
      <c r="J69" s="1159" t="s">
        <v>284</v>
      </c>
      <c r="K69" s="1160"/>
      <c r="L69" s="1161" t="s">
        <v>234</v>
      </c>
      <c r="M69" s="751"/>
      <c r="N69" s="769" t="s">
        <v>227</v>
      </c>
      <c r="O69" s="770">
        <v>0.3</v>
      </c>
      <c r="P69" s="749"/>
    </row>
    <row r="70" spans="1:16" ht="14.4" thickBot="1" x14ac:dyDescent="0.3">
      <c r="A70" s="1166"/>
      <c r="B70" s="1157" t="s">
        <v>515</v>
      </c>
      <c r="C70" s="1158"/>
      <c r="D70" s="771">
        <v>2018</v>
      </c>
      <c r="E70" s="771">
        <v>2017</v>
      </c>
      <c r="F70" s="1162"/>
      <c r="G70" s="751"/>
      <c r="H70" s="1163" t="s">
        <v>141</v>
      </c>
      <c r="I70" s="1164"/>
      <c r="J70" s="772">
        <f>D70</f>
        <v>2018</v>
      </c>
      <c r="K70" s="772">
        <f>E70</f>
        <v>2017</v>
      </c>
      <c r="L70" s="1162"/>
      <c r="M70" s="751"/>
      <c r="N70" s="773" t="s">
        <v>141</v>
      </c>
      <c r="O70" s="774">
        <v>2.2999999999999998</v>
      </c>
      <c r="P70" s="749"/>
    </row>
    <row r="71" spans="1:16" x14ac:dyDescent="0.25">
      <c r="A71" s="1166"/>
      <c r="B71" s="751"/>
      <c r="C71" s="775">
        <v>15</v>
      </c>
      <c r="D71" s="776">
        <v>0.3</v>
      </c>
      <c r="E71" s="776">
        <v>0.2</v>
      </c>
      <c r="F71" s="777">
        <f t="shared" ref="F71:F77" si="12">0.5*(MAX(D71:E71)-MIN(D71:E71))</f>
        <v>4.9999999999999989E-2</v>
      </c>
      <c r="G71" s="751"/>
      <c r="H71" s="766"/>
      <c r="I71" s="775">
        <v>30</v>
      </c>
      <c r="J71" s="776">
        <v>1.8</v>
      </c>
      <c r="K71" s="776">
        <v>-0.1</v>
      </c>
      <c r="L71" s="777">
        <f t="shared" ref="L71:L77" si="13">0.5*(MAX(J71:K71)-MIN(J71:K71))</f>
        <v>0.95000000000000007</v>
      </c>
      <c r="M71" s="751"/>
      <c r="N71" s="751"/>
      <c r="O71" s="759"/>
      <c r="P71" s="749"/>
    </row>
    <row r="72" spans="1:16" x14ac:dyDescent="0.25">
      <c r="A72" s="1166"/>
      <c r="B72" s="751"/>
      <c r="C72" s="778">
        <v>20</v>
      </c>
      <c r="D72" s="757">
        <v>0.1</v>
      </c>
      <c r="E72" s="757">
        <v>0.1</v>
      </c>
      <c r="F72" s="779">
        <f t="shared" si="12"/>
        <v>0</v>
      </c>
      <c r="G72" s="751"/>
      <c r="H72" s="766"/>
      <c r="I72" s="778">
        <v>40</v>
      </c>
      <c r="J72" s="757">
        <v>1.2</v>
      </c>
      <c r="K72" s="757">
        <v>9.9999999999999995E-7</v>
      </c>
      <c r="L72" s="779">
        <f t="shared" si="13"/>
        <v>0.59999950000000002</v>
      </c>
      <c r="M72" s="751"/>
      <c r="N72" s="751"/>
      <c r="O72" s="759"/>
      <c r="P72" s="749"/>
    </row>
    <row r="73" spans="1:16" x14ac:dyDescent="0.25">
      <c r="A73" s="1166"/>
      <c r="B73" s="751"/>
      <c r="C73" s="778">
        <v>25</v>
      </c>
      <c r="D73" s="757">
        <v>-0.2</v>
      </c>
      <c r="E73" s="757">
        <v>9.9999999999999995E-7</v>
      </c>
      <c r="F73" s="779">
        <f t="shared" si="12"/>
        <v>0.10000050000000001</v>
      </c>
      <c r="G73" s="751"/>
      <c r="H73" s="766"/>
      <c r="I73" s="778">
        <v>50</v>
      </c>
      <c r="J73" s="757">
        <v>0.8</v>
      </c>
      <c r="K73" s="757">
        <v>0.6</v>
      </c>
      <c r="L73" s="779">
        <f t="shared" si="13"/>
        <v>0.10000000000000003</v>
      </c>
      <c r="M73" s="751"/>
      <c r="N73" s="751"/>
      <c r="O73" s="759"/>
      <c r="P73" s="749"/>
    </row>
    <row r="74" spans="1:16" x14ac:dyDescent="0.25">
      <c r="A74" s="1166"/>
      <c r="B74" s="751"/>
      <c r="C74" s="780">
        <v>30</v>
      </c>
      <c r="D74" s="761">
        <v>-0.6</v>
      </c>
      <c r="E74" s="761">
        <v>-0.1</v>
      </c>
      <c r="F74" s="779">
        <f t="shared" si="12"/>
        <v>0.25</v>
      </c>
      <c r="G74" s="751"/>
      <c r="H74" s="766"/>
      <c r="I74" s="780">
        <v>60</v>
      </c>
      <c r="J74" s="761">
        <v>0.7</v>
      </c>
      <c r="K74" s="761">
        <v>1.5</v>
      </c>
      <c r="L74" s="779">
        <f t="shared" si="13"/>
        <v>0.4</v>
      </c>
      <c r="M74" s="751"/>
      <c r="N74" s="751"/>
      <c r="O74" s="759"/>
      <c r="P74" s="749"/>
    </row>
    <row r="75" spans="1:16" x14ac:dyDescent="0.25">
      <c r="A75" s="1166"/>
      <c r="B75" s="751"/>
      <c r="C75" s="780">
        <v>35</v>
      </c>
      <c r="D75" s="761">
        <v>-1.1000000000000001</v>
      </c>
      <c r="E75" s="761">
        <v>-0.1</v>
      </c>
      <c r="F75" s="779">
        <f t="shared" si="12"/>
        <v>0.5</v>
      </c>
      <c r="G75" s="751"/>
      <c r="H75" s="766"/>
      <c r="I75" s="780">
        <v>70</v>
      </c>
      <c r="J75" s="761">
        <v>0.9</v>
      </c>
      <c r="K75" s="761">
        <v>2.8</v>
      </c>
      <c r="L75" s="779">
        <f t="shared" si="13"/>
        <v>0.95</v>
      </c>
      <c r="M75" s="751"/>
      <c r="N75" s="751"/>
      <c r="O75" s="759"/>
      <c r="P75" s="749"/>
    </row>
    <row r="76" spans="1:16" x14ac:dyDescent="0.25">
      <c r="A76" s="1166"/>
      <c r="B76" s="751"/>
      <c r="C76" s="780">
        <v>37</v>
      </c>
      <c r="D76" s="761">
        <v>-1.4</v>
      </c>
      <c r="E76" s="761">
        <v>-0.1</v>
      </c>
      <c r="F76" s="779">
        <f t="shared" si="12"/>
        <v>0.64999999999999991</v>
      </c>
      <c r="G76" s="751"/>
      <c r="H76" s="766"/>
      <c r="I76" s="780">
        <v>80</v>
      </c>
      <c r="J76" s="761">
        <v>1.2</v>
      </c>
      <c r="K76" s="761">
        <v>4.4000000000000004</v>
      </c>
      <c r="L76" s="779">
        <f t="shared" si="13"/>
        <v>1.6</v>
      </c>
      <c r="M76" s="751"/>
      <c r="N76" s="751"/>
      <c r="O76" s="759"/>
      <c r="P76" s="749"/>
    </row>
    <row r="77" spans="1:16" ht="14.4" thickBot="1" x14ac:dyDescent="0.3">
      <c r="A77" s="1167"/>
      <c r="B77" s="764"/>
      <c r="C77" s="781">
        <v>40</v>
      </c>
      <c r="D77" s="782">
        <v>-1.7</v>
      </c>
      <c r="E77" s="782">
        <v>-0.1</v>
      </c>
      <c r="F77" s="783">
        <f t="shared" si="12"/>
        <v>0.79999999999999993</v>
      </c>
      <c r="G77" s="764"/>
      <c r="H77" s="784"/>
      <c r="I77" s="781">
        <v>90</v>
      </c>
      <c r="J77" s="782">
        <v>1.8</v>
      </c>
      <c r="K77" s="782">
        <v>4.4000000000000004</v>
      </c>
      <c r="L77" s="783">
        <f t="shared" si="13"/>
        <v>1.3000000000000003</v>
      </c>
      <c r="M77" s="764"/>
      <c r="N77" s="764"/>
      <c r="O77" s="765"/>
      <c r="P77" s="749"/>
    </row>
    <row r="78" spans="1:16" ht="14.4" thickBot="1" x14ac:dyDescent="0.3">
      <c r="A78" s="786"/>
      <c r="B78" s="787"/>
      <c r="C78" s="787"/>
      <c r="D78" s="787"/>
      <c r="E78" s="788"/>
      <c r="F78" s="789"/>
      <c r="G78" s="790"/>
      <c r="H78" s="787"/>
      <c r="I78" s="787"/>
      <c r="J78" s="787"/>
      <c r="K78" s="788"/>
      <c r="L78" s="789"/>
      <c r="M78" s="751"/>
      <c r="N78" s="751"/>
      <c r="O78" s="759"/>
      <c r="P78" s="749"/>
    </row>
    <row r="79" spans="1:16" ht="14.4" thickBot="1" x14ac:dyDescent="0.3">
      <c r="A79" s="1165">
        <v>8</v>
      </c>
      <c r="B79" s="1168" t="s">
        <v>351</v>
      </c>
      <c r="C79" s="1169"/>
      <c r="D79" s="1169"/>
      <c r="E79" s="1169"/>
      <c r="F79" s="1170"/>
      <c r="G79" s="750"/>
      <c r="H79" s="1168" t="str">
        <f>B79</f>
        <v>KOREKSI GREISINGER 34903051</v>
      </c>
      <c r="I79" s="1169"/>
      <c r="J79" s="1169"/>
      <c r="K79" s="1169"/>
      <c r="L79" s="1170"/>
      <c r="M79" s="750"/>
      <c r="N79" s="1155" t="s">
        <v>170</v>
      </c>
      <c r="O79" s="1156"/>
      <c r="P79" s="749"/>
    </row>
    <row r="80" spans="1:16" ht="14.4" thickBot="1" x14ac:dyDescent="0.3">
      <c r="A80" s="1166"/>
      <c r="B80" s="1157" t="s">
        <v>227</v>
      </c>
      <c r="C80" s="1158"/>
      <c r="D80" s="1159" t="s">
        <v>284</v>
      </c>
      <c r="E80" s="1160"/>
      <c r="F80" s="1161" t="s">
        <v>234</v>
      </c>
      <c r="G80" s="751"/>
      <c r="H80" s="1157" t="s">
        <v>228</v>
      </c>
      <c r="I80" s="1158"/>
      <c r="J80" s="1159" t="s">
        <v>284</v>
      </c>
      <c r="K80" s="1160"/>
      <c r="L80" s="1161" t="s">
        <v>234</v>
      </c>
      <c r="M80" s="751"/>
      <c r="N80" s="769" t="s">
        <v>227</v>
      </c>
      <c r="O80" s="792">
        <v>0.3</v>
      </c>
      <c r="P80" s="749"/>
    </row>
    <row r="81" spans="1:16" ht="14.4" thickBot="1" x14ac:dyDescent="0.3">
      <c r="A81" s="1166"/>
      <c r="B81" s="1157" t="s">
        <v>515</v>
      </c>
      <c r="C81" s="1158"/>
      <c r="D81" s="771">
        <v>2019</v>
      </c>
      <c r="E81" s="771">
        <v>2017</v>
      </c>
      <c r="F81" s="1162"/>
      <c r="G81" s="751"/>
      <c r="H81" s="1163" t="s">
        <v>141</v>
      </c>
      <c r="I81" s="1164"/>
      <c r="J81" s="772">
        <f>D81</f>
        <v>2019</v>
      </c>
      <c r="K81" s="772">
        <f>E81</f>
        <v>2017</v>
      </c>
      <c r="L81" s="1162"/>
      <c r="M81" s="751"/>
      <c r="N81" s="773" t="s">
        <v>141</v>
      </c>
      <c r="O81" s="791">
        <v>2.6</v>
      </c>
      <c r="P81" s="749"/>
    </row>
    <row r="82" spans="1:16" x14ac:dyDescent="0.25">
      <c r="A82" s="1166"/>
      <c r="B82" s="751"/>
      <c r="C82" s="793">
        <v>15</v>
      </c>
      <c r="D82" s="757">
        <v>9.9999999999999995E-7</v>
      </c>
      <c r="E82" s="776">
        <v>-0.2</v>
      </c>
      <c r="F82" s="777">
        <f t="shared" ref="F82:F88" si="14">0.5*(MAX(D82:E82)-MIN(D82:E82))</f>
        <v>0.10000050000000001</v>
      </c>
      <c r="G82" s="751"/>
      <c r="H82" s="766"/>
      <c r="I82" s="793">
        <v>30</v>
      </c>
      <c r="J82" s="776">
        <v>-1.4</v>
      </c>
      <c r="K82" s="776">
        <v>1</v>
      </c>
      <c r="L82" s="777">
        <f t="shared" ref="L82:L88" si="15">0.5*(MAX(J82:K82)-MIN(J82:K82))</f>
        <v>1.2</v>
      </c>
      <c r="M82" s="751"/>
      <c r="N82" s="751"/>
      <c r="O82" s="759"/>
      <c r="P82" s="749"/>
    </row>
    <row r="83" spans="1:16" x14ac:dyDescent="0.25">
      <c r="A83" s="1166"/>
      <c r="B83" s="751"/>
      <c r="C83" s="794">
        <v>20</v>
      </c>
      <c r="D83" s="776">
        <v>-0.2</v>
      </c>
      <c r="E83" s="776">
        <v>-0.2</v>
      </c>
      <c r="F83" s="779">
        <f>0.5*(MAX(D83:E83)-MIN(D83:E83))</f>
        <v>0</v>
      </c>
      <c r="G83" s="751"/>
      <c r="H83" s="766"/>
      <c r="I83" s="794">
        <v>40</v>
      </c>
      <c r="J83" s="757">
        <v>-1.2</v>
      </c>
      <c r="K83" s="757">
        <v>1.1000000000000001</v>
      </c>
      <c r="L83" s="779">
        <f t="shared" si="15"/>
        <v>1.1499999999999999</v>
      </c>
      <c r="M83" s="751"/>
      <c r="N83" s="751"/>
      <c r="O83" s="759"/>
      <c r="P83" s="749"/>
    </row>
    <row r="84" spans="1:16" x14ac:dyDescent="0.25">
      <c r="A84" s="1166"/>
      <c r="B84" s="751"/>
      <c r="C84" s="794">
        <v>25</v>
      </c>
      <c r="D84" s="776">
        <v>-0.4</v>
      </c>
      <c r="E84" s="776">
        <v>-0.2</v>
      </c>
      <c r="F84" s="779">
        <f t="shared" si="14"/>
        <v>0.1</v>
      </c>
      <c r="G84" s="751"/>
      <c r="H84" s="766"/>
      <c r="I84" s="794">
        <v>50</v>
      </c>
      <c r="J84" s="757">
        <v>-1.2</v>
      </c>
      <c r="K84" s="757">
        <v>1.3</v>
      </c>
      <c r="L84" s="779">
        <f t="shared" si="15"/>
        <v>1.25</v>
      </c>
      <c r="M84" s="751"/>
      <c r="N84" s="751"/>
      <c r="O84" s="759"/>
      <c r="P84" s="749"/>
    </row>
    <row r="85" spans="1:16" x14ac:dyDescent="0.25">
      <c r="A85" s="1166"/>
      <c r="B85" s="751"/>
      <c r="C85" s="795">
        <v>30</v>
      </c>
      <c r="D85" s="776">
        <v>-0.4</v>
      </c>
      <c r="E85" s="776">
        <v>-0.2</v>
      </c>
      <c r="F85" s="779">
        <f t="shared" si="14"/>
        <v>0.1</v>
      </c>
      <c r="G85" s="751"/>
      <c r="H85" s="766"/>
      <c r="I85" s="795">
        <v>60</v>
      </c>
      <c r="J85" s="761">
        <v>-1.1000000000000001</v>
      </c>
      <c r="K85" s="761">
        <v>1.7</v>
      </c>
      <c r="L85" s="779">
        <f t="shared" si="15"/>
        <v>1.4</v>
      </c>
      <c r="M85" s="751"/>
      <c r="N85" s="751"/>
      <c r="O85" s="759"/>
      <c r="P85" s="749"/>
    </row>
    <row r="86" spans="1:16" x14ac:dyDescent="0.25">
      <c r="A86" s="1166"/>
      <c r="B86" s="751"/>
      <c r="C86" s="795">
        <v>35</v>
      </c>
      <c r="D86" s="761">
        <v>-0.5</v>
      </c>
      <c r="E86" s="761">
        <v>-0.3</v>
      </c>
      <c r="F86" s="779">
        <f t="shared" si="14"/>
        <v>0.1</v>
      </c>
      <c r="G86" s="751"/>
      <c r="H86" s="766"/>
      <c r="I86" s="795">
        <v>70</v>
      </c>
      <c r="J86" s="761">
        <v>-1.2</v>
      </c>
      <c r="K86" s="761">
        <v>2.1</v>
      </c>
      <c r="L86" s="779">
        <f t="shared" si="15"/>
        <v>1.65</v>
      </c>
      <c r="M86" s="751"/>
      <c r="N86" s="751"/>
      <c r="O86" s="759"/>
      <c r="P86" s="749"/>
    </row>
    <row r="87" spans="1:16" x14ac:dyDescent="0.25">
      <c r="A87" s="1166"/>
      <c r="B87" s="751"/>
      <c r="C87" s="795">
        <v>37</v>
      </c>
      <c r="D87" s="761">
        <v>-0.5</v>
      </c>
      <c r="E87" s="761">
        <v>-0.3</v>
      </c>
      <c r="F87" s="779">
        <f t="shared" si="14"/>
        <v>0.1</v>
      </c>
      <c r="G87" s="751"/>
      <c r="H87" s="766"/>
      <c r="I87" s="795">
        <v>80</v>
      </c>
      <c r="J87" s="761">
        <v>-1.2</v>
      </c>
      <c r="K87" s="761">
        <v>2.6</v>
      </c>
      <c r="L87" s="779">
        <f t="shared" si="15"/>
        <v>1.9</v>
      </c>
      <c r="M87" s="751"/>
      <c r="N87" s="751"/>
      <c r="O87" s="759"/>
      <c r="P87" s="749"/>
    </row>
    <row r="88" spans="1:16" ht="14.4" thickBot="1" x14ac:dyDescent="0.3">
      <c r="A88" s="1167"/>
      <c r="B88" s="764"/>
      <c r="C88" s="796">
        <v>40</v>
      </c>
      <c r="D88" s="782">
        <v>-0.4</v>
      </c>
      <c r="E88" s="782">
        <v>-0.4</v>
      </c>
      <c r="F88" s="783">
        <f t="shared" si="14"/>
        <v>0</v>
      </c>
      <c r="G88" s="764"/>
      <c r="H88" s="784"/>
      <c r="I88" s="796">
        <v>90</v>
      </c>
      <c r="J88" s="782">
        <v>-1.3</v>
      </c>
      <c r="K88" s="782">
        <v>2.6</v>
      </c>
      <c r="L88" s="783">
        <f t="shared" si="15"/>
        <v>1.9500000000000002</v>
      </c>
      <c r="M88" s="764"/>
      <c r="N88" s="764"/>
      <c r="O88" s="765"/>
      <c r="P88" s="749"/>
    </row>
    <row r="89" spans="1:16" ht="14.4" thickBot="1" x14ac:dyDescent="0.3">
      <c r="A89" s="786"/>
      <c r="B89" s="787"/>
      <c r="C89" s="787"/>
      <c r="D89" s="787"/>
      <c r="E89" s="788"/>
      <c r="F89" s="797"/>
      <c r="G89" s="790"/>
      <c r="H89" s="787"/>
      <c r="I89" s="787"/>
      <c r="J89" s="787"/>
      <c r="K89" s="788"/>
      <c r="L89" s="797"/>
      <c r="M89" s="751"/>
      <c r="N89" s="751"/>
      <c r="O89" s="759"/>
      <c r="P89" s="749"/>
    </row>
    <row r="90" spans="1:16" ht="14.4" thickBot="1" x14ac:dyDescent="0.3">
      <c r="A90" s="1165">
        <v>9</v>
      </c>
      <c r="B90" s="1168" t="s">
        <v>352</v>
      </c>
      <c r="C90" s="1169"/>
      <c r="D90" s="1169"/>
      <c r="E90" s="1169"/>
      <c r="F90" s="1170"/>
      <c r="G90" s="750"/>
      <c r="H90" s="1168" t="str">
        <f>B90</f>
        <v>KOREKSI GREISINGER 34904091</v>
      </c>
      <c r="I90" s="1169"/>
      <c r="J90" s="1169"/>
      <c r="K90" s="1169"/>
      <c r="L90" s="1170"/>
      <c r="M90" s="750"/>
      <c r="N90" s="1155" t="s">
        <v>170</v>
      </c>
      <c r="O90" s="1156"/>
      <c r="P90" s="749"/>
    </row>
    <row r="91" spans="1:16" ht="14.4" thickBot="1" x14ac:dyDescent="0.3">
      <c r="A91" s="1166"/>
      <c r="B91" s="1157" t="s">
        <v>227</v>
      </c>
      <c r="C91" s="1158"/>
      <c r="D91" s="1159" t="s">
        <v>284</v>
      </c>
      <c r="E91" s="1160"/>
      <c r="F91" s="1161" t="s">
        <v>234</v>
      </c>
      <c r="G91" s="751"/>
      <c r="H91" s="1157" t="s">
        <v>228</v>
      </c>
      <c r="I91" s="1158"/>
      <c r="J91" s="1159" t="s">
        <v>284</v>
      </c>
      <c r="K91" s="1160"/>
      <c r="L91" s="1161" t="s">
        <v>234</v>
      </c>
      <c r="M91" s="751"/>
      <c r="N91" s="769" t="s">
        <v>227</v>
      </c>
      <c r="O91" s="792">
        <v>0.3</v>
      </c>
      <c r="P91" s="749"/>
    </row>
    <row r="92" spans="1:16" ht="14.4" thickBot="1" x14ac:dyDescent="0.3">
      <c r="A92" s="1166"/>
      <c r="B92" s="1157" t="s">
        <v>515</v>
      </c>
      <c r="C92" s="1158"/>
      <c r="D92" s="771">
        <v>2019</v>
      </c>
      <c r="E92" s="798" t="s">
        <v>100</v>
      </c>
      <c r="F92" s="1162"/>
      <c r="G92" s="751"/>
      <c r="H92" s="1163" t="s">
        <v>141</v>
      </c>
      <c r="I92" s="1164"/>
      <c r="J92" s="772">
        <f>D92</f>
        <v>2019</v>
      </c>
      <c r="K92" s="772" t="str">
        <f>E92</f>
        <v>-</v>
      </c>
      <c r="L92" s="1162"/>
      <c r="M92" s="751"/>
      <c r="N92" s="773" t="s">
        <v>141</v>
      </c>
      <c r="O92" s="791">
        <v>2.4</v>
      </c>
      <c r="P92" s="749"/>
    </row>
    <row r="93" spans="1:16" x14ac:dyDescent="0.25">
      <c r="A93" s="1166"/>
      <c r="B93" s="766"/>
      <c r="C93" s="793">
        <v>15</v>
      </c>
      <c r="D93" s="757">
        <v>9.9999999999999995E-7</v>
      </c>
      <c r="E93" s="799" t="s">
        <v>100</v>
      </c>
      <c r="F93" s="777">
        <f t="shared" ref="F93" si="16">0.5*(MAX(D93:E93)-MIN(D93:E93))</f>
        <v>0</v>
      </c>
      <c r="G93" s="751"/>
      <c r="H93" s="766"/>
      <c r="I93" s="793">
        <v>30</v>
      </c>
      <c r="J93" s="776">
        <v>-1.2</v>
      </c>
      <c r="K93" s="799" t="s">
        <v>100</v>
      </c>
      <c r="L93" s="777">
        <f t="shared" ref="L93:L99" si="17">0.5*(MAX(J93:K93)-MIN(J93:K93))</f>
        <v>0</v>
      </c>
      <c r="M93" s="751"/>
      <c r="N93" s="751"/>
      <c r="O93" s="759"/>
      <c r="P93" s="749"/>
    </row>
    <row r="94" spans="1:16" x14ac:dyDescent="0.25">
      <c r="A94" s="1166"/>
      <c r="B94" s="766"/>
      <c r="C94" s="794">
        <v>20</v>
      </c>
      <c r="D94" s="776">
        <v>-0.2</v>
      </c>
      <c r="E94" s="800" t="s">
        <v>100</v>
      </c>
      <c r="F94" s="779">
        <f>0.5*(MAX(D94:E94)-MIN(D94:E94))</f>
        <v>0</v>
      </c>
      <c r="G94" s="751"/>
      <c r="H94" s="766"/>
      <c r="I94" s="794">
        <v>40</v>
      </c>
      <c r="J94" s="776">
        <v>-1</v>
      </c>
      <c r="K94" s="800" t="s">
        <v>100</v>
      </c>
      <c r="L94" s="779">
        <f t="shared" si="17"/>
        <v>0</v>
      </c>
      <c r="M94" s="751"/>
      <c r="N94" s="751"/>
      <c r="O94" s="759"/>
      <c r="P94" s="749"/>
    </row>
    <row r="95" spans="1:16" x14ac:dyDescent="0.25">
      <c r="A95" s="1166"/>
      <c r="B95" s="766"/>
      <c r="C95" s="794">
        <v>25</v>
      </c>
      <c r="D95" s="776">
        <v>-0.4</v>
      </c>
      <c r="E95" s="800" t="s">
        <v>100</v>
      </c>
      <c r="F95" s="779">
        <f t="shared" ref="F95:F99" si="18">0.5*(MAX(D95:E95)-MIN(D95:E95))</f>
        <v>0</v>
      </c>
      <c r="G95" s="751"/>
      <c r="H95" s="766"/>
      <c r="I95" s="794">
        <v>50</v>
      </c>
      <c r="J95" s="776">
        <v>-0.9</v>
      </c>
      <c r="K95" s="800" t="s">
        <v>100</v>
      </c>
      <c r="L95" s="779">
        <f t="shared" si="17"/>
        <v>0</v>
      </c>
      <c r="M95" s="751"/>
      <c r="N95" s="751"/>
      <c r="O95" s="759"/>
      <c r="P95" s="749"/>
    </row>
    <row r="96" spans="1:16" x14ac:dyDescent="0.25">
      <c r="A96" s="1166"/>
      <c r="B96" s="766"/>
      <c r="C96" s="795">
        <v>30</v>
      </c>
      <c r="D96" s="776">
        <v>-0.5</v>
      </c>
      <c r="E96" s="763" t="s">
        <v>100</v>
      </c>
      <c r="F96" s="779">
        <f t="shared" si="18"/>
        <v>0</v>
      </c>
      <c r="G96" s="751"/>
      <c r="H96" s="766"/>
      <c r="I96" s="795">
        <v>60</v>
      </c>
      <c r="J96" s="776">
        <v>-0.8</v>
      </c>
      <c r="K96" s="763" t="s">
        <v>100</v>
      </c>
      <c r="L96" s="779">
        <f t="shared" si="17"/>
        <v>0</v>
      </c>
      <c r="M96" s="751"/>
      <c r="N96" s="751"/>
      <c r="O96" s="759"/>
      <c r="P96" s="749"/>
    </row>
    <row r="97" spans="1:16" x14ac:dyDescent="0.25">
      <c r="A97" s="1166"/>
      <c r="B97" s="766"/>
      <c r="C97" s="795">
        <v>35</v>
      </c>
      <c r="D97" s="776">
        <v>-0.5</v>
      </c>
      <c r="E97" s="763" t="s">
        <v>100</v>
      </c>
      <c r="F97" s="779">
        <f t="shared" si="18"/>
        <v>0</v>
      </c>
      <c r="G97" s="751"/>
      <c r="H97" s="766"/>
      <c r="I97" s="795">
        <v>70</v>
      </c>
      <c r="J97" s="776">
        <v>-0.6</v>
      </c>
      <c r="K97" s="763" t="s">
        <v>100</v>
      </c>
      <c r="L97" s="779">
        <f t="shared" si="17"/>
        <v>0</v>
      </c>
      <c r="M97" s="751"/>
      <c r="N97" s="751"/>
      <c r="O97" s="759"/>
      <c r="P97" s="749"/>
    </row>
    <row r="98" spans="1:16" x14ac:dyDescent="0.25">
      <c r="A98" s="1166"/>
      <c r="B98" s="766"/>
      <c r="C98" s="795">
        <v>37</v>
      </c>
      <c r="D98" s="776">
        <v>-0.5</v>
      </c>
      <c r="E98" s="763" t="s">
        <v>100</v>
      </c>
      <c r="F98" s="779">
        <f t="shared" si="18"/>
        <v>0</v>
      </c>
      <c r="G98" s="751"/>
      <c r="H98" s="766"/>
      <c r="I98" s="795">
        <v>80</v>
      </c>
      <c r="J98" s="776">
        <v>-0.5</v>
      </c>
      <c r="K98" s="763" t="s">
        <v>100</v>
      </c>
      <c r="L98" s="779">
        <f t="shared" si="17"/>
        <v>0</v>
      </c>
      <c r="M98" s="751"/>
      <c r="N98" s="751"/>
      <c r="O98" s="759"/>
      <c r="P98" s="749"/>
    </row>
    <row r="99" spans="1:16" ht="14.4" thickBot="1" x14ac:dyDescent="0.3">
      <c r="A99" s="1167"/>
      <c r="B99" s="784"/>
      <c r="C99" s="796">
        <v>40</v>
      </c>
      <c r="D99" s="801">
        <v>-0.4</v>
      </c>
      <c r="E99" s="785" t="s">
        <v>100</v>
      </c>
      <c r="F99" s="783">
        <f t="shared" si="18"/>
        <v>0</v>
      </c>
      <c r="G99" s="764"/>
      <c r="H99" s="784"/>
      <c r="I99" s="796">
        <v>90</v>
      </c>
      <c r="J99" s="801">
        <v>-0.2</v>
      </c>
      <c r="K99" s="785" t="s">
        <v>100</v>
      </c>
      <c r="L99" s="783">
        <f t="shared" si="17"/>
        <v>0</v>
      </c>
      <c r="M99" s="764"/>
      <c r="N99" s="764"/>
      <c r="O99" s="765"/>
      <c r="P99" s="749"/>
    </row>
    <row r="100" spans="1:16" ht="14.4" thickBot="1" x14ac:dyDescent="0.3">
      <c r="A100" s="786"/>
      <c r="B100" s="787"/>
      <c r="C100" s="787"/>
      <c r="D100" s="787"/>
      <c r="E100" s="788"/>
      <c r="F100" s="797"/>
      <c r="G100" s="790"/>
      <c r="H100" s="787"/>
      <c r="I100" s="787"/>
      <c r="J100" s="787"/>
      <c r="K100" s="788"/>
      <c r="L100" s="797"/>
      <c r="M100" s="790"/>
      <c r="N100" s="751"/>
      <c r="O100" s="759"/>
      <c r="P100" s="749"/>
    </row>
    <row r="101" spans="1:16" ht="14.4" thickBot="1" x14ac:dyDescent="0.3">
      <c r="A101" s="1165">
        <v>10</v>
      </c>
      <c r="B101" s="1168" t="s">
        <v>353</v>
      </c>
      <c r="C101" s="1169"/>
      <c r="D101" s="1169"/>
      <c r="E101" s="1169"/>
      <c r="F101" s="1170"/>
      <c r="G101" s="750"/>
      <c r="H101" s="1171" t="str">
        <f>B101</f>
        <v>KOREKSI Sekonic HE-21.000669</v>
      </c>
      <c r="I101" s="1172"/>
      <c r="J101" s="1172"/>
      <c r="K101" s="1172"/>
      <c r="L101" s="1173"/>
      <c r="M101" s="750"/>
      <c r="N101" s="1155" t="s">
        <v>170</v>
      </c>
      <c r="O101" s="1156"/>
      <c r="P101" s="749"/>
    </row>
    <row r="102" spans="1:16" ht="14.4" thickBot="1" x14ac:dyDescent="0.3">
      <c r="A102" s="1166"/>
      <c r="B102" s="1157" t="s">
        <v>227</v>
      </c>
      <c r="C102" s="1158"/>
      <c r="D102" s="1159" t="s">
        <v>284</v>
      </c>
      <c r="E102" s="1160"/>
      <c r="F102" s="1161" t="s">
        <v>234</v>
      </c>
      <c r="G102" s="751"/>
      <c r="H102" s="1157" t="s">
        <v>228</v>
      </c>
      <c r="I102" s="1158"/>
      <c r="J102" s="1159" t="s">
        <v>284</v>
      </c>
      <c r="K102" s="1160"/>
      <c r="L102" s="1161" t="s">
        <v>234</v>
      </c>
      <c r="M102" s="751"/>
      <c r="N102" s="769" t="s">
        <v>227</v>
      </c>
      <c r="O102" s="792">
        <v>0.3</v>
      </c>
      <c r="P102" s="749"/>
    </row>
    <row r="103" spans="1:16" ht="14.4" thickBot="1" x14ac:dyDescent="0.3">
      <c r="A103" s="1166"/>
      <c r="B103" s="1157" t="s">
        <v>515</v>
      </c>
      <c r="C103" s="1158"/>
      <c r="D103" s="771">
        <v>2019</v>
      </c>
      <c r="E103" s="771">
        <v>2016</v>
      </c>
      <c r="F103" s="1162"/>
      <c r="G103" s="751"/>
      <c r="H103" s="1163" t="s">
        <v>141</v>
      </c>
      <c r="I103" s="1164"/>
      <c r="J103" s="772">
        <f>D103</f>
        <v>2019</v>
      </c>
      <c r="K103" s="772">
        <f>E103</f>
        <v>2016</v>
      </c>
      <c r="L103" s="1162"/>
      <c r="M103" s="751"/>
      <c r="N103" s="773" t="s">
        <v>141</v>
      </c>
      <c r="O103" s="791">
        <v>1.5</v>
      </c>
      <c r="P103" s="749"/>
    </row>
    <row r="104" spans="1:16" x14ac:dyDescent="0.25">
      <c r="A104" s="1166"/>
      <c r="B104" s="751"/>
      <c r="C104" s="793">
        <v>15</v>
      </c>
      <c r="D104" s="776">
        <v>0.2</v>
      </c>
      <c r="E104" s="776">
        <v>0.2</v>
      </c>
      <c r="F104" s="777">
        <f t="shared" ref="F104:F110" si="19">0.5*(MAX(D104:E104)-MIN(D104:E104))</f>
        <v>0</v>
      </c>
      <c r="G104" s="751"/>
      <c r="H104" s="766"/>
      <c r="I104" s="793">
        <v>30</v>
      </c>
      <c r="J104" s="776">
        <v>-2.9</v>
      </c>
      <c r="K104" s="776">
        <v>-5.8</v>
      </c>
      <c r="L104" s="777">
        <f t="shared" ref="L104:L107" si="20">0.5*(MAX(J104:K104)-MIN(J104:K104))</f>
        <v>1.45</v>
      </c>
      <c r="M104" s="751"/>
      <c r="N104" s="751"/>
      <c r="O104" s="759"/>
      <c r="P104" s="749"/>
    </row>
    <row r="105" spans="1:16" x14ac:dyDescent="0.25">
      <c r="A105" s="1166"/>
      <c r="B105" s="751"/>
      <c r="C105" s="794">
        <v>20</v>
      </c>
      <c r="D105" s="757">
        <v>0.2</v>
      </c>
      <c r="E105" s="757">
        <v>-0.7</v>
      </c>
      <c r="F105" s="779">
        <f t="shared" si="19"/>
        <v>0.44999999999999996</v>
      </c>
      <c r="G105" s="751"/>
      <c r="H105" s="766"/>
      <c r="I105" s="794">
        <v>40</v>
      </c>
      <c r="J105" s="757">
        <v>-3.3</v>
      </c>
      <c r="K105" s="757">
        <v>-6.4</v>
      </c>
      <c r="L105" s="779">
        <f t="shared" si="20"/>
        <v>1.5500000000000003</v>
      </c>
      <c r="M105" s="751"/>
      <c r="N105" s="751"/>
      <c r="O105" s="759"/>
      <c r="P105" s="749"/>
    </row>
    <row r="106" spans="1:16" x14ac:dyDescent="0.25">
      <c r="A106" s="1166"/>
      <c r="B106" s="751"/>
      <c r="C106" s="794">
        <v>25</v>
      </c>
      <c r="D106" s="757">
        <v>0.1</v>
      </c>
      <c r="E106" s="757">
        <v>-0.5</v>
      </c>
      <c r="F106" s="779">
        <f t="shared" si="19"/>
        <v>0.3</v>
      </c>
      <c r="G106" s="751"/>
      <c r="H106" s="766"/>
      <c r="I106" s="794">
        <v>50</v>
      </c>
      <c r="J106" s="757">
        <v>-3.1</v>
      </c>
      <c r="K106" s="757">
        <v>-6.1</v>
      </c>
      <c r="L106" s="779">
        <f t="shared" si="20"/>
        <v>1.4999999999999998</v>
      </c>
      <c r="M106" s="751"/>
      <c r="N106" s="751"/>
      <c r="O106" s="759"/>
      <c r="P106" s="749"/>
    </row>
    <row r="107" spans="1:16" x14ac:dyDescent="0.25">
      <c r="A107" s="1166"/>
      <c r="B107" s="751"/>
      <c r="C107" s="795">
        <v>30</v>
      </c>
      <c r="D107" s="761">
        <v>0.1</v>
      </c>
      <c r="E107" s="761">
        <v>0.2</v>
      </c>
      <c r="F107" s="779">
        <f t="shared" si="19"/>
        <v>0.05</v>
      </c>
      <c r="G107" s="751"/>
      <c r="H107" s="766"/>
      <c r="I107" s="795">
        <v>60</v>
      </c>
      <c r="J107" s="761">
        <v>-2.1</v>
      </c>
      <c r="K107" s="761">
        <v>-5.6</v>
      </c>
      <c r="L107" s="779">
        <f t="shared" si="20"/>
        <v>1.7499999999999998</v>
      </c>
      <c r="M107" s="751"/>
      <c r="N107" s="751"/>
      <c r="O107" s="759"/>
      <c r="P107" s="749"/>
    </row>
    <row r="108" spans="1:16" x14ac:dyDescent="0.25">
      <c r="A108" s="1166"/>
      <c r="B108" s="751"/>
      <c r="C108" s="795">
        <v>35</v>
      </c>
      <c r="D108" s="761">
        <v>0.2</v>
      </c>
      <c r="E108" s="761">
        <v>0.8</v>
      </c>
      <c r="F108" s="779">
        <f t="shared" si="19"/>
        <v>0.30000000000000004</v>
      </c>
      <c r="G108" s="751"/>
      <c r="H108" s="766"/>
      <c r="I108" s="795">
        <v>70</v>
      </c>
      <c r="J108" s="761">
        <v>-0.3</v>
      </c>
      <c r="K108" s="761">
        <v>-5.0999999999999996</v>
      </c>
      <c r="L108" s="779">
        <f>0.5*(MAX(J108:K108)-MIN(J108:K108))</f>
        <v>2.4</v>
      </c>
      <c r="M108" s="751"/>
      <c r="N108" s="751"/>
      <c r="O108" s="759"/>
      <c r="P108" s="749"/>
    </row>
    <row r="109" spans="1:16" x14ac:dyDescent="0.25">
      <c r="A109" s="1166"/>
      <c r="B109" s="751"/>
      <c r="C109" s="795">
        <v>37</v>
      </c>
      <c r="D109" s="761">
        <v>0.2</v>
      </c>
      <c r="E109" s="761">
        <v>0.4</v>
      </c>
      <c r="F109" s="779">
        <f t="shared" si="19"/>
        <v>0.1</v>
      </c>
      <c r="G109" s="751"/>
      <c r="H109" s="766"/>
      <c r="I109" s="795">
        <v>80</v>
      </c>
      <c r="J109" s="761">
        <v>2.2000000000000002</v>
      </c>
      <c r="K109" s="761">
        <v>-4.7</v>
      </c>
      <c r="L109" s="779">
        <f t="shared" ref="L109:L110" si="21">0.5*(MAX(J109:K109)-MIN(J109:K109))</f>
        <v>3.45</v>
      </c>
      <c r="M109" s="751"/>
      <c r="N109" s="751"/>
      <c r="O109" s="759"/>
      <c r="P109" s="749"/>
    </row>
    <row r="110" spans="1:16" ht="14.4" thickBot="1" x14ac:dyDescent="0.3">
      <c r="A110" s="1167"/>
      <c r="B110" s="764"/>
      <c r="C110" s="796">
        <v>40</v>
      </c>
      <c r="D110" s="802">
        <v>0.2</v>
      </c>
      <c r="E110" s="757">
        <v>9.9999999999999995E-7</v>
      </c>
      <c r="F110" s="783">
        <f t="shared" si="19"/>
        <v>9.9999500000000005E-2</v>
      </c>
      <c r="G110" s="764"/>
      <c r="H110" s="784"/>
      <c r="I110" s="796">
        <v>90</v>
      </c>
      <c r="J110" s="781">
        <v>5.4</v>
      </c>
      <c r="K110" s="757">
        <v>9.9999999999999995E-7</v>
      </c>
      <c r="L110" s="783">
        <f t="shared" si="21"/>
        <v>2.6999995000000001</v>
      </c>
      <c r="M110" s="764"/>
      <c r="N110" s="764"/>
      <c r="O110" s="765"/>
      <c r="P110" s="749"/>
    </row>
    <row r="111" spans="1:16" ht="14.4" thickBot="1" x14ac:dyDescent="0.3">
      <c r="A111" s="786"/>
      <c r="B111" s="787"/>
      <c r="C111" s="787"/>
      <c r="D111" s="787"/>
      <c r="E111" s="788"/>
      <c r="F111" s="797"/>
      <c r="G111" s="790"/>
      <c r="H111" s="787"/>
      <c r="I111" s="787"/>
      <c r="J111" s="787"/>
      <c r="K111" s="788"/>
      <c r="L111" s="797"/>
      <c r="M111" s="790"/>
      <c r="N111" s="751"/>
      <c r="O111" s="759"/>
      <c r="P111" s="749"/>
    </row>
    <row r="112" spans="1:16" ht="14.4" thickBot="1" x14ac:dyDescent="0.3">
      <c r="A112" s="1165">
        <v>11</v>
      </c>
      <c r="B112" s="1168" t="s">
        <v>354</v>
      </c>
      <c r="C112" s="1169"/>
      <c r="D112" s="1169"/>
      <c r="E112" s="1169"/>
      <c r="F112" s="1170"/>
      <c r="G112" s="750"/>
      <c r="H112" s="1171" t="str">
        <f>B112</f>
        <v>KOREKSI Sekonic HE-21.000670</v>
      </c>
      <c r="I112" s="1172"/>
      <c r="J112" s="1172"/>
      <c r="K112" s="1172"/>
      <c r="L112" s="1173"/>
      <c r="M112" s="750"/>
      <c r="N112" s="1155" t="s">
        <v>170</v>
      </c>
      <c r="O112" s="1156"/>
      <c r="P112" s="749"/>
    </row>
    <row r="113" spans="1:16" ht="14.4" thickBot="1" x14ac:dyDescent="0.3">
      <c r="A113" s="1166"/>
      <c r="B113" s="1157" t="s">
        <v>227</v>
      </c>
      <c r="C113" s="1158"/>
      <c r="D113" s="1159" t="s">
        <v>284</v>
      </c>
      <c r="E113" s="1160"/>
      <c r="F113" s="1161" t="s">
        <v>234</v>
      </c>
      <c r="G113" s="751"/>
      <c r="H113" s="1157" t="s">
        <v>228</v>
      </c>
      <c r="I113" s="1158"/>
      <c r="J113" s="1159" t="s">
        <v>284</v>
      </c>
      <c r="K113" s="1160"/>
      <c r="L113" s="1161" t="s">
        <v>234</v>
      </c>
      <c r="M113" s="751"/>
      <c r="N113" s="769" t="s">
        <v>227</v>
      </c>
      <c r="O113" s="792">
        <v>0.3</v>
      </c>
      <c r="P113" s="749"/>
    </row>
    <row r="114" spans="1:16" ht="14.4" thickBot="1" x14ac:dyDescent="0.3">
      <c r="A114" s="1166"/>
      <c r="B114" s="1157" t="s">
        <v>515</v>
      </c>
      <c r="C114" s="1158"/>
      <c r="D114" s="771">
        <v>2020</v>
      </c>
      <c r="E114" s="798" t="s">
        <v>100</v>
      </c>
      <c r="F114" s="1162"/>
      <c r="G114" s="751"/>
      <c r="H114" s="1163" t="s">
        <v>141</v>
      </c>
      <c r="I114" s="1164"/>
      <c r="J114" s="772">
        <f>D114</f>
        <v>2020</v>
      </c>
      <c r="K114" s="772" t="str">
        <f>E114</f>
        <v>-</v>
      </c>
      <c r="L114" s="1162"/>
      <c r="M114" s="751"/>
      <c r="N114" s="773" t="s">
        <v>141</v>
      </c>
      <c r="O114" s="791">
        <v>1.8</v>
      </c>
      <c r="P114" s="749"/>
    </row>
    <row r="115" spans="1:16" x14ac:dyDescent="0.25">
      <c r="A115" s="1166"/>
      <c r="B115" s="751"/>
      <c r="C115" s="793">
        <v>15</v>
      </c>
      <c r="D115" s="776">
        <v>0.3</v>
      </c>
      <c r="E115" s="799" t="s">
        <v>100</v>
      </c>
      <c r="F115" s="777">
        <f t="shared" ref="F115:F121" si="22">0.5*(MAX(D115:E115)-MIN(D115:E115))</f>
        <v>0</v>
      </c>
      <c r="G115" s="751"/>
      <c r="H115" s="766"/>
      <c r="I115" s="793">
        <v>30</v>
      </c>
      <c r="J115" s="776">
        <v>-5.2</v>
      </c>
      <c r="K115" s="799" t="s">
        <v>100</v>
      </c>
      <c r="L115" s="777">
        <f t="shared" ref="L115:L121" si="23">0.5*(MAX(J115:K115)-MIN(J115:K115))</f>
        <v>0</v>
      </c>
      <c r="M115" s="751"/>
      <c r="N115" s="751"/>
      <c r="O115" s="759"/>
      <c r="P115" s="749"/>
    </row>
    <row r="116" spans="1:16" x14ac:dyDescent="0.25">
      <c r="A116" s="1166"/>
      <c r="B116" s="751"/>
      <c r="C116" s="794">
        <v>20</v>
      </c>
      <c r="D116" s="757">
        <v>0.4</v>
      </c>
      <c r="E116" s="800" t="s">
        <v>100</v>
      </c>
      <c r="F116" s="779">
        <f t="shared" si="22"/>
        <v>0</v>
      </c>
      <c r="G116" s="751"/>
      <c r="H116" s="766"/>
      <c r="I116" s="794">
        <v>40</v>
      </c>
      <c r="J116" s="757">
        <v>-5.5</v>
      </c>
      <c r="K116" s="800" t="s">
        <v>100</v>
      </c>
      <c r="L116" s="779">
        <f t="shared" si="23"/>
        <v>0</v>
      </c>
      <c r="M116" s="751"/>
      <c r="N116" s="751"/>
      <c r="O116" s="759"/>
      <c r="P116" s="749"/>
    </row>
    <row r="117" spans="1:16" x14ac:dyDescent="0.25">
      <c r="A117" s="1166"/>
      <c r="B117" s="751"/>
      <c r="C117" s="794">
        <v>25</v>
      </c>
      <c r="D117" s="757">
        <v>0.4</v>
      </c>
      <c r="E117" s="800" t="s">
        <v>100</v>
      </c>
      <c r="F117" s="779">
        <f t="shared" si="22"/>
        <v>0</v>
      </c>
      <c r="G117" s="751"/>
      <c r="H117" s="766"/>
      <c r="I117" s="794">
        <v>50</v>
      </c>
      <c r="J117" s="757">
        <v>-5.5</v>
      </c>
      <c r="K117" s="800" t="s">
        <v>100</v>
      </c>
      <c r="L117" s="779">
        <f t="shared" si="23"/>
        <v>0</v>
      </c>
      <c r="M117" s="751"/>
      <c r="N117" s="751"/>
      <c r="O117" s="759"/>
      <c r="P117" s="749"/>
    </row>
    <row r="118" spans="1:16" x14ac:dyDescent="0.25">
      <c r="A118" s="1166"/>
      <c r="B118" s="751"/>
      <c r="C118" s="795">
        <v>30</v>
      </c>
      <c r="D118" s="761">
        <v>0.5</v>
      </c>
      <c r="E118" s="763" t="s">
        <v>100</v>
      </c>
      <c r="F118" s="779">
        <f t="shared" si="22"/>
        <v>0</v>
      </c>
      <c r="G118" s="751"/>
      <c r="H118" s="766"/>
      <c r="I118" s="795">
        <v>60</v>
      </c>
      <c r="J118" s="761">
        <v>-4.8</v>
      </c>
      <c r="K118" s="763" t="s">
        <v>100</v>
      </c>
      <c r="L118" s="779">
        <f t="shared" si="23"/>
        <v>0</v>
      </c>
      <c r="M118" s="751"/>
      <c r="N118" s="751"/>
      <c r="O118" s="759"/>
      <c r="P118" s="749"/>
    </row>
    <row r="119" spans="1:16" x14ac:dyDescent="0.25">
      <c r="A119" s="1166"/>
      <c r="B119" s="751"/>
      <c r="C119" s="795">
        <v>35</v>
      </c>
      <c r="D119" s="761">
        <v>0.5</v>
      </c>
      <c r="E119" s="763" t="s">
        <v>100</v>
      </c>
      <c r="F119" s="779">
        <f t="shared" si="22"/>
        <v>0</v>
      </c>
      <c r="G119" s="751"/>
      <c r="H119" s="766"/>
      <c r="I119" s="795">
        <v>70</v>
      </c>
      <c r="J119" s="761">
        <v>-3.4</v>
      </c>
      <c r="K119" s="763" t="s">
        <v>100</v>
      </c>
      <c r="L119" s="779">
        <f t="shared" si="23"/>
        <v>0</v>
      </c>
      <c r="M119" s="751"/>
      <c r="N119" s="751"/>
      <c r="O119" s="759"/>
      <c r="P119" s="749"/>
    </row>
    <row r="120" spans="1:16" x14ac:dyDescent="0.25">
      <c r="A120" s="1166"/>
      <c r="B120" s="751"/>
      <c r="C120" s="795">
        <v>37</v>
      </c>
      <c r="D120" s="761">
        <v>0.5</v>
      </c>
      <c r="E120" s="763" t="s">
        <v>100</v>
      </c>
      <c r="F120" s="779">
        <f t="shared" si="22"/>
        <v>0</v>
      </c>
      <c r="G120" s="751"/>
      <c r="H120" s="766"/>
      <c r="I120" s="795">
        <v>80</v>
      </c>
      <c r="J120" s="761">
        <v>-1.4</v>
      </c>
      <c r="K120" s="763" t="s">
        <v>100</v>
      </c>
      <c r="L120" s="779">
        <f t="shared" si="23"/>
        <v>0</v>
      </c>
      <c r="M120" s="751"/>
      <c r="N120" s="751"/>
      <c r="O120" s="759"/>
      <c r="P120" s="749"/>
    </row>
    <row r="121" spans="1:16" ht="14.4" thickBot="1" x14ac:dyDescent="0.3">
      <c r="A121" s="1167"/>
      <c r="B121" s="764"/>
      <c r="C121" s="796">
        <v>40</v>
      </c>
      <c r="D121" s="782">
        <v>0.5</v>
      </c>
      <c r="E121" s="785" t="s">
        <v>100</v>
      </c>
      <c r="F121" s="783">
        <f t="shared" si="22"/>
        <v>0</v>
      </c>
      <c r="G121" s="764"/>
      <c r="H121" s="784"/>
      <c r="I121" s="796">
        <v>90</v>
      </c>
      <c r="J121" s="782">
        <v>1.3</v>
      </c>
      <c r="K121" s="785" t="s">
        <v>100</v>
      </c>
      <c r="L121" s="783">
        <f t="shared" si="23"/>
        <v>0</v>
      </c>
      <c r="M121" s="764"/>
      <c r="N121" s="764"/>
      <c r="O121" s="765"/>
      <c r="P121" s="749"/>
    </row>
    <row r="122" spans="1:16" ht="14.4" thickBot="1" x14ac:dyDescent="0.3">
      <c r="A122" s="786"/>
      <c r="B122" s="787"/>
      <c r="C122" s="787"/>
      <c r="D122" s="787"/>
      <c r="E122" s="788"/>
      <c r="F122" s="797"/>
      <c r="G122" s="790"/>
      <c r="H122" s="787"/>
      <c r="I122" s="787"/>
      <c r="J122" s="787"/>
      <c r="K122" s="788"/>
      <c r="L122" s="797"/>
      <c r="M122" s="751"/>
      <c r="N122" s="751"/>
      <c r="O122" s="759"/>
      <c r="P122" s="749"/>
    </row>
    <row r="123" spans="1:16" ht="14.4" thickBot="1" x14ac:dyDescent="0.3">
      <c r="A123" s="1165">
        <v>12</v>
      </c>
      <c r="B123" s="1168" t="s">
        <v>355</v>
      </c>
      <c r="C123" s="1169"/>
      <c r="D123" s="1169"/>
      <c r="E123" s="1169"/>
      <c r="F123" s="1170"/>
      <c r="G123" s="750"/>
      <c r="H123" s="1168" t="str">
        <f>B123</f>
        <v>KOREKSI Extech SD700/A.100609</v>
      </c>
      <c r="I123" s="1169"/>
      <c r="J123" s="1169"/>
      <c r="K123" s="1169"/>
      <c r="L123" s="1170"/>
      <c r="M123" s="750"/>
      <c r="N123" s="1155" t="s">
        <v>170</v>
      </c>
      <c r="O123" s="1156"/>
      <c r="P123" s="749"/>
    </row>
    <row r="124" spans="1:16" ht="14.4" thickBot="1" x14ac:dyDescent="0.3">
      <c r="A124" s="1166"/>
      <c r="B124" s="1157" t="s">
        <v>227</v>
      </c>
      <c r="C124" s="1158"/>
      <c r="D124" s="1159" t="s">
        <v>284</v>
      </c>
      <c r="E124" s="1160"/>
      <c r="F124" s="1161" t="s">
        <v>234</v>
      </c>
      <c r="G124" s="751"/>
      <c r="H124" s="1157" t="s">
        <v>228</v>
      </c>
      <c r="I124" s="1158"/>
      <c r="J124" s="1159" t="s">
        <v>284</v>
      </c>
      <c r="K124" s="1160"/>
      <c r="L124" s="1161" t="s">
        <v>234</v>
      </c>
      <c r="M124" s="751"/>
      <c r="N124" s="769" t="s">
        <v>227</v>
      </c>
      <c r="O124" s="792">
        <v>0.4</v>
      </c>
      <c r="P124" s="749"/>
    </row>
    <row r="125" spans="1:16" ht="14.4" thickBot="1" x14ac:dyDescent="0.3">
      <c r="A125" s="1166"/>
      <c r="B125" s="1157" t="s">
        <v>515</v>
      </c>
      <c r="C125" s="1158"/>
      <c r="D125" s="771">
        <v>2020</v>
      </c>
      <c r="E125" s="798" t="s">
        <v>100</v>
      </c>
      <c r="F125" s="1162"/>
      <c r="G125" s="751"/>
      <c r="H125" s="1163" t="s">
        <v>141</v>
      </c>
      <c r="I125" s="1164"/>
      <c r="J125" s="772">
        <f>D125</f>
        <v>2020</v>
      </c>
      <c r="K125" s="772" t="str">
        <f>E125</f>
        <v>-</v>
      </c>
      <c r="L125" s="1162"/>
      <c r="M125" s="751"/>
      <c r="N125" s="773" t="s">
        <v>141</v>
      </c>
      <c r="O125" s="791">
        <v>2.2000000000000002</v>
      </c>
      <c r="P125" s="749"/>
    </row>
    <row r="126" spans="1:16" x14ac:dyDescent="0.25">
      <c r="A126" s="1166"/>
      <c r="B126" s="751"/>
      <c r="C126" s="793">
        <v>15</v>
      </c>
      <c r="D126" s="776">
        <v>-2</v>
      </c>
      <c r="E126" s="799" t="s">
        <v>100</v>
      </c>
      <c r="F126" s="777">
        <f t="shared" ref="F126:F132" si="24">0.5*(MAX(D126:E126)-MIN(D126:E126))</f>
        <v>0</v>
      </c>
      <c r="G126" s="751"/>
      <c r="H126" s="766"/>
      <c r="I126" s="793">
        <v>30</v>
      </c>
      <c r="J126" s="776">
        <v>1</v>
      </c>
      <c r="K126" s="799" t="s">
        <v>100</v>
      </c>
      <c r="L126" s="777">
        <f t="shared" ref="L126:L132" si="25">0.5*(MAX(J126:K126)-MIN(J126:K126))</f>
        <v>0</v>
      </c>
      <c r="M126" s="751"/>
      <c r="N126" s="751"/>
      <c r="O126" s="759"/>
      <c r="P126" s="749"/>
    </row>
    <row r="127" spans="1:16" x14ac:dyDescent="0.25">
      <c r="A127" s="1166"/>
      <c r="B127" s="751"/>
      <c r="C127" s="794">
        <v>20</v>
      </c>
      <c r="D127" s="757">
        <v>-0.1</v>
      </c>
      <c r="E127" s="800" t="s">
        <v>100</v>
      </c>
      <c r="F127" s="779">
        <f t="shared" si="24"/>
        <v>0</v>
      </c>
      <c r="G127" s="751"/>
      <c r="H127" s="766"/>
      <c r="I127" s="794">
        <v>40</v>
      </c>
      <c r="J127" s="757">
        <v>0.3</v>
      </c>
      <c r="K127" s="800" t="s">
        <v>100</v>
      </c>
      <c r="L127" s="779">
        <f t="shared" si="25"/>
        <v>0</v>
      </c>
      <c r="M127" s="751"/>
      <c r="N127" s="751"/>
      <c r="O127" s="759"/>
      <c r="P127" s="749"/>
    </row>
    <row r="128" spans="1:16" x14ac:dyDescent="0.25">
      <c r="A128" s="1166"/>
      <c r="B128" s="751"/>
      <c r="C128" s="794">
        <v>25</v>
      </c>
      <c r="D128" s="757">
        <v>-0.1</v>
      </c>
      <c r="E128" s="800" t="s">
        <v>100</v>
      </c>
      <c r="F128" s="779">
        <f t="shared" si="24"/>
        <v>0</v>
      </c>
      <c r="G128" s="751"/>
      <c r="H128" s="766"/>
      <c r="I128" s="794">
        <v>50</v>
      </c>
      <c r="J128" s="757">
        <v>-0.2</v>
      </c>
      <c r="K128" s="800" t="s">
        <v>100</v>
      </c>
      <c r="L128" s="779">
        <f t="shared" si="25"/>
        <v>0</v>
      </c>
      <c r="M128" s="751"/>
      <c r="N128" s="751"/>
      <c r="O128" s="759"/>
      <c r="P128" s="749"/>
    </row>
    <row r="129" spans="1:16" x14ac:dyDescent="0.25">
      <c r="A129" s="1166"/>
      <c r="B129" s="751"/>
      <c r="C129" s="795">
        <v>30</v>
      </c>
      <c r="D129" s="761">
        <v>-0.3</v>
      </c>
      <c r="E129" s="763" t="s">
        <v>100</v>
      </c>
      <c r="F129" s="779">
        <f t="shared" si="24"/>
        <v>0</v>
      </c>
      <c r="G129" s="751"/>
      <c r="H129" s="766"/>
      <c r="I129" s="795">
        <v>60</v>
      </c>
      <c r="J129" s="761">
        <v>-0.6</v>
      </c>
      <c r="K129" s="763" t="s">
        <v>100</v>
      </c>
      <c r="L129" s="779">
        <f t="shared" si="25"/>
        <v>0</v>
      </c>
      <c r="M129" s="751"/>
      <c r="N129" s="751"/>
      <c r="O129" s="759"/>
      <c r="P129" s="749"/>
    </row>
    <row r="130" spans="1:16" x14ac:dyDescent="0.25">
      <c r="A130" s="1166"/>
      <c r="B130" s="751"/>
      <c r="C130" s="795">
        <v>35</v>
      </c>
      <c r="D130" s="761">
        <v>-0.6</v>
      </c>
      <c r="E130" s="763" t="s">
        <v>100</v>
      </c>
      <c r="F130" s="779">
        <f t="shared" si="24"/>
        <v>0</v>
      </c>
      <c r="G130" s="751"/>
      <c r="H130" s="766"/>
      <c r="I130" s="795">
        <v>70</v>
      </c>
      <c r="J130" s="761">
        <v>-0.8</v>
      </c>
      <c r="K130" s="763" t="s">
        <v>100</v>
      </c>
      <c r="L130" s="779">
        <f t="shared" si="25"/>
        <v>0</v>
      </c>
      <c r="M130" s="751"/>
      <c r="N130" s="751"/>
      <c r="O130" s="759"/>
      <c r="P130" s="749"/>
    </row>
    <row r="131" spans="1:16" x14ac:dyDescent="0.25">
      <c r="A131" s="1166"/>
      <c r="B131" s="751"/>
      <c r="C131" s="795">
        <v>37</v>
      </c>
      <c r="D131" s="761">
        <v>-0.8</v>
      </c>
      <c r="E131" s="763" t="s">
        <v>100</v>
      </c>
      <c r="F131" s="779">
        <f t="shared" si="24"/>
        <v>0</v>
      </c>
      <c r="G131" s="751"/>
      <c r="H131" s="766"/>
      <c r="I131" s="795">
        <v>80</v>
      </c>
      <c r="J131" s="761">
        <v>-0.9</v>
      </c>
      <c r="K131" s="763" t="s">
        <v>100</v>
      </c>
      <c r="L131" s="779">
        <f t="shared" si="25"/>
        <v>0</v>
      </c>
      <c r="M131" s="751"/>
      <c r="N131" s="751"/>
      <c r="O131" s="759"/>
      <c r="P131" s="749"/>
    </row>
    <row r="132" spans="1:16" ht="14.4" thickBot="1" x14ac:dyDescent="0.3">
      <c r="A132" s="1167"/>
      <c r="B132" s="764"/>
      <c r="C132" s="796">
        <v>40</v>
      </c>
      <c r="D132" s="782">
        <v>-1.1000000000000001</v>
      </c>
      <c r="E132" s="785" t="s">
        <v>100</v>
      </c>
      <c r="F132" s="783">
        <f t="shared" si="24"/>
        <v>0</v>
      </c>
      <c r="G132" s="764"/>
      <c r="H132" s="784"/>
      <c r="I132" s="796">
        <v>90</v>
      </c>
      <c r="J132" s="782">
        <v>-0.8</v>
      </c>
      <c r="K132" s="785" t="s">
        <v>100</v>
      </c>
      <c r="L132" s="783">
        <f t="shared" si="25"/>
        <v>0</v>
      </c>
      <c r="M132" s="764"/>
      <c r="N132" s="764"/>
      <c r="O132" s="803"/>
      <c r="P132" s="749"/>
    </row>
    <row r="133" spans="1:16" ht="14.4" thickBot="1" x14ac:dyDescent="0.3">
      <c r="A133" s="804"/>
      <c r="B133" s="751"/>
      <c r="C133" s="805"/>
      <c r="D133" s="805"/>
      <c r="E133" s="806"/>
      <c r="F133" s="807"/>
      <c r="G133" s="751"/>
      <c r="H133" s="751"/>
      <c r="I133" s="805"/>
      <c r="J133" s="805"/>
      <c r="K133" s="806"/>
      <c r="L133" s="807"/>
      <c r="M133" s="751"/>
      <c r="N133" s="751"/>
      <c r="O133" s="751"/>
      <c r="P133" s="749"/>
    </row>
    <row r="134" spans="1:16" ht="14.4" thickBot="1" x14ac:dyDescent="0.3">
      <c r="A134" s="1165">
        <v>13</v>
      </c>
      <c r="B134" s="1168" t="s">
        <v>356</v>
      </c>
      <c r="C134" s="1169"/>
      <c r="D134" s="1169"/>
      <c r="E134" s="1169"/>
      <c r="F134" s="1170"/>
      <c r="G134" s="750"/>
      <c r="H134" s="1168" t="str">
        <f>B134</f>
        <v>KOREKSI Extech SD700/A.100605</v>
      </c>
      <c r="I134" s="1169"/>
      <c r="J134" s="1169"/>
      <c r="K134" s="1169"/>
      <c r="L134" s="1170"/>
      <c r="M134" s="750"/>
      <c r="N134" s="1155" t="s">
        <v>170</v>
      </c>
      <c r="O134" s="1156"/>
      <c r="P134" s="749"/>
    </row>
    <row r="135" spans="1:16" ht="12.75" customHeight="1" thickBot="1" x14ac:dyDescent="0.3">
      <c r="A135" s="1166"/>
      <c r="B135" s="1157" t="s">
        <v>227</v>
      </c>
      <c r="C135" s="1158"/>
      <c r="D135" s="1159" t="s">
        <v>284</v>
      </c>
      <c r="E135" s="1160"/>
      <c r="F135" s="1161" t="s">
        <v>234</v>
      </c>
      <c r="G135" s="751"/>
      <c r="H135" s="1157" t="s">
        <v>228</v>
      </c>
      <c r="I135" s="1158"/>
      <c r="J135" s="1159" t="s">
        <v>284</v>
      </c>
      <c r="K135" s="1160"/>
      <c r="L135" s="1161" t="s">
        <v>234</v>
      </c>
      <c r="M135" s="751"/>
      <c r="N135" s="769" t="s">
        <v>227</v>
      </c>
      <c r="O135" s="792">
        <v>0.3</v>
      </c>
      <c r="P135" s="749"/>
    </row>
    <row r="136" spans="1:16" ht="14.4" thickBot="1" x14ac:dyDescent="0.3">
      <c r="A136" s="1166"/>
      <c r="B136" s="1157" t="s">
        <v>515</v>
      </c>
      <c r="C136" s="1158"/>
      <c r="D136" s="771">
        <v>2020</v>
      </c>
      <c r="E136" s="798" t="s">
        <v>100</v>
      </c>
      <c r="F136" s="1162"/>
      <c r="G136" s="751"/>
      <c r="H136" s="1163" t="s">
        <v>141</v>
      </c>
      <c r="I136" s="1164"/>
      <c r="J136" s="772">
        <f>D136</f>
        <v>2020</v>
      </c>
      <c r="K136" s="772" t="str">
        <f>E136</f>
        <v>-</v>
      </c>
      <c r="L136" s="1162"/>
      <c r="M136" s="751"/>
      <c r="N136" s="773" t="s">
        <v>141</v>
      </c>
      <c r="O136" s="791">
        <v>2.7</v>
      </c>
      <c r="P136" s="749"/>
    </row>
    <row r="137" spans="1:16" x14ac:dyDescent="0.25">
      <c r="A137" s="1166"/>
      <c r="B137" s="751"/>
      <c r="C137" s="793">
        <v>15</v>
      </c>
      <c r="D137" s="776">
        <v>-0.7</v>
      </c>
      <c r="E137" s="799" t="s">
        <v>100</v>
      </c>
      <c r="F137" s="777">
        <f t="shared" ref="F137:F143" si="26">0.5*(MAX(D137:E137)-MIN(D137:E137))</f>
        <v>0</v>
      </c>
      <c r="G137" s="751"/>
      <c r="H137" s="766"/>
      <c r="I137" s="793">
        <v>30</v>
      </c>
      <c r="J137" s="776">
        <v>-1.5</v>
      </c>
      <c r="K137" s="799" t="s">
        <v>100</v>
      </c>
      <c r="L137" s="777">
        <f t="shared" ref="L137:L143" si="27">0.5*(MAX(J137:K137)-MIN(J137:K137))</f>
        <v>0</v>
      </c>
      <c r="M137" s="751"/>
      <c r="N137" s="751"/>
      <c r="O137" s="759"/>
      <c r="P137" s="749"/>
    </row>
    <row r="138" spans="1:16" x14ac:dyDescent="0.25">
      <c r="A138" s="1166"/>
      <c r="B138" s="751"/>
      <c r="C138" s="794">
        <v>20</v>
      </c>
      <c r="D138" s="757">
        <v>-0.4</v>
      </c>
      <c r="E138" s="800" t="s">
        <v>100</v>
      </c>
      <c r="F138" s="779">
        <f t="shared" si="26"/>
        <v>0</v>
      </c>
      <c r="G138" s="751"/>
      <c r="H138" s="766"/>
      <c r="I138" s="794">
        <v>40</v>
      </c>
      <c r="J138" s="757">
        <v>-1.3</v>
      </c>
      <c r="K138" s="800" t="s">
        <v>100</v>
      </c>
      <c r="L138" s="779">
        <f t="shared" si="27"/>
        <v>0</v>
      </c>
      <c r="M138" s="751"/>
      <c r="N138" s="751"/>
      <c r="O138" s="759"/>
      <c r="P138" s="749"/>
    </row>
    <row r="139" spans="1:16" x14ac:dyDescent="0.25">
      <c r="A139" s="1166"/>
      <c r="B139" s="751"/>
      <c r="C139" s="794">
        <v>25</v>
      </c>
      <c r="D139" s="757">
        <v>-0.2</v>
      </c>
      <c r="E139" s="800" t="s">
        <v>100</v>
      </c>
      <c r="F139" s="779">
        <f t="shared" si="26"/>
        <v>0</v>
      </c>
      <c r="G139" s="751"/>
      <c r="H139" s="766"/>
      <c r="I139" s="794">
        <v>50</v>
      </c>
      <c r="J139" s="757">
        <v>-1.3</v>
      </c>
      <c r="K139" s="800" t="s">
        <v>100</v>
      </c>
      <c r="L139" s="779">
        <f t="shared" si="27"/>
        <v>0</v>
      </c>
      <c r="M139" s="751"/>
      <c r="N139" s="751"/>
      <c r="O139" s="759"/>
      <c r="P139" s="749"/>
    </row>
    <row r="140" spans="1:16" x14ac:dyDescent="0.25">
      <c r="A140" s="1166"/>
      <c r="B140" s="751"/>
      <c r="C140" s="795">
        <v>30</v>
      </c>
      <c r="D140" s="761">
        <v>0.1</v>
      </c>
      <c r="E140" s="763" t="s">
        <v>100</v>
      </c>
      <c r="F140" s="779">
        <f t="shared" si="26"/>
        <v>0</v>
      </c>
      <c r="G140" s="751"/>
      <c r="H140" s="766"/>
      <c r="I140" s="795">
        <v>60</v>
      </c>
      <c r="J140" s="761">
        <v>-1.5</v>
      </c>
      <c r="K140" s="763" t="s">
        <v>100</v>
      </c>
      <c r="L140" s="779">
        <f t="shared" si="27"/>
        <v>0</v>
      </c>
      <c r="M140" s="751"/>
      <c r="N140" s="751"/>
      <c r="O140" s="759"/>
      <c r="P140" s="749"/>
    </row>
    <row r="141" spans="1:16" x14ac:dyDescent="0.25">
      <c r="A141" s="1166"/>
      <c r="B141" s="751"/>
      <c r="C141" s="795">
        <v>35</v>
      </c>
      <c r="D141" s="761">
        <v>0.3</v>
      </c>
      <c r="E141" s="763" t="s">
        <v>100</v>
      </c>
      <c r="F141" s="779">
        <f t="shared" si="26"/>
        <v>0</v>
      </c>
      <c r="G141" s="751"/>
      <c r="H141" s="766"/>
      <c r="I141" s="795">
        <v>70</v>
      </c>
      <c r="J141" s="761">
        <v>-1.9</v>
      </c>
      <c r="K141" s="763" t="s">
        <v>100</v>
      </c>
      <c r="L141" s="779">
        <f t="shared" si="27"/>
        <v>0</v>
      </c>
      <c r="M141" s="751"/>
      <c r="N141" s="751"/>
      <c r="O141" s="759"/>
      <c r="P141" s="749"/>
    </row>
    <row r="142" spans="1:16" x14ac:dyDescent="0.25">
      <c r="A142" s="1166"/>
      <c r="B142" s="751"/>
      <c r="C142" s="795">
        <v>37</v>
      </c>
      <c r="D142" s="761">
        <v>0.4</v>
      </c>
      <c r="E142" s="763" t="s">
        <v>100</v>
      </c>
      <c r="F142" s="779">
        <f t="shared" si="26"/>
        <v>0</v>
      </c>
      <c r="G142" s="751"/>
      <c r="H142" s="766"/>
      <c r="I142" s="795">
        <v>80</v>
      </c>
      <c r="J142" s="761">
        <v>-2.5</v>
      </c>
      <c r="K142" s="763" t="s">
        <v>100</v>
      </c>
      <c r="L142" s="779">
        <f t="shared" si="27"/>
        <v>0</v>
      </c>
      <c r="M142" s="751"/>
      <c r="N142" s="751"/>
      <c r="O142" s="759"/>
      <c r="P142" s="749"/>
    </row>
    <row r="143" spans="1:16" ht="14.4" thickBot="1" x14ac:dyDescent="0.3">
      <c r="A143" s="1167"/>
      <c r="B143" s="764"/>
      <c r="C143" s="796">
        <v>40</v>
      </c>
      <c r="D143" s="782">
        <v>0.5</v>
      </c>
      <c r="E143" s="785" t="s">
        <v>100</v>
      </c>
      <c r="F143" s="783">
        <f t="shared" si="26"/>
        <v>0</v>
      </c>
      <c r="G143" s="764"/>
      <c r="H143" s="784"/>
      <c r="I143" s="796">
        <v>90</v>
      </c>
      <c r="J143" s="782">
        <v>-3.2</v>
      </c>
      <c r="K143" s="785" t="s">
        <v>100</v>
      </c>
      <c r="L143" s="783">
        <f t="shared" si="27"/>
        <v>0</v>
      </c>
      <c r="M143" s="764"/>
      <c r="N143" s="764"/>
      <c r="O143" s="803"/>
      <c r="P143" s="749"/>
    </row>
    <row r="144" spans="1:16" ht="14.4" thickBot="1" x14ac:dyDescent="0.3">
      <c r="A144" s="804"/>
      <c r="B144" s="751"/>
      <c r="C144" s="805"/>
      <c r="D144" s="805"/>
      <c r="E144" s="806"/>
      <c r="F144" s="807"/>
      <c r="G144" s="751"/>
      <c r="H144" s="751"/>
      <c r="I144" s="805"/>
      <c r="J144" s="805"/>
      <c r="K144" s="806"/>
      <c r="L144" s="807"/>
      <c r="M144" s="751"/>
      <c r="N144" s="751"/>
      <c r="O144" s="751"/>
      <c r="P144" s="749"/>
    </row>
    <row r="145" spans="1:16" ht="14.4" thickBot="1" x14ac:dyDescent="0.3">
      <c r="A145" s="1165">
        <v>14</v>
      </c>
      <c r="B145" s="1168" t="s">
        <v>357</v>
      </c>
      <c r="C145" s="1169"/>
      <c r="D145" s="1169"/>
      <c r="E145" s="1169"/>
      <c r="F145" s="1170"/>
      <c r="G145" s="750"/>
      <c r="H145" s="1168" t="str">
        <f>B145</f>
        <v>KOREKSI Extech SD700/A.100611</v>
      </c>
      <c r="I145" s="1169"/>
      <c r="J145" s="1169"/>
      <c r="K145" s="1169"/>
      <c r="L145" s="1170"/>
      <c r="M145" s="750"/>
      <c r="N145" s="1155" t="s">
        <v>170</v>
      </c>
      <c r="O145" s="1156"/>
      <c r="P145" s="749"/>
    </row>
    <row r="146" spans="1:16" ht="14.4" thickBot="1" x14ac:dyDescent="0.3">
      <c r="A146" s="1166"/>
      <c r="B146" s="1157" t="s">
        <v>227</v>
      </c>
      <c r="C146" s="1158"/>
      <c r="D146" s="1159" t="s">
        <v>284</v>
      </c>
      <c r="E146" s="1160"/>
      <c r="F146" s="1161" t="s">
        <v>234</v>
      </c>
      <c r="G146" s="751"/>
      <c r="H146" s="1157" t="s">
        <v>228</v>
      </c>
      <c r="I146" s="1158"/>
      <c r="J146" s="1159" t="s">
        <v>284</v>
      </c>
      <c r="K146" s="1160"/>
      <c r="L146" s="1161" t="s">
        <v>234</v>
      </c>
      <c r="M146" s="751"/>
      <c r="N146" s="769" t="s">
        <v>227</v>
      </c>
      <c r="O146" s="792">
        <v>0.3</v>
      </c>
      <c r="P146" s="749"/>
    </row>
    <row r="147" spans="1:16" ht="14.4" thickBot="1" x14ac:dyDescent="0.3">
      <c r="A147" s="1166"/>
      <c r="B147" s="1157" t="s">
        <v>515</v>
      </c>
      <c r="C147" s="1158"/>
      <c r="D147" s="771">
        <v>2017</v>
      </c>
      <c r="E147" s="798" t="s">
        <v>100</v>
      </c>
      <c r="F147" s="1162"/>
      <c r="G147" s="751"/>
      <c r="H147" s="1163" t="s">
        <v>141</v>
      </c>
      <c r="I147" s="1164"/>
      <c r="J147" s="772">
        <f>D147</f>
        <v>2017</v>
      </c>
      <c r="K147" s="772" t="str">
        <f>E147</f>
        <v>-</v>
      </c>
      <c r="L147" s="1162"/>
      <c r="M147" s="751"/>
      <c r="N147" s="773" t="s">
        <v>141</v>
      </c>
      <c r="O147" s="791">
        <v>2.7</v>
      </c>
      <c r="P147" s="749"/>
    </row>
    <row r="148" spans="1:16" x14ac:dyDescent="0.25">
      <c r="A148" s="1166"/>
      <c r="B148" s="751"/>
      <c r="C148" s="793">
        <v>15</v>
      </c>
      <c r="D148" s="776">
        <v>-0.6</v>
      </c>
      <c r="E148" s="799" t="s">
        <v>100</v>
      </c>
      <c r="F148" s="777">
        <f t="shared" ref="F148:F154" si="28">0.5*(MAX(D148:E148)-MIN(D148:E148))</f>
        <v>0</v>
      </c>
      <c r="G148" s="751"/>
      <c r="H148" s="766"/>
      <c r="I148" s="793">
        <v>30</v>
      </c>
      <c r="J148" s="776">
        <v>-0.5</v>
      </c>
      <c r="K148" s="799" t="s">
        <v>100</v>
      </c>
      <c r="L148" s="777">
        <f t="shared" ref="L148:L154" si="29">0.5*(MAX(J148:K148)-MIN(J148:K148))</f>
        <v>0</v>
      </c>
      <c r="M148" s="751"/>
      <c r="N148" s="751"/>
      <c r="O148" s="759"/>
      <c r="P148" s="749"/>
    </row>
    <row r="149" spans="1:16" x14ac:dyDescent="0.25">
      <c r="A149" s="1166"/>
      <c r="B149" s="751"/>
      <c r="C149" s="794">
        <v>20</v>
      </c>
      <c r="D149" s="757">
        <v>-0.5</v>
      </c>
      <c r="E149" s="800" t="s">
        <v>100</v>
      </c>
      <c r="F149" s="779">
        <f t="shared" si="28"/>
        <v>0</v>
      </c>
      <c r="G149" s="751"/>
      <c r="H149" s="766"/>
      <c r="I149" s="794">
        <v>40</v>
      </c>
      <c r="J149" s="757">
        <v>-0.3</v>
      </c>
      <c r="K149" s="800" t="s">
        <v>100</v>
      </c>
      <c r="L149" s="779">
        <f t="shared" si="29"/>
        <v>0</v>
      </c>
      <c r="M149" s="751"/>
      <c r="N149" s="751"/>
      <c r="O149" s="759"/>
      <c r="P149" s="749"/>
    </row>
    <row r="150" spans="1:16" x14ac:dyDescent="0.25">
      <c r="A150" s="1166"/>
      <c r="B150" s="751"/>
      <c r="C150" s="794">
        <v>25</v>
      </c>
      <c r="D150" s="757">
        <v>-0.4</v>
      </c>
      <c r="E150" s="800" t="s">
        <v>100</v>
      </c>
      <c r="F150" s="779">
        <f t="shared" si="28"/>
        <v>0</v>
      </c>
      <c r="G150" s="751"/>
      <c r="H150" s="766"/>
      <c r="I150" s="794">
        <v>50</v>
      </c>
      <c r="J150" s="757">
        <v>-0.3</v>
      </c>
      <c r="K150" s="800" t="s">
        <v>100</v>
      </c>
      <c r="L150" s="779">
        <f t="shared" si="29"/>
        <v>0</v>
      </c>
      <c r="M150" s="751"/>
      <c r="N150" s="751"/>
      <c r="O150" s="759"/>
      <c r="P150" s="749"/>
    </row>
    <row r="151" spans="1:16" x14ac:dyDescent="0.25">
      <c r="A151" s="1166"/>
      <c r="B151" s="751"/>
      <c r="C151" s="795">
        <v>30</v>
      </c>
      <c r="D151" s="761">
        <v>-0.2</v>
      </c>
      <c r="E151" s="763" t="s">
        <v>100</v>
      </c>
      <c r="F151" s="779">
        <f t="shared" si="28"/>
        <v>0</v>
      </c>
      <c r="G151" s="751"/>
      <c r="H151" s="766"/>
      <c r="I151" s="795">
        <v>60</v>
      </c>
      <c r="J151" s="761">
        <v>-0.5</v>
      </c>
      <c r="K151" s="763" t="s">
        <v>100</v>
      </c>
      <c r="L151" s="779">
        <f t="shared" si="29"/>
        <v>0</v>
      </c>
      <c r="M151" s="751"/>
      <c r="N151" s="751"/>
      <c r="O151" s="759"/>
      <c r="P151" s="749"/>
    </row>
    <row r="152" spans="1:16" x14ac:dyDescent="0.25">
      <c r="A152" s="1166"/>
      <c r="B152" s="751"/>
      <c r="C152" s="795">
        <v>35</v>
      </c>
      <c r="D152" s="761">
        <v>-0.1</v>
      </c>
      <c r="E152" s="763" t="s">
        <v>100</v>
      </c>
      <c r="F152" s="779">
        <f t="shared" si="28"/>
        <v>0</v>
      </c>
      <c r="G152" s="751"/>
      <c r="H152" s="766"/>
      <c r="I152" s="795">
        <v>70</v>
      </c>
      <c r="J152" s="761">
        <v>-0.8</v>
      </c>
      <c r="K152" s="763" t="s">
        <v>100</v>
      </c>
      <c r="L152" s="779">
        <f t="shared" si="29"/>
        <v>0</v>
      </c>
      <c r="M152" s="751"/>
      <c r="N152" s="751"/>
      <c r="O152" s="759"/>
      <c r="P152" s="749"/>
    </row>
    <row r="153" spans="1:16" x14ac:dyDescent="0.25">
      <c r="A153" s="1166"/>
      <c r="B153" s="751"/>
      <c r="C153" s="795">
        <v>37</v>
      </c>
      <c r="D153" s="761">
        <v>-0.1</v>
      </c>
      <c r="E153" s="763" t="s">
        <v>100</v>
      </c>
      <c r="F153" s="779">
        <f t="shared" si="28"/>
        <v>0</v>
      </c>
      <c r="G153" s="751"/>
      <c r="H153" s="766"/>
      <c r="I153" s="795">
        <v>80</v>
      </c>
      <c r="J153" s="761">
        <v>-1.3</v>
      </c>
      <c r="K153" s="763" t="s">
        <v>100</v>
      </c>
      <c r="L153" s="779">
        <f t="shared" si="29"/>
        <v>0</v>
      </c>
      <c r="M153" s="751"/>
      <c r="N153" s="751"/>
      <c r="O153" s="759"/>
      <c r="P153" s="749"/>
    </row>
    <row r="154" spans="1:16" ht="14.4" thickBot="1" x14ac:dyDescent="0.3">
      <c r="A154" s="1167"/>
      <c r="B154" s="764"/>
      <c r="C154" s="796">
        <v>40</v>
      </c>
      <c r="D154" s="757">
        <v>9.9999999999999995E-7</v>
      </c>
      <c r="E154" s="785" t="s">
        <v>100</v>
      </c>
      <c r="F154" s="783">
        <f t="shared" si="28"/>
        <v>0</v>
      </c>
      <c r="G154" s="764"/>
      <c r="H154" s="784"/>
      <c r="I154" s="796">
        <v>90</v>
      </c>
      <c r="J154" s="782">
        <v>-2</v>
      </c>
      <c r="K154" s="785" t="s">
        <v>100</v>
      </c>
      <c r="L154" s="783">
        <f t="shared" si="29"/>
        <v>0</v>
      </c>
      <c r="M154" s="764"/>
      <c r="N154" s="764"/>
      <c r="O154" s="803"/>
      <c r="P154" s="749"/>
    </row>
    <row r="155" spans="1:16" ht="14.4" thickBot="1" x14ac:dyDescent="0.3">
      <c r="A155" s="804"/>
      <c r="B155" s="751"/>
      <c r="C155" s="805"/>
      <c r="D155" s="805"/>
      <c r="E155" s="806"/>
      <c r="F155" s="807"/>
      <c r="G155" s="751"/>
      <c r="H155" s="751"/>
      <c r="I155" s="805"/>
      <c r="J155" s="805"/>
      <c r="K155" s="806"/>
      <c r="L155" s="807"/>
      <c r="M155" s="751"/>
      <c r="N155" s="751"/>
      <c r="O155" s="751"/>
      <c r="P155" s="749"/>
    </row>
    <row r="156" spans="1:16" ht="14.4" thickBot="1" x14ac:dyDescent="0.3">
      <c r="A156" s="1165">
        <v>15</v>
      </c>
      <c r="B156" s="1168" t="s">
        <v>358</v>
      </c>
      <c r="C156" s="1169"/>
      <c r="D156" s="1169"/>
      <c r="E156" s="1169"/>
      <c r="F156" s="1170"/>
      <c r="G156" s="750"/>
      <c r="H156" s="1168" t="str">
        <f>B156</f>
        <v>KOREKSI Extech SD700/A.100616</v>
      </c>
      <c r="I156" s="1169"/>
      <c r="J156" s="1169"/>
      <c r="K156" s="1169"/>
      <c r="L156" s="1170"/>
      <c r="M156" s="750"/>
      <c r="N156" s="1155" t="s">
        <v>170</v>
      </c>
      <c r="O156" s="1156"/>
      <c r="P156" s="749"/>
    </row>
    <row r="157" spans="1:16" ht="14.4" thickBot="1" x14ac:dyDescent="0.3">
      <c r="A157" s="1166"/>
      <c r="B157" s="1157" t="s">
        <v>227</v>
      </c>
      <c r="C157" s="1158"/>
      <c r="D157" s="1159" t="s">
        <v>284</v>
      </c>
      <c r="E157" s="1160"/>
      <c r="F157" s="1161" t="s">
        <v>234</v>
      </c>
      <c r="G157" s="751"/>
      <c r="H157" s="1157" t="s">
        <v>228</v>
      </c>
      <c r="I157" s="1158"/>
      <c r="J157" s="1159" t="s">
        <v>284</v>
      </c>
      <c r="K157" s="1160"/>
      <c r="L157" s="1161" t="s">
        <v>234</v>
      </c>
      <c r="M157" s="751"/>
      <c r="N157" s="769" t="s">
        <v>227</v>
      </c>
      <c r="O157" s="792">
        <v>0.4</v>
      </c>
      <c r="P157" s="749"/>
    </row>
    <row r="158" spans="1:16" ht="14.4" thickBot="1" x14ac:dyDescent="0.3">
      <c r="A158" s="1166"/>
      <c r="B158" s="1157" t="s">
        <v>515</v>
      </c>
      <c r="C158" s="1158"/>
      <c r="D158" s="771">
        <v>2020</v>
      </c>
      <c r="E158" s="798" t="s">
        <v>100</v>
      </c>
      <c r="F158" s="1162"/>
      <c r="G158" s="751"/>
      <c r="H158" s="1163" t="s">
        <v>141</v>
      </c>
      <c r="I158" s="1164"/>
      <c r="J158" s="772">
        <f>D158</f>
        <v>2020</v>
      </c>
      <c r="K158" s="772" t="str">
        <f>E158</f>
        <v>-</v>
      </c>
      <c r="L158" s="1162"/>
      <c r="M158" s="751"/>
      <c r="N158" s="773" t="s">
        <v>141</v>
      </c>
      <c r="O158" s="791">
        <v>2.2000000000000002</v>
      </c>
      <c r="P158" s="749"/>
    </row>
    <row r="159" spans="1:16" x14ac:dyDescent="0.25">
      <c r="A159" s="1166"/>
      <c r="B159" s="751"/>
      <c r="C159" s="793">
        <v>15</v>
      </c>
      <c r="D159" s="776">
        <v>0.1</v>
      </c>
      <c r="E159" s="799" t="s">
        <v>100</v>
      </c>
      <c r="F159" s="777">
        <f t="shared" ref="F159:F165" si="30">0.5*(MAX(D159:E159)-MIN(D159:E159))</f>
        <v>0</v>
      </c>
      <c r="G159" s="751"/>
      <c r="H159" s="766"/>
      <c r="I159" s="793">
        <v>30</v>
      </c>
      <c r="J159" s="776">
        <v>-1.6</v>
      </c>
      <c r="K159" s="799" t="s">
        <v>100</v>
      </c>
      <c r="L159" s="777">
        <f t="shared" ref="L159:L165" si="31">0.5*(MAX(J159:K159)-MIN(J159:K159))</f>
        <v>0</v>
      </c>
      <c r="M159" s="751"/>
      <c r="N159" s="751"/>
      <c r="O159" s="759"/>
      <c r="P159" s="749"/>
    </row>
    <row r="160" spans="1:16" x14ac:dyDescent="0.25">
      <c r="A160" s="1166"/>
      <c r="B160" s="751"/>
      <c r="C160" s="794">
        <v>20</v>
      </c>
      <c r="D160" s="757">
        <v>0.2</v>
      </c>
      <c r="E160" s="800" t="s">
        <v>100</v>
      </c>
      <c r="F160" s="779">
        <f t="shared" si="30"/>
        <v>0</v>
      </c>
      <c r="G160" s="751"/>
      <c r="H160" s="766"/>
      <c r="I160" s="794">
        <v>40</v>
      </c>
      <c r="J160" s="757">
        <v>-1.4</v>
      </c>
      <c r="K160" s="800" t="s">
        <v>100</v>
      </c>
      <c r="L160" s="779">
        <f t="shared" si="31"/>
        <v>0</v>
      </c>
      <c r="M160" s="751"/>
      <c r="N160" s="751"/>
      <c r="O160" s="759"/>
      <c r="P160" s="749"/>
    </row>
    <row r="161" spans="1:16" x14ac:dyDescent="0.25">
      <c r="A161" s="1166"/>
      <c r="B161" s="751"/>
      <c r="C161" s="794">
        <v>25</v>
      </c>
      <c r="D161" s="757">
        <v>0.2</v>
      </c>
      <c r="E161" s="800" t="s">
        <v>100</v>
      </c>
      <c r="F161" s="779">
        <f t="shared" si="30"/>
        <v>0</v>
      </c>
      <c r="G161" s="751"/>
      <c r="H161" s="766"/>
      <c r="I161" s="794">
        <v>50</v>
      </c>
      <c r="J161" s="757">
        <v>-1.4</v>
      </c>
      <c r="K161" s="800" t="s">
        <v>100</v>
      </c>
      <c r="L161" s="779">
        <f t="shared" si="31"/>
        <v>0</v>
      </c>
      <c r="M161" s="751"/>
      <c r="N161" s="751"/>
      <c r="O161" s="759"/>
      <c r="P161" s="749"/>
    </row>
    <row r="162" spans="1:16" x14ac:dyDescent="0.25">
      <c r="A162" s="1166"/>
      <c r="B162" s="751"/>
      <c r="C162" s="795">
        <v>30</v>
      </c>
      <c r="D162" s="761">
        <v>0.2</v>
      </c>
      <c r="E162" s="763" t="s">
        <v>100</v>
      </c>
      <c r="F162" s="779">
        <f t="shared" si="30"/>
        <v>0</v>
      </c>
      <c r="G162" s="751"/>
      <c r="H162" s="766"/>
      <c r="I162" s="795">
        <v>60</v>
      </c>
      <c r="J162" s="761">
        <v>-1.5</v>
      </c>
      <c r="K162" s="763" t="s">
        <v>100</v>
      </c>
      <c r="L162" s="779">
        <f t="shared" si="31"/>
        <v>0</v>
      </c>
      <c r="M162" s="751"/>
      <c r="N162" s="751"/>
      <c r="O162" s="759"/>
      <c r="P162" s="749"/>
    </row>
    <row r="163" spans="1:16" x14ac:dyDescent="0.25">
      <c r="A163" s="1166"/>
      <c r="B163" s="751"/>
      <c r="C163" s="795">
        <v>35</v>
      </c>
      <c r="D163" s="761">
        <v>0.1</v>
      </c>
      <c r="E163" s="763" t="s">
        <v>100</v>
      </c>
      <c r="F163" s="779">
        <f t="shared" si="30"/>
        <v>0</v>
      </c>
      <c r="G163" s="751"/>
      <c r="H163" s="766"/>
      <c r="I163" s="795">
        <v>70</v>
      </c>
      <c r="J163" s="761">
        <v>-1.8</v>
      </c>
      <c r="K163" s="763" t="s">
        <v>100</v>
      </c>
      <c r="L163" s="779">
        <f t="shared" si="31"/>
        <v>0</v>
      </c>
      <c r="M163" s="751"/>
      <c r="N163" s="751"/>
      <c r="O163" s="759"/>
      <c r="P163" s="749"/>
    </row>
    <row r="164" spans="1:16" x14ac:dyDescent="0.25">
      <c r="A164" s="1166"/>
      <c r="B164" s="751"/>
      <c r="C164" s="795">
        <v>37</v>
      </c>
      <c r="D164" s="757">
        <v>9.9999999999999995E-7</v>
      </c>
      <c r="E164" s="763" t="s">
        <v>100</v>
      </c>
      <c r="F164" s="779">
        <f t="shared" si="30"/>
        <v>0</v>
      </c>
      <c r="G164" s="751"/>
      <c r="H164" s="766"/>
      <c r="I164" s="795">
        <v>80</v>
      </c>
      <c r="J164" s="761">
        <v>-2.2999999999999998</v>
      </c>
      <c r="K164" s="763" t="s">
        <v>100</v>
      </c>
      <c r="L164" s="779">
        <f t="shared" si="31"/>
        <v>0</v>
      </c>
      <c r="M164" s="751"/>
      <c r="N164" s="751"/>
      <c r="O164" s="759"/>
      <c r="P164" s="749"/>
    </row>
    <row r="165" spans="1:16" ht="14.4" thickBot="1" x14ac:dyDescent="0.3">
      <c r="A165" s="1167"/>
      <c r="B165" s="764"/>
      <c r="C165" s="796">
        <v>40</v>
      </c>
      <c r="D165" s="757">
        <v>9.9999999999999995E-7</v>
      </c>
      <c r="E165" s="785" t="s">
        <v>100</v>
      </c>
      <c r="F165" s="783">
        <f t="shared" si="30"/>
        <v>0</v>
      </c>
      <c r="G165" s="764"/>
      <c r="H165" s="784"/>
      <c r="I165" s="796">
        <v>90</v>
      </c>
      <c r="J165" s="782">
        <v>-3</v>
      </c>
      <c r="K165" s="785" t="s">
        <v>100</v>
      </c>
      <c r="L165" s="783">
        <f t="shared" si="31"/>
        <v>0</v>
      </c>
      <c r="M165" s="764"/>
      <c r="N165" s="764"/>
      <c r="O165" s="803"/>
      <c r="P165" s="749"/>
    </row>
    <row r="166" spans="1:16" ht="14.4" thickBot="1" x14ac:dyDescent="0.3">
      <c r="A166" s="804"/>
      <c r="B166" s="751"/>
      <c r="C166" s="805"/>
      <c r="D166" s="805"/>
      <c r="E166" s="806"/>
      <c r="F166" s="807"/>
      <c r="G166" s="751"/>
      <c r="H166" s="751"/>
      <c r="I166" s="805"/>
      <c r="J166" s="805"/>
      <c r="K166" s="806"/>
      <c r="L166" s="807"/>
      <c r="M166" s="751"/>
      <c r="N166" s="751"/>
      <c r="O166" s="751"/>
      <c r="P166" s="749"/>
    </row>
    <row r="167" spans="1:16" ht="14.4" thickBot="1" x14ac:dyDescent="0.3">
      <c r="A167" s="1165">
        <v>16</v>
      </c>
      <c r="B167" s="1168" t="s">
        <v>359</v>
      </c>
      <c r="C167" s="1169"/>
      <c r="D167" s="1169"/>
      <c r="E167" s="1169"/>
      <c r="F167" s="1170"/>
      <c r="G167" s="750"/>
      <c r="H167" s="1168" t="str">
        <f>B167</f>
        <v>KOREKSI Extech SD700/A.100617</v>
      </c>
      <c r="I167" s="1169"/>
      <c r="J167" s="1169"/>
      <c r="K167" s="1169"/>
      <c r="L167" s="1170"/>
      <c r="M167" s="750"/>
      <c r="N167" s="1155" t="s">
        <v>170</v>
      </c>
      <c r="O167" s="1156"/>
      <c r="P167" s="749"/>
    </row>
    <row r="168" spans="1:16" ht="14.4" thickBot="1" x14ac:dyDescent="0.3">
      <c r="A168" s="1166"/>
      <c r="B168" s="1157" t="s">
        <v>227</v>
      </c>
      <c r="C168" s="1158"/>
      <c r="D168" s="1159" t="s">
        <v>284</v>
      </c>
      <c r="E168" s="1160"/>
      <c r="F168" s="1161" t="s">
        <v>234</v>
      </c>
      <c r="G168" s="751"/>
      <c r="H168" s="1157" t="s">
        <v>228</v>
      </c>
      <c r="I168" s="1158"/>
      <c r="J168" s="1159" t="s">
        <v>284</v>
      </c>
      <c r="K168" s="1160"/>
      <c r="L168" s="1161" t="s">
        <v>234</v>
      </c>
      <c r="M168" s="751"/>
      <c r="N168" s="769" t="s">
        <v>227</v>
      </c>
      <c r="O168" s="792">
        <v>0.3</v>
      </c>
      <c r="P168" s="749"/>
    </row>
    <row r="169" spans="1:16" ht="14.4" thickBot="1" x14ac:dyDescent="0.3">
      <c r="A169" s="1166"/>
      <c r="B169" s="1157" t="s">
        <v>515</v>
      </c>
      <c r="C169" s="1158"/>
      <c r="D169" s="771">
        <v>2020</v>
      </c>
      <c r="E169" s="798" t="s">
        <v>100</v>
      </c>
      <c r="F169" s="1162"/>
      <c r="G169" s="751"/>
      <c r="H169" s="1163" t="s">
        <v>141</v>
      </c>
      <c r="I169" s="1164"/>
      <c r="J169" s="772">
        <f>D169</f>
        <v>2020</v>
      </c>
      <c r="K169" s="772" t="str">
        <f>E169</f>
        <v>-</v>
      </c>
      <c r="L169" s="1162"/>
      <c r="M169" s="751"/>
      <c r="N169" s="773" t="s">
        <v>141</v>
      </c>
      <c r="O169" s="791">
        <v>2.8</v>
      </c>
      <c r="P169" s="749"/>
    </row>
    <row r="170" spans="1:16" x14ac:dyDescent="0.25">
      <c r="A170" s="1166"/>
      <c r="B170" s="751"/>
      <c r="C170" s="793">
        <v>15</v>
      </c>
      <c r="D170" s="776">
        <v>0.1</v>
      </c>
      <c r="E170" s="799" t="s">
        <v>100</v>
      </c>
      <c r="F170" s="777">
        <f t="shared" ref="F170:F176" si="32">0.5*(MAX(D170:E170)-MIN(D170:E170))</f>
        <v>0</v>
      </c>
      <c r="G170" s="751"/>
      <c r="H170" s="766"/>
      <c r="I170" s="793">
        <v>30</v>
      </c>
      <c r="J170" s="776">
        <v>0.1</v>
      </c>
      <c r="K170" s="799" t="s">
        <v>100</v>
      </c>
      <c r="L170" s="777">
        <f t="shared" ref="L170:L176" si="33">0.5*(MAX(J170:K170)-MIN(J170:K170))</f>
        <v>0</v>
      </c>
      <c r="M170" s="751"/>
      <c r="N170" s="751"/>
      <c r="O170" s="759"/>
      <c r="P170" s="749"/>
    </row>
    <row r="171" spans="1:16" x14ac:dyDescent="0.25">
      <c r="A171" s="1166"/>
      <c r="B171" s="751"/>
      <c r="C171" s="794">
        <v>20</v>
      </c>
      <c r="D171" s="757">
        <v>0.1</v>
      </c>
      <c r="E171" s="800" t="s">
        <v>100</v>
      </c>
      <c r="F171" s="779">
        <f t="shared" si="32"/>
        <v>0</v>
      </c>
      <c r="G171" s="751"/>
      <c r="H171" s="766"/>
      <c r="I171" s="794">
        <v>40</v>
      </c>
      <c r="J171" s="757">
        <v>0.2</v>
      </c>
      <c r="K171" s="800" t="s">
        <v>100</v>
      </c>
      <c r="L171" s="779">
        <f t="shared" si="33"/>
        <v>0</v>
      </c>
      <c r="M171" s="751"/>
      <c r="N171" s="751"/>
      <c r="O171" s="759"/>
      <c r="P171" s="749"/>
    </row>
    <row r="172" spans="1:16" x14ac:dyDescent="0.25">
      <c r="A172" s="1166"/>
      <c r="B172" s="751"/>
      <c r="C172" s="794">
        <v>25</v>
      </c>
      <c r="D172" s="757">
        <v>9.9999999999999995E-7</v>
      </c>
      <c r="E172" s="800" t="s">
        <v>100</v>
      </c>
      <c r="F172" s="779">
        <f t="shared" si="32"/>
        <v>0</v>
      </c>
      <c r="G172" s="751"/>
      <c r="H172" s="766"/>
      <c r="I172" s="794">
        <v>50</v>
      </c>
      <c r="J172" s="757">
        <v>0.2</v>
      </c>
      <c r="K172" s="800" t="s">
        <v>100</v>
      </c>
      <c r="L172" s="779">
        <f t="shared" si="33"/>
        <v>0</v>
      </c>
      <c r="M172" s="751"/>
      <c r="N172" s="751"/>
      <c r="O172" s="759"/>
      <c r="P172" s="749"/>
    </row>
    <row r="173" spans="1:16" x14ac:dyDescent="0.25">
      <c r="A173" s="1166"/>
      <c r="B173" s="751"/>
      <c r="C173" s="795">
        <v>30</v>
      </c>
      <c r="D173" s="761">
        <v>-0.2</v>
      </c>
      <c r="E173" s="763" t="s">
        <v>100</v>
      </c>
      <c r="F173" s="779">
        <f t="shared" si="32"/>
        <v>0</v>
      </c>
      <c r="G173" s="751"/>
      <c r="H173" s="766"/>
      <c r="I173" s="795">
        <v>60</v>
      </c>
      <c r="J173" s="757">
        <v>9.9999999999999995E-7</v>
      </c>
      <c r="K173" s="763" t="s">
        <v>100</v>
      </c>
      <c r="L173" s="779">
        <f t="shared" si="33"/>
        <v>0</v>
      </c>
      <c r="M173" s="751"/>
      <c r="N173" s="751"/>
      <c r="O173" s="759"/>
      <c r="P173" s="749"/>
    </row>
    <row r="174" spans="1:16" x14ac:dyDescent="0.25">
      <c r="A174" s="1166"/>
      <c r="B174" s="751"/>
      <c r="C174" s="795">
        <v>35</v>
      </c>
      <c r="D174" s="761">
        <v>-0.5</v>
      </c>
      <c r="E174" s="763" t="s">
        <v>100</v>
      </c>
      <c r="F174" s="779">
        <f t="shared" si="32"/>
        <v>0</v>
      </c>
      <c r="G174" s="751"/>
      <c r="H174" s="766"/>
      <c r="I174" s="795">
        <v>70</v>
      </c>
      <c r="J174" s="761">
        <v>-0.3</v>
      </c>
      <c r="K174" s="763" t="s">
        <v>100</v>
      </c>
      <c r="L174" s="779">
        <f t="shared" si="33"/>
        <v>0</v>
      </c>
      <c r="M174" s="751"/>
      <c r="N174" s="751"/>
      <c r="O174" s="759"/>
      <c r="P174" s="749"/>
    </row>
    <row r="175" spans="1:16" x14ac:dyDescent="0.25">
      <c r="A175" s="1166"/>
      <c r="B175" s="751"/>
      <c r="C175" s="795">
        <v>37</v>
      </c>
      <c r="D175" s="761">
        <v>-0.6</v>
      </c>
      <c r="E175" s="763" t="s">
        <v>100</v>
      </c>
      <c r="F175" s="779">
        <f t="shared" si="32"/>
        <v>0</v>
      </c>
      <c r="G175" s="751"/>
      <c r="H175" s="766"/>
      <c r="I175" s="795">
        <v>80</v>
      </c>
      <c r="J175" s="761">
        <v>-0.8</v>
      </c>
      <c r="K175" s="763" t="s">
        <v>100</v>
      </c>
      <c r="L175" s="779">
        <f t="shared" si="33"/>
        <v>0</v>
      </c>
      <c r="M175" s="751"/>
      <c r="N175" s="751"/>
      <c r="O175" s="759"/>
      <c r="P175" s="749"/>
    </row>
    <row r="176" spans="1:16" ht="14.4" thickBot="1" x14ac:dyDescent="0.3">
      <c r="A176" s="1167"/>
      <c r="B176" s="764"/>
      <c r="C176" s="796">
        <v>40</v>
      </c>
      <c r="D176" s="782">
        <v>-0.8</v>
      </c>
      <c r="E176" s="785" t="s">
        <v>100</v>
      </c>
      <c r="F176" s="783">
        <f t="shared" si="32"/>
        <v>0</v>
      </c>
      <c r="G176" s="764"/>
      <c r="H176" s="784"/>
      <c r="I176" s="796">
        <v>90</v>
      </c>
      <c r="J176" s="782">
        <v>-1.4</v>
      </c>
      <c r="K176" s="785" t="s">
        <v>100</v>
      </c>
      <c r="L176" s="783">
        <f t="shared" si="33"/>
        <v>0</v>
      </c>
      <c r="M176" s="764"/>
      <c r="N176" s="764"/>
      <c r="O176" s="803"/>
      <c r="P176" s="749"/>
    </row>
    <row r="177" spans="1:16" ht="14.4" thickBot="1" x14ac:dyDescent="0.3">
      <c r="A177" s="1165">
        <v>17</v>
      </c>
      <c r="B177" s="1168" t="s">
        <v>360</v>
      </c>
      <c r="C177" s="1169"/>
      <c r="D177" s="1169"/>
      <c r="E177" s="1169"/>
      <c r="F177" s="1170"/>
      <c r="G177" s="750"/>
      <c r="H177" s="1168">
        <v>13</v>
      </c>
      <c r="I177" s="1169"/>
      <c r="J177" s="1169"/>
      <c r="K177" s="1169"/>
      <c r="L177" s="1170"/>
      <c r="M177" s="750"/>
      <c r="N177" s="1155" t="s">
        <v>170</v>
      </c>
      <c r="O177" s="1156"/>
      <c r="P177" s="749"/>
    </row>
    <row r="178" spans="1:16" ht="14.4" thickBot="1" x14ac:dyDescent="0.3">
      <c r="A178" s="1166"/>
      <c r="B178" s="1157" t="s">
        <v>227</v>
      </c>
      <c r="C178" s="1158"/>
      <c r="D178" s="1159" t="s">
        <v>284</v>
      </c>
      <c r="E178" s="1160"/>
      <c r="F178" s="1161" t="s">
        <v>234</v>
      </c>
      <c r="G178" s="751"/>
      <c r="H178" s="1157" t="s">
        <v>228</v>
      </c>
      <c r="I178" s="1158"/>
      <c r="J178" s="1159" t="s">
        <v>284</v>
      </c>
      <c r="K178" s="1160"/>
      <c r="L178" s="1161" t="s">
        <v>234</v>
      </c>
      <c r="M178" s="751"/>
      <c r="N178" s="769" t="s">
        <v>227</v>
      </c>
      <c r="O178" s="792">
        <v>0.3</v>
      </c>
      <c r="P178" s="749"/>
    </row>
    <row r="179" spans="1:16" ht="14.4" thickBot="1" x14ac:dyDescent="0.3">
      <c r="A179" s="1166"/>
      <c r="B179" s="1157" t="s">
        <v>515</v>
      </c>
      <c r="C179" s="1158"/>
      <c r="D179" s="771">
        <v>2020</v>
      </c>
      <c r="E179" s="798" t="s">
        <v>100</v>
      </c>
      <c r="F179" s="1162"/>
      <c r="G179" s="751"/>
      <c r="H179" s="1163" t="s">
        <v>141</v>
      </c>
      <c r="I179" s="1164"/>
      <c r="J179" s="772">
        <f>D179</f>
        <v>2020</v>
      </c>
      <c r="K179" s="772" t="str">
        <f>E179</f>
        <v>-</v>
      </c>
      <c r="L179" s="1162"/>
      <c r="M179" s="751"/>
      <c r="N179" s="773" t="s">
        <v>141</v>
      </c>
      <c r="O179" s="791">
        <v>1.6</v>
      </c>
      <c r="P179" s="749"/>
    </row>
    <row r="180" spans="1:16" x14ac:dyDescent="0.25">
      <c r="A180" s="1166"/>
      <c r="B180" s="751"/>
      <c r="C180" s="793">
        <v>15</v>
      </c>
      <c r="D180" s="757">
        <v>9.9999999999999995E-7</v>
      </c>
      <c r="E180" s="799" t="s">
        <v>100</v>
      </c>
      <c r="F180" s="777">
        <f t="shared" ref="F180:F186" si="34">0.5*(MAX(D180:E180)-MIN(D180:E180))</f>
        <v>0</v>
      </c>
      <c r="G180" s="751"/>
      <c r="H180" s="766"/>
      <c r="I180" s="793">
        <v>30</v>
      </c>
      <c r="J180" s="776">
        <v>-0.4</v>
      </c>
      <c r="K180" s="799" t="s">
        <v>100</v>
      </c>
      <c r="L180" s="777">
        <f t="shared" ref="L180:L186" si="35">0.5*(MAX(J180:K180)-MIN(J180:K180))</f>
        <v>0</v>
      </c>
      <c r="M180" s="751"/>
      <c r="N180" s="751"/>
      <c r="O180" s="759"/>
      <c r="P180" s="749"/>
    </row>
    <row r="181" spans="1:16" x14ac:dyDescent="0.25">
      <c r="A181" s="1166"/>
      <c r="B181" s="751"/>
      <c r="C181" s="794">
        <v>20</v>
      </c>
      <c r="D181" s="757">
        <v>-0.1</v>
      </c>
      <c r="E181" s="800" t="s">
        <v>100</v>
      </c>
      <c r="F181" s="779">
        <f t="shared" si="34"/>
        <v>0</v>
      </c>
      <c r="G181" s="751"/>
      <c r="H181" s="766"/>
      <c r="I181" s="794">
        <v>40</v>
      </c>
      <c r="J181" s="757">
        <v>-0.2</v>
      </c>
      <c r="K181" s="800" t="s">
        <v>100</v>
      </c>
      <c r="L181" s="779">
        <f t="shared" si="35"/>
        <v>0</v>
      </c>
      <c r="M181" s="751"/>
      <c r="N181" s="751"/>
      <c r="O181" s="759"/>
      <c r="P181" s="749"/>
    </row>
    <row r="182" spans="1:16" x14ac:dyDescent="0.25">
      <c r="A182" s="1166"/>
      <c r="B182" s="751"/>
      <c r="C182" s="794">
        <v>25</v>
      </c>
      <c r="D182" s="757">
        <v>-0.2</v>
      </c>
      <c r="E182" s="800" t="s">
        <v>100</v>
      </c>
      <c r="F182" s="779">
        <f t="shared" si="34"/>
        <v>0</v>
      </c>
      <c r="G182" s="751"/>
      <c r="H182" s="766"/>
      <c r="I182" s="794">
        <v>50</v>
      </c>
      <c r="J182" s="757">
        <v>-0.2</v>
      </c>
      <c r="K182" s="800" t="s">
        <v>100</v>
      </c>
      <c r="L182" s="779">
        <f t="shared" si="35"/>
        <v>0</v>
      </c>
      <c r="M182" s="751"/>
      <c r="N182" s="751"/>
      <c r="O182" s="759"/>
      <c r="P182" s="749"/>
    </row>
    <row r="183" spans="1:16" x14ac:dyDescent="0.25">
      <c r="A183" s="1166"/>
      <c r="B183" s="751"/>
      <c r="C183" s="795">
        <v>30</v>
      </c>
      <c r="D183" s="761">
        <v>-0.2</v>
      </c>
      <c r="E183" s="763" t="s">
        <v>100</v>
      </c>
      <c r="F183" s="779">
        <f t="shared" si="34"/>
        <v>0</v>
      </c>
      <c r="G183" s="751"/>
      <c r="H183" s="766"/>
      <c r="I183" s="795">
        <v>60</v>
      </c>
      <c r="J183" s="761">
        <v>-0.2</v>
      </c>
      <c r="K183" s="763" t="s">
        <v>100</v>
      </c>
      <c r="L183" s="779">
        <f t="shared" si="35"/>
        <v>0</v>
      </c>
      <c r="M183" s="751"/>
      <c r="N183" s="751"/>
      <c r="O183" s="759"/>
      <c r="P183" s="749"/>
    </row>
    <row r="184" spans="1:16" x14ac:dyDescent="0.25">
      <c r="A184" s="1166"/>
      <c r="B184" s="751"/>
      <c r="C184" s="795">
        <v>35</v>
      </c>
      <c r="D184" s="761">
        <v>-0.3</v>
      </c>
      <c r="E184" s="763" t="s">
        <v>100</v>
      </c>
      <c r="F184" s="779">
        <f t="shared" si="34"/>
        <v>0</v>
      </c>
      <c r="G184" s="751"/>
      <c r="H184" s="766"/>
      <c r="I184" s="795">
        <v>70</v>
      </c>
      <c r="J184" s="761">
        <v>-0.3</v>
      </c>
      <c r="K184" s="763" t="s">
        <v>100</v>
      </c>
      <c r="L184" s="779">
        <f t="shared" si="35"/>
        <v>0</v>
      </c>
      <c r="M184" s="751"/>
      <c r="N184" s="751"/>
      <c r="O184" s="759"/>
      <c r="P184" s="749"/>
    </row>
    <row r="185" spans="1:16" x14ac:dyDescent="0.25">
      <c r="A185" s="1166"/>
      <c r="B185" s="751"/>
      <c r="C185" s="795">
        <v>37</v>
      </c>
      <c r="D185" s="761">
        <v>-0.3</v>
      </c>
      <c r="E185" s="763" t="s">
        <v>100</v>
      </c>
      <c r="F185" s="779">
        <f t="shared" si="34"/>
        <v>0</v>
      </c>
      <c r="G185" s="751"/>
      <c r="H185" s="766"/>
      <c r="I185" s="795">
        <v>80</v>
      </c>
      <c r="J185" s="761">
        <v>-0.5</v>
      </c>
      <c r="K185" s="763" t="s">
        <v>100</v>
      </c>
      <c r="L185" s="779">
        <f t="shared" si="35"/>
        <v>0</v>
      </c>
      <c r="M185" s="751"/>
      <c r="N185" s="751"/>
      <c r="O185" s="759"/>
      <c r="P185" s="749"/>
    </row>
    <row r="186" spans="1:16" ht="14.4" thickBot="1" x14ac:dyDescent="0.3">
      <c r="A186" s="1167"/>
      <c r="B186" s="764"/>
      <c r="C186" s="796">
        <v>40</v>
      </c>
      <c r="D186" s="782">
        <v>-0.4</v>
      </c>
      <c r="E186" s="785" t="s">
        <v>100</v>
      </c>
      <c r="F186" s="783">
        <f t="shared" si="34"/>
        <v>0</v>
      </c>
      <c r="G186" s="764"/>
      <c r="H186" s="784"/>
      <c r="I186" s="796">
        <v>90</v>
      </c>
      <c r="J186" s="782">
        <v>-0.8</v>
      </c>
      <c r="K186" s="785" t="s">
        <v>100</v>
      </c>
      <c r="L186" s="783">
        <f t="shared" si="35"/>
        <v>0</v>
      </c>
      <c r="M186" s="764"/>
      <c r="N186" s="764"/>
      <c r="O186" s="803"/>
      <c r="P186" s="749"/>
    </row>
    <row r="187" spans="1:16" ht="14.4" thickBot="1" x14ac:dyDescent="0.3">
      <c r="A187" s="1165">
        <v>18</v>
      </c>
      <c r="B187" s="1168" t="s">
        <v>361</v>
      </c>
      <c r="C187" s="1169"/>
      <c r="D187" s="1169"/>
      <c r="E187" s="1169"/>
      <c r="F187" s="1170"/>
      <c r="G187" s="750"/>
      <c r="H187" s="1168" t="str">
        <f>B187</f>
        <v>KOREKSI Extech SD700/A.100586</v>
      </c>
      <c r="I187" s="1169"/>
      <c r="J187" s="1169"/>
      <c r="K187" s="1169"/>
      <c r="L187" s="1170"/>
      <c r="M187" s="750"/>
      <c r="N187" s="1155" t="s">
        <v>170</v>
      </c>
      <c r="O187" s="1156"/>
      <c r="P187" s="749"/>
    </row>
    <row r="188" spans="1:16" ht="14.4" thickBot="1" x14ac:dyDescent="0.3">
      <c r="A188" s="1166"/>
      <c r="B188" s="1157" t="s">
        <v>227</v>
      </c>
      <c r="C188" s="1158"/>
      <c r="D188" s="1159" t="s">
        <v>284</v>
      </c>
      <c r="E188" s="1160"/>
      <c r="F188" s="1161" t="s">
        <v>234</v>
      </c>
      <c r="G188" s="751"/>
      <c r="H188" s="1157" t="s">
        <v>228</v>
      </c>
      <c r="I188" s="1158"/>
      <c r="J188" s="1159" t="s">
        <v>284</v>
      </c>
      <c r="K188" s="1160"/>
      <c r="L188" s="1161" t="s">
        <v>234</v>
      </c>
      <c r="M188" s="751"/>
      <c r="N188" s="769" t="s">
        <v>227</v>
      </c>
      <c r="O188" s="792">
        <v>0.3</v>
      </c>
      <c r="P188" s="749"/>
    </row>
    <row r="189" spans="1:16" ht="14.4" thickBot="1" x14ac:dyDescent="0.3">
      <c r="A189" s="1166"/>
      <c r="B189" s="1157" t="s">
        <v>515</v>
      </c>
      <c r="C189" s="1158"/>
      <c r="D189" s="771">
        <v>2020</v>
      </c>
      <c r="E189" s="798" t="s">
        <v>100</v>
      </c>
      <c r="F189" s="1162"/>
      <c r="G189" s="751"/>
      <c r="H189" s="1163" t="s">
        <v>141</v>
      </c>
      <c r="I189" s="1164"/>
      <c r="J189" s="772">
        <f>D189</f>
        <v>2020</v>
      </c>
      <c r="K189" s="772" t="str">
        <f>E189</f>
        <v>-</v>
      </c>
      <c r="L189" s="1162"/>
      <c r="M189" s="751"/>
      <c r="N189" s="773" t="s">
        <v>141</v>
      </c>
      <c r="O189" s="791">
        <v>2</v>
      </c>
      <c r="P189" s="749"/>
    </row>
    <row r="190" spans="1:16" x14ac:dyDescent="0.25">
      <c r="A190" s="1166"/>
      <c r="B190" s="751"/>
      <c r="C190" s="793">
        <v>15</v>
      </c>
      <c r="D190" s="757">
        <v>9.9999999999999995E-7</v>
      </c>
      <c r="E190" s="799" t="s">
        <v>100</v>
      </c>
      <c r="F190" s="777">
        <f t="shared" ref="F190:F196" si="36">0.5*(MAX(D190:E190)-MIN(D190:E190))</f>
        <v>0</v>
      </c>
      <c r="G190" s="751"/>
      <c r="H190" s="766"/>
      <c r="I190" s="793">
        <v>30</v>
      </c>
      <c r="J190" s="776">
        <v>-0.4</v>
      </c>
      <c r="K190" s="799" t="s">
        <v>100</v>
      </c>
      <c r="L190" s="777">
        <f t="shared" ref="L190:L196" si="37">0.5*(MAX(J190:K190)-MIN(J190:K190))</f>
        <v>0</v>
      </c>
      <c r="M190" s="751"/>
      <c r="N190" s="751"/>
      <c r="O190" s="759"/>
      <c r="P190" s="749"/>
    </row>
    <row r="191" spans="1:16" x14ac:dyDescent="0.25">
      <c r="A191" s="1166"/>
      <c r="B191" s="751"/>
      <c r="C191" s="794">
        <v>20</v>
      </c>
      <c r="D191" s="757">
        <v>9.9999999999999995E-7</v>
      </c>
      <c r="E191" s="800" t="s">
        <v>100</v>
      </c>
      <c r="F191" s="779">
        <f t="shared" si="36"/>
        <v>0</v>
      </c>
      <c r="G191" s="751"/>
      <c r="H191" s="766"/>
      <c r="I191" s="794">
        <v>40</v>
      </c>
      <c r="J191" s="757">
        <v>-0.1</v>
      </c>
      <c r="K191" s="800" t="s">
        <v>100</v>
      </c>
      <c r="L191" s="779">
        <f t="shared" si="37"/>
        <v>0</v>
      </c>
      <c r="M191" s="751"/>
      <c r="N191" s="751"/>
      <c r="O191" s="759"/>
      <c r="P191" s="749"/>
    </row>
    <row r="192" spans="1:16" x14ac:dyDescent="0.25">
      <c r="A192" s="1166"/>
      <c r="B192" s="751"/>
      <c r="C192" s="794">
        <v>25</v>
      </c>
      <c r="D192" s="757">
        <v>9.9999999999999995E-7</v>
      </c>
      <c r="E192" s="800" t="s">
        <v>100</v>
      </c>
      <c r="F192" s="779">
        <f t="shared" si="36"/>
        <v>0</v>
      </c>
      <c r="G192" s="751"/>
      <c r="H192" s="766"/>
      <c r="I192" s="794">
        <v>50</v>
      </c>
      <c r="J192" s="757">
        <v>9.9999999999999995E-7</v>
      </c>
      <c r="K192" s="800" t="s">
        <v>100</v>
      </c>
      <c r="L192" s="779">
        <f t="shared" si="37"/>
        <v>0</v>
      </c>
      <c r="M192" s="751"/>
      <c r="N192" s="751"/>
      <c r="O192" s="759"/>
      <c r="P192" s="749"/>
    </row>
    <row r="193" spans="1:16" x14ac:dyDescent="0.25">
      <c r="A193" s="1166"/>
      <c r="B193" s="751"/>
      <c r="C193" s="795">
        <v>30</v>
      </c>
      <c r="D193" s="761">
        <v>-0.1</v>
      </c>
      <c r="E193" s="763" t="s">
        <v>100</v>
      </c>
      <c r="F193" s="779">
        <f t="shared" si="36"/>
        <v>0</v>
      </c>
      <c r="G193" s="751"/>
      <c r="H193" s="766"/>
      <c r="I193" s="795">
        <v>60</v>
      </c>
      <c r="J193" s="757">
        <v>9.9999999999999995E-7</v>
      </c>
      <c r="K193" s="763" t="s">
        <v>100</v>
      </c>
      <c r="L193" s="779">
        <f t="shared" si="37"/>
        <v>0</v>
      </c>
      <c r="M193" s="751"/>
      <c r="N193" s="751"/>
      <c r="O193" s="759"/>
      <c r="P193" s="749"/>
    </row>
    <row r="194" spans="1:16" x14ac:dyDescent="0.25">
      <c r="A194" s="1166"/>
      <c r="B194" s="751"/>
      <c r="C194" s="795">
        <v>35</v>
      </c>
      <c r="D194" s="761">
        <v>-0.2</v>
      </c>
      <c r="E194" s="763" t="s">
        <v>100</v>
      </c>
      <c r="F194" s="779">
        <f t="shared" si="36"/>
        <v>0</v>
      </c>
      <c r="G194" s="751"/>
      <c r="H194" s="766"/>
      <c r="I194" s="795">
        <v>70</v>
      </c>
      <c r="J194" s="761">
        <v>-0.1</v>
      </c>
      <c r="K194" s="763" t="s">
        <v>100</v>
      </c>
      <c r="L194" s="779">
        <f t="shared" si="37"/>
        <v>0</v>
      </c>
      <c r="M194" s="751"/>
      <c r="N194" s="751"/>
      <c r="O194" s="759"/>
      <c r="P194" s="749"/>
    </row>
    <row r="195" spans="1:16" x14ac:dyDescent="0.25">
      <c r="A195" s="1166"/>
      <c r="B195" s="751"/>
      <c r="C195" s="795">
        <v>37</v>
      </c>
      <c r="D195" s="761">
        <v>-0.3</v>
      </c>
      <c r="E195" s="763" t="s">
        <v>100</v>
      </c>
      <c r="F195" s="779">
        <f t="shared" si="36"/>
        <v>0</v>
      </c>
      <c r="G195" s="751"/>
      <c r="H195" s="766"/>
      <c r="I195" s="795">
        <v>80</v>
      </c>
      <c r="J195" s="761">
        <v>-0.5</v>
      </c>
      <c r="K195" s="763" t="s">
        <v>100</v>
      </c>
      <c r="L195" s="779">
        <f t="shared" si="37"/>
        <v>0</v>
      </c>
      <c r="M195" s="751"/>
      <c r="N195" s="751"/>
      <c r="O195" s="759"/>
      <c r="P195" s="749"/>
    </row>
    <row r="196" spans="1:16" ht="14.4" thickBot="1" x14ac:dyDescent="0.3">
      <c r="A196" s="1167"/>
      <c r="B196" s="764"/>
      <c r="C196" s="796">
        <v>40</v>
      </c>
      <c r="D196" s="782">
        <v>-0.4</v>
      </c>
      <c r="E196" s="785" t="s">
        <v>100</v>
      </c>
      <c r="F196" s="783">
        <f t="shared" si="36"/>
        <v>0</v>
      </c>
      <c r="G196" s="764"/>
      <c r="H196" s="784"/>
      <c r="I196" s="796">
        <v>90</v>
      </c>
      <c r="J196" s="782">
        <v>-0.9</v>
      </c>
      <c r="K196" s="785" t="s">
        <v>100</v>
      </c>
      <c r="L196" s="783">
        <f t="shared" si="37"/>
        <v>0</v>
      </c>
      <c r="M196" s="764"/>
      <c r="N196" s="764"/>
      <c r="O196" s="803"/>
      <c r="P196" s="749"/>
    </row>
    <row r="197" spans="1:16" ht="14.4" thickBot="1" x14ac:dyDescent="0.3">
      <c r="A197" s="749"/>
      <c r="B197" s="749"/>
      <c r="C197" s="749"/>
      <c r="D197" s="749"/>
      <c r="E197" s="749"/>
      <c r="F197" s="749"/>
      <c r="G197" s="749"/>
      <c r="H197" s="749"/>
      <c r="I197" s="749"/>
      <c r="J197" s="749"/>
      <c r="K197" s="749"/>
      <c r="L197" s="749"/>
      <c r="M197" s="749"/>
      <c r="N197" s="749"/>
      <c r="O197" s="749"/>
      <c r="P197" s="749"/>
    </row>
    <row r="198" spans="1:16" x14ac:dyDescent="0.25">
      <c r="A198" s="1144" t="s">
        <v>33</v>
      </c>
      <c r="B198" s="1146" t="s">
        <v>327</v>
      </c>
      <c r="C198" s="1148" t="s">
        <v>362</v>
      </c>
      <c r="D198" s="1148"/>
      <c r="E198" s="1148"/>
      <c r="F198" s="1148"/>
      <c r="G198" s="808"/>
      <c r="H198" s="1148" t="s">
        <v>33</v>
      </c>
      <c r="I198" s="1146" t="s">
        <v>327</v>
      </c>
      <c r="J198" s="1148" t="s">
        <v>362</v>
      </c>
      <c r="K198" s="1148"/>
      <c r="L198" s="1148"/>
      <c r="M198" s="1148"/>
      <c r="N198" s="809"/>
      <c r="O198" s="1150" t="s">
        <v>170</v>
      </c>
      <c r="P198" s="1151"/>
    </row>
    <row r="199" spans="1:16" x14ac:dyDescent="0.25">
      <c r="A199" s="1145"/>
      <c r="B199" s="1147"/>
      <c r="C199" s="739" t="s">
        <v>227</v>
      </c>
      <c r="D199" s="1152" t="s">
        <v>284</v>
      </c>
      <c r="E199" s="1152"/>
      <c r="F199" s="1152" t="s">
        <v>234</v>
      </c>
      <c r="G199" s="749"/>
      <c r="H199" s="1149"/>
      <c r="I199" s="1147"/>
      <c r="J199" s="739" t="s">
        <v>228</v>
      </c>
      <c r="K199" s="1152" t="s">
        <v>284</v>
      </c>
      <c r="L199" s="1152"/>
      <c r="M199" s="1152" t="s">
        <v>234</v>
      </c>
      <c r="N199" s="749"/>
      <c r="O199" s="1153" t="s">
        <v>227</v>
      </c>
      <c r="P199" s="1154"/>
    </row>
    <row r="200" spans="1:16" x14ac:dyDescent="0.25">
      <c r="A200" s="1145"/>
      <c r="B200" s="1147"/>
      <c r="C200" s="739" t="s">
        <v>515</v>
      </c>
      <c r="D200" s="739"/>
      <c r="E200" s="739"/>
      <c r="F200" s="1152"/>
      <c r="G200" s="749"/>
      <c r="H200" s="1149"/>
      <c r="I200" s="1147"/>
      <c r="J200" s="739" t="s">
        <v>141</v>
      </c>
      <c r="K200" s="739"/>
      <c r="L200" s="739"/>
      <c r="M200" s="1152"/>
      <c r="N200" s="749"/>
      <c r="O200" s="810">
        <v>1</v>
      </c>
      <c r="P200" s="886">
        <f>O3</f>
        <v>0.6</v>
      </c>
    </row>
    <row r="201" spans="1:16" x14ac:dyDescent="0.25">
      <c r="A201" s="1133" t="s">
        <v>302</v>
      </c>
      <c r="B201" s="811">
        <v>1</v>
      </c>
      <c r="C201" s="812">
        <f>C5</f>
        <v>15</v>
      </c>
      <c r="D201" s="812">
        <f t="shared" ref="D201:F201" si="38">D5</f>
        <v>-0.5</v>
      </c>
      <c r="E201" s="812">
        <f t="shared" si="38"/>
        <v>0.3</v>
      </c>
      <c r="F201" s="812">
        <f t="shared" si="38"/>
        <v>0.4</v>
      </c>
      <c r="G201" s="749"/>
      <c r="H201" s="1134" t="s">
        <v>302</v>
      </c>
      <c r="I201" s="811">
        <v>1</v>
      </c>
      <c r="J201" s="812">
        <f>I5</f>
        <v>35</v>
      </c>
      <c r="K201" s="812">
        <f t="shared" ref="K201:M201" si="39">J5</f>
        <v>-6</v>
      </c>
      <c r="L201" s="812">
        <f t="shared" si="39"/>
        <v>9.9999999999999995E-7</v>
      </c>
      <c r="M201" s="812">
        <f t="shared" si="39"/>
        <v>3.0000005000000001</v>
      </c>
      <c r="N201" s="749"/>
      <c r="O201" s="813">
        <v>2</v>
      </c>
      <c r="P201" s="887">
        <f>O14</f>
        <v>0.3</v>
      </c>
    </row>
    <row r="202" spans="1:16" x14ac:dyDescent="0.25">
      <c r="A202" s="1133"/>
      <c r="B202" s="811">
        <v>2</v>
      </c>
      <c r="C202" s="812">
        <f>C16</f>
        <v>15</v>
      </c>
      <c r="D202" s="812">
        <f t="shared" ref="D202:F202" si="40">D16</f>
        <v>9.9999999999999995E-7</v>
      </c>
      <c r="E202" s="812">
        <f t="shared" si="40"/>
        <v>0.5</v>
      </c>
      <c r="F202" s="812">
        <f t="shared" si="40"/>
        <v>0.24999950000000001</v>
      </c>
      <c r="G202" s="749"/>
      <c r="H202" s="1134"/>
      <c r="I202" s="811">
        <v>2</v>
      </c>
      <c r="J202" s="812">
        <f>I16</f>
        <v>35</v>
      </c>
      <c r="K202" s="812">
        <f t="shared" ref="K202:M202" si="41">J16</f>
        <v>-1.6</v>
      </c>
      <c r="L202" s="812">
        <f t="shared" si="41"/>
        <v>-0.9</v>
      </c>
      <c r="M202" s="812">
        <f t="shared" si="41"/>
        <v>0.35000000000000003</v>
      </c>
      <c r="N202" s="749"/>
      <c r="O202" s="813">
        <v>3</v>
      </c>
      <c r="P202" s="888">
        <f>O25</f>
        <v>0.3</v>
      </c>
    </row>
    <row r="203" spans="1:16" x14ac:dyDescent="0.25">
      <c r="A203" s="1133"/>
      <c r="B203" s="811">
        <v>3</v>
      </c>
      <c r="C203" s="812">
        <f>C27</f>
        <v>15</v>
      </c>
      <c r="D203" s="812">
        <f t="shared" ref="D203:F203" si="42">D27</f>
        <v>9.9999999999999995E-7</v>
      </c>
      <c r="E203" s="812">
        <f t="shared" si="42"/>
        <v>0.2</v>
      </c>
      <c r="F203" s="812">
        <f t="shared" si="42"/>
        <v>9.9999500000000005E-2</v>
      </c>
      <c r="G203" s="749"/>
      <c r="H203" s="1134"/>
      <c r="I203" s="811">
        <v>3</v>
      </c>
      <c r="J203" s="812">
        <f>I27</f>
        <v>30</v>
      </c>
      <c r="K203" s="812">
        <f t="shared" ref="K203:M203" si="43">J27</f>
        <v>-5.7</v>
      </c>
      <c r="L203" s="812">
        <f t="shared" si="43"/>
        <v>-1.1000000000000001</v>
      </c>
      <c r="M203" s="812">
        <f t="shared" si="43"/>
        <v>2.2999999999999998</v>
      </c>
      <c r="N203" s="749"/>
      <c r="O203" s="813">
        <v>4</v>
      </c>
      <c r="P203" s="888">
        <f>O36</f>
        <v>0.6</v>
      </c>
    </row>
    <row r="204" spans="1:16" x14ac:dyDescent="0.25">
      <c r="A204" s="1133"/>
      <c r="B204" s="811">
        <v>4</v>
      </c>
      <c r="C204" s="814">
        <f>C38</f>
        <v>15</v>
      </c>
      <c r="D204" s="814">
        <f t="shared" ref="D204:F204" si="44">D38</f>
        <v>-0.1</v>
      </c>
      <c r="E204" s="814">
        <f t="shared" si="44"/>
        <v>0.4</v>
      </c>
      <c r="F204" s="814">
        <f t="shared" si="44"/>
        <v>0.25</v>
      </c>
      <c r="G204" s="749"/>
      <c r="H204" s="1134"/>
      <c r="I204" s="811">
        <v>4</v>
      </c>
      <c r="J204" s="814">
        <f>I38</f>
        <v>35</v>
      </c>
      <c r="K204" s="814">
        <f t="shared" ref="K204:M204" si="45">J38</f>
        <v>-1.7</v>
      </c>
      <c r="L204" s="814">
        <f t="shared" si="45"/>
        <v>-0.8</v>
      </c>
      <c r="M204" s="814">
        <f t="shared" si="45"/>
        <v>0.44999999999999996</v>
      </c>
      <c r="N204" s="749"/>
      <c r="O204" s="813">
        <v>5</v>
      </c>
      <c r="P204" s="888">
        <f>O47</f>
        <v>0.3</v>
      </c>
    </row>
    <row r="205" spans="1:16" x14ac:dyDescent="0.25">
      <c r="A205" s="1133"/>
      <c r="B205" s="811">
        <v>5</v>
      </c>
      <c r="C205" s="814">
        <f>C49</f>
        <v>15</v>
      </c>
      <c r="D205" s="814">
        <f t="shared" ref="D205:F205" si="46">D49</f>
        <v>0.3</v>
      </c>
      <c r="E205" s="814">
        <f t="shared" si="46"/>
        <v>0.4</v>
      </c>
      <c r="F205" s="814">
        <f t="shared" si="46"/>
        <v>5.0000000000000017E-2</v>
      </c>
      <c r="G205" s="749"/>
      <c r="H205" s="1134"/>
      <c r="I205" s="811">
        <v>5</v>
      </c>
      <c r="J205" s="814">
        <f>I49</f>
        <v>35</v>
      </c>
      <c r="K205" s="814">
        <f t="shared" ref="K205:M205" si="47">J49</f>
        <v>-9.6</v>
      </c>
      <c r="L205" s="814">
        <f t="shared" si="47"/>
        <v>-1.6</v>
      </c>
      <c r="M205" s="814">
        <f t="shared" si="47"/>
        <v>4</v>
      </c>
      <c r="N205" s="749"/>
      <c r="O205" s="810">
        <v>6</v>
      </c>
      <c r="P205" s="886">
        <f>O58</f>
        <v>0.5</v>
      </c>
    </row>
    <row r="206" spans="1:16" x14ac:dyDescent="0.25">
      <c r="A206" s="1133"/>
      <c r="B206" s="811">
        <v>6</v>
      </c>
      <c r="C206" s="814">
        <f>C60</f>
        <v>15</v>
      </c>
      <c r="D206" s="814">
        <f t="shared" ref="D206:F206" si="48">D60</f>
        <v>0.4</v>
      </c>
      <c r="E206" s="814">
        <f t="shared" si="48"/>
        <v>-0.2</v>
      </c>
      <c r="F206" s="814">
        <f t="shared" si="48"/>
        <v>0.30000000000000004</v>
      </c>
      <c r="G206" s="749"/>
      <c r="H206" s="1134"/>
      <c r="I206" s="811">
        <v>6</v>
      </c>
      <c r="J206" s="814">
        <f>I60</f>
        <v>30</v>
      </c>
      <c r="K206" s="814">
        <f t="shared" ref="K206:M206" si="49">J60</f>
        <v>1.7</v>
      </c>
      <c r="L206" s="814">
        <f t="shared" si="49"/>
        <v>-4.9000000000000004</v>
      </c>
      <c r="M206" s="814">
        <f t="shared" si="49"/>
        <v>3.3000000000000003</v>
      </c>
      <c r="N206" s="749"/>
      <c r="O206" s="810">
        <v>7</v>
      </c>
      <c r="P206" s="886">
        <f>O69</f>
        <v>0.3</v>
      </c>
    </row>
    <row r="207" spans="1:16" x14ac:dyDescent="0.25">
      <c r="A207" s="1133"/>
      <c r="B207" s="811">
        <v>7</v>
      </c>
      <c r="C207" s="814">
        <f>C71</f>
        <v>15</v>
      </c>
      <c r="D207" s="814">
        <f t="shared" ref="D207:F207" si="50">D71</f>
        <v>0.3</v>
      </c>
      <c r="E207" s="814">
        <f t="shared" si="50"/>
        <v>0.2</v>
      </c>
      <c r="F207" s="814">
        <f t="shared" si="50"/>
        <v>4.9999999999999989E-2</v>
      </c>
      <c r="G207" s="749"/>
      <c r="H207" s="1134"/>
      <c r="I207" s="811">
        <v>7</v>
      </c>
      <c r="J207" s="814">
        <f>I71</f>
        <v>30</v>
      </c>
      <c r="K207" s="814">
        <f t="shared" ref="K207:M207" si="51">J71</f>
        <v>1.8</v>
      </c>
      <c r="L207" s="814">
        <f t="shared" si="51"/>
        <v>-0.1</v>
      </c>
      <c r="M207" s="814">
        <f t="shared" si="51"/>
        <v>0.95000000000000007</v>
      </c>
      <c r="N207" s="749"/>
      <c r="O207" s="810">
        <v>8</v>
      </c>
      <c r="P207" s="886">
        <f>O80</f>
        <v>0.3</v>
      </c>
    </row>
    <row r="208" spans="1:16" x14ac:dyDescent="0.25">
      <c r="A208" s="1133"/>
      <c r="B208" s="811">
        <v>8</v>
      </c>
      <c r="C208" s="814">
        <f>C82</f>
        <v>15</v>
      </c>
      <c r="D208" s="814">
        <f t="shared" ref="D208:F208" si="52">D82</f>
        <v>9.9999999999999995E-7</v>
      </c>
      <c r="E208" s="814">
        <f t="shared" si="52"/>
        <v>-0.2</v>
      </c>
      <c r="F208" s="814">
        <f t="shared" si="52"/>
        <v>0.10000050000000001</v>
      </c>
      <c r="G208" s="749"/>
      <c r="H208" s="1134"/>
      <c r="I208" s="811">
        <v>8</v>
      </c>
      <c r="J208" s="814">
        <f>I82</f>
        <v>30</v>
      </c>
      <c r="K208" s="814">
        <f t="shared" ref="K208:M208" si="53">J82</f>
        <v>-1.4</v>
      </c>
      <c r="L208" s="814">
        <f t="shared" si="53"/>
        <v>1</v>
      </c>
      <c r="M208" s="814">
        <f t="shared" si="53"/>
        <v>1.2</v>
      </c>
      <c r="N208" s="749"/>
      <c r="O208" s="810">
        <v>9</v>
      </c>
      <c r="P208" s="886">
        <f>O91</f>
        <v>0.3</v>
      </c>
    </row>
    <row r="209" spans="1:16" x14ac:dyDescent="0.25">
      <c r="A209" s="1133"/>
      <c r="B209" s="811">
        <v>9</v>
      </c>
      <c r="C209" s="814">
        <f>C93</f>
        <v>15</v>
      </c>
      <c r="D209" s="814">
        <f t="shared" ref="D209:F209" si="54">D93</f>
        <v>9.9999999999999995E-7</v>
      </c>
      <c r="E209" s="814" t="str">
        <f t="shared" si="54"/>
        <v>-</v>
      </c>
      <c r="F209" s="814">
        <f t="shared" si="54"/>
        <v>0</v>
      </c>
      <c r="G209" s="749"/>
      <c r="H209" s="1134"/>
      <c r="I209" s="811">
        <v>9</v>
      </c>
      <c r="J209" s="814">
        <f>I93</f>
        <v>30</v>
      </c>
      <c r="K209" s="814">
        <f t="shared" ref="K209:M209" si="55">J93</f>
        <v>-1.2</v>
      </c>
      <c r="L209" s="814" t="str">
        <f t="shared" si="55"/>
        <v>-</v>
      </c>
      <c r="M209" s="814">
        <f t="shared" si="55"/>
        <v>0</v>
      </c>
      <c r="N209" s="749"/>
      <c r="O209" s="810">
        <v>10</v>
      </c>
      <c r="P209" s="886">
        <f>O102</f>
        <v>0.3</v>
      </c>
    </row>
    <row r="210" spans="1:16" x14ac:dyDescent="0.25">
      <c r="A210" s="1133"/>
      <c r="B210" s="811">
        <v>10</v>
      </c>
      <c r="C210" s="814">
        <f>C104</f>
        <v>15</v>
      </c>
      <c r="D210" s="814">
        <f t="shared" ref="D210:F210" si="56">D104</f>
        <v>0.2</v>
      </c>
      <c r="E210" s="814">
        <f t="shared" si="56"/>
        <v>0.2</v>
      </c>
      <c r="F210" s="814">
        <f t="shared" si="56"/>
        <v>0</v>
      </c>
      <c r="G210" s="749"/>
      <c r="H210" s="1134"/>
      <c r="I210" s="811">
        <v>10</v>
      </c>
      <c r="J210" s="814">
        <f>I104</f>
        <v>30</v>
      </c>
      <c r="K210" s="814">
        <f t="shared" ref="K210:M210" si="57">J104</f>
        <v>-2.9</v>
      </c>
      <c r="L210" s="814">
        <f t="shared" si="57"/>
        <v>-5.8</v>
      </c>
      <c r="M210" s="814">
        <f t="shared" si="57"/>
        <v>1.45</v>
      </c>
      <c r="N210" s="749"/>
      <c r="O210" s="810">
        <v>11</v>
      </c>
      <c r="P210" s="886">
        <f>O113</f>
        <v>0.3</v>
      </c>
    </row>
    <row r="211" spans="1:16" x14ac:dyDescent="0.25">
      <c r="A211" s="1133"/>
      <c r="B211" s="811">
        <v>11</v>
      </c>
      <c r="C211" s="814">
        <f>C115</f>
        <v>15</v>
      </c>
      <c r="D211" s="814">
        <f t="shared" ref="D211:F211" si="58">D115</f>
        <v>0.3</v>
      </c>
      <c r="E211" s="814" t="str">
        <f t="shared" si="58"/>
        <v>-</v>
      </c>
      <c r="F211" s="814">
        <f t="shared" si="58"/>
        <v>0</v>
      </c>
      <c r="G211" s="749"/>
      <c r="H211" s="1134"/>
      <c r="I211" s="811">
        <v>11</v>
      </c>
      <c r="J211" s="814">
        <f>I115</f>
        <v>30</v>
      </c>
      <c r="K211" s="814">
        <f t="shared" ref="K211:M211" si="59">J115</f>
        <v>-5.2</v>
      </c>
      <c r="L211" s="814" t="str">
        <f t="shared" si="59"/>
        <v>-</v>
      </c>
      <c r="M211" s="814">
        <f t="shared" si="59"/>
        <v>0</v>
      </c>
      <c r="N211" s="749"/>
      <c r="O211" s="810">
        <v>12</v>
      </c>
      <c r="P211" s="886">
        <f>O124</f>
        <v>0.4</v>
      </c>
    </row>
    <row r="212" spans="1:16" x14ac:dyDescent="0.25">
      <c r="A212" s="1133"/>
      <c r="B212" s="811">
        <v>12</v>
      </c>
      <c r="C212" s="814">
        <f>C126</f>
        <v>15</v>
      </c>
      <c r="D212" s="814">
        <f t="shared" ref="D212:F212" si="60">D126</f>
        <v>-2</v>
      </c>
      <c r="E212" s="814" t="str">
        <f t="shared" si="60"/>
        <v>-</v>
      </c>
      <c r="F212" s="814">
        <f t="shared" si="60"/>
        <v>0</v>
      </c>
      <c r="G212" s="749"/>
      <c r="H212" s="1134"/>
      <c r="I212" s="811">
        <v>12</v>
      </c>
      <c r="J212" s="814">
        <f>I126</f>
        <v>30</v>
      </c>
      <c r="K212" s="814">
        <f t="shared" ref="K212:M212" si="61">J126</f>
        <v>1</v>
      </c>
      <c r="L212" s="814" t="str">
        <f t="shared" si="61"/>
        <v>-</v>
      </c>
      <c r="M212" s="814">
        <f t="shared" si="61"/>
        <v>0</v>
      </c>
      <c r="N212" s="749"/>
      <c r="O212" s="810">
        <v>13</v>
      </c>
      <c r="P212" s="886">
        <f>O135</f>
        <v>0.3</v>
      </c>
    </row>
    <row r="213" spans="1:16" x14ac:dyDescent="0.25">
      <c r="A213" s="1133"/>
      <c r="B213" s="811">
        <v>13</v>
      </c>
      <c r="C213" s="814">
        <f>C137</f>
        <v>15</v>
      </c>
      <c r="D213" s="814">
        <f t="shared" ref="D213:F213" si="62">D137</f>
        <v>-0.7</v>
      </c>
      <c r="E213" s="814" t="str">
        <f t="shared" si="62"/>
        <v>-</v>
      </c>
      <c r="F213" s="814">
        <f t="shared" si="62"/>
        <v>0</v>
      </c>
      <c r="G213" s="749"/>
      <c r="H213" s="1134"/>
      <c r="I213" s="811">
        <v>13</v>
      </c>
      <c r="J213" s="814">
        <f>I137</f>
        <v>30</v>
      </c>
      <c r="K213" s="814">
        <f t="shared" ref="K213:M213" si="63">J137</f>
        <v>-1.5</v>
      </c>
      <c r="L213" s="814" t="str">
        <f t="shared" si="63"/>
        <v>-</v>
      </c>
      <c r="M213" s="814">
        <f t="shared" si="63"/>
        <v>0</v>
      </c>
      <c r="N213" s="749"/>
      <c r="O213" s="810">
        <v>14</v>
      </c>
      <c r="P213" s="886">
        <f>O146</f>
        <v>0.3</v>
      </c>
    </row>
    <row r="214" spans="1:16" x14ac:dyDescent="0.25">
      <c r="A214" s="1133"/>
      <c r="B214" s="811">
        <v>14</v>
      </c>
      <c r="C214" s="814">
        <f>C148</f>
        <v>15</v>
      </c>
      <c r="D214" s="814">
        <f t="shared" ref="D214:F214" si="64">D148</f>
        <v>-0.6</v>
      </c>
      <c r="E214" s="814" t="str">
        <f t="shared" si="64"/>
        <v>-</v>
      </c>
      <c r="F214" s="814">
        <f t="shared" si="64"/>
        <v>0</v>
      </c>
      <c r="G214" s="749"/>
      <c r="H214" s="1134"/>
      <c r="I214" s="811">
        <v>14</v>
      </c>
      <c r="J214" s="814">
        <f>I148</f>
        <v>30</v>
      </c>
      <c r="K214" s="814">
        <f t="shared" ref="K214:M214" si="65">J148</f>
        <v>-0.5</v>
      </c>
      <c r="L214" s="814" t="str">
        <f t="shared" si="65"/>
        <v>-</v>
      </c>
      <c r="M214" s="814">
        <f t="shared" si="65"/>
        <v>0</v>
      </c>
      <c r="N214" s="749"/>
      <c r="O214" s="810">
        <v>15</v>
      </c>
      <c r="P214" s="886">
        <f>O157</f>
        <v>0.4</v>
      </c>
    </row>
    <row r="215" spans="1:16" x14ac:dyDescent="0.25">
      <c r="A215" s="1133"/>
      <c r="B215" s="811">
        <v>15</v>
      </c>
      <c r="C215" s="814">
        <f>C159</f>
        <v>15</v>
      </c>
      <c r="D215" s="814">
        <f t="shared" ref="D215:F215" si="66">D159</f>
        <v>0.1</v>
      </c>
      <c r="E215" s="814" t="str">
        <f t="shared" si="66"/>
        <v>-</v>
      </c>
      <c r="F215" s="814">
        <f t="shared" si="66"/>
        <v>0</v>
      </c>
      <c r="G215" s="749"/>
      <c r="H215" s="1134"/>
      <c r="I215" s="811">
        <v>15</v>
      </c>
      <c r="J215" s="814">
        <f>I159</f>
        <v>30</v>
      </c>
      <c r="K215" s="814">
        <f t="shared" ref="K215:M215" si="67">J159</f>
        <v>-1.6</v>
      </c>
      <c r="L215" s="814" t="str">
        <f t="shared" si="67"/>
        <v>-</v>
      </c>
      <c r="M215" s="814">
        <f t="shared" si="67"/>
        <v>0</v>
      </c>
      <c r="N215" s="749"/>
      <c r="O215" s="810">
        <v>16</v>
      </c>
      <c r="P215" s="886">
        <f>O168</f>
        <v>0.3</v>
      </c>
    </row>
    <row r="216" spans="1:16" x14ac:dyDescent="0.25">
      <c r="A216" s="1133"/>
      <c r="B216" s="811">
        <v>16</v>
      </c>
      <c r="C216" s="814">
        <f>C170</f>
        <v>15</v>
      </c>
      <c r="D216" s="814">
        <f t="shared" ref="D216:F216" si="68">D170</f>
        <v>0.1</v>
      </c>
      <c r="E216" s="814" t="str">
        <f t="shared" si="68"/>
        <v>-</v>
      </c>
      <c r="F216" s="814">
        <f t="shared" si="68"/>
        <v>0</v>
      </c>
      <c r="G216" s="749"/>
      <c r="H216" s="1134"/>
      <c r="I216" s="811">
        <v>16</v>
      </c>
      <c r="J216" s="814">
        <f>I170</f>
        <v>30</v>
      </c>
      <c r="K216" s="814">
        <f t="shared" ref="K216:M216" si="69">J170</f>
        <v>0.1</v>
      </c>
      <c r="L216" s="814" t="str">
        <f t="shared" si="69"/>
        <v>-</v>
      </c>
      <c r="M216" s="814">
        <f t="shared" si="69"/>
        <v>0</v>
      </c>
      <c r="N216" s="749"/>
      <c r="O216" s="810">
        <v>17</v>
      </c>
      <c r="P216" s="886">
        <f>O178</f>
        <v>0.3</v>
      </c>
    </row>
    <row r="217" spans="1:16" x14ac:dyDescent="0.25">
      <c r="A217" s="1133"/>
      <c r="B217" s="811">
        <v>17</v>
      </c>
      <c r="C217" s="814">
        <f>C180</f>
        <v>15</v>
      </c>
      <c r="D217" s="814">
        <f t="shared" ref="D217:F217" si="70">D180</f>
        <v>9.9999999999999995E-7</v>
      </c>
      <c r="E217" s="814" t="str">
        <f t="shared" si="70"/>
        <v>-</v>
      </c>
      <c r="F217" s="814">
        <f t="shared" si="70"/>
        <v>0</v>
      </c>
      <c r="G217" s="749"/>
      <c r="H217" s="1134"/>
      <c r="I217" s="811">
        <v>17</v>
      </c>
      <c r="J217" s="814">
        <f>I180</f>
        <v>30</v>
      </c>
      <c r="K217" s="814">
        <f t="shared" ref="K217:M217" si="71">J180</f>
        <v>-0.4</v>
      </c>
      <c r="L217" s="814" t="str">
        <f t="shared" si="71"/>
        <v>-</v>
      </c>
      <c r="M217" s="814">
        <f t="shared" si="71"/>
        <v>0</v>
      </c>
      <c r="N217" s="749"/>
      <c r="O217" s="810">
        <v>18</v>
      </c>
      <c r="P217" s="886">
        <f>O188</f>
        <v>0.3</v>
      </c>
    </row>
    <row r="218" spans="1:16" x14ac:dyDescent="0.25">
      <c r="A218" s="1133"/>
      <c r="B218" s="811">
        <v>18</v>
      </c>
      <c r="C218" s="814">
        <f>C190</f>
        <v>15</v>
      </c>
      <c r="D218" s="814">
        <f t="shared" ref="D218:F218" si="72">D190</f>
        <v>9.9999999999999995E-7</v>
      </c>
      <c r="E218" s="814" t="str">
        <f t="shared" si="72"/>
        <v>-</v>
      </c>
      <c r="F218" s="814">
        <f t="shared" si="72"/>
        <v>0</v>
      </c>
      <c r="G218" s="749"/>
      <c r="H218" s="1134"/>
      <c r="I218" s="811">
        <v>18</v>
      </c>
      <c r="J218" s="814">
        <f>I190</f>
        <v>30</v>
      </c>
      <c r="K218" s="814">
        <f t="shared" ref="K218:M218" si="73">J190</f>
        <v>-0.4</v>
      </c>
      <c r="L218" s="814" t="str">
        <f t="shared" si="73"/>
        <v>-</v>
      </c>
      <c r="M218" s="814">
        <f t="shared" si="73"/>
        <v>0</v>
      </c>
      <c r="N218" s="749"/>
      <c r="O218" s="749"/>
      <c r="P218" s="749"/>
    </row>
    <row r="219" spans="1:16" x14ac:dyDescent="0.25">
      <c r="A219" s="815"/>
      <c r="B219" s="816"/>
      <c r="C219" s="817"/>
      <c r="D219" s="817"/>
      <c r="E219" s="817"/>
      <c r="F219" s="818"/>
      <c r="H219" s="742"/>
      <c r="I219" s="742"/>
      <c r="J219" s="819"/>
      <c r="K219" s="819"/>
      <c r="L219" s="819"/>
      <c r="M219" s="819"/>
      <c r="O219" s="749"/>
      <c r="P219" s="749"/>
    </row>
    <row r="220" spans="1:16" x14ac:dyDescent="0.25">
      <c r="A220" s="1133" t="s">
        <v>304</v>
      </c>
      <c r="B220" s="811">
        <v>1</v>
      </c>
      <c r="C220" s="814">
        <f>C6</f>
        <v>20</v>
      </c>
      <c r="D220" s="814">
        <f t="shared" ref="D220:F220" si="74">D6</f>
        <v>-0.2</v>
      </c>
      <c r="E220" s="814">
        <f t="shared" si="74"/>
        <v>0.2</v>
      </c>
      <c r="F220" s="814">
        <f t="shared" si="74"/>
        <v>0.2</v>
      </c>
      <c r="G220" s="749"/>
      <c r="H220" s="1134" t="s">
        <v>304</v>
      </c>
      <c r="I220" s="811">
        <v>1</v>
      </c>
      <c r="J220" s="814">
        <f>I6</f>
        <v>40</v>
      </c>
      <c r="K220" s="814">
        <f t="shared" ref="K220:M220" si="75">J50</f>
        <v>-8</v>
      </c>
      <c r="L220" s="814">
        <f t="shared" si="75"/>
        <v>-1.8</v>
      </c>
      <c r="M220" s="814">
        <f t="shared" si="75"/>
        <v>3.1</v>
      </c>
      <c r="N220" s="749"/>
      <c r="O220" s="1140" t="s">
        <v>170</v>
      </c>
      <c r="P220" s="1141"/>
    </row>
    <row r="221" spans="1:16" x14ac:dyDescent="0.25">
      <c r="A221" s="1133"/>
      <c r="B221" s="811">
        <v>2</v>
      </c>
      <c r="C221" s="814">
        <f>C17</f>
        <v>20</v>
      </c>
      <c r="D221" s="814">
        <f t="shared" ref="D221:F221" si="76">D17</f>
        <v>-0.1</v>
      </c>
      <c r="E221" s="814">
        <f t="shared" si="76"/>
        <v>9.9999999999999995E-7</v>
      </c>
      <c r="F221" s="814">
        <f t="shared" si="76"/>
        <v>5.0000500000000003E-2</v>
      </c>
      <c r="G221" s="749"/>
      <c r="H221" s="1134"/>
      <c r="I221" s="811">
        <v>2</v>
      </c>
      <c r="J221" s="814">
        <f>I17</f>
        <v>40</v>
      </c>
      <c r="K221" s="814">
        <f t="shared" ref="K221:M221" si="77">J17</f>
        <v>-1.6</v>
      </c>
      <c r="L221" s="814">
        <f t="shared" si="77"/>
        <v>-1.1000000000000001</v>
      </c>
      <c r="M221" s="814">
        <f t="shared" si="77"/>
        <v>0.25</v>
      </c>
      <c r="N221" s="749"/>
      <c r="O221" s="1142" t="s">
        <v>228</v>
      </c>
      <c r="P221" s="1143"/>
    </row>
    <row r="222" spans="1:16" x14ac:dyDescent="0.25">
      <c r="A222" s="1133"/>
      <c r="B222" s="811">
        <v>3</v>
      </c>
      <c r="C222" s="812">
        <f>C28</f>
        <v>20</v>
      </c>
      <c r="D222" s="812">
        <f t="shared" ref="D222:F222" si="78">D28</f>
        <v>9.9999999999999995E-7</v>
      </c>
      <c r="E222" s="812">
        <f t="shared" si="78"/>
        <v>9.9999999999999995E-7</v>
      </c>
      <c r="F222" s="812">
        <f t="shared" si="78"/>
        <v>0</v>
      </c>
      <c r="G222" s="749"/>
      <c r="H222" s="1134"/>
      <c r="I222" s="811">
        <v>3</v>
      </c>
      <c r="J222" s="812">
        <f>I28</f>
        <v>40</v>
      </c>
      <c r="K222" s="812">
        <f t="shared" ref="K222:M222" si="79">J28</f>
        <v>-5.3</v>
      </c>
      <c r="L222" s="812">
        <f t="shared" si="79"/>
        <v>-1.9</v>
      </c>
      <c r="M222" s="812">
        <f t="shared" si="79"/>
        <v>1.7</v>
      </c>
      <c r="N222" s="749"/>
      <c r="O222" s="810">
        <v>1</v>
      </c>
      <c r="P222" s="886">
        <f>O4</f>
        <v>3.1</v>
      </c>
    </row>
    <row r="223" spans="1:16" x14ac:dyDescent="0.25">
      <c r="A223" s="1133"/>
      <c r="B223" s="811">
        <v>4</v>
      </c>
      <c r="C223" s="812">
        <f>C39</f>
        <v>20</v>
      </c>
      <c r="D223" s="812">
        <f t="shared" ref="D223:F223" si="80">D39</f>
        <v>-0.3</v>
      </c>
      <c r="E223" s="812">
        <f t="shared" si="80"/>
        <v>9.9999999999999995E-7</v>
      </c>
      <c r="F223" s="812">
        <f t="shared" si="80"/>
        <v>0.15000049999999998</v>
      </c>
      <c r="G223" s="749"/>
      <c r="H223" s="1134"/>
      <c r="I223" s="811">
        <v>4</v>
      </c>
      <c r="J223" s="812">
        <f>I39</f>
        <v>40</v>
      </c>
      <c r="K223" s="812">
        <f t="shared" ref="K223:M223" si="81">J39</f>
        <v>-1.5</v>
      </c>
      <c r="L223" s="812">
        <f t="shared" si="81"/>
        <v>-0.9</v>
      </c>
      <c r="M223" s="812">
        <f t="shared" si="81"/>
        <v>0.3</v>
      </c>
      <c r="N223" s="749"/>
      <c r="O223" s="813">
        <v>2</v>
      </c>
      <c r="P223" s="887">
        <f>O15</f>
        <v>3.3</v>
      </c>
    </row>
    <row r="224" spans="1:16" x14ac:dyDescent="0.25">
      <c r="A224" s="1133"/>
      <c r="B224" s="811">
        <v>5</v>
      </c>
      <c r="C224" s="812">
        <f>C50</f>
        <v>20</v>
      </c>
      <c r="D224" s="812">
        <f t="shared" ref="D224:F224" si="82">D50</f>
        <v>0.3</v>
      </c>
      <c r="E224" s="812">
        <f t="shared" si="82"/>
        <v>9.9999999999999995E-7</v>
      </c>
      <c r="F224" s="812">
        <f t="shared" si="82"/>
        <v>0.14999950000000001</v>
      </c>
      <c r="G224" s="749"/>
      <c r="H224" s="1134"/>
      <c r="I224" s="811">
        <v>5</v>
      </c>
      <c r="J224" s="812">
        <f>I50</f>
        <v>40</v>
      </c>
      <c r="K224" s="812">
        <f t="shared" ref="K224:M224" si="83">J50</f>
        <v>-8</v>
      </c>
      <c r="L224" s="812">
        <f t="shared" si="83"/>
        <v>-1.8</v>
      </c>
      <c r="M224" s="812">
        <f t="shared" si="83"/>
        <v>3.1</v>
      </c>
      <c r="N224" s="749"/>
      <c r="O224" s="813">
        <v>3</v>
      </c>
      <c r="P224" s="888">
        <f>O26</f>
        <v>3.1</v>
      </c>
    </row>
    <row r="225" spans="1:16" x14ac:dyDescent="0.25">
      <c r="A225" s="1133"/>
      <c r="B225" s="811">
        <v>6</v>
      </c>
      <c r="C225" s="812">
        <f>C61</f>
        <v>20</v>
      </c>
      <c r="D225" s="812">
        <f t="shared" ref="D225:F225" si="84">D61</f>
        <v>0.2</v>
      </c>
      <c r="E225" s="812">
        <f t="shared" si="84"/>
        <v>9.9999999999999995E-7</v>
      </c>
      <c r="F225" s="812">
        <f t="shared" si="84"/>
        <v>9.9999500000000005E-2</v>
      </c>
      <c r="G225" s="749"/>
      <c r="H225" s="1134"/>
      <c r="I225" s="811">
        <v>6</v>
      </c>
      <c r="J225" s="812">
        <f>I61</f>
        <v>40</v>
      </c>
      <c r="K225" s="812">
        <f t="shared" ref="K225:M225" si="85">J61</f>
        <v>1.5</v>
      </c>
      <c r="L225" s="812">
        <f t="shared" si="85"/>
        <v>-3.4</v>
      </c>
      <c r="M225" s="812">
        <f t="shared" si="85"/>
        <v>2.4500000000000002</v>
      </c>
      <c r="N225" s="749"/>
      <c r="O225" s="813">
        <v>4</v>
      </c>
      <c r="P225" s="888">
        <f>O37</f>
        <v>2.6</v>
      </c>
    </row>
    <row r="226" spans="1:16" x14ac:dyDescent="0.25">
      <c r="A226" s="1133"/>
      <c r="B226" s="811">
        <v>7</v>
      </c>
      <c r="C226" s="812">
        <f>C72</f>
        <v>20</v>
      </c>
      <c r="D226" s="812">
        <f t="shared" ref="D226:F226" si="86">D72</f>
        <v>0.1</v>
      </c>
      <c r="E226" s="812">
        <f t="shared" si="86"/>
        <v>0.1</v>
      </c>
      <c r="F226" s="812">
        <f t="shared" si="86"/>
        <v>0</v>
      </c>
      <c r="G226" s="749"/>
      <c r="H226" s="1134"/>
      <c r="I226" s="811">
        <v>7</v>
      </c>
      <c r="J226" s="812">
        <f>I72</f>
        <v>40</v>
      </c>
      <c r="K226" s="812">
        <f t="shared" ref="K226:M226" si="87">J72</f>
        <v>1.2</v>
      </c>
      <c r="L226" s="812">
        <f t="shared" si="87"/>
        <v>9.9999999999999995E-7</v>
      </c>
      <c r="M226" s="812">
        <f t="shared" si="87"/>
        <v>0.59999950000000002</v>
      </c>
      <c r="N226" s="749"/>
      <c r="O226" s="813">
        <v>5</v>
      </c>
      <c r="P226" s="888">
        <f>O48</f>
        <v>3.2</v>
      </c>
    </row>
    <row r="227" spans="1:16" x14ac:dyDescent="0.25">
      <c r="A227" s="1133"/>
      <c r="B227" s="811">
        <v>8</v>
      </c>
      <c r="C227" s="812">
        <f>C83</f>
        <v>20</v>
      </c>
      <c r="D227" s="812">
        <f t="shared" ref="D227:F227" si="88">D83</f>
        <v>-0.2</v>
      </c>
      <c r="E227" s="812">
        <f t="shared" si="88"/>
        <v>-0.2</v>
      </c>
      <c r="F227" s="812">
        <f t="shared" si="88"/>
        <v>0</v>
      </c>
      <c r="G227" s="749"/>
      <c r="H227" s="1134"/>
      <c r="I227" s="811">
        <v>8</v>
      </c>
      <c r="J227" s="812">
        <f>I83</f>
        <v>40</v>
      </c>
      <c r="K227" s="812">
        <f t="shared" ref="K227:M227" si="89">J83</f>
        <v>-1.2</v>
      </c>
      <c r="L227" s="812">
        <f t="shared" si="89"/>
        <v>1.1000000000000001</v>
      </c>
      <c r="M227" s="812">
        <f t="shared" si="89"/>
        <v>1.1499999999999999</v>
      </c>
      <c r="N227" s="749"/>
      <c r="O227" s="810">
        <v>6</v>
      </c>
      <c r="P227" s="886">
        <f>O59</f>
        <v>2</v>
      </c>
    </row>
    <row r="228" spans="1:16" x14ac:dyDescent="0.25">
      <c r="A228" s="1133"/>
      <c r="B228" s="811">
        <v>9</v>
      </c>
      <c r="C228" s="812">
        <f>C94</f>
        <v>20</v>
      </c>
      <c r="D228" s="812">
        <f t="shared" ref="D228:F228" si="90">D94</f>
        <v>-0.2</v>
      </c>
      <c r="E228" s="812" t="str">
        <f t="shared" si="90"/>
        <v>-</v>
      </c>
      <c r="F228" s="812">
        <f t="shared" si="90"/>
        <v>0</v>
      </c>
      <c r="G228" s="749"/>
      <c r="H228" s="1134"/>
      <c r="I228" s="811">
        <v>9</v>
      </c>
      <c r="J228" s="812">
        <f>I94</f>
        <v>40</v>
      </c>
      <c r="K228" s="812">
        <f t="shared" ref="K228:M228" si="91">J94</f>
        <v>-1</v>
      </c>
      <c r="L228" s="812" t="str">
        <f t="shared" si="91"/>
        <v>-</v>
      </c>
      <c r="M228" s="812">
        <f t="shared" si="91"/>
        <v>0</v>
      </c>
      <c r="N228" s="749"/>
      <c r="O228" s="810">
        <v>7</v>
      </c>
      <c r="P228" s="886">
        <f>O70</f>
        <v>2.2999999999999998</v>
      </c>
    </row>
    <row r="229" spans="1:16" ht="29.25" customHeight="1" x14ac:dyDescent="0.25">
      <c r="A229" s="1133"/>
      <c r="B229" s="811">
        <v>10</v>
      </c>
      <c r="C229" s="812">
        <f>C105</f>
        <v>20</v>
      </c>
      <c r="D229" s="812">
        <f t="shared" ref="D229:F229" si="92">D105</f>
        <v>0.2</v>
      </c>
      <c r="E229" s="812">
        <f t="shared" si="92"/>
        <v>-0.7</v>
      </c>
      <c r="F229" s="812">
        <f t="shared" si="92"/>
        <v>0.44999999999999996</v>
      </c>
      <c r="G229" s="749"/>
      <c r="H229" s="1134"/>
      <c r="I229" s="811">
        <v>10</v>
      </c>
      <c r="J229" s="812">
        <f>I105</f>
        <v>40</v>
      </c>
      <c r="K229" s="812">
        <f t="shared" ref="K229:M229" si="93">J105</f>
        <v>-3.3</v>
      </c>
      <c r="L229" s="812">
        <f t="shared" si="93"/>
        <v>-6.4</v>
      </c>
      <c r="M229" s="812">
        <f t="shared" si="93"/>
        <v>1.5500000000000003</v>
      </c>
      <c r="N229" s="749"/>
      <c r="O229" s="810">
        <v>8</v>
      </c>
      <c r="P229" s="886">
        <f>O81</f>
        <v>2.6</v>
      </c>
    </row>
    <row r="230" spans="1:16" ht="13.5" customHeight="1" x14ac:dyDescent="0.25">
      <c r="A230" s="1133"/>
      <c r="B230" s="811">
        <v>11</v>
      </c>
      <c r="C230" s="812">
        <f>C116</f>
        <v>20</v>
      </c>
      <c r="D230" s="812">
        <f t="shared" ref="D230:F230" si="94">D116</f>
        <v>0.4</v>
      </c>
      <c r="E230" s="812" t="str">
        <f t="shared" si="94"/>
        <v>-</v>
      </c>
      <c r="F230" s="812">
        <f t="shared" si="94"/>
        <v>0</v>
      </c>
      <c r="G230" s="749"/>
      <c r="H230" s="1134"/>
      <c r="I230" s="811">
        <v>11</v>
      </c>
      <c r="J230" s="812">
        <f>I116</f>
        <v>40</v>
      </c>
      <c r="K230" s="812">
        <f t="shared" ref="K230:M230" si="95">J116</f>
        <v>-5.5</v>
      </c>
      <c r="L230" s="812" t="str">
        <f t="shared" si="95"/>
        <v>-</v>
      </c>
      <c r="M230" s="812">
        <f t="shared" si="95"/>
        <v>0</v>
      </c>
      <c r="N230" s="749"/>
      <c r="O230" s="810">
        <v>9</v>
      </c>
      <c r="P230" s="886">
        <f>O92</f>
        <v>2.4</v>
      </c>
    </row>
    <row r="231" spans="1:16" x14ac:dyDescent="0.25">
      <c r="A231" s="1133"/>
      <c r="B231" s="811">
        <v>12</v>
      </c>
      <c r="C231" s="812">
        <f>C127</f>
        <v>20</v>
      </c>
      <c r="D231" s="812">
        <f t="shared" ref="D231:F231" si="96">D127</f>
        <v>-0.1</v>
      </c>
      <c r="E231" s="812" t="str">
        <f t="shared" si="96"/>
        <v>-</v>
      </c>
      <c r="F231" s="812">
        <f t="shared" si="96"/>
        <v>0</v>
      </c>
      <c r="G231" s="749"/>
      <c r="H231" s="1134"/>
      <c r="I231" s="811">
        <v>12</v>
      </c>
      <c r="J231" s="812">
        <f>I127</f>
        <v>40</v>
      </c>
      <c r="K231" s="812">
        <f t="shared" ref="K231:M231" si="97">J127</f>
        <v>0.3</v>
      </c>
      <c r="L231" s="812" t="str">
        <f t="shared" si="97"/>
        <v>-</v>
      </c>
      <c r="M231" s="812">
        <f t="shared" si="97"/>
        <v>0</v>
      </c>
      <c r="N231" s="749"/>
      <c r="O231" s="810">
        <v>10</v>
      </c>
      <c r="P231" s="886">
        <f>O103</f>
        <v>1.5</v>
      </c>
    </row>
    <row r="232" spans="1:16" x14ac:dyDescent="0.25">
      <c r="A232" s="1133"/>
      <c r="B232" s="811">
        <v>13</v>
      </c>
      <c r="C232" s="812">
        <f>C138</f>
        <v>20</v>
      </c>
      <c r="D232" s="812">
        <f t="shared" ref="D232:F232" si="98">D138</f>
        <v>-0.4</v>
      </c>
      <c r="E232" s="812" t="str">
        <f t="shared" si="98"/>
        <v>-</v>
      </c>
      <c r="F232" s="812">
        <f t="shared" si="98"/>
        <v>0</v>
      </c>
      <c r="G232" s="749"/>
      <c r="H232" s="1134"/>
      <c r="I232" s="811">
        <v>13</v>
      </c>
      <c r="J232" s="812">
        <f>I138</f>
        <v>40</v>
      </c>
      <c r="K232" s="812">
        <f t="shared" ref="K232:M232" si="99">J138</f>
        <v>-1.3</v>
      </c>
      <c r="L232" s="812" t="str">
        <f t="shared" si="99"/>
        <v>-</v>
      </c>
      <c r="M232" s="812">
        <f t="shared" si="99"/>
        <v>0</v>
      </c>
      <c r="N232" s="749"/>
      <c r="O232" s="810">
        <v>11</v>
      </c>
      <c r="P232" s="886">
        <f>O114</f>
        <v>1.8</v>
      </c>
    </row>
    <row r="233" spans="1:16" x14ac:dyDescent="0.25">
      <c r="A233" s="1133"/>
      <c r="B233" s="811">
        <v>14</v>
      </c>
      <c r="C233" s="812">
        <f>C149</f>
        <v>20</v>
      </c>
      <c r="D233" s="812">
        <f t="shared" ref="D233:F233" si="100">D149</f>
        <v>-0.5</v>
      </c>
      <c r="E233" s="812" t="str">
        <f t="shared" si="100"/>
        <v>-</v>
      </c>
      <c r="F233" s="812">
        <f t="shared" si="100"/>
        <v>0</v>
      </c>
      <c r="G233" s="749"/>
      <c r="H233" s="1134"/>
      <c r="I233" s="811">
        <v>14</v>
      </c>
      <c r="J233" s="812">
        <f>I149</f>
        <v>40</v>
      </c>
      <c r="K233" s="812">
        <f t="shared" ref="K233:M233" si="101">J149</f>
        <v>-0.3</v>
      </c>
      <c r="L233" s="812" t="str">
        <f t="shared" si="101"/>
        <v>-</v>
      </c>
      <c r="M233" s="812">
        <f t="shared" si="101"/>
        <v>0</v>
      </c>
      <c r="N233" s="749"/>
      <c r="O233" s="810">
        <v>12</v>
      </c>
      <c r="P233" s="886">
        <f>O125</f>
        <v>2.2000000000000002</v>
      </c>
    </row>
    <row r="234" spans="1:16" x14ac:dyDescent="0.25">
      <c r="A234" s="1133"/>
      <c r="B234" s="811">
        <v>15</v>
      </c>
      <c r="C234" s="812">
        <f>C160</f>
        <v>20</v>
      </c>
      <c r="D234" s="812">
        <f t="shared" ref="D234:F234" si="102">D160</f>
        <v>0.2</v>
      </c>
      <c r="E234" s="812" t="str">
        <f t="shared" si="102"/>
        <v>-</v>
      </c>
      <c r="F234" s="812">
        <f t="shared" si="102"/>
        <v>0</v>
      </c>
      <c r="G234" s="749"/>
      <c r="H234" s="1134"/>
      <c r="I234" s="811">
        <v>15</v>
      </c>
      <c r="J234" s="812">
        <f>I160</f>
        <v>40</v>
      </c>
      <c r="K234" s="812">
        <f t="shared" ref="K234:M234" si="103">J160</f>
        <v>-1.4</v>
      </c>
      <c r="L234" s="812" t="str">
        <f t="shared" si="103"/>
        <v>-</v>
      </c>
      <c r="M234" s="812">
        <f t="shared" si="103"/>
        <v>0</v>
      </c>
      <c r="N234" s="749"/>
      <c r="O234" s="810">
        <v>13</v>
      </c>
      <c r="P234" s="820">
        <f>O136</f>
        <v>2.7</v>
      </c>
    </row>
    <row r="235" spans="1:16" x14ac:dyDescent="0.25">
      <c r="A235" s="1133"/>
      <c r="B235" s="811">
        <v>16</v>
      </c>
      <c r="C235" s="812">
        <f>C171</f>
        <v>20</v>
      </c>
      <c r="D235" s="812">
        <f t="shared" ref="D235:F235" si="104">D171</f>
        <v>0.1</v>
      </c>
      <c r="E235" s="812" t="str">
        <f t="shared" si="104"/>
        <v>-</v>
      </c>
      <c r="F235" s="812">
        <f t="shared" si="104"/>
        <v>0</v>
      </c>
      <c r="G235" s="749"/>
      <c r="H235" s="1134"/>
      <c r="I235" s="811">
        <v>16</v>
      </c>
      <c r="J235" s="812">
        <f>I171</f>
        <v>40</v>
      </c>
      <c r="K235" s="812">
        <f t="shared" ref="K235:M235" si="105">J171</f>
        <v>0.2</v>
      </c>
      <c r="L235" s="812" t="str">
        <f t="shared" si="105"/>
        <v>-</v>
      </c>
      <c r="M235" s="812">
        <f t="shared" si="105"/>
        <v>0</v>
      </c>
      <c r="N235" s="749"/>
      <c r="O235" s="810">
        <v>14</v>
      </c>
      <c r="P235" s="820">
        <f>O147</f>
        <v>2.7</v>
      </c>
    </row>
    <row r="236" spans="1:16" x14ac:dyDescent="0.25">
      <c r="A236" s="1133"/>
      <c r="B236" s="811">
        <v>17</v>
      </c>
      <c r="C236" s="812">
        <f>C181</f>
        <v>20</v>
      </c>
      <c r="D236" s="812">
        <f t="shared" ref="D236:F236" si="106">D181</f>
        <v>-0.1</v>
      </c>
      <c r="E236" s="812" t="str">
        <f t="shared" si="106"/>
        <v>-</v>
      </c>
      <c r="F236" s="812">
        <f t="shared" si="106"/>
        <v>0</v>
      </c>
      <c r="G236" s="749"/>
      <c r="H236" s="1134"/>
      <c r="I236" s="811">
        <v>17</v>
      </c>
      <c r="J236" s="812">
        <f>I181</f>
        <v>40</v>
      </c>
      <c r="K236" s="812">
        <f t="shared" ref="K236:M236" si="107">J181</f>
        <v>-0.2</v>
      </c>
      <c r="L236" s="812" t="str">
        <f t="shared" si="107"/>
        <v>-</v>
      </c>
      <c r="M236" s="812">
        <f t="shared" si="107"/>
        <v>0</v>
      </c>
      <c r="N236" s="749"/>
      <c r="O236" s="810">
        <v>15</v>
      </c>
      <c r="P236" s="820">
        <f>O158</f>
        <v>2.2000000000000002</v>
      </c>
    </row>
    <row r="237" spans="1:16" x14ac:dyDescent="0.25">
      <c r="A237" s="1133"/>
      <c r="B237" s="811">
        <v>18</v>
      </c>
      <c r="C237" s="812">
        <f>C191</f>
        <v>20</v>
      </c>
      <c r="D237" s="812">
        <f t="shared" ref="D237:F237" si="108">D191</f>
        <v>9.9999999999999995E-7</v>
      </c>
      <c r="E237" s="812" t="str">
        <f t="shared" si="108"/>
        <v>-</v>
      </c>
      <c r="F237" s="812">
        <f t="shared" si="108"/>
        <v>0</v>
      </c>
      <c r="G237" s="749"/>
      <c r="H237" s="1134"/>
      <c r="I237" s="811">
        <v>18</v>
      </c>
      <c r="J237" s="812">
        <f>I191</f>
        <v>40</v>
      </c>
      <c r="K237" s="812">
        <f t="shared" ref="K237:M237" si="109">J191</f>
        <v>-0.1</v>
      </c>
      <c r="L237" s="812" t="str">
        <f t="shared" si="109"/>
        <v>-</v>
      </c>
      <c r="M237" s="812">
        <f t="shared" si="109"/>
        <v>0</v>
      </c>
      <c r="N237" s="749"/>
      <c r="O237" s="810">
        <v>16</v>
      </c>
      <c r="P237" s="820">
        <f>O169</f>
        <v>2.8</v>
      </c>
    </row>
    <row r="238" spans="1:16" x14ac:dyDescent="0.25">
      <c r="A238" s="815"/>
      <c r="B238" s="816"/>
      <c r="C238" s="821"/>
      <c r="D238" s="821"/>
      <c r="E238" s="821"/>
      <c r="F238" s="822"/>
      <c r="H238" s="815"/>
      <c r="I238" s="816"/>
      <c r="J238" s="821"/>
      <c r="K238" s="821"/>
      <c r="L238" s="821"/>
      <c r="M238" s="822"/>
      <c r="N238" s="749"/>
      <c r="O238" s="810">
        <v>17</v>
      </c>
      <c r="P238" s="820">
        <f>O179</f>
        <v>1.6</v>
      </c>
    </row>
    <row r="239" spans="1:16" x14ac:dyDescent="0.25">
      <c r="A239" s="1133" t="s">
        <v>306</v>
      </c>
      <c r="B239" s="811">
        <v>1</v>
      </c>
      <c r="C239" s="812">
        <f>C7</f>
        <v>25</v>
      </c>
      <c r="D239" s="812">
        <f t="shared" ref="D239:F239" si="110">D7</f>
        <v>9.9999999999999995E-7</v>
      </c>
      <c r="E239" s="812">
        <f t="shared" si="110"/>
        <v>0.1</v>
      </c>
      <c r="F239" s="812">
        <f t="shared" si="110"/>
        <v>4.9999500000000002E-2</v>
      </c>
      <c r="G239" s="749"/>
      <c r="H239" s="1134" t="s">
        <v>306</v>
      </c>
      <c r="I239" s="811">
        <v>1</v>
      </c>
      <c r="J239" s="812">
        <f>I7</f>
        <v>50</v>
      </c>
      <c r="K239" s="812">
        <f t="shared" ref="K239:M239" si="111">J7</f>
        <v>-5.3</v>
      </c>
      <c r="L239" s="812">
        <f t="shared" si="111"/>
        <v>9.9999999999999995E-7</v>
      </c>
      <c r="M239" s="812">
        <f t="shared" si="111"/>
        <v>2.6500005</v>
      </c>
      <c r="N239" s="749"/>
      <c r="O239" s="810">
        <v>18</v>
      </c>
      <c r="P239" s="820">
        <f>O189</f>
        <v>2</v>
      </c>
    </row>
    <row r="240" spans="1:16" x14ac:dyDescent="0.25">
      <c r="A240" s="1133"/>
      <c r="B240" s="811">
        <v>2</v>
      </c>
      <c r="C240" s="812">
        <f>C18</f>
        <v>25</v>
      </c>
      <c r="D240" s="812">
        <f t="shared" ref="D240:F240" si="112">D18</f>
        <v>-0.2</v>
      </c>
      <c r="E240" s="812">
        <f t="shared" si="112"/>
        <v>-0.5</v>
      </c>
      <c r="F240" s="812">
        <f t="shared" si="112"/>
        <v>0.15</v>
      </c>
      <c r="G240" s="749"/>
      <c r="H240" s="1134"/>
      <c r="I240" s="811">
        <v>2</v>
      </c>
      <c r="J240" s="812">
        <f>I18</f>
        <v>50</v>
      </c>
      <c r="K240" s="812">
        <f t="shared" ref="K240:M240" si="113">J18</f>
        <v>-1.5</v>
      </c>
      <c r="L240" s="812">
        <f t="shared" si="113"/>
        <v>-1.4</v>
      </c>
      <c r="M240" s="812">
        <f t="shared" si="113"/>
        <v>5.0000000000000044E-2</v>
      </c>
      <c r="N240" s="749"/>
      <c r="O240" s="749"/>
      <c r="P240" s="823"/>
    </row>
    <row r="241" spans="1:16" x14ac:dyDescent="0.25">
      <c r="A241" s="1133"/>
      <c r="B241" s="811">
        <v>3</v>
      </c>
      <c r="C241" s="812">
        <f>C29</f>
        <v>25</v>
      </c>
      <c r="D241" s="812">
        <f t="shared" ref="D241:F241" si="114">D29</f>
        <v>-0.1</v>
      </c>
      <c r="E241" s="812">
        <f t="shared" si="114"/>
        <v>-0.2</v>
      </c>
      <c r="F241" s="812">
        <f t="shared" si="114"/>
        <v>0.05</v>
      </c>
      <c r="G241" s="749"/>
      <c r="H241" s="1134"/>
      <c r="I241" s="811">
        <v>3</v>
      </c>
      <c r="J241" s="812">
        <f>I29</f>
        <v>50</v>
      </c>
      <c r="K241" s="812">
        <f t="shared" ref="K241:M241" si="115">J29</f>
        <v>-4.9000000000000004</v>
      </c>
      <c r="L241" s="812">
        <f t="shared" si="115"/>
        <v>-2.2999999999999998</v>
      </c>
      <c r="M241" s="812">
        <f t="shared" si="115"/>
        <v>1.3000000000000003</v>
      </c>
      <c r="N241" s="749"/>
      <c r="O241" s="749"/>
      <c r="P241" s="823"/>
    </row>
    <row r="242" spans="1:16" x14ac:dyDescent="0.25">
      <c r="A242" s="1133"/>
      <c r="B242" s="811">
        <v>4</v>
      </c>
      <c r="C242" s="812">
        <f>C40</f>
        <v>25</v>
      </c>
      <c r="D242" s="812">
        <f t="shared" ref="D242:F242" si="116">D40</f>
        <v>-0.5</v>
      </c>
      <c r="E242" s="812">
        <f t="shared" si="116"/>
        <v>-0.5</v>
      </c>
      <c r="F242" s="812">
        <f t="shared" si="116"/>
        <v>0</v>
      </c>
      <c r="G242" s="749"/>
      <c r="H242" s="1134"/>
      <c r="I242" s="811">
        <v>4</v>
      </c>
      <c r="J242" s="812">
        <f>I40</f>
        <v>50</v>
      </c>
      <c r="K242" s="812">
        <f t="shared" ref="K242:M242" si="117">J40</f>
        <v>-1</v>
      </c>
      <c r="L242" s="812">
        <f t="shared" si="117"/>
        <v>-1</v>
      </c>
      <c r="M242" s="812">
        <f t="shared" si="117"/>
        <v>0</v>
      </c>
      <c r="N242" s="749"/>
      <c r="O242" s="749"/>
      <c r="P242" s="823"/>
    </row>
    <row r="243" spans="1:16" x14ac:dyDescent="0.25">
      <c r="A243" s="1133"/>
      <c r="B243" s="811">
        <v>5</v>
      </c>
      <c r="C243" s="812">
        <f>C51</f>
        <v>25</v>
      </c>
      <c r="D243" s="812">
        <f t="shared" ref="D243:F243" si="118">D51</f>
        <v>0.2</v>
      </c>
      <c r="E243" s="812">
        <f t="shared" si="118"/>
        <v>-0.3</v>
      </c>
      <c r="F243" s="812">
        <f t="shared" si="118"/>
        <v>0.25</v>
      </c>
      <c r="G243" s="749"/>
      <c r="H243" s="1134"/>
      <c r="I243" s="811">
        <v>5</v>
      </c>
      <c r="J243" s="812">
        <f>I51</f>
        <v>50</v>
      </c>
      <c r="K243" s="812">
        <f t="shared" ref="K243:M243" si="119">J51</f>
        <v>-6.2</v>
      </c>
      <c r="L243" s="812">
        <f t="shared" si="119"/>
        <v>-2.1</v>
      </c>
      <c r="M243" s="812">
        <f t="shared" si="119"/>
        <v>2.0499999999999998</v>
      </c>
      <c r="N243" s="749"/>
      <c r="O243" s="749"/>
      <c r="P243" s="823"/>
    </row>
    <row r="244" spans="1:16" x14ac:dyDescent="0.25">
      <c r="A244" s="1133"/>
      <c r="B244" s="811">
        <v>6</v>
      </c>
      <c r="C244" s="812">
        <f>C62</f>
        <v>25</v>
      </c>
      <c r="D244" s="812">
        <f t="shared" ref="D244:F244" si="120">D62</f>
        <v>-0.1</v>
      </c>
      <c r="E244" s="812">
        <f t="shared" si="120"/>
        <v>0.1</v>
      </c>
      <c r="F244" s="812">
        <f t="shared" si="120"/>
        <v>0.1</v>
      </c>
      <c r="G244" s="749"/>
      <c r="H244" s="1134"/>
      <c r="I244" s="811">
        <v>6</v>
      </c>
      <c r="J244" s="812">
        <f>I62</f>
        <v>50</v>
      </c>
      <c r="K244" s="812">
        <f t="shared" ref="K244:M244" si="121">J62</f>
        <v>1.2</v>
      </c>
      <c r="L244" s="812">
        <f t="shared" si="121"/>
        <v>-2.5</v>
      </c>
      <c r="M244" s="812">
        <f t="shared" si="121"/>
        <v>1.85</v>
      </c>
      <c r="N244" s="749"/>
      <c r="O244" s="749"/>
      <c r="P244" s="823"/>
    </row>
    <row r="245" spans="1:16" x14ac:dyDescent="0.25">
      <c r="A245" s="1133"/>
      <c r="B245" s="811">
        <v>7</v>
      </c>
      <c r="C245" s="812">
        <f>C73</f>
        <v>25</v>
      </c>
      <c r="D245" s="812">
        <f t="shared" ref="D245:F245" si="122">D73</f>
        <v>-0.2</v>
      </c>
      <c r="E245" s="812">
        <f t="shared" si="122"/>
        <v>9.9999999999999995E-7</v>
      </c>
      <c r="F245" s="812">
        <f t="shared" si="122"/>
        <v>0.10000050000000001</v>
      </c>
      <c r="G245" s="749"/>
      <c r="H245" s="1134"/>
      <c r="I245" s="811">
        <v>7</v>
      </c>
      <c r="J245" s="812">
        <f>I73</f>
        <v>50</v>
      </c>
      <c r="K245" s="812">
        <f t="shared" ref="K245:M245" si="123">J73</f>
        <v>0.8</v>
      </c>
      <c r="L245" s="812">
        <f t="shared" si="123"/>
        <v>0.6</v>
      </c>
      <c r="M245" s="812">
        <f t="shared" si="123"/>
        <v>0.10000000000000003</v>
      </c>
      <c r="N245" s="749"/>
      <c r="O245" s="749"/>
      <c r="P245" s="823"/>
    </row>
    <row r="246" spans="1:16" x14ac:dyDescent="0.25">
      <c r="A246" s="1133"/>
      <c r="B246" s="811">
        <v>8</v>
      </c>
      <c r="C246" s="812">
        <f>C84</f>
        <v>25</v>
      </c>
      <c r="D246" s="812">
        <f t="shared" ref="D246:F246" si="124">D84</f>
        <v>-0.4</v>
      </c>
      <c r="E246" s="812">
        <f t="shared" si="124"/>
        <v>-0.2</v>
      </c>
      <c r="F246" s="812">
        <f t="shared" si="124"/>
        <v>0.1</v>
      </c>
      <c r="G246" s="749"/>
      <c r="H246" s="1134"/>
      <c r="I246" s="811">
        <v>8</v>
      </c>
      <c r="J246" s="812">
        <f>I84</f>
        <v>50</v>
      </c>
      <c r="K246" s="812">
        <f t="shared" ref="K246:M246" si="125">J84</f>
        <v>-1.2</v>
      </c>
      <c r="L246" s="812">
        <f t="shared" si="125"/>
        <v>1.3</v>
      </c>
      <c r="M246" s="812">
        <f t="shared" si="125"/>
        <v>1.25</v>
      </c>
      <c r="N246" s="749"/>
      <c r="O246" s="749"/>
      <c r="P246" s="823"/>
    </row>
    <row r="247" spans="1:16" x14ac:dyDescent="0.25">
      <c r="A247" s="1133"/>
      <c r="B247" s="811">
        <v>9</v>
      </c>
      <c r="C247" s="812">
        <f>C95</f>
        <v>25</v>
      </c>
      <c r="D247" s="812">
        <f t="shared" ref="D247:F247" si="126">D95</f>
        <v>-0.4</v>
      </c>
      <c r="E247" s="812" t="str">
        <f t="shared" si="126"/>
        <v>-</v>
      </c>
      <c r="F247" s="812">
        <f t="shared" si="126"/>
        <v>0</v>
      </c>
      <c r="G247" s="749"/>
      <c r="H247" s="1134"/>
      <c r="I247" s="811">
        <v>9</v>
      </c>
      <c r="J247" s="812">
        <f>I95</f>
        <v>50</v>
      </c>
      <c r="K247" s="812">
        <f t="shared" ref="K247:M247" si="127">J95</f>
        <v>-0.9</v>
      </c>
      <c r="L247" s="812" t="str">
        <f t="shared" si="127"/>
        <v>-</v>
      </c>
      <c r="M247" s="812">
        <f t="shared" si="127"/>
        <v>0</v>
      </c>
      <c r="N247" s="749"/>
      <c r="O247" s="749"/>
      <c r="P247" s="823"/>
    </row>
    <row r="248" spans="1:16" s="790" customFormat="1" x14ac:dyDescent="0.25">
      <c r="A248" s="1133"/>
      <c r="B248" s="811">
        <v>10</v>
      </c>
      <c r="C248" s="812">
        <f>C106</f>
        <v>25</v>
      </c>
      <c r="D248" s="812">
        <f t="shared" ref="D248:F248" si="128">D106</f>
        <v>0.1</v>
      </c>
      <c r="E248" s="812">
        <f t="shared" si="128"/>
        <v>-0.5</v>
      </c>
      <c r="F248" s="812">
        <f t="shared" si="128"/>
        <v>0.3</v>
      </c>
      <c r="G248" s="749"/>
      <c r="H248" s="1134"/>
      <c r="I248" s="811">
        <v>10</v>
      </c>
      <c r="J248" s="812">
        <f>I106</f>
        <v>50</v>
      </c>
      <c r="K248" s="812">
        <f t="shared" ref="K248:M248" si="129">J106</f>
        <v>-3.1</v>
      </c>
      <c r="L248" s="812">
        <f t="shared" si="129"/>
        <v>-6.1</v>
      </c>
      <c r="M248" s="812">
        <f t="shared" si="129"/>
        <v>1.4999999999999998</v>
      </c>
      <c r="N248" s="749"/>
      <c r="O248" s="749"/>
      <c r="P248" s="823"/>
    </row>
    <row r="249" spans="1:16" s="790" customFormat="1" x14ac:dyDescent="0.25">
      <c r="A249" s="1133"/>
      <c r="B249" s="811">
        <v>11</v>
      </c>
      <c r="C249" s="812">
        <f>C117</f>
        <v>25</v>
      </c>
      <c r="D249" s="812">
        <f t="shared" ref="D249:F249" si="130">D117</f>
        <v>0.4</v>
      </c>
      <c r="E249" s="812" t="str">
        <f t="shared" si="130"/>
        <v>-</v>
      </c>
      <c r="F249" s="812">
        <f t="shared" si="130"/>
        <v>0</v>
      </c>
      <c r="G249" s="749"/>
      <c r="H249" s="1134"/>
      <c r="I249" s="811">
        <v>11</v>
      </c>
      <c r="J249" s="812">
        <f>I117</f>
        <v>50</v>
      </c>
      <c r="K249" s="812">
        <f t="shared" ref="K249:M249" si="131">J117</f>
        <v>-5.5</v>
      </c>
      <c r="L249" s="812" t="str">
        <f t="shared" si="131"/>
        <v>-</v>
      </c>
      <c r="M249" s="812">
        <f t="shared" si="131"/>
        <v>0</v>
      </c>
      <c r="N249" s="749"/>
      <c r="O249" s="749"/>
      <c r="P249" s="823"/>
    </row>
    <row r="250" spans="1:16" s="790" customFormat="1" x14ac:dyDescent="0.25">
      <c r="A250" s="1133"/>
      <c r="B250" s="811">
        <v>12</v>
      </c>
      <c r="C250" s="812">
        <f>C128</f>
        <v>25</v>
      </c>
      <c r="D250" s="812">
        <f t="shared" ref="D250:F250" si="132">D128</f>
        <v>-0.1</v>
      </c>
      <c r="E250" s="812" t="str">
        <f t="shared" si="132"/>
        <v>-</v>
      </c>
      <c r="F250" s="812">
        <f t="shared" si="132"/>
        <v>0</v>
      </c>
      <c r="G250" s="749"/>
      <c r="H250" s="1134"/>
      <c r="I250" s="811">
        <v>12</v>
      </c>
      <c r="J250" s="812">
        <f>I128</f>
        <v>50</v>
      </c>
      <c r="K250" s="812">
        <f t="shared" ref="K250:M250" si="133">J128</f>
        <v>-0.2</v>
      </c>
      <c r="L250" s="812" t="str">
        <f t="shared" si="133"/>
        <v>-</v>
      </c>
      <c r="M250" s="812">
        <f t="shared" si="133"/>
        <v>0</v>
      </c>
      <c r="N250" s="749"/>
      <c r="O250" s="749"/>
      <c r="P250" s="823"/>
    </row>
    <row r="251" spans="1:16" s="790" customFormat="1" x14ac:dyDescent="0.25">
      <c r="A251" s="1133"/>
      <c r="B251" s="811">
        <v>13</v>
      </c>
      <c r="C251" s="812">
        <f>C139</f>
        <v>25</v>
      </c>
      <c r="D251" s="812">
        <f t="shared" ref="D251:F251" si="134">D139</f>
        <v>-0.2</v>
      </c>
      <c r="E251" s="812" t="str">
        <f t="shared" si="134"/>
        <v>-</v>
      </c>
      <c r="F251" s="812">
        <f t="shared" si="134"/>
        <v>0</v>
      </c>
      <c r="G251" s="749"/>
      <c r="H251" s="1134"/>
      <c r="I251" s="811">
        <v>13</v>
      </c>
      <c r="J251" s="812">
        <f>I139</f>
        <v>50</v>
      </c>
      <c r="K251" s="812">
        <f t="shared" ref="K251:M251" si="135">J139</f>
        <v>-1.3</v>
      </c>
      <c r="L251" s="812" t="str">
        <f t="shared" si="135"/>
        <v>-</v>
      </c>
      <c r="M251" s="812">
        <f t="shared" si="135"/>
        <v>0</v>
      </c>
      <c r="N251" s="749"/>
      <c r="O251" s="749"/>
      <c r="P251" s="823"/>
    </row>
    <row r="252" spans="1:16" s="790" customFormat="1" x14ac:dyDescent="0.25">
      <c r="A252" s="1133"/>
      <c r="B252" s="811">
        <v>14</v>
      </c>
      <c r="C252" s="812">
        <f>C150</f>
        <v>25</v>
      </c>
      <c r="D252" s="812">
        <f t="shared" ref="D252:F252" si="136">D150</f>
        <v>-0.4</v>
      </c>
      <c r="E252" s="812" t="str">
        <f t="shared" si="136"/>
        <v>-</v>
      </c>
      <c r="F252" s="812">
        <f t="shared" si="136"/>
        <v>0</v>
      </c>
      <c r="G252" s="749"/>
      <c r="H252" s="1134"/>
      <c r="I252" s="811">
        <v>14</v>
      </c>
      <c r="J252" s="812">
        <f>I150</f>
        <v>50</v>
      </c>
      <c r="K252" s="812">
        <f t="shared" ref="K252:M252" si="137">J150</f>
        <v>-0.3</v>
      </c>
      <c r="L252" s="812" t="str">
        <f t="shared" si="137"/>
        <v>-</v>
      </c>
      <c r="M252" s="812">
        <f t="shared" si="137"/>
        <v>0</v>
      </c>
      <c r="N252" s="749"/>
      <c r="O252" s="749"/>
      <c r="P252" s="823"/>
    </row>
    <row r="253" spans="1:16" s="790" customFormat="1" x14ac:dyDescent="0.25">
      <c r="A253" s="1133"/>
      <c r="B253" s="811">
        <v>15</v>
      </c>
      <c r="C253" s="812">
        <f>C161</f>
        <v>25</v>
      </c>
      <c r="D253" s="812">
        <f t="shared" ref="D253:F253" si="138">D161</f>
        <v>0.2</v>
      </c>
      <c r="E253" s="812" t="str">
        <f t="shared" si="138"/>
        <v>-</v>
      </c>
      <c r="F253" s="812">
        <f t="shared" si="138"/>
        <v>0</v>
      </c>
      <c r="G253" s="749"/>
      <c r="H253" s="1134"/>
      <c r="I253" s="811">
        <v>15</v>
      </c>
      <c r="J253" s="812">
        <f>I161</f>
        <v>50</v>
      </c>
      <c r="K253" s="812">
        <f t="shared" ref="K253:M253" si="139">J161</f>
        <v>-1.4</v>
      </c>
      <c r="L253" s="812" t="str">
        <f t="shared" si="139"/>
        <v>-</v>
      </c>
      <c r="M253" s="812">
        <f t="shared" si="139"/>
        <v>0</v>
      </c>
      <c r="N253" s="749"/>
      <c r="O253" s="749"/>
      <c r="P253" s="823"/>
    </row>
    <row r="254" spans="1:16" s="790" customFormat="1" x14ac:dyDescent="0.25">
      <c r="A254" s="1133"/>
      <c r="B254" s="811">
        <v>16</v>
      </c>
      <c r="C254" s="812">
        <f>C172</f>
        <v>25</v>
      </c>
      <c r="D254" s="812">
        <f t="shared" ref="D254:F254" si="140">D172</f>
        <v>9.9999999999999995E-7</v>
      </c>
      <c r="E254" s="812" t="str">
        <f t="shared" si="140"/>
        <v>-</v>
      </c>
      <c r="F254" s="812">
        <f t="shared" si="140"/>
        <v>0</v>
      </c>
      <c r="G254" s="749"/>
      <c r="H254" s="1134"/>
      <c r="I254" s="811">
        <v>16</v>
      </c>
      <c r="J254" s="812">
        <f>I172</f>
        <v>50</v>
      </c>
      <c r="K254" s="812">
        <f t="shared" ref="K254:M254" si="141">J172</f>
        <v>0.2</v>
      </c>
      <c r="L254" s="812" t="str">
        <f t="shared" si="141"/>
        <v>-</v>
      </c>
      <c r="M254" s="812">
        <f t="shared" si="141"/>
        <v>0</v>
      </c>
      <c r="N254" s="749"/>
      <c r="O254" s="749"/>
      <c r="P254" s="823"/>
    </row>
    <row r="255" spans="1:16" s="790" customFormat="1" x14ac:dyDescent="0.25">
      <c r="A255" s="1133"/>
      <c r="B255" s="811">
        <v>17</v>
      </c>
      <c r="C255" s="812">
        <f>C182</f>
        <v>25</v>
      </c>
      <c r="D255" s="812">
        <f t="shared" ref="D255:F255" si="142">D182</f>
        <v>-0.2</v>
      </c>
      <c r="E255" s="812" t="str">
        <f t="shared" si="142"/>
        <v>-</v>
      </c>
      <c r="F255" s="812">
        <f t="shared" si="142"/>
        <v>0</v>
      </c>
      <c r="G255" s="749"/>
      <c r="H255" s="1134"/>
      <c r="I255" s="811">
        <v>17</v>
      </c>
      <c r="J255" s="812">
        <f>I182</f>
        <v>50</v>
      </c>
      <c r="K255" s="812">
        <f t="shared" ref="K255:M255" si="143">J182</f>
        <v>-0.2</v>
      </c>
      <c r="L255" s="812" t="str">
        <f t="shared" si="143"/>
        <v>-</v>
      </c>
      <c r="M255" s="812">
        <f t="shared" si="143"/>
        <v>0</v>
      </c>
      <c r="N255" s="749"/>
      <c r="O255" s="749"/>
      <c r="P255" s="823"/>
    </row>
    <row r="256" spans="1:16" s="790" customFormat="1" x14ac:dyDescent="0.25">
      <c r="A256" s="1133"/>
      <c r="B256" s="811">
        <v>18</v>
      </c>
      <c r="C256" s="812">
        <f>C192</f>
        <v>25</v>
      </c>
      <c r="D256" s="812">
        <f t="shared" ref="D256:F256" si="144">D192</f>
        <v>9.9999999999999995E-7</v>
      </c>
      <c r="E256" s="812" t="str">
        <f t="shared" si="144"/>
        <v>-</v>
      </c>
      <c r="F256" s="812">
        <f t="shared" si="144"/>
        <v>0</v>
      </c>
      <c r="G256" s="749"/>
      <c r="H256" s="1134"/>
      <c r="I256" s="811">
        <v>18</v>
      </c>
      <c r="J256" s="812">
        <f>I192</f>
        <v>50</v>
      </c>
      <c r="K256" s="812">
        <f t="shared" ref="K256:M256" si="145">J192</f>
        <v>9.9999999999999995E-7</v>
      </c>
      <c r="L256" s="812" t="str">
        <f t="shared" si="145"/>
        <v>-</v>
      </c>
      <c r="M256" s="812">
        <f t="shared" si="145"/>
        <v>0</v>
      </c>
      <c r="N256" s="749"/>
      <c r="O256" s="749"/>
      <c r="P256" s="823"/>
    </row>
    <row r="257" spans="1:16" s="790" customFormat="1" x14ac:dyDescent="0.25">
      <c r="A257" s="815"/>
      <c r="B257" s="816"/>
      <c r="C257" s="821"/>
      <c r="D257" s="821"/>
      <c r="E257" s="821"/>
      <c r="F257" s="822"/>
      <c r="G257" s="745"/>
      <c r="H257" s="815"/>
      <c r="I257" s="824"/>
      <c r="J257" s="821"/>
      <c r="K257" s="821"/>
      <c r="L257" s="821"/>
      <c r="M257" s="822"/>
      <c r="N257" s="749"/>
      <c r="O257" s="749"/>
      <c r="P257" s="823"/>
    </row>
    <row r="258" spans="1:16" s="790" customFormat="1" x14ac:dyDescent="0.25">
      <c r="A258" s="1133" t="s">
        <v>316</v>
      </c>
      <c r="B258" s="811">
        <v>1</v>
      </c>
      <c r="C258" s="812">
        <f>C8</f>
        <v>30</v>
      </c>
      <c r="D258" s="812">
        <f t="shared" ref="D258:F258" si="146">D8</f>
        <v>9.9999999999999995E-7</v>
      </c>
      <c r="E258" s="812">
        <f t="shared" si="146"/>
        <v>-0.2</v>
      </c>
      <c r="F258" s="812">
        <f t="shared" si="146"/>
        <v>0.10000050000000001</v>
      </c>
      <c r="G258" s="749"/>
      <c r="H258" s="1134" t="s">
        <v>316</v>
      </c>
      <c r="I258" s="811">
        <v>1</v>
      </c>
      <c r="J258" s="812">
        <f>I8</f>
        <v>60</v>
      </c>
      <c r="K258" s="812">
        <f t="shared" ref="K258:M258" si="147">J8</f>
        <v>-4.4000000000000004</v>
      </c>
      <c r="L258" s="812">
        <f t="shared" si="147"/>
        <v>9.9999999999999995E-7</v>
      </c>
      <c r="M258" s="812">
        <f t="shared" si="147"/>
        <v>2.2000005000000002</v>
      </c>
      <c r="N258" s="749"/>
      <c r="O258" s="749"/>
      <c r="P258" s="823"/>
    </row>
    <row r="259" spans="1:16" s="790" customFormat="1" x14ac:dyDescent="0.25">
      <c r="A259" s="1133"/>
      <c r="B259" s="811">
        <v>2</v>
      </c>
      <c r="C259" s="812">
        <f>C19</f>
        <v>30</v>
      </c>
      <c r="D259" s="812">
        <f t="shared" ref="D259:F259" si="148">D19</f>
        <v>-0.3</v>
      </c>
      <c r="E259" s="812">
        <f t="shared" si="148"/>
        <v>-1</v>
      </c>
      <c r="F259" s="812">
        <f t="shared" si="148"/>
        <v>0.35</v>
      </c>
      <c r="G259" s="749"/>
      <c r="H259" s="1134"/>
      <c r="I259" s="811">
        <v>2</v>
      </c>
      <c r="J259" s="812">
        <f>I19</f>
        <v>60</v>
      </c>
      <c r="K259" s="812">
        <f t="shared" ref="K259:M259" si="149">J19</f>
        <v>-1.3</v>
      </c>
      <c r="L259" s="812">
        <f t="shared" si="149"/>
        <v>-1.3</v>
      </c>
      <c r="M259" s="812">
        <f t="shared" si="149"/>
        <v>0</v>
      </c>
      <c r="N259" s="749"/>
      <c r="O259" s="749"/>
      <c r="P259" s="823"/>
    </row>
    <row r="260" spans="1:16" s="790" customFormat="1" x14ac:dyDescent="0.25">
      <c r="A260" s="1133"/>
      <c r="B260" s="811">
        <v>3</v>
      </c>
      <c r="C260" s="812">
        <f>C30</f>
        <v>30</v>
      </c>
      <c r="D260" s="812">
        <f t="shared" ref="D260:F260" si="150">D30</f>
        <v>-0.3</v>
      </c>
      <c r="E260" s="812">
        <f t="shared" si="150"/>
        <v>-0.3</v>
      </c>
      <c r="F260" s="812">
        <f t="shared" si="150"/>
        <v>0</v>
      </c>
      <c r="G260" s="749"/>
      <c r="H260" s="1134"/>
      <c r="I260" s="811">
        <v>3</v>
      </c>
      <c r="J260" s="812">
        <f>I30</f>
        <v>60</v>
      </c>
      <c r="K260" s="812">
        <f t="shared" ref="K260:M260" si="151">J30</f>
        <v>-4.3</v>
      </c>
      <c r="L260" s="812">
        <f t="shared" si="151"/>
        <v>-2.2000000000000002</v>
      </c>
      <c r="M260" s="812">
        <f t="shared" si="151"/>
        <v>1.0499999999999998</v>
      </c>
      <c r="N260" s="749"/>
      <c r="O260" s="749"/>
      <c r="P260" s="823"/>
    </row>
    <row r="261" spans="1:16" s="790" customFormat="1" x14ac:dyDescent="0.25">
      <c r="A261" s="1133"/>
      <c r="B261" s="811">
        <v>4</v>
      </c>
      <c r="C261" s="812">
        <f>C41</f>
        <v>30</v>
      </c>
      <c r="D261" s="812">
        <f t="shared" ref="D261:F261" si="152">D41</f>
        <v>-0.6</v>
      </c>
      <c r="E261" s="812">
        <f t="shared" si="152"/>
        <v>-1</v>
      </c>
      <c r="F261" s="812">
        <f t="shared" si="152"/>
        <v>0.2</v>
      </c>
      <c r="G261" s="749"/>
      <c r="H261" s="1134"/>
      <c r="I261" s="811">
        <v>4</v>
      </c>
      <c r="J261" s="812">
        <f>I41</f>
        <v>60</v>
      </c>
      <c r="K261" s="812">
        <f t="shared" ref="K261:M261" si="153">J41</f>
        <v>-0.3</v>
      </c>
      <c r="L261" s="812">
        <f t="shared" si="153"/>
        <v>-0.9</v>
      </c>
      <c r="M261" s="812">
        <f t="shared" si="153"/>
        <v>0.30000000000000004</v>
      </c>
      <c r="N261" s="749"/>
      <c r="O261" s="749"/>
      <c r="P261" s="823"/>
    </row>
    <row r="262" spans="1:16" x14ac:dyDescent="0.25">
      <c r="A262" s="1133"/>
      <c r="B262" s="811">
        <v>5</v>
      </c>
      <c r="C262" s="812">
        <f>C52</f>
        <v>30</v>
      </c>
      <c r="D262" s="812">
        <f t="shared" ref="D262:F262" si="154">D52</f>
        <v>0.1</v>
      </c>
      <c r="E262" s="812">
        <f t="shared" si="154"/>
        <v>-0.7</v>
      </c>
      <c r="F262" s="812">
        <f t="shared" si="154"/>
        <v>0.39999999999999997</v>
      </c>
      <c r="G262" s="749"/>
      <c r="H262" s="1134"/>
      <c r="I262" s="811">
        <v>5</v>
      </c>
      <c r="J262" s="812">
        <f>I52</f>
        <v>60</v>
      </c>
      <c r="K262" s="812">
        <f t="shared" ref="K262:M262" si="155">J52</f>
        <v>-4.2</v>
      </c>
      <c r="L262" s="812">
        <f t="shared" si="155"/>
        <v>-2</v>
      </c>
      <c r="M262" s="812">
        <f t="shared" si="155"/>
        <v>1.1000000000000001</v>
      </c>
      <c r="N262" s="749"/>
      <c r="O262" s="749"/>
      <c r="P262" s="823"/>
    </row>
    <row r="263" spans="1:16" x14ac:dyDescent="0.25">
      <c r="A263" s="1133"/>
      <c r="B263" s="811">
        <v>6</v>
      </c>
      <c r="C263" s="812">
        <f>C63</f>
        <v>30</v>
      </c>
      <c r="D263" s="812">
        <f t="shared" ref="D263:F263" si="156">D63</f>
        <v>-0.5</v>
      </c>
      <c r="E263" s="812">
        <f t="shared" si="156"/>
        <v>0.13</v>
      </c>
      <c r="F263" s="812">
        <f t="shared" si="156"/>
        <v>0.315</v>
      </c>
      <c r="G263" s="749"/>
      <c r="H263" s="1134"/>
      <c r="I263" s="811">
        <v>6</v>
      </c>
      <c r="J263" s="812">
        <f>I63</f>
        <v>60</v>
      </c>
      <c r="K263" s="812">
        <f t="shared" ref="K263:M263" si="157">J63</f>
        <v>1.1000000000000001</v>
      </c>
      <c r="L263" s="812">
        <f t="shared" si="157"/>
        <v>-2</v>
      </c>
      <c r="M263" s="812">
        <f t="shared" si="157"/>
        <v>1.55</v>
      </c>
      <c r="N263" s="749"/>
      <c r="O263" s="749"/>
      <c r="P263" s="823"/>
    </row>
    <row r="264" spans="1:16" x14ac:dyDescent="0.25">
      <c r="A264" s="1133"/>
      <c r="B264" s="811">
        <v>7</v>
      </c>
      <c r="C264" s="812">
        <f>C74</f>
        <v>30</v>
      </c>
      <c r="D264" s="812">
        <f t="shared" ref="D264:F264" si="158">D74</f>
        <v>-0.6</v>
      </c>
      <c r="E264" s="812">
        <f t="shared" si="158"/>
        <v>-0.1</v>
      </c>
      <c r="F264" s="812">
        <f t="shared" si="158"/>
        <v>0.25</v>
      </c>
      <c r="G264" s="749"/>
      <c r="H264" s="1134"/>
      <c r="I264" s="811">
        <v>7</v>
      </c>
      <c r="J264" s="812">
        <f>I74</f>
        <v>60</v>
      </c>
      <c r="K264" s="812">
        <f t="shared" ref="K264:M264" si="159">J74</f>
        <v>0.7</v>
      </c>
      <c r="L264" s="812">
        <f t="shared" si="159"/>
        <v>1.5</v>
      </c>
      <c r="M264" s="812">
        <f t="shared" si="159"/>
        <v>0.4</v>
      </c>
      <c r="N264" s="749"/>
      <c r="O264" s="749"/>
      <c r="P264" s="823"/>
    </row>
    <row r="265" spans="1:16" x14ac:dyDescent="0.25">
      <c r="A265" s="1133"/>
      <c r="B265" s="811">
        <v>8</v>
      </c>
      <c r="C265" s="812">
        <f>C85</f>
        <v>30</v>
      </c>
      <c r="D265" s="812">
        <f t="shared" ref="D265:F265" si="160">D85</f>
        <v>-0.4</v>
      </c>
      <c r="E265" s="812">
        <f t="shared" si="160"/>
        <v>-0.2</v>
      </c>
      <c r="F265" s="812">
        <f t="shared" si="160"/>
        <v>0.1</v>
      </c>
      <c r="G265" s="749"/>
      <c r="H265" s="1134"/>
      <c r="I265" s="811">
        <v>8</v>
      </c>
      <c r="J265" s="812">
        <f>I85</f>
        <v>60</v>
      </c>
      <c r="K265" s="812">
        <f t="shared" ref="K265:M265" si="161">J85</f>
        <v>-1.1000000000000001</v>
      </c>
      <c r="L265" s="812">
        <f t="shared" si="161"/>
        <v>1.7</v>
      </c>
      <c r="M265" s="812">
        <f t="shared" si="161"/>
        <v>1.4</v>
      </c>
      <c r="N265" s="749"/>
      <c r="O265" s="749"/>
      <c r="P265" s="823"/>
    </row>
    <row r="266" spans="1:16" x14ac:dyDescent="0.25">
      <c r="A266" s="1133"/>
      <c r="B266" s="811">
        <v>9</v>
      </c>
      <c r="C266" s="812">
        <f>C96</f>
        <v>30</v>
      </c>
      <c r="D266" s="812">
        <f t="shared" ref="D266:F266" si="162">D96</f>
        <v>-0.5</v>
      </c>
      <c r="E266" s="812" t="str">
        <f t="shared" si="162"/>
        <v>-</v>
      </c>
      <c r="F266" s="812">
        <f t="shared" si="162"/>
        <v>0</v>
      </c>
      <c r="G266" s="749"/>
      <c r="H266" s="1134"/>
      <c r="I266" s="811">
        <v>9</v>
      </c>
      <c r="J266" s="812">
        <f>I96</f>
        <v>60</v>
      </c>
      <c r="K266" s="812">
        <f t="shared" ref="K266:M266" si="163">J96</f>
        <v>-0.8</v>
      </c>
      <c r="L266" s="812" t="str">
        <f t="shared" si="163"/>
        <v>-</v>
      </c>
      <c r="M266" s="812">
        <f t="shared" si="163"/>
        <v>0</v>
      </c>
      <c r="N266" s="749"/>
      <c r="O266" s="749"/>
      <c r="P266" s="823"/>
    </row>
    <row r="267" spans="1:16" x14ac:dyDescent="0.25">
      <c r="A267" s="1133"/>
      <c r="B267" s="811">
        <v>10</v>
      </c>
      <c r="C267" s="812">
        <f>C107</f>
        <v>30</v>
      </c>
      <c r="D267" s="812">
        <f t="shared" ref="D267:F267" si="164">D107</f>
        <v>0.1</v>
      </c>
      <c r="E267" s="812">
        <f t="shared" si="164"/>
        <v>0.2</v>
      </c>
      <c r="F267" s="812">
        <f t="shared" si="164"/>
        <v>0.05</v>
      </c>
      <c r="G267" s="749"/>
      <c r="H267" s="1134"/>
      <c r="I267" s="811">
        <v>10</v>
      </c>
      <c r="J267" s="812">
        <f>I107</f>
        <v>60</v>
      </c>
      <c r="K267" s="812">
        <f t="shared" ref="K267:M267" si="165">J107</f>
        <v>-2.1</v>
      </c>
      <c r="L267" s="812">
        <f t="shared" si="165"/>
        <v>-5.6</v>
      </c>
      <c r="M267" s="812">
        <f t="shared" si="165"/>
        <v>1.7499999999999998</v>
      </c>
      <c r="N267" s="749"/>
      <c r="O267" s="749"/>
      <c r="P267" s="823"/>
    </row>
    <row r="268" spans="1:16" x14ac:dyDescent="0.25">
      <c r="A268" s="1133"/>
      <c r="B268" s="811">
        <v>11</v>
      </c>
      <c r="C268" s="812">
        <f>C118</f>
        <v>30</v>
      </c>
      <c r="D268" s="812">
        <f t="shared" ref="D268:F268" si="166">D118</f>
        <v>0.5</v>
      </c>
      <c r="E268" s="812" t="str">
        <f t="shared" si="166"/>
        <v>-</v>
      </c>
      <c r="F268" s="812">
        <f t="shared" si="166"/>
        <v>0</v>
      </c>
      <c r="G268" s="749"/>
      <c r="H268" s="1134"/>
      <c r="I268" s="811">
        <v>11</v>
      </c>
      <c r="J268" s="812">
        <f>I118</f>
        <v>60</v>
      </c>
      <c r="K268" s="812">
        <f t="shared" ref="K268:M268" si="167">J118</f>
        <v>-4.8</v>
      </c>
      <c r="L268" s="812" t="str">
        <f t="shared" si="167"/>
        <v>-</v>
      </c>
      <c r="M268" s="812">
        <f t="shared" si="167"/>
        <v>0</v>
      </c>
      <c r="N268" s="749"/>
      <c r="O268" s="749"/>
      <c r="P268" s="823"/>
    </row>
    <row r="269" spans="1:16" x14ac:dyDescent="0.25">
      <c r="A269" s="1133"/>
      <c r="B269" s="811">
        <v>12</v>
      </c>
      <c r="C269" s="812">
        <f>C129</f>
        <v>30</v>
      </c>
      <c r="D269" s="812">
        <f t="shared" ref="D269:F269" si="168">D129</f>
        <v>-0.3</v>
      </c>
      <c r="E269" s="812" t="str">
        <f t="shared" si="168"/>
        <v>-</v>
      </c>
      <c r="F269" s="812">
        <f t="shared" si="168"/>
        <v>0</v>
      </c>
      <c r="G269" s="749"/>
      <c r="H269" s="1134"/>
      <c r="I269" s="811">
        <v>12</v>
      </c>
      <c r="J269" s="812">
        <f>I129</f>
        <v>60</v>
      </c>
      <c r="K269" s="812">
        <f t="shared" ref="K269:M269" si="169">J129</f>
        <v>-0.6</v>
      </c>
      <c r="L269" s="812" t="str">
        <f t="shared" si="169"/>
        <v>-</v>
      </c>
      <c r="M269" s="812">
        <f t="shared" si="169"/>
        <v>0</v>
      </c>
      <c r="N269" s="749"/>
      <c r="O269" s="749"/>
      <c r="P269" s="823"/>
    </row>
    <row r="270" spans="1:16" x14ac:dyDescent="0.25">
      <c r="A270" s="1133"/>
      <c r="B270" s="811">
        <v>13</v>
      </c>
      <c r="C270" s="812">
        <f>C140</f>
        <v>30</v>
      </c>
      <c r="D270" s="812">
        <f t="shared" ref="D270:F270" si="170">D140</f>
        <v>0.1</v>
      </c>
      <c r="E270" s="812" t="str">
        <f t="shared" si="170"/>
        <v>-</v>
      </c>
      <c r="F270" s="812">
        <f t="shared" si="170"/>
        <v>0</v>
      </c>
      <c r="G270" s="749"/>
      <c r="H270" s="1134"/>
      <c r="I270" s="811">
        <v>13</v>
      </c>
      <c r="J270" s="812">
        <f>I140</f>
        <v>60</v>
      </c>
      <c r="K270" s="812">
        <f t="shared" ref="K270:M270" si="171">J140</f>
        <v>-1.5</v>
      </c>
      <c r="L270" s="812" t="str">
        <f t="shared" si="171"/>
        <v>-</v>
      </c>
      <c r="M270" s="812">
        <f t="shared" si="171"/>
        <v>0</v>
      </c>
      <c r="N270" s="749"/>
      <c r="O270" s="749"/>
      <c r="P270" s="823"/>
    </row>
    <row r="271" spans="1:16" x14ac:dyDescent="0.25">
      <c r="A271" s="1133"/>
      <c r="B271" s="811">
        <v>14</v>
      </c>
      <c r="C271" s="812">
        <f>C151</f>
        <v>30</v>
      </c>
      <c r="D271" s="812">
        <f t="shared" ref="D271:F271" si="172">D151</f>
        <v>-0.2</v>
      </c>
      <c r="E271" s="812" t="str">
        <f t="shared" si="172"/>
        <v>-</v>
      </c>
      <c r="F271" s="812">
        <f t="shared" si="172"/>
        <v>0</v>
      </c>
      <c r="G271" s="749"/>
      <c r="H271" s="1134"/>
      <c r="I271" s="811">
        <v>14</v>
      </c>
      <c r="J271" s="812">
        <f>I151</f>
        <v>60</v>
      </c>
      <c r="K271" s="812">
        <f t="shared" ref="K271:M271" si="173">J151</f>
        <v>-0.5</v>
      </c>
      <c r="L271" s="812" t="str">
        <f t="shared" si="173"/>
        <v>-</v>
      </c>
      <c r="M271" s="812">
        <f t="shared" si="173"/>
        <v>0</v>
      </c>
      <c r="N271" s="749"/>
      <c r="O271" s="749"/>
      <c r="P271" s="823"/>
    </row>
    <row r="272" spans="1:16" x14ac:dyDescent="0.25">
      <c r="A272" s="1133"/>
      <c r="B272" s="811">
        <v>15</v>
      </c>
      <c r="C272" s="812">
        <f>C162</f>
        <v>30</v>
      </c>
      <c r="D272" s="812">
        <f t="shared" ref="D272:F272" si="174">D162</f>
        <v>0.2</v>
      </c>
      <c r="E272" s="812" t="str">
        <f t="shared" si="174"/>
        <v>-</v>
      </c>
      <c r="F272" s="812">
        <f t="shared" si="174"/>
        <v>0</v>
      </c>
      <c r="G272" s="749"/>
      <c r="H272" s="1134"/>
      <c r="I272" s="811">
        <v>15</v>
      </c>
      <c r="J272" s="812">
        <f>I162</f>
        <v>60</v>
      </c>
      <c r="K272" s="812">
        <f t="shared" ref="K272:M272" si="175">J162</f>
        <v>-1.5</v>
      </c>
      <c r="L272" s="812" t="str">
        <f t="shared" si="175"/>
        <v>-</v>
      </c>
      <c r="M272" s="812">
        <f t="shared" si="175"/>
        <v>0</v>
      </c>
      <c r="N272" s="749"/>
      <c r="O272" s="749"/>
      <c r="P272" s="823"/>
    </row>
    <row r="273" spans="1:16" x14ac:dyDescent="0.25">
      <c r="A273" s="1133"/>
      <c r="B273" s="811">
        <v>16</v>
      </c>
      <c r="C273" s="812">
        <f>C173</f>
        <v>30</v>
      </c>
      <c r="D273" s="812">
        <f t="shared" ref="D273:F273" si="176">D173</f>
        <v>-0.2</v>
      </c>
      <c r="E273" s="812" t="str">
        <f t="shared" si="176"/>
        <v>-</v>
      </c>
      <c r="F273" s="812">
        <f t="shared" si="176"/>
        <v>0</v>
      </c>
      <c r="G273" s="749"/>
      <c r="H273" s="1134"/>
      <c r="I273" s="811">
        <v>16</v>
      </c>
      <c r="J273" s="812">
        <f>I173</f>
        <v>60</v>
      </c>
      <c r="K273" s="812">
        <f t="shared" ref="K273:M273" si="177">J173</f>
        <v>9.9999999999999995E-7</v>
      </c>
      <c r="L273" s="812" t="str">
        <f t="shared" si="177"/>
        <v>-</v>
      </c>
      <c r="M273" s="812">
        <f t="shared" si="177"/>
        <v>0</v>
      </c>
      <c r="N273" s="749"/>
      <c r="O273" s="749"/>
      <c r="P273" s="823"/>
    </row>
    <row r="274" spans="1:16" x14ac:dyDescent="0.25">
      <c r="A274" s="1133"/>
      <c r="B274" s="811">
        <v>17</v>
      </c>
      <c r="C274" s="812">
        <f>C183</f>
        <v>30</v>
      </c>
      <c r="D274" s="812">
        <f t="shared" ref="D274:F274" si="178">D183</f>
        <v>-0.2</v>
      </c>
      <c r="E274" s="812" t="str">
        <f t="shared" si="178"/>
        <v>-</v>
      </c>
      <c r="F274" s="812">
        <f t="shared" si="178"/>
        <v>0</v>
      </c>
      <c r="G274" s="749"/>
      <c r="H274" s="1134"/>
      <c r="I274" s="811">
        <v>17</v>
      </c>
      <c r="J274" s="812">
        <f>I183</f>
        <v>60</v>
      </c>
      <c r="K274" s="812">
        <f t="shared" ref="K274:M274" si="179">J183</f>
        <v>-0.2</v>
      </c>
      <c r="L274" s="812" t="str">
        <f t="shared" si="179"/>
        <v>-</v>
      </c>
      <c r="M274" s="812">
        <f t="shared" si="179"/>
        <v>0</v>
      </c>
      <c r="N274" s="749"/>
      <c r="O274" s="749"/>
      <c r="P274" s="823"/>
    </row>
    <row r="275" spans="1:16" x14ac:dyDescent="0.25">
      <c r="A275" s="1133"/>
      <c r="B275" s="811">
        <v>18</v>
      </c>
      <c r="C275" s="812">
        <f>C193</f>
        <v>30</v>
      </c>
      <c r="D275" s="812">
        <f t="shared" ref="D275:F275" si="180">D193</f>
        <v>-0.1</v>
      </c>
      <c r="E275" s="812" t="str">
        <f t="shared" si="180"/>
        <v>-</v>
      </c>
      <c r="F275" s="812">
        <f t="shared" si="180"/>
        <v>0</v>
      </c>
      <c r="G275" s="749"/>
      <c r="H275" s="1134"/>
      <c r="I275" s="811">
        <v>18</v>
      </c>
      <c r="J275" s="812">
        <f>I193</f>
        <v>60</v>
      </c>
      <c r="K275" s="812">
        <f t="shared" ref="K275:M275" si="181">J193</f>
        <v>9.9999999999999995E-7</v>
      </c>
      <c r="L275" s="812" t="str">
        <f t="shared" si="181"/>
        <v>-</v>
      </c>
      <c r="M275" s="812">
        <f t="shared" si="181"/>
        <v>0</v>
      </c>
      <c r="N275" s="749"/>
      <c r="O275" s="749"/>
      <c r="P275" s="823"/>
    </row>
    <row r="276" spans="1:16" x14ac:dyDescent="0.25">
      <c r="A276" s="815"/>
      <c r="B276" s="816"/>
      <c r="C276" s="821"/>
      <c r="D276" s="821"/>
      <c r="E276" s="821"/>
      <c r="F276" s="822"/>
      <c r="H276" s="815"/>
      <c r="I276" s="824"/>
      <c r="J276" s="821"/>
      <c r="K276" s="821"/>
      <c r="L276" s="821"/>
      <c r="M276" s="822"/>
      <c r="N276" s="749"/>
      <c r="O276" s="749"/>
      <c r="P276" s="823"/>
    </row>
    <row r="277" spans="1:16" x14ac:dyDescent="0.25">
      <c r="A277" s="1133" t="s">
        <v>318</v>
      </c>
      <c r="B277" s="811">
        <v>1</v>
      </c>
      <c r="C277" s="812">
        <f>C9</f>
        <v>35</v>
      </c>
      <c r="D277" s="812">
        <f t="shared" ref="D277:F277" si="182">D9</f>
        <v>-0.1</v>
      </c>
      <c r="E277" s="812">
        <f t="shared" si="182"/>
        <v>-0.5</v>
      </c>
      <c r="F277" s="812">
        <f t="shared" si="182"/>
        <v>0.2</v>
      </c>
      <c r="G277" s="749"/>
      <c r="H277" s="1134" t="s">
        <v>318</v>
      </c>
      <c r="I277" s="811">
        <v>1</v>
      </c>
      <c r="J277" s="812">
        <f>I20</f>
        <v>70</v>
      </c>
      <c r="K277" s="812">
        <f t="shared" ref="K277:M277" si="183">J20</f>
        <v>-1.1000000000000001</v>
      </c>
      <c r="L277" s="812">
        <f t="shared" si="183"/>
        <v>-1</v>
      </c>
      <c r="M277" s="812">
        <f t="shared" si="183"/>
        <v>5.0000000000000044E-2</v>
      </c>
      <c r="N277" s="749"/>
      <c r="O277" s="749"/>
      <c r="P277" s="823"/>
    </row>
    <row r="278" spans="1:16" x14ac:dyDescent="0.25">
      <c r="A278" s="1133"/>
      <c r="B278" s="811">
        <v>2</v>
      </c>
      <c r="C278" s="812">
        <f>C20</f>
        <v>35</v>
      </c>
      <c r="D278" s="812">
        <f t="shared" ref="D278:F278" si="184">D20</f>
        <v>-0.3</v>
      </c>
      <c r="E278" s="812">
        <f t="shared" si="184"/>
        <v>-1.6</v>
      </c>
      <c r="F278" s="812">
        <f t="shared" si="184"/>
        <v>0.65</v>
      </c>
      <c r="G278" s="749"/>
      <c r="H278" s="1134"/>
      <c r="I278" s="811">
        <v>2</v>
      </c>
      <c r="J278" s="812">
        <f>I20</f>
        <v>70</v>
      </c>
      <c r="K278" s="812">
        <f t="shared" ref="K278:M278" si="185">J20</f>
        <v>-1.1000000000000001</v>
      </c>
      <c r="L278" s="812">
        <f t="shared" si="185"/>
        <v>-1</v>
      </c>
      <c r="M278" s="812">
        <f t="shared" si="185"/>
        <v>5.0000000000000044E-2</v>
      </c>
      <c r="N278" s="749"/>
      <c r="O278" s="749"/>
      <c r="P278" s="823"/>
    </row>
    <row r="279" spans="1:16" x14ac:dyDescent="0.25">
      <c r="A279" s="1133"/>
      <c r="B279" s="811">
        <v>3</v>
      </c>
      <c r="C279" s="812">
        <f>C31</f>
        <v>35</v>
      </c>
      <c r="D279" s="812">
        <f t="shared" ref="D279:F279" si="186">D31</f>
        <v>-0.5</v>
      </c>
      <c r="E279" s="812">
        <f t="shared" si="186"/>
        <v>-0.4</v>
      </c>
      <c r="F279" s="812">
        <f t="shared" si="186"/>
        <v>4.9999999999999989E-2</v>
      </c>
      <c r="G279" s="749"/>
      <c r="H279" s="1134"/>
      <c r="I279" s="811">
        <v>3</v>
      </c>
      <c r="J279" s="812">
        <f>I31</f>
        <v>70</v>
      </c>
      <c r="K279" s="812">
        <f t="shared" ref="K279:M279" si="187">J31</f>
        <v>-3.6</v>
      </c>
      <c r="L279" s="812">
        <f t="shared" si="187"/>
        <v>-1.6</v>
      </c>
      <c r="M279" s="812">
        <f t="shared" si="187"/>
        <v>1</v>
      </c>
      <c r="N279" s="749"/>
      <c r="O279" s="749"/>
      <c r="P279" s="823"/>
    </row>
    <row r="280" spans="1:16" x14ac:dyDescent="0.25">
      <c r="A280" s="1133"/>
      <c r="B280" s="811">
        <v>4</v>
      </c>
      <c r="C280" s="812">
        <f>C42</f>
        <v>35</v>
      </c>
      <c r="D280" s="812">
        <f t="shared" ref="D280:F280" si="188">D42</f>
        <v>-0.6</v>
      </c>
      <c r="E280" s="812">
        <f t="shared" si="188"/>
        <v>-1.5</v>
      </c>
      <c r="F280" s="812">
        <f t="shared" si="188"/>
        <v>0.45</v>
      </c>
      <c r="G280" s="749"/>
      <c r="H280" s="1134"/>
      <c r="I280" s="811">
        <v>4</v>
      </c>
      <c r="J280" s="812">
        <f>I42</f>
        <v>70</v>
      </c>
      <c r="K280" s="812">
        <f t="shared" ref="K280:M280" si="189">J42</f>
        <v>0.7</v>
      </c>
      <c r="L280" s="812">
        <f t="shared" si="189"/>
        <v>-0.7</v>
      </c>
      <c r="M280" s="812">
        <f t="shared" si="189"/>
        <v>0.7</v>
      </c>
      <c r="N280" s="749"/>
      <c r="O280" s="749"/>
      <c r="P280" s="823"/>
    </row>
    <row r="281" spans="1:16" x14ac:dyDescent="0.25">
      <c r="A281" s="1133"/>
      <c r="B281" s="811">
        <v>5</v>
      </c>
      <c r="C281" s="812">
        <f>C53</f>
        <v>35</v>
      </c>
      <c r="D281" s="812">
        <f t="shared" ref="D281:F281" si="190">D53</f>
        <v>9.9999999999999995E-7</v>
      </c>
      <c r="E281" s="812">
        <f t="shared" si="190"/>
        <v>-1.1000000000000001</v>
      </c>
      <c r="F281" s="812">
        <f t="shared" si="190"/>
        <v>0.5500005</v>
      </c>
      <c r="G281" s="749"/>
      <c r="H281" s="1134"/>
      <c r="I281" s="811">
        <v>5</v>
      </c>
      <c r="J281" s="812">
        <f>I53</f>
        <v>70</v>
      </c>
      <c r="K281" s="812">
        <f t="shared" ref="K281:M281" si="191">J53</f>
        <v>-2.1</v>
      </c>
      <c r="L281" s="812">
        <f t="shared" si="191"/>
        <v>-1.6</v>
      </c>
      <c r="M281" s="812">
        <f t="shared" si="191"/>
        <v>0.25</v>
      </c>
      <c r="N281" s="749"/>
      <c r="O281" s="749"/>
      <c r="P281" s="823"/>
    </row>
    <row r="282" spans="1:16" x14ac:dyDescent="0.25">
      <c r="A282" s="1133"/>
      <c r="B282" s="811">
        <v>6</v>
      </c>
      <c r="C282" s="812">
        <f>C64</f>
        <v>35</v>
      </c>
      <c r="D282" s="812">
        <f t="shared" ref="D282:F282" si="192">D64</f>
        <v>-0.9</v>
      </c>
      <c r="E282" s="812">
        <f t="shared" si="192"/>
        <v>0.1</v>
      </c>
      <c r="F282" s="812">
        <f t="shared" si="192"/>
        <v>0.5</v>
      </c>
      <c r="G282" s="749"/>
      <c r="H282" s="1134"/>
      <c r="I282" s="811">
        <v>6</v>
      </c>
      <c r="J282" s="812">
        <f>I64</f>
        <v>70</v>
      </c>
      <c r="K282" s="812">
        <f t="shared" ref="K282:M282" si="193">J64</f>
        <v>0.9</v>
      </c>
      <c r="L282" s="812">
        <f t="shared" si="193"/>
        <v>-2.1</v>
      </c>
      <c r="M282" s="812">
        <f t="shared" si="193"/>
        <v>1.5</v>
      </c>
      <c r="N282" s="749"/>
      <c r="O282" s="749"/>
      <c r="P282" s="823"/>
    </row>
    <row r="283" spans="1:16" x14ac:dyDescent="0.25">
      <c r="A283" s="1133"/>
      <c r="B283" s="811">
        <v>7</v>
      </c>
      <c r="C283" s="812">
        <f>C75</f>
        <v>35</v>
      </c>
      <c r="D283" s="812">
        <f t="shared" ref="D283:F283" si="194">D75</f>
        <v>-1.1000000000000001</v>
      </c>
      <c r="E283" s="812">
        <f t="shared" si="194"/>
        <v>-0.1</v>
      </c>
      <c r="F283" s="812">
        <f t="shared" si="194"/>
        <v>0.5</v>
      </c>
      <c r="G283" s="749"/>
      <c r="H283" s="1134"/>
      <c r="I283" s="811">
        <v>7</v>
      </c>
      <c r="J283" s="812">
        <f>I75</f>
        <v>70</v>
      </c>
      <c r="K283" s="812">
        <f t="shared" ref="K283:M283" si="195">J75</f>
        <v>0.9</v>
      </c>
      <c r="L283" s="812">
        <f t="shared" si="195"/>
        <v>2.8</v>
      </c>
      <c r="M283" s="812">
        <f t="shared" si="195"/>
        <v>0.95</v>
      </c>
      <c r="N283" s="749"/>
      <c r="O283" s="749"/>
      <c r="P283" s="823"/>
    </row>
    <row r="284" spans="1:16" x14ac:dyDescent="0.25">
      <c r="A284" s="1133"/>
      <c r="B284" s="811">
        <v>8</v>
      </c>
      <c r="C284" s="812">
        <f>C86</f>
        <v>35</v>
      </c>
      <c r="D284" s="812">
        <f t="shared" ref="D284:F284" si="196">D86</f>
        <v>-0.5</v>
      </c>
      <c r="E284" s="812">
        <f t="shared" si="196"/>
        <v>-0.3</v>
      </c>
      <c r="F284" s="812">
        <f t="shared" si="196"/>
        <v>0.1</v>
      </c>
      <c r="G284" s="749"/>
      <c r="H284" s="1134"/>
      <c r="I284" s="811">
        <v>8</v>
      </c>
      <c r="J284" s="812">
        <f>I86</f>
        <v>70</v>
      </c>
      <c r="K284" s="812">
        <f t="shared" ref="K284:M284" si="197">J86</f>
        <v>-1.2</v>
      </c>
      <c r="L284" s="812">
        <f t="shared" si="197"/>
        <v>2.1</v>
      </c>
      <c r="M284" s="812">
        <f t="shared" si="197"/>
        <v>1.65</v>
      </c>
      <c r="N284" s="749"/>
      <c r="O284" s="749"/>
      <c r="P284" s="823"/>
    </row>
    <row r="285" spans="1:16" x14ac:dyDescent="0.25">
      <c r="A285" s="1133"/>
      <c r="B285" s="811">
        <v>9</v>
      </c>
      <c r="C285" s="812">
        <f>C97</f>
        <v>35</v>
      </c>
      <c r="D285" s="812">
        <f t="shared" ref="D285:F285" si="198">D97</f>
        <v>-0.5</v>
      </c>
      <c r="E285" s="812" t="str">
        <f t="shared" si="198"/>
        <v>-</v>
      </c>
      <c r="F285" s="812">
        <f t="shared" si="198"/>
        <v>0</v>
      </c>
      <c r="G285" s="749"/>
      <c r="H285" s="1134"/>
      <c r="I285" s="811">
        <v>9</v>
      </c>
      <c r="J285" s="812">
        <f>I97</f>
        <v>70</v>
      </c>
      <c r="K285" s="812">
        <f t="shared" ref="K285:M285" si="199">J97</f>
        <v>-0.6</v>
      </c>
      <c r="L285" s="812" t="str">
        <f t="shared" si="199"/>
        <v>-</v>
      </c>
      <c r="M285" s="812">
        <f t="shared" si="199"/>
        <v>0</v>
      </c>
      <c r="N285" s="749"/>
      <c r="O285" s="749"/>
      <c r="P285" s="823"/>
    </row>
    <row r="286" spans="1:16" x14ac:dyDescent="0.25">
      <c r="A286" s="1133"/>
      <c r="B286" s="811">
        <v>10</v>
      </c>
      <c r="C286" s="812">
        <f>C108</f>
        <v>35</v>
      </c>
      <c r="D286" s="812">
        <f t="shared" ref="D286:F286" si="200">D108</f>
        <v>0.2</v>
      </c>
      <c r="E286" s="812">
        <f t="shared" si="200"/>
        <v>0.8</v>
      </c>
      <c r="F286" s="812">
        <f t="shared" si="200"/>
        <v>0.30000000000000004</v>
      </c>
      <c r="G286" s="749"/>
      <c r="H286" s="1134"/>
      <c r="I286" s="811">
        <v>10</v>
      </c>
      <c r="J286" s="812">
        <f>I108</f>
        <v>70</v>
      </c>
      <c r="K286" s="812">
        <f t="shared" ref="K286:M286" si="201">J108</f>
        <v>-0.3</v>
      </c>
      <c r="L286" s="812">
        <f t="shared" si="201"/>
        <v>-5.0999999999999996</v>
      </c>
      <c r="M286" s="812">
        <f t="shared" si="201"/>
        <v>2.4</v>
      </c>
      <c r="N286" s="749"/>
      <c r="O286" s="749"/>
      <c r="P286" s="823"/>
    </row>
    <row r="287" spans="1:16" x14ac:dyDescent="0.25">
      <c r="A287" s="1133"/>
      <c r="B287" s="811">
        <v>11</v>
      </c>
      <c r="C287" s="812">
        <f>C119</f>
        <v>35</v>
      </c>
      <c r="D287" s="812">
        <f t="shared" ref="D287:F287" si="202">D119</f>
        <v>0.5</v>
      </c>
      <c r="E287" s="812" t="str">
        <f t="shared" si="202"/>
        <v>-</v>
      </c>
      <c r="F287" s="812">
        <f t="shared" si="202"/>
        <v>0</v>
      </c>
      <c r="G287" s="749"/>
      <c r="H287" s="1134"/>
      <c r="I287" s="811">
        <v>11</v>
      </c>
      <c r="J287" s="812">
        <f>I119</f>
        <v>70</v>
      </c>
      <c r="K287" s="812">
        <f t="shared" ref="K287:M287" si="203">J119</f>
        <v>-3.4</v>
      </c>
      <c r="L287" s="812" t="str">
        <f t="shared" si="203"/>
        <v>-</v>
      </c>
      <c r="M287" s="812">
        <f t="shared" si="203"/>
        <v>0</v>
      </c>
      <c r="N287" s="749"/>
      <c r="O287" s="749"/>
      <c r="P287" s="823"/>
    </row>
    <row r="288" spans="1:16" x14ac:dyDescent="0.25">
      <c r="A288" s="1133"/>
      <c r="B288" s="811">
        <v>12</v>
      </c>
      <c r="C288" s="812">
        <f>C130</f>
        <v>35</v>
      </c>
      <c r="D288" s="812">
        <f t="shared" ref="D288:F288" si="204">D130</f>
        <v>-0.6</v>
      </c>
      <c r="E288" s="812" t="str">
        <f t="shared" si="204"/>
        <v>-</v>
      </c>
      <c r="F288" s="812">
        <f t="shared" si="204"/>
        <v>0</v>
      </c>
      <c r="G288" s="749"/>
      <c r="H288" s="1134"/>
      <c r="I288" s="811">
        <v>12</v>
      </c>
      <c r="J288" s="812">
        <f>I130</f>
        <v>70</v>
      </c>
      <c r="K288" s="812">
        <f t="shared" ref="K288:M288" si="205">J130</f>
        <v>-0.8</v>
      </c>
      <c r="L288" s="812" t="str">
        <f t="shared" si="205"/>
        <v>-</v>
      </c>
      <c r="M288" s="812">
        <f t="shared" si="205"/>
        <v>0</v>
      </c>
      <c r="N288" s="749"/>
      <c r="O288" s="749"/>
      <c r="P288" s="823"/>
    </row>
    <row r="289" spans="1:16" x14ac:dyDescent="0.25">
      <c r="A289" s="1133"/>
      <c r="B289" s="811">
        <v>13</v>
      </c>
      <c r="C289" s="812">
        <f>C141</f>
        <v>35</v>
      </c>
      <c r="D289" s="812">
        <f t="shared" ref="D289:F289" si="206">D141</f>
        <v>0.3</v>
      </c>
      <c r="E289" s="812" t="str">
        <f t="shared" si="206"/>
        <v>-</v>
      </c>
      <c r="F289" s="812">
        <f t="shared" si="206"/>
        <v>0</v>
      </c>
      <c r="G289" s="749"/>
      <c r="H289" s="1134"/>
      <c r="I289" s="811">
        <v>13</v>
      </c>
      <c r="J289" s="812">
        <f>I141</f>
        <v>70</v>
      </c>
      <c r="K289" s="812">
        <f t="shared" ref="K289:M289" si="207">J141</f>
        <v>-1.9</v>
      </c>
      <c r="L289" s="812" t="str">
        <f t="shared" si="207"/>
        <v>-</v>
      </c>
      <c r="M289" s="812">
        <f t="shared" si="207"/>
        <v>0</v>
      </c>
      <c r="N289" s="749"/>
      <c r="O289" s="749"/>
      <c r="P289" s="823"/>
    </row>
    <row r="290" spans="1:16" x14ac:dyDescent="0.25">
      <c r="A290" s="1133"/>
      <c r="B290" s="811">
        <v>14</v>
      </c>
      <c r="C290" s="812">
        <f>C152</f>
        <v>35</v>
      </c>
      <c r="D290" s="812">
        <f t="shared" ref="D290:F290" si="208">D152</f>
        <v>-0.1</v>
      </c>
      <c r="E290" s="812" t="str">
        <f t="shared" si="208"/>
        <v>-</v>
      </c>
      <c r="F290" s="812">
        <f t="shared" si="208"/>
        <v>0</v>
      </c>
      <c r="G290" s="749"/>
      <c r="H290" s="1134"/>
      <c r="I290" s="811">
        <v>14</v>
      </c>
      <c r="J290" s="812">
        <f>I152</f>
        <v>70</v>
      </c>
      <c r="K290" s="812">
        <f t="shared" ref="K290:M290" si="209">J152</f>
        <v>-0.8</v>
      </c>
      <c r="L290" s="812" t="str">
        <f t="shared" si="209"/>
        <v>-</v>
      </c>
      <c r="M290" s="812">
        <f t="shared" si="209"/>
        <v>0</v>
      </c>
      <c r="N290" s="749"/>
      <c r="O290" s="749"/>
      <c r="P290" s="823"/>
    </row>
    <row r="291" spans="1:16" x14ac:dyDescent="0.25">
      <c r="A291" s="1133"/>
      <c r="B291" s="811">
        <v>15</v>
      </c>
      <c r="C291" s="812">
        <f>C163</f>
        <v>35</v>
      </c>
      <c r="D291" s="812">
        <f t="shared" ref="D291:F291" si="210">D163</f>
        <v>0.1</v>
      </c>
      <c r="E291" s="812" t="str">
        <f t="shared" si="210"/>
        <v>-</v>
      </c>
      <c r="F291" s="812">
        <f t="shared" si="210"/>
        <v>0</v>
      </c>
      <c r="G291" s="749"/>
      <c r="H291" s="1134"/>
      <c r="I291" s="811">
        <v>15</v>
      </c>
      <c r="J291" s="812">
        <f>I163</f>
        <v>70</v>
      </c>
      <c r="K291" s="812">
        <f t="shared" ref="K291:M291" si="211">J163</f>
        <v>-1.8</v>
      </c>
      <c r="L291" s="812" t="str">
        <f t="shared" si="211"/>
        <v>-</v>
      </c>
      <c r="M291" s="812">
        <f t="shared" si="211"/>
        <v>0</v>
      </c>
      <c r="N291" s="749"/>
      <c r="O291" s="749"/>
      <c r="P291" s="823"/>
    </row>
    <row r="292" spans="1:16" x14ac:dyDescent="0.25">
      <c r="A292" s="1133"/>
      <c r="B292" s="811">
        <v>16</v>
      </c>
      <c r="C292" s="812">
        <f>C174</f>
        <v>35</v>
      </c>
      <c r="D292" s="812">
        <f t="shared" ref="D292:F292" si="212">D174</f>
        <v>-0.5</v>
      </c>
      <c r="E292" s="812" t="str">
        <f t="shared" si="212"/>
        <v>-</v>
      </c>
      <c r="F292" s="812">
        <f t="shared" si="212"/>
        <v>0</v>
      </c>
      <c r="G292" s="749"/>
      <c r="H292" s="1134"/>
      <c r="I292" s="811">
        <v>16</v>
      </c>
      <c r="J292" s="812">
        <f>I174</f>
        <v>70</v>
      </c>
      <c r="K292" s="812">
        <f t="shared" ref="K292:M292" si="213">J174</f>
        <v>-0.3</v>
      </c>
      <c r="L292" s="812" t="str">
        <f t="shared" si="213"/>
        <v>-</v>
      </c>
      <c r="M292" s="812">
        <f t="shared" si="213"/>
        <v>0</v>
      </c>
      <c r="N292" s="749"/>
      <c r="O292" s="749"/>
      <c r="P292" s="823"/>
    </row>
    <row r="293" spans="1:16" x14ac:dyDescent="0.25">
      <c r="A293" s="1133"/>
      <c r="B293" s="811">
        <v>17</v>
      </c>
      <c r="C293" s="812">
        <f>C184</f>
        <v>35</v>
      </c>
      <c r="D293" s="812">
        <f t="shared" ref="D293:F293" si="214">D184</f>
        <v>-0.3</v>
      </c>
      <c r="E293" s="812" t="str">
        <f t="shared" si="214"/>
        <v>-</v>
      </c>
      <c r="F293" s="812">
        <f t="shared" si="214"/>
        <v>0</v>
      </c>
      <c r="G293" s="749"/>
      <c r="H293" s="1134"/>
      <c r="I293" s="811">
        <v>17</v>
      </c>
      <c r="J293" s="812">
        <f>I184</f>
        <v>70</v>
      </c>
      <c r="K293" s="812">
        <f t="shared" ref="K293:M293" si="215">J184</f>
        <v>-0.3</v>
      </c>
      <c r="L293" s="812" t="str">
        <f t="shared" si="215"/>
        <v>-</v>
      </c>
      <c r="M293" s="812">
        <f t="shared" si="215"/>
        <v>0</v>
      </c>
      <c r="N293" s="749"/>
      <c r="O293" s="749"/>
      <c r="P293" s="823"/>
    </row>
    <row r="294" spans="1:16" x14ac:dyDescent="0.25">
      <c r="A294" s="1133"/>
      <c r="B294" s="811">
        <v>18</v>
      </c>
      <c r="C294" s="812">
        <f>C194</f>
        <v>35</v>
      </c>
      <c r="D294" s="812">
        <f t="shared" ref="D294:F294" si="216">D194</f>
        <v>-0.2</v>
      </c>
      <c r="E294" s="812" t="str">
        <f t="shared" si="216"/>
        <v>-</v>
      </c>
      <c r="F294" s="812">
        <f t="shared" si="216"/>
        <v>0</v>
      </c>
      <c r="G294" s="749"/>
      <c r="H294" s="1134"/>
      <c r="I294" s="811">
        <v>18</v>
      </c>
      <c r="J294" s="812">
        <f>I194</f>
        <v>70</v>
      </c>
      <c r="K294" s="812">
        <f t="shared" ref="K294:M294" si="217">J194</f>
        <v>-0.1</v>
      </c>
      <c r="L294" s="812" t="str">
        <f t="shared" si="217"/>
        <v>-</v>
      </c>
      <c r="M294" s="812">
        <f t="shared" si="217"/>
        <v>0</v>
      </c>
      <c r="N294" s="749"/>
      <c r="O294" s="749"/>
      <c r="P294" s="823"/>
    </row>
    <row r="295" spans="1:16" x14ac:dyDescent="0.25">
      <c r="A295" s="815"/>
      <c r="B295" s="816"/>
      <c r="C295" s="821"/>
      <c r="D295" s="821"/>
      <c r="E295" s="821"/>
      <c r="F295" s="822"/>
      <c r="H295" s="815"/>
      <c r="I295" s="816"/>
      <c r="J295" s="821"/>
      <c r="K295" s="821"/>
      <c r="L295" s="821"/>
      <c r="M295" s="822"/>
      <c r="N295" s="749"/>
      <c r="O295" s="749"/>
      <c r="P295" s="823"/>
    </row>
    <row r="296" spans="1:16" x14ac:dyDescent="0.25">
      <c r="A296" s="1133" t="s">
        <v>320</v>
      </c>
      <c r="B296" s="811">
        <v>1</v>
      </c>
      <c r="C296" s="812">
        <f>C10</f>
        <v>37</v>
      </c>
      <c r="D296" s="812">
        <f t="shared" ref="D296:F296" si="218">D10</f>
        <v>-0.2</v>
      </c>
      <c r="E296" s="812">
        <f t="shared" si="218"/>
        <v>-0.6</v>
      </c>
      <c r="F296" s="812">
        <f t="shared" si="218"/>
        <v>0.19999999999999998</v>
      </c>
      <c r="G296" s="749"/>
      <c r="H296" s="1134" t="s">
        <v>320</v>
      </c>
      <c r="I296" s="811">
        <v>1</v>
      </c>
      <c r="J296" s="812">
        <f>I10</f>
        <v>80</v>
      </c>
      <c r="K296" s="812">
        <f t="shared" ref="K296:M296" si="219">J10</f>
        <v>-1.6</v>
      </c>
      <c r="L296" s="812">
        <f t="shared" si="219"/>
        <v>9.9999999999999995E-7</v>
      </c>
      <c r="M296" s="812">
        <f t="shared" si="219"/>
        <v>0.8000005</v>
      </c>
      <c r="N296" s="749"/>
      <c r="O296" s="749"/>
      <c r="P296" s="823"/>
    </row>
    <row r="297" spans="1:16" x14ac:dyDescent="0.25">
      <c r="A297" s="1133"/>
      <c r="B297" s="811">
        <v>2</v>
      </c>
      <c r="C297" s="812">
        <f>C21</f>
        <v>37</v>
      </c>
      <c r="D297" s="812">
        <f t="shared" ref="D297:F297" si="220">D21</f>
        <v>-0.3</v>
      </c>
      <c r="E297" s="812">
        <f t="shared" si="220"/>
        <v>-1.8</v>
      </c>
      <c r="F297" s="812">
        <f t="shared" si="220"/>
        <v>0.75</v>
      </c>
      <c r="G297" s="749"/>
      <c r="H297" s="1134"/>
      <c r="I297" s="811">
        <v>2</v>
      </c>
      <c r="J297" s="812">
        <f>I21</f>
        <v>80</v>
      </c>
      <c r="K297" s="812">
        <f t="shared" ref="K297:M297" si="221">J21</f>
        <v>-0.7</v>
      </c>
      <c r="L297" s="812">
        <f t="shared" si="221"/>
        <v>-0.4</v>
      </c>
      <c r="M297" s="812">
        <f t="shared" si="221"/>
        <v>0.14999999999999997</v>
      </c>
      <c r="N297" s="749"/>
      <c r="O297" s="749"/>
      <c r="P297" s="823"/>
    </row>
    <row r="298" spans="1:16" x14ac:dyDescent="0.25">
      <c r="A298" s="1133"/>
      <c r="B298" s="811">
        <v>3</v>
      </c>
      <c r="C298" s="812">
        <f>C32</f>
        <v>37</v>
      </c>
      <c r="D298" s="812">
        <f t="shared" ref="D298:F298" si="222">D32</f>
        <v>-0.6</v>
      </c>
      <c r="E298" s="812">
        <f t="shared" si="222"/>
        <v>-0.5</v>
      </c>
      <c r="F298" s="812">
        <f t="shared" si="222"/>
        <v>4.9999999999999989E-2</v>
      </c>
      <c r="G298" s="749"/>
      <c r="H298" s="1134"/>
      <c r="I298" s="811">
        <v>3</v>
      </c>
      <c r="J298" s="812">
        <f>I32</f>
        <v>80</v>
      </c>
      <c r="K298" s="812">
        <f t="shared" ref="K298:M298" si="223">J32</f>
        <v>-2.9</v>
      </c>
      <c r="L298" s="812">
        <f t="shared" si="223"/>
        <v>-0.6</v>
      </c>
      <c r="M298" s="812">
        <f t="shared" si="223"/>
        <v>1.1499999999999999</v>
      </c>
      <c r="N298" s="749"/>
      <c r="O298" s="749"/>
      <c r="P298" s="823"/>
    </row>
    <row r="299" spans="1:16" x14ac:dyDescent="0.25">
      <c r="A299" s="1133"/>
      <c r="B299" s="811">
        <v>4</v>
      </c>
      <c r="C299" s="812">
        <f>C43</f>
        <v>37</v>
      </c>
      <c r="D299" s="812">
        <f t="shared" ref="D299:F299" si="224">D43</f>
        <v>-0.6</v>
      </c>
      <c r="E299" s="812">
        <f t="shared" si="224"/>
        <v>-1.8</v>
      </c>
      <c r="F299" s="812">
        <f t="shared" si="224"/>
        <v>0.60000000000000009</v>
      </c>
      <c r="G299" s="749"/>
      <c r="H299" s="1134"/>
      <c r="I299" s="811">
        <v>4</v>
      </c>
      <c r="J299" s="812">
        <f>I43</f>
        <v>80</v>
      </c>
      <c r="K299" s="812">
        <f t="shared" ref="K299:M299" si="225">J43</f>
        <v>1.9</v>
      </c>
      <c r="L299" s="812">
        <f t="shared" si="225"/>
        <v>-0.4</v>
      </c>
      <c r="M299" s="812">
        <f t="shared" si="225"/>
        <v>1.1499999999999999</v>
      </c>
      <c r="N299" s="749"/>
      <c r="O299" s="749"/>
      <c r="P299" s="823"/>
    </row>
    <row r="300" spans="1:16" x14ac:dyDescent="0.25">
      <c r="A300" s="1133"/>
      <c r="B300" s="811">
        <v>5</v>
      </c>
      <c r="C300" s="812">
        <f>C54</f>
        <v>37</v>
      </c>
      <c r="D300" s="812">
        <f t="shared" ref="D300:F300" si="226">D54</f>
        <v>9.9999999999999995E-7</v>
      </c>
      <c r="E300" s="812">
        <f t="shared" si="226"/>
        <v>-1.2</v>
      </c>
      <c r="F300" s="812">
        <f t="shared" si="226"/>
        <v>0.60000049999999994</v>
      </c>
      <c r="G300" s="749"/>
      <c r="H300" s="1134"/>
      <c r="I300" s="811">
        <v>5</v>
      </c>
      <c r="J300" s="812">
        <f>I54</f>
        <v>80</v>
      </c>
      <c r="K300" s="812">
        <f t="shared" ref="K300:M300" si="227">J54</f>
        <v>0.2</v>
      </c>
      <c r="L300" s="812">
        <f t="shared" si="227"/>
        <v>-0.9</v>
      </c>
      <c r="M300" s="812">
        <f t="shared" si="227"/>
        <v>0.55000000000000004</v>
      </c>
      <c r="N300" s="749"/>
      <c r="O300" s="749"/>
      <c r="P300" s="823"/>
    </row>
    <row r="301" spans="1:16" x14ac:dyDescent="0.25">
      <c r="A301" s="1133"/>
      <c r="B301" s="811">
        <v>6</v>
      </c>
      <c r="C301" s="812">
        <f>C65</f>
        <v>37</v>
      </c>
      <c r="D301" s="812">
        <f t="shared" ref="D301:F301" si="228">D65</f>
        <v>-1.1000000000000001</v>
      </c>
      <c r="E301" s="812">
        <f t="shared" si="228"/>
        <v>9.9999999999999995E-7</v>
      </c>
      <c r="F301" s="812">
        <f t="shared" si="228"/>
        <v>0.5500005</v>
      </c>
      <c r="G301" s="749"/>
      <c r="H301" s="1134"/>
      <c r="I301" s="811">
        <v>6</v>
      </c>
      <c r="J301" s="812">
        <f>I65</f>
        <v>80</v>
      </c>
      <c r="K301" s="812">
        <f t="shared" ref="K301:M301" si="229">J65</f>
        <v>0.8</v>
      </c>
      <c r="L301" s="812">
        <f t="shared" si="229"/>
        <v>-2.6</v>
      </c>
      <c r="M301" s="812">
        <f t="shared" si="229"/>
        <v>1.7000000000000002</v>
      </c>
      <c r="N301" s="749"/>
      <c r="O301" s="749"/>
      <c r="P301" s="823"/>
    </row>
    <row r="302" spans="1:16" x14ac:dyDescent="0.25">
      <c r="A302" s="1133"/>
      <c r="B302" s="811">
        <v>7</v>
      </c>
      <c r="C302" s="812">
        <f>C76</f>
        <v>37</v>
      </c>
      <c r="D302" s="812">
        <f t="shared" ref="D302:F302" si="230">D76</f>
        <v>-1.4</v>
      </c>
      <c r="E302" s="812">
        <f t="shared" si="230"/>
        <v>-0.1</v>
      </c>
      <c r="F302" s="812">
        <f t="shared" si="230"/>
        <v>0.64999999999999991</v>
      </c>
      <c r="G302" s="749"/>
      <c r="H302" s="1134"/>
      <c r="I302" s="811">
        <v>7</v>
      </c>
      <c r="J302" s="812">
        <f>I76</f>
        <v>80</v>
      </c>
      <c r="K302" s="812">
        <f t="shared" ref="K302:M302" si="231">J76</f>
        <v>1.2</v>
      </c>
      <c r="L302" s="812">
        <f t="shared" si="231"/>
        <v>4.4000000000000004</v>
      </c>
      <c r="M302" s="812">
        <f t="shared" si="231"/>
        <v>1.6</v>
      </c>
      <c r="N302" s="749"/>
      <c r="O302" s="749"/>
      <c r="P302" s="823"/>
    </row>
    <row r="303" spans="1:16" x14ac:dyDescent="0.25">
      <c r="A303" s="1133"/>
      <c r="B303" s="811">
        <v>8</v>
      </c>
      <c r="C303" s="812">
        <f>C87</f>
        <v>37</v>
      </c>
      <c r="D303" s="812">
        <f t="shared" ref="D303:F303" si="232">D87</f>
        <v>-0.5</v>
      </c>
      <c r="E303" s="812">
        <f t="shared" si="232"/>
        <v>-0.3</v>
      </c>
      <c r="F303" s="812">
        <f t="shared" si="232"/>
        <v>0.1</v>
      </c>
      <c r="G303" s="749"/>
      <c r="H303" s="1134"/>
      <c r="I303" s="811">
        <v>8</v>
      </c>
      <c r="J303" s="812">
        <f>I87</f>
        <v>80</v>
      </c>
      <c r="K303" s="812">
        <f t="shared" ref="K303:M303" si="233">J87</f>
        <v>-1.2</v>
      </c>
      <c r="L303" s="812">
        <f t="shared" si="233"/>
        <v>2.6</v>
      </c>
      <c r="M303" s="812">
        <f t="shared" si="233"/>
        <v>1.9</v>
      </c>
      <c r="N303" s="749"/>
      <c r="O303" s="749"/>
      <c r="P303" s="823"/>
    </row>
    <row r="304" spans="1:16" x14ac:dyDescent="0.25">
      <c r="A304" s="1133"/>
      <c r="B304" s="811">
        <v>9</v>
      </c>
      <c r="C304" s="812">
        <f>C98</f>
        <v>37</v>
      </c>
      <c r="D304" s="812">
        <f t="shared" ref="D304:F304" si="234">D98</f>
        <v>-0.5</v>
      </c>
      <c r="E304" s="812" t="str">
        <f t="shared" si="234"/>
        <v>-</v>
      </c>
      <c r="F304" s="812">
        <f t="shared" si="234"/>
        <v>0</v>
      </c>
      <c r="G304" s="749"/>
      <c r="H304" s="1134"/>
      <c r="I304" s="811">
        <v>9</v>
      </c>
      <c r="J304" s="812">
        <f>I98</f>
        <v>80</v>
      </c>
      <c r="K304" s="812">
        <f t="shared" ref="K304:M304" si="235">J98</f>
        <v>-0.5</v>
      </c>
      <c r="L304" s="812" t="str">
        <f t="shared" si="235"/>
        <v>-</v>
      </c>
      <c r="M304" s="812">
        <f t="shared" si="235"/>
        <v>0</v>
      </c>
      <c r="N304" s="749"/>
      <c r="O304" s="749"/>
      <c r="P304" s="823"/>
    </row>
    <row r="305" spans="1:16" x14ac:dyDescent="0.25">
      <c r="A305" s="1133"/>
      <c r="B305" s="811">
        <v>10</v>
      </c>
      <c r="C305" s="812">
        <f>C109</f>
        <v>37</v>
      </c>
      <c r="D305" s="812">
        <f t="shared" ref="D305:F305" si="236">D109</f>
        <v>0.2</v>
      </c>
      <c r="E305" s="812">
        <f t="shared" si="236"/>
        <v>0.4</v>
      </c>
      <c r="F305" s="812">
        <f t="shared" si="236"/>
        <v>0.1</v>
      </c>
      <c r="G305" s="749"/>
      <c r="H305" s="1134"/>
      <c r="I305" s="811">
        <v>10</v>
      </c>
      <c r="J305" s="812">
        <f>I109</f>
        <v>80</v>
      </c>
      <c r="K305" s="812">
        <f t="shared" ref="K305:M305" si="237">J109</f>
        <v>2.2000000000000002</v>
      </c>
      <c r="L305" s="812">
        <f t="shared" si="237"/>
        <v>-4.7</v>
      </c>
      <c r="M305" s="812">
        <f t="shared" si="237"/>
        <v>3.45</v>
      </c>
      <c r="N305" s="749"/>
      <c r="O305" s="749"/>
      <c r="P305" s="823"/>
    </row>
    <row r="306" spans="1:16" x14ac:dyDescent="0.25">
      <c r="A306" s="1133"/>
      <c r="B306" s="811">
        <v>11</v>
      </c>
      <c r="C306" s="812">
        <f>C120</f>
        <v>37</v>
      </c>
      <c r="D306" s="812">
        <f t="shared" ref="D306:F306" si="238">D120</f>
        <v>0.5</v>
      </c>
      <c r="E306" s="812" t="str">
        <f t="shared" si="238"/>
        <v>-</v>
      </c>
      <c r="F306" s="812">
        <f t="shared" si="238"/>
        <v>0</v>
      </c>
      <c r="G306" s="749"/>
      <c r="H306" s="1134"/>
      <c r="I306" s="811">
        <v>11</v>
      </c>
      <c r="J306" s="812">
        <f>I120</f>
        <v>80</v>
      </c>
      <c r="K306" s="812">
        <f t="shared" ref="K306:M306" si="239">J120</f>
        <v>-1.4</v>
      </c>
      <c r="L306" s="812" t="str">
        <f t="shared" si="239"/>
        <v>-</v>
      </c>
      <c r="M306" s="812">
        <f t="shared" si="239"/>
        <v>0</v>
      </c>
      <c r="N306" s="749"/>
      <c r="O306" s="749"/>
      <c r="P306" s="823"/>
    </row>
    <row r="307" spans="1:16" x14ac:dyDescent="0.25">
      <c r="A307" s="1133"/>
      <c r="B307" s="811">
        <v>12</v>
      </c>
      <c r="C307" s="812">
        <f>C131</f>
        <v>37</v>
      </c>
      <c r="D307" s="812">
        <f t="shared" ref="D307:F307" si="240">D131</f>
        <v>-0.8</v>
      </c>
      <c r="E307" s="812" t="str">
        <f t="shared" si="240"/>
        <v>-</v>
      </c>
      <c r="F307" s="812">
        <f t="shared" si="240"/>
        <v>0</v>
      </c>
      <c r="G307" s="749"/>
      <c r="H307" s="1134"/>
      <c r="I307" s="811">
        <v>12</v>
      </c>
      <c r="J307" s="812">
        <f>I131</f>
        <v>80</v>
      </c>
      <c r="K307" s="812">
        <f t="shared" ref="K307:M307" si="241">J131</f>
        <v>-0.9</v>
      </c>
      <c r="L307" s="812" t="str">
        <f t="shared" si="241"/>
        <v>-</v>
      </c>
      <c r="M307" s="812">
        <f t="shared" si="241"/>
        <v>0</v>
      </c>
      <c r="N307" s="749"/>
      <c r="O307" s="749"/>
      <c r="P307" s="823"/>
    </row>
    <row r="308" spans="1:16" x14ac:dyDescent="0.25">
      <c r="A308" s="1133"/>
      <c r="B308" s="811">
        <v>13</v>
      </c>
      <c r="C308" s="812">
        <f>C142</f>
        <v>37</v>
      </c>
      <c r="D308" s="812">
        <f t="shared" ref="D308:F308" si="242">D142</f>
        <v>0.4</v>
      </c>
      <c r="E308" s="812" t="str">
        <f t="shared" si="242"/>
        <v>-</v>
      </c>
      <c r="F308" s="812">
        <f t="shared" si="242"/>
        <v>0</v>
      </c>
      <c r="G308" s="749"/>
      <c r="H308" s="1134"/>
      <c r="I308" s="811">
        <v>13</v>
      </c>
      <c r="J308" s="812">
        <f>I142</f>
        <v>80</v>
      </c>
      <c r="K308" s="812">
        <f t="shared" ref="K308:M308" si="243">J142</f>
        <v>-2.5</v>
      </c>
      <c r="L308" s="812" t="str">
        <f t="shared" si="243"/>
        <v>-</v>
      </c>
      <c r="M308" s="812">
        <f t="shared" si="243"/>
        <v>0</v>
      </c>
      <c r="N308" s="749"/>
      <c r="O308" s="749"/>
      <c r="P308" s="823"/>
    </row>
    <row r="309" spans="1:16" x14ac:dyDescent="0.25">
      <c r="A309" s="1133"/>
      <c r="B309" s="811">
        <v>14</v>
      </c>
      <c r="C309" s="812">
        <f>C153</f>
        <v>37</v>
      </c>
      <c r="D309" s="812">
        <f t="shared" ref="D309:F309" si="244">D153</f>
        <v>-0.1</v>
      </c>
      <c r="E309" s="812" t="str">
        <f t="shared" si="244"/>
        <v>-</v>
      </c>
      <c r="F309" s="812">
        <f t="shared" si="244"/>
        <v>0</v>
      </c>
      <c r="G309" s="749"/>
      <c r="H309" s="1134"/>
      <c r="I309" s="811">
        <v>14</v>
      </c>
      <c r="J309" s="812">
        <f>I153</f>
        <v>80</v>
      </c>
      <c r="K309" s="812">
        <f t="shared" ref="K309:M309" si="245">J153</f>
        <v>-1.3</v>
      </c>
      <c r="L309" s="812" t="str">
        <f t="shared" si="245"/>
        <v>-</v>
      </c>
      <c r="M309" s="812">
        <f t="shared" si="245"/>
        <v>0</v>
      </c>
      <c r="N309" s="749"/>
      <c r="O309" s="749"/>
      <c r="P309" s="823"/>
    </row>
    <row r="310" spans="1:16" x14ac:dyDescent="0.25">
      <c r="A310" s="1133"/>
      <c r="B310" s="811">
        <v>15</v>
      </c>
      <c r="C310" s="812">
        <f>C164</f>
        <v>37</v>
      </c>
      <c r="D310" s="812">
        <f t="shared" ref="D310:F310" si="246">D164</f>
        <v>9.9999999999999995E-7</v>
      </c>
      <c r="E310" s="812" t="str">
        <f t="shared" si="246"/>
        <v>-</v>
      </c>
      <c r="F310" s="812">
        <f t="shared" si="246"/>
        <v>0</v>
      </c>
      <c r="G310" s="749"/>
      <c r="H310" s="1134"/>
      <c r="I310" s="811">
        <v>15</v>
      </c>
      <c r="J310" s="812">
        <f>I164</f>
        <v>80</v>
      </c>
      <c r="K310" s="812">
        <f t="shared" ref="K310:M310" si="247">J164</f>
        <v>-2.2999999999999998</v>
      </c>
      <c r="L310" s="812" t="str">
        <f t="shared" si="247"/>
        <v>-</v>
      </c>
      <c r="M310" s="812">
        <f t="shared" si="247"/>
        <v>0</v>
      </c>
      <c r="N310" s="749"/>
      <c r="O310" s="749"/>
      <c r="P310" s="823"/>
    </row>
    <row r="311" spans="1:16" x14ac:dyDescent="0.25">
      <c r="A311" s="1133"/>
      <c r="B311" s="811">
        <v>16</v>
      </c>
      <c r="C311" s="812">
        <f>C175</f>
        <v>37</v>
      </c>
      <c r="D311" s="812">
        <f t="shared" ref="D311:F311" si="248">D175</f>
        <v>-0.6</v>
      </c>
      <c r="E311" s="812" t="str">
        <f t="shared" si="248"/>
        <v>-</v>
      </c>
      <c r="F311" s="812">
        <f t="shared" si="248"/>
        <v>0</v>
      </c>
      <c r="G311" s="749"/>
      <c r="H311" s="1134"/>
      <c r="I311" s="811">
        <v>16</v>
      </c>
      <c r="J311" s="812">
        <f>I175</f>
        <v>80</v>
      </c>
      <c r="K311" s="812">
        <f t="shared" ref="K311:M311" si="249">J175</f>
        <v>-0.8</v>
      </c>
      <c r="L311" s="812" t="str">
        <f t="shared" si="249"/>
        <v>-</v>
      </c>
      <c r="M311" s="812">
        <f t="shared" si="249"/>
        <v>0</v>
      </c>
      <c r="N311" s="749"/>
      <c r="O311" s="749"/>
      <c r="P311" s="823"/>
    </row>
    <row r="312" spans="1:16" x14ac:dyDescent="0.25">
      <c r="A312" s="1133"/>
      <c r="B312" s="811">
        <v>17</v>
      </c>
      <c r="C312" s="812">
        <f>C185</f>
        <v>37</v>
      </c>
      <c r="D312" s="812">
        <f t="shared" ref="D312:F312" si="250">D185</f>
        <v>-0.3</v>
      </c>
      <c r="E312" s="812" t="str">
        <f t="shared" si="250"/>
        <v>-</v>
      </c>
      <c r="F312" s="812">
        <f t="shared" si="250"/>
        <v>0</v>
      </c>
      <c r="G312" s="749"/>
      <c r="H312" s="1134"/>
      <c r="I312" s="811">
        <v>17</v>
      </c>
      <c r="J312" s="812">
        <f>I185</f>
        <v>80</v>
      </c>
      <c r="K312" s="812">
        <f t="shared" ref="K312:M312" si="251">J185</f>
        <v>-0.5</v>
      </c>
      <c r="L312" s="812" t="str">
        <f t="shared" si="251"/>
        <v>-</v>
      </c>
      <c r="M312" s="812">
        <f t="shared" si="251"/>
        <v>0</v>
      </c>
      <c r="N312" s="749"/>
      <c r="O312" s="749"/>
      <c r="P312" s="823"/>
    </row>
    <row r="313" spans="1:16" x14ac:dyDescent="0.25">
      <c r="A313" s="1133"/>
      <c r="B313" s="811">
        <v>18</v>
      </c>
      <c r="C313" s="812">
        <f>C195</f>
        <v>37</v>
      </c>
      <c r="D313" s="812">
        <f t="shared" ref="D313:F313" si="252">D195</f>
        <v>-0.3</v>
      </c>
      <c r="E313" s="812" t="str">
        <f t="shared" si="252"/>
        <v>-</v>
      </c>
      <c r="F313" s="812">
        <f t="shared" si="252"/>
        <v>0</v>
      </c>
      <c r="G313" s="749"/>
      <c r="H313" s="1134"/>
      <c r="I313" s="811">
        <v>18</v>
      </c>
      <c r="J313" s="812">
        <f>I195</f>
        <v>80</v>
      </c>
      <c r="K313" s="812">
        <f t="shared" ref="K313:M313" si="253">J195</f>
        <v>-0.5</v>
      </c>
      <c r="L313" s="812" t="str">
        <f t="shared" si="253"/>
        <v>-</v>
      </c>
      <c r="M313" s="812">
        <f t="shared" si="253"/>
        <v>0</v>
      </c>
      <c r="N313" s="749"/>
      <c r="O313" s="749"/>
      <c r="P313" s="823"/>
    </row>
    <row r="314" spans="1:16" x14ac:dyDescent="0.25">
      <c r="A314" s="815"/>
      <c r="B314" s="816"/>
      <c r="C314" s="821"/>
      <c r="D314" s="821"/>
      <c r="E314" s="821"/>
      <c r="F314" s="822"/>
      <c r="H314" s="825"/>
      <c r="I314" s="816"/>
      <c r="J314" s="821"/>
      <c r="K314" s="821"/>
      <c r="L314" s="821"/>
      <c r="M314" s="822"/>
      <c r="N314" s="749"/>
      <c r="O314" s="749"/>
      <c r="P314" s="823"/>
    </row>
    <row r="315" spans="1:16" x14ac:dyDescent="0.25">
      <c r="A315" s="1133" t="s">
        <v>322</v>
      </c>
      <c r="B315" s="811">
        <v>1</v>
      </c>
      <c r="C315" s="812">
        <f>C11</f>
        <v>40</v>
      </c>
      <c r="D315" s="812">
        <f t="shared" ref="D315:F315" si="254">D11</f>
        <v>-0.3</v>
      </c>
      <c r="E315" s="812">
        <f t="shared" si="254"/>
        <v>-0.8</v>
      </c>
      <c r="F315" s="812">
        <f t="shared" si="254"/>
        <v>0.25</v>
      </c>
      <c r="G315" s="749"/>
      <c r="H315" s="1134" t="s">
        <v>322</v>
      </c>
      <c r="I315" s="811">
        <v>1</v>
      </c>
      <c r="J315" s="812">
        <f>I11</f>
        <v>90</v>
      </c>
      <c r="K315" s="812">
        <f t="shared" ref="K315:M315" si="255">J11</f>
        <v>0.3</v>
      </c>
      <c r="L315" s="812">
        <f t="shared" si="255"/>
        <v>9.9999999999999995E-7</v>
      </c>
      <c r="M315" s="812">
        <f t="shared" si="255"/>
        <v>0.14999950000000001</v>
      </c>
      <c r="N315" s="749"/>
      <c r="O315" s="749"/>
      <c r="P315" s="823"/>
    </row>
    <row r="316" spans="1:16" x14ac:dyDescent="0.25">
      <c r="A316" s="1133"/>
      <c r="B316" s="811">
        <v>2</v>
      </c>
      <c r="C316" s="812">
        <f>C22</f>
        <v>40</v>
      </c>
      <c r="D316" s="812">
        <f t="shared" ref="D316:F316" si="256">D22</f>
        <v>-0.3</v>
      </c>
      <c r="E316" s="812">
        <f t="shared" si="256"/>
        <v>-2.1</v>
      </c>
      <c r="F316" s="812">
        <f t="shared" si="256"/>
        <v>0.9</v>
      </c>
      <c r="G316" s="749"/>
      <c r="H316" s="1134"/>
      <c r="I316" s="811">
        <v>2</v>
      </c>
      <c r="J316" s="812">
        <f>I22</f>
        <v>90</v>
      </c>
      <c r="K316" s="812">
        <f t="shared" ref="K316:M316" si="257">J22</f>
        <v>-0.3</v>
      </c>
      <c r="L316" s="812">
        <f t="shared" si="257"/>
        <v>0.6</v>
      </c>
      <c r="M316" s="812">
        <f t="shared" si="257"/>
        <v>0.44999999999999996</v>
      </c>
      <c r="N316" s="749"/>
      <c r="O316" s="749"/>
      <c r="P316" s="823"/>
    </row>
    <row r="317" spans="1:16" x14ac:dyDescent="0.25">
      <c r="A317" s="1133"/>
      <c r="B317" s="811">
        <v>3</v>
      </c>
      <c r="C317" s="812">
        <f>C33</f>
        <v>40</v>
      </c>
      <c r="D317" s="812">
        <f t="shared" ref="D317:F317" si="258">D33</f>
        <v>-0.7</v>
      </c>
      <c r="E317" s="812">
        <f t="shared" si="258"/>
        <v>-0.5</v>
      </c>
      <c r="F317" s="812">
        <f t="shared" si="258"/>
        <v>9.9999999999999978E-2</v>
      </c>
      <c r="G317" s="749"/>
      <c r="H317" s="1134"/>
      <c r="I317" s="811">
        <v>3</v>
      </c>
      <c r="J317" s="812">
        <f>I33</f>
        <v>90</v>
      </c>
      <c r="K317" s="812">
        <f t="shared" ref="K317:M317" si="259">J33</f>
        <v>-2</v>
      </c>
      <c r="L317" s="812">
        <f t="shared" si="259"/>
        <v>0.9</v>
      </c>
      <c r="M317" s="812">
        <f t="shared" si="259"/>
        <v>1.45</v>
      </c>
      <c r="N317" s="749"/>
      <c r="O317" s="749"/>
      <c r="P317" s="823"/>
    </row>
    <row r="318" spans="1:16" x14ac:dyDescent="0.25">
      <c r="A318" s="1133"/>
      <c r="B318" s="811">
        <v>4</v>
      </c>
      <c r="C318" s="812">
        <f>C44</f>
        <v>40</v>
      </c>
      <c r="D318" s="812">
        <f t="shared" ref="D318:F318" si="260">D44</f>
        <v>-0.6</v>
      </c>
      <c r="E318" s="812">
        <f t="shared" si="260"/>
        <v>-2.1</v>
      </c>
      <c r="F318" s="812">
        <f t="shared" si="260"/>
        <v>0.75</v>
      </c>
      <c r="G318" s="749"/>
      <c r="H318" s="1134"/>
      <c r="I318" s="811">
        <v>4</v>
      </c>
      <c r="J318" s="812">
        <f>I44</f>
        <v>90</v>
      </c>
      <c r="K318" s="812">
        <f t="shared" ref="K318:M318" si="261">J44</f>
        <v>3.3</v>
      </c>
      <c r="L318" s="812">
        <f t="shared" si="261"/>
        <v>0.2</v>
      </c>
      <c r="M318" s="812">
        <f t="shared" si="261"/>
        <v>1.5499999999999998</v>
      </c>
      <c r="N318" s="749"/>
      <c r="O318" s="749"/>
      <c r="P318" s="823"/>
    </row>
    <row r="319" spans="1:16" x14ac:dyDescent="0.25">
      <c r="A319" s="1133"/>
      <c r="B319" s="811">
        <v>5</v>
      </c>
      <c r="C319" s="812">
        <f>C55</f>
        <v>40</v>
      </c>
      <c r="D319" s="812">
        <f t="shared" ref="D319:F319" si="262">D55</f>
        <v>-0.1</v>
      </c>
      <c r="E319" s="812">
        <f t="shared" si="262"/>
        <v>-1.5</v>
      </c>
      <c r="F319" s="812">
        <f t="shared" si="262"/>
        <v>0.7</v>
      </c>
      <c r="G319" s="749"/>
      <c r="H319" s="1134"/>
      <c r="I319" s="811">
        <v>5</v>
      </c>
      <c r="J319" s="812">
        <f>I55</f>
        <v>90</v>
      </c>
      <c r="K319" s="812">
        <f t="shared" ref="K319:M319" si="263">J55</f>
        <v>2.7</v>
      </c>
      <c r="L319" s="812">
        <f t="shared" si="263"/>
        <v>0.2</v>
      </c>
      <c r="M319" s="812">
        <f t="shared" si="263"/>
        <v>1.25</v>
      </c>
      <c r="N319" s="749"/>
      <c r="O319" s="749"/>
      <c r="P319" s="823"/>
    </row>
    <row r="320" spans="1:16" x14ac:dyDescent="0.25">
      <c r="A320" s="1133"/>
      <c r="B320" s="811">
        <v>6</v>
      </c>
      <c r="C320" s="812">
        <f>C66</f>
        <v>40</v>
      </c>
      <c r="D320" s="812">
        <f t="shared" ref="D320:F320" si="264">D66</f>
        <v>-1.4</v>
      </c>
      <c r="E320" s="812">
        <f t="shared" si="264"/>
        <v>-0.1</v>
      </c>
      <c r="F320" s="812">
        <f t="shared" si="264"/>
        <v>0.64999999999999991</v>
      </c>
      <c r="G320" s="749"/>
      <c r="H320" s="1134"/>
      <c r="I320" s="811">
        <v>6</v>
      </c>
      <c r="J320" s="812">
        <f>I66</f>
        <v>90</v>
      </c>
      <c r="K320" s="812">
        <f t="shared" ref="K320:M320" si="265">J66</f>
        <v>0.7</v>
      </c>
      <c r="L320" s="812">
        <f t="shared" si="265"/>
        <v>-2.6</v>
      </c>
      <c r="M320" s="812">
        <f t="shared" si="265"/>
        <v>1.65</v>
      </c>
      <c r="N320" s="749"/>
      <c r="O320" s="749"/>
      <c r="P320" s="823"/>
    </row>
    <row r="321" spans="1:16" x14ac:dyDescent="0.25">
      <c r="A321" s="1133"/>
      <c r="B321" s="811">
        <v>7</v>
      </c>
      <c r="C321" s="812">
        <f>C77</f>
        <v>40</v>
      </c>
      <c r="D321" s="812">
        <f t="shared" ref="D321:F321" si="266">D77</f>
        <v>-1.7</v>
      </c>
      <c r="E321" s="812">
        <f t="shared" si="266"/>
        <v>-0.1</v>
      </c>
      <c r="F321" s="812">
        <f t="shared" si="266"/>
        <v>0.79999999999999993</v>
      </c>
      <c r="G321" s="749"/>
      <c r="H321" s="1134"/>
      <c r="I321" s="811">
        <v>7</v>
      </c>
      <c r="J321" s="812">
        <f>I77</f>
        <v>90</v>
      </c>
      <c r="K321" s="812">
        <f t="shared" ref="K321:M321" si="267">J77</f>
        <v>1.8</v>
      </c>
      <c r="L321" s="812">
        <f t="shared" si="267"/>
        <v>4.4000000000000004</v>
      </c>
      <c r="M321" s="812">
        <f t="shared" si="267"/>
        <v>1.3000000000000003</v>
      </c>
      <c r="N321" s="749"/>
      <c r="O321" s="749"/>
      <c r="P321" s="823"/>
    </row>
    <row r="322" spans="1:16" x14ac:dyDescent="0.25">
      <c r="A322" s="1133"/>
      <c r="B322" s="811">
        <v>8</v>
      </c>
      <c r="C322" s="812">
        <f>C88</f>
        <v>40</v>
      </c>
      <c r="D322" s="812">
        <f t="shared" ref="D322:F322" si="268">D88</f>
        <v>-0.4</v>
      </c>
      <c r="E322" s="812">
        <f t="shared" si="268"/>
        <v>-0.4</v>
      </c>
      <c r="F322" s="812">
        <f t="shared" si="268"/>
        <v>0</v>
      </c>
      <c r="G322" s="749"/>
      <c r="H322" s="1134"/>
      <c r="I322" s="811">
        <v>8</v>
      </c>
      <c r="J322" s="812">
        <f>I88</f>
        <v>90</v>
      </c>
      <c r="K322" s="812">
        <f t="shared" ref="K322:M322" si="269">J88</f>
        <v>-1.3</v>
      </c>
      <c r="L322" s="812">
        <f t="shared" si="269"/>
        <v>2.6</v>
      </c>
      <c r="M322" s="812">
        <f t="shared" si="269"/>
        <v>1.9500000000000002</v>
      </c>
      <c r="N322" s="749"/>
      <c r="O322" s="749"/>
      <c r="P322" s="823"/>
    </row>
    <row r="323" spans="1:16" x14ac:dyDescent="0.25">
      <c r="A323" s="1133"/>
      <c r="B323" s="811">
        <v>9</v>
      </c>
      <c r="C323" s="812">
        <f>C99</f>
        <v>40</v>
      </c>
      <c r="D323" s="812">
        <f t="shared" ref="D323:F323" si="270">D99</f>
        <v>-0.4</v>
      </c>
      <c r="E323" s="812" t="str">
        <f t="shared" si="270"/>
        <v>-</v>
      </c>
      <c r="F323" s="812">
        <f t="shared" si="270"/>
        <v>0</v>
      </c>
      <c r="G323" s="749"/>
      <c r="H323" s="1134"/>
      <c r="I323" s="811">
        <v>9</v>
      </c>
      <c r="J323" s="812">
        <f>I99</f>
        <v>90</v>
      </c>
      <c r="K323" s="812">
        <f t="shared" ref="K323:M323" si="271">J99</f>
        <v>-0.2</v>
      </c>
      <c r="L323" s="812" t="str">
        <f t="shared" si="271"/>
        <v>-</v>
      </c>
      <c r="M323" s="812">
        <f t="shared" si="271"/>
        <v>0</v>
      </c>
      <c r="N323" s="749"/>
      <c r="O323" s="749"/>
      <c r="P323" s="823"/>
    </row>
    <row r="324" spans="1:16" x14ac:dyDescent="0.25">
      <c r="A324" s="1133"/>
      <c r="B324" s="811">
        <v>10</v>
      </c>
      <c r="C324" s="812">
        <f>C110</f>
        <v>40</v>
      </c>
      <c r="D324" s="812">
        <f t="shared" ref="D324:F324" si="272">D110</f>
        <v>0.2</v>
      </c>
      <c r="E324" s="812">
        <f t="shared" si="272"/>
        <v>9.9999999999999995E-7</v>
      </c>
      <c r="F324" s="812">
        <f t="shared" si="272"/>
        <v>9.9999500000000005E-2</v>
      </c>
      <c r="G324" s="749"/>
      <c r="H324" s="1134"/>
      <c r="I324" s="811">
        <v>10</v>
      </c>
      <c r="J324" s="812">
        <f>I110</f>
        <v>90</v>
      </c>
      <c r="K324" s="812">
        <f t="shared" ref="K324:M324" si="273">J110</f>
        <v>5.4</v>
      </c>
      <c r="L324" s="812">
        <f t="shared" si="273"/>
        <v>9.9999999999999995E-7</v>
      </c>
      <c r="M324" s="812">
        <f t="shared" si="273"/>
        <v>2.6999995000000001</v>
      </c>
      <c r="N324" s="749"/>
      <c r="O324" s="749"/>
      <c r="P324" s="823"/>
    </row>
    <row r="325" spans="1:16" x14ac:dyDescent="0.25">
      <c r="A325" s="1133"/>
      <c r="B325" s="811">
        <v>11</v>
      </c>
      <c r="C325" s="812">
        <f>C121</f>
        <v>40</v>
      </c>
      <c r="D325" s="812">
        <f t="shared" ref="D325:F325" si="274">D121</f>
        <v>0.5</v>
      </c>
      <c r="E325" s="812" t="str">
        <f t="shared" si="274"/>
        <v>-</v>
      </c>
      <c r="F325" s="812">
        <f t="shared" si="274"/>
        <v>0</v>
      </c>
      <c r="G325" s="749"/>
      <c r="H325" s="1134"/>
      <c r="I325" s="811">
        <v>11</v>
      </c>
      <c r="J325" s="812">
        <f>I121</f>
        <v>90</v>
      </c>
      <c r="K325" s="812">
        <f t="shared" ref="K325:M325" si="275">J121</f>
        <v>1.3</v>
      </c>
      <c r="L325" s="812" t="str">
        <f t="shared" si="275"/>
        <v>-</v>
      </c>
      <c r="M325" s="812">
        <f t="shared" si="275"/>
        <v>0</v>
      </c>
      <c r="N325" s="749"/>
      <c r="O325" s="749"/>
      <c r="P325" s="823"/>
    </row>
    <row r="326" spans="1:16" x14ac:dyDescent="0.25">
      <c r="A326" s="1133"/>
      <c r="B326" s="811">
        <v>12</v>
      </c>
      <c r="C326" s="812">
        <f>C132</f>
        <v>40</v>
      </c>
      <c r="D326" s="812">
        <f t="shared" ref="D326:F326" si="276">D132</f>
        <v>-1.1000000000000001</v>
      </c>
      <c r="E326" s="812" t="str">
        <f t="shared" si="276"/>
        <v>-</v>
      </c>
      <c r="F326" s="812">
        <f t="shared" si="276"/>
        <v>0</v>
      </c>
      <c r="G326" s="749"/>
      <c r="H326" s="1134"/>
      <c r="I326" s="811">
        <v>12</v>
      </c>
      <c r="J326" s="812">
        <f>I132</f>
        <v>90</v>
      </c>
      <c r="K326" s="812">
        <f t="shared" ref="K326:M326" si="277">J132</f>
        <v>-0.8</v>
      </c>
      <c r="L326" s="812" t="str">
        <f t="shared" si="277"/>
        <v>-</v>
      </c>
      <c r="M326" s="812">
        <f t="shared" si="277"/>
        <v>0</v>
      </c>
      <c r="N326" s="749"/>
      <c r="O326" s="749"/>
      <c r="P326" s="823"/>
    </row>
    <row r="327" spans="1:16" x14ac:dyDescent="0.25">
      <c r="A327" s="1133"/>
      <c r="B327" s="811">
        <v>13</v>
      </c>
      <c r="C327" s="812">
        <f>C143</f>
        <v>40</v>
      </c>
      <c r="D327" s="812">
        <f t="shared" ref="D327:F327" si="278">D143</f>
        <v>0.5</v>
      </c>
      <c r="E327" s="812" t="str">
        <f t="shared" si="278"/>
        <v>-</v>
      </c>
      <c r="F327" s="812">
        <f t="shared" si="278"/>
        <v>0</v>
      </c>
      <c r="G327" s="749"/>
      <c r="H327" s="1134"/>
      <c r="I327" s="811">
        <v>13</v>
      </c>
      <c r="J327" s="812">
        <f>I143</f>
        <v>90</v>
      </c>
      <c r="K327" s="812">
        <f t="shared" ref="K327:M327" si="279">J143</f>
        <v>-3.2</v>
      </c>
      <c r="L327" s="812" t="str">
        <f t="shared" si="279"/>
        <v>-</v>
      </c>
      <c r="M327" s="812">
        <f t="shared" si="279"/>
        <v>0</v>
      </c>
      <c r="N327" s="749"/>
      <c r="O327" s="749"/>
      <c r="P327" s="823"/>
    </row>
    <row r="328" spans="1:16" x14ac:dyDescent="0.25">
      <c r="A328" s="1133"/>
      <c r="B328" s="811">
        <v>14</v>
      </c>
      <c r="C328" s="812">
        <f>C154</f>
        <v>40</v>
      </c>
      <c r="D328" s="812">
        <f t="shared" ref="D328:F328" si="280">D154</f>
        <v>9.9999999999999995E-7</v>
      </c>
      <c r="E328" s="812" t="str">
        <f t="shared" si="280"/>
        <v>-</v>
      </c>
      <c r="F328" s="826">
        <f t="shared" si="280"/>
        <v>0</v>
      </c>
      <c r="G328" s="749"/>
      <c r="H328" s="1134"/>
      <c r="I328" s="811">
        <v>14</v>
      </c>
      <c r="J328" s="812">
        <f>I154</f>
        <v>90</v>
      </c>
      <c r="K328" s="812">
        <f t="shared" ref="K328:M328" si="281">J154</f>
        <v>-2</v>
      </c>
      <c r="L328" s="812" t="str">
        <f t="shared" si="281"/>
        <v>-</v>
      </c>
      <c r="M328" s="812">
        <f t="shared" si="281"/>
        <v>0</v>
      </c>
      <c r="N328" s="749"/>
      <c r="O328" s="749"/>
      <c r="P328" s="823"/>
    </row>
    <row r="329" spans="1:16" x14ac:dyDescent="0.25">
      <c r="A329" s="1133"/>
      <c r="B329" s="811">
        <v>15</v>
      </c>
      <c r="C329" s="812">
        <f>C165</f>
        <v>40</v>
      </c>
      <c r="D329" s="812">
        <f t="shared" ref="D329:F329" si="282">D165</f>
        <v>9.9999999999999995E-7</v>
      </c>
      <c r="E329" s="827" t="str">
        <f t="shared" si="282"/>
        <v>-</v>
      </c>
      <c r="F329" s="812">
        <f t="shared" si="282"/>
        <v>0</v>
      </c>
      <c r="G329" s="828"/>
      <c r="H329" s="1134"/>
      <c r="I329" s="811">
        <v>15</v>
      </c>
      <c r="J329" s="812">
        <f>I165</f>
        <v>90</v>
      </c>
      <c r="K329" s="812">
        <f t="shared" ref="K329:M329" si="283">J165</f>
        <v>-3</v>
      </c>
      <c r="L329" s="812" t="str">
        <f t="shared" si="283"/>
        <v>-</v>
      </c>
      <c r="M329" s="812">
        <f t="shared" si="283"/>
        <v>0</v>
      </c>
      <c r="N329" s="749"/>
      <c r="O329" s="749"/>
      <c r="P329" s="823"/>
    </row>
    <row r="330" spans="1:16" x14ac:dyDescent="0.25">
      <c r="A330" s="1133"/>
      <c r="B330" s="811">
        <v>16</v>
      </c>
      <c r="C330" s="812">
        <f>C176</f>
        <v>40</v>
      </c>
      <c r="D330" s="812">
        <f t="shared" ref="D330:F330" si="284">D176</f>
        <v>-0.8</v>
      </c>
      <c r="E330" s="812" t="str">
        <f t="shared" si="284"/>
        <v>-</v>
      </c>
      <c r="F330" s="829">
        <f t="shared" si="284"/>
        <v>0</v>
      </c>
      <c r="G330" s="749"/>
      <c r="H330" s="1134"/>
      <c r="I330" s="811">
        <v>16</v>
      </c>
      <c r="J330" s="812">
        <f>I176</f>
        <v>90</v>
      </c>
      <c r="K330" s="812">
        <f t="shared" ref="K330:M330" si="285">J176</f>
        <v>-1.4</v>
      </c>
      <c r="L330" s="812" t="str">
        <f t="shared" si="285"/>
        <v>-</v>
      </c>
      <c r="M330" s="812">
        <f t="shared" si="285"/>
        <v>0</v>
      </c>
      <c r="N330" s="749"/>
      <c r="O330" s="749"/>
      <c r="P330" s="823"/>
    </row>
    <row r="331" spans="1:16" x14ac:dyDescent="0.25">
      <c r="A331" s="1133"/>
      <c r="B331" s="811">
        <v>17</v>
      </c>
      <c r="C331" s="812">
        <f>C186</f>
        <v>40</v>
      </c>
      <c r="D331" s="812">
        <f t="shared" ref="D331:F331" si="286">D186</f>
        <v>-0.4</v>
      </c>
      <c r="E331" s="812" t="str">
        <f t="shared" si="286"/>
        <v>-</v>
      </c>
      <c r="F331" s="812">
        <f t="shared" si="286"/>
        <v>0</v>
      </c>
      <c r="G331" s="749"/>
      <c r="H331" s="1134"/>
      <c r="I331" s="811">
        <v>17</v>
      </c>
      <c r="J331" s="812">
        <f>I186</f>
        <v>90</v>
      </c>
      <c r="K331" s="812">
        <f t="shared" ref="K331:M331" si="287">J186</f>
        <v>-0.8</v>
      </c>
      <c r="L331" s="812" t="str">
        <f t="shared" si="287"/>
        <v>-</v>
      </c>
      <c r="M331" s="812">
        <f t="shared" si="287"/>
        <v>0</v>
      </c>
      <c r="N331" s="749"/>
      <c r="O331" s="749"/>
      <c r="P331" s="823"/>
    </row>
    <row r="332" spans="1:16" x14ac:dyDescent="0.25">
      <c r="A332" s="1133"/>
      <c r="B332" s="811">
        <v>18</v>
      </c>
      <c r="C332" s="812">
        <f>C196</f>
        <v>40</v>
      </c>
      <c r="D332" s="812">
        <f t="shared" ref="D332:F332" si="288">D196</f>
        <v>-0.4</v>
      </c>
      <c r="E332" s="812" t="str">
        <f t="shared" si="288"/>
        <v>-</v>
      </c>
      <c r="F332" s="812">
        <f t="shared" si="288"/>
        <v>0</v>
      </c>
      <c r="G332" s="749"/>
      <c r="H332" s="1134"/>
      <c r="I332" s="811">
        <v>18</v>
      </c>
      <c r="J332" s="812">
        <f>I196</f>
        <v>90</v>
      </c>
      <c r="K332" s="812">
        <f t="shared" ref="K332:M332" si="289">J196</f>
        <v>-0.9</v>
      </c>
      <c r="L332" s="812" t="str">
        <f t="shared" si="289"/>
        <v>-</v>
      </c>
      <c r="M332" s="812">
        <f t="shared" si="289"/>
        <v>0</v>
      </c>
      <c r="N332" s="749"/>
      <c r="O332" s="749"/>
      <c r="P332" s="823"/>
    </row>
    <row r="333" spans="1:16" ht="14.4" thickBot="1" x14ac:dyDescent="0.3">
      <c r="A333" s="830"/>
      <c r="B333" s="438"/>
      <c r="H333" s="749"/>
      <c r="I333" s="219"/>
      <c r="J333" s="438"/>
      <c r="P333" s="823"/>
    </row>
    <row r="334" spans="1:16" ht="27" customHeight="1" x14ac:dyDescent="0.25">
      <c r="A334" s="831">
        <f>A372</f>
        <v>15</v>
      </c>
      <c r="B334" s="1135" t="str">
        <f>A353</f>
        <v>Digital Thermohygro Barometer : EXTECH, SD700, SN : A.100616</v>
      </c>
      <c r="C334" s="1135"/>
      <c r="D334" s="1136"/>
      <c r="E334" s="832"/>
      <c r="F334" s="831">
        <f>A334</f>
        <v>15</v>
      </c>
      <c r="G334" s="1135" t="str">
        <f>B334</f>
        <v>Digital Thermohygro Barometer : EXTECH, SD700, SN : A.100616</v>
      </c>
      <c r="H334" s="1135"/>
      <c r="I334" s="1136"/>
      <c r="J334" s="832"/>
      <c r="K334" s="831">
        <f>A334</f>
        <v>15</v>
      </c>
      <c r="L334" s="1137" t="str">
        <f>G334</f>
        <v>Digital Thermohygro Barometer : EXTECH, SD700, SN : A.100616</v>
      </c>
      <c r="M334" s="1138"/>
      <c r="N334" s="1138"/>
      <c r="O334" s="1139"/>
      <c r="P334" s="823"/>
    </row>
    <row r="335" spans="1:16" x14ac:dyDescent="0.25">
      <c r="A335" s="740" t="s">
        <v>227</v>
      </c>
      <c r="B335" s="1127" t="s">
        <v>284</v>
      </c>
      <c r="C335" s="1127"/>
      <c r="D335" s="1128" t="s">
        <v>234</v>
      </c>
      <c r="F335" s="740" t="s">
        <v>228</v>
      </c>
      <c r="G335" s="1127" t="s">
        <v>284</v>
      </c>
      <c r="H335" s="1127"/>
      <c r="I335" s="1128" t="s">
        <v>234</v>
      </c>
      <c r="K335" s="1129"/>
      <c r="L335" s="959" t="s">
        <v>363</v>
      </c>
      <c r="M335" s="959" t="s">
        <v>364</v>
      </c>
      <c r="N335" s="959" t="s">
        <v>365</v>
      </c>
      <c r="O335" s="1132" t="s">
        <v>170</v>
      </c>
      <c r="P335" s="823"/>
    </row>
    <row r="336" spans="1:16" x14ac:dyDescent="0.25">
      <c r="A336" s="740" t="s">
        <v>515</v>
      </c>
      <c r="B336" s="833">
        <f>VLOOKUP(B334,A354:K371,9,FALSE)</f>
        <v>2020</v>
      </c>
      <c r="C336" s="833" t="str">
        <f>VLOOKUP(B334,A354:K371,10,FALSE)</f>
        <v>-</v>
      </c>
      <c r="D336" s="1128"/>
      <c r="F336" s="741" t="s">
        <v>141</v>
      </c>
      <c r="G336" s="833">
        <f>B336</f>
        <v>2020</v>
      </c>
      <c r="H336" s="833" t="str">
        <f>C336</f>
        <v>-</v>
      </c>
      <c r="I336" s="1128"/>
      <c r="K336" s="1130"/>
      <c r="L336" s="959"/>
      <c r="M336" s="959"/>
      <c r="N336" s="959"/>
      <c r="O336" s="1132"/>
      <c r="P336" s="823"/>
    </row>
    <row r="337" spans="1:17" x14ac:dyDescent="0.25">
      <c r="A337" s="834">
        <f>VLOOKUP($A$334,$B$201:$F$218,2,FALSE)</f>
        <v>15</v>
      </c>
      <c r="B337" s="835">
        <f>VLOOKUP($A$334,$B$201:$F$218,3,FALSE)</f>
        <v>0.1</v>
      </c>
      <c r="C337" s="835" t="str">
        <f>VLOOKUP($A$334,$B$201:$F$218,4,FALSE)</f>
        <v>-</v>
      </c>
      <c r="D337" s="836">
        <f>VLOOKUP($A$334,$B$201:$F$218,5,FALSE)</f>
        <v>0</v>
      </c>
      <c r="F337" s="834">
        <f>VLOOKUP($F$334,$I$201:$M$218,2,FALSE)</f>
        <v>30</v>
      </c>
      <c r="G337" s="835">
        <f>VLOOKUP($F$334,$I$201:$M$218,3,FALSE)</f>
        <v>-1.6</v>
      </c>
      <c r="H337" s="835" t="str">
        <f>VLOOKUP($F$334,$I$201:$M$218,4,FALSE)</f>
        <v>-</v>
      </c>
      <c r="I337" s="836">
        <f>VLOOKUP($F$334,$I$201:$M$218,5,FALSE)</f>
        <v>0</v>
      </c>
      <c r="K337" s="1131"/>
      <c r="L337" s="959"/>
      <c r="M337" s="959"/>
      <c r="N337" s="959"/>
      <c r="O337" s="1132"/>
      <c r="P337" s="823"/>
    </row>
    <row r="338" spans="1:17" x14ac:dyDescent="0.25">
      <c r="A338" s="834">
        <f>VLOOKUP($A$334,$B$220:$F$237,2,FALSE)</f>
        <v>20</v>
      </c>
      <c r="B338" s="835">
        <f>VLOOKUP($A$334,$B$220:$F$237,3,FALSE)</f>
        <v>0.2</v>
      </c>
      <c r="C338" s="835" t="str">
        <f>VLOOKUP($A$334,$B$220:$F$237,4,FALSE)</f>
        <v>-</v>
      </c>
      <c r="D338" s="836">
        <f>VLOOKUP($A$334,$B$220:$F$237,5,FALSE)</f>
        <v>0</v>
      </c>
      <c r="F338" s="834">
        <f>VLOOKUP($F$334,$I$220:$M$237,2,FALSE)</f>
        <v>40</v>
      </c>
      <c r="G338" s="835">
        <f>VLOOKUP($F$334,$I$220:$M$237,3,FALSE)</f>
        <v>-1.4</v>
      </c>
      <c r="H338" s="835" t="str">
        <f>VLOOKUP($F$334,$I$220:$M$237,4,FALSE)</f>
        <v>-</v>
      </c>
      <c r="I338" s="836">
        <f>VLOOKUP($F$334,$I$220:$M$237,5,FALSE)</f>
        <v>0</v>
      </c>
      <c r="K338" s="837" t="s">
        <v>227</v>
      </c>
      <c r="L338" s="838">
        <f>AVERAGE(ID!E15:F15)</f>
        <v>36.650000000000006</v>
      </c>
      <c r="M338" s="839">
        <f>L338+C347</f>
        <v>36.667500825000005</v>
      </c>
      <c r="N338" s="839">
        <f>STDEV(ID!E15:F15)</f>
        <v>7.0710678118655765E-2</v>
      </c>
      <c r="O338" s="840">
        <f>VLOOKUP(K334,$O$200:$P$217,2,(FALSE))</f>
        <v>0.4</v>
      </c>
      <c r="P338" s="841"/>
    </row>
    <row r="339" spans="1:17" ht="14.4" thickBot="1" x14ac:dyDescent="0.3">
      <c r="A339" s="834">
        <f>VLOOKUP($A$334,$B$239:$F$256,2,FALSE)</f>
        <v>25</v>
      </c>
      <c r="B339" s="835">
        <f>VLOOKUP($A$334,$B$239:$F$256,3,FALSE)</f>
        <v>0.2</v>
      </c>
      <c r="C339" s="835" t="str">
        <f>VLOOKUP($A$334,$B$239:$F$256,4,FALSE)</f>
        <v>-</v>
      </c>
      <c r="D339" s="836">
        <f>VLOOKUP($A$334,$B$239:$F$256,5,FALSE)</f>
        <v>0</v>
      </c>
      <c r="F339" s="834">
        <f>VLOOKUP($F$334,$I$239:$M$256,2,FALSE)</f>
        <v>50</v>
      </c>
      <c r="G339" s="835">
        <f>VLOOKUP($F$334,$I$239:$M$256,3,FALSE)</f>
        <v>-1.4</v>
      </c>
      <c r="H339" s="835" t="str">
        <f>VLOOKUP($F$334,$I$239:$M$256,4,FALSE)</f>
        <v>-</v>
      </c>
      <c r="I339" s="836">
        <f>VLOOKUP($F$334,$I$239:$M$256,5,FALSE)</f>
        <v>0</v>
      </c>
      <c r="K339" s="842" t="s">
        <v>141</v>
      </c>
      <c r="L339" s="843">
        <f>AVERAGE(ID!E16:F16)</f>
        <v>59.5</v>
      </c>
      <c r="M339" s="844">
        <f>L339+H347</f>
        <v>58.005000000000003</v>
      </c>
      <c r="N339" s="839">
        <f>STDEV(ID!E16:F16)</f>
        <v>0.70710678118654757</v>
      </c>
      <c r="O339" s="845">
        <f>VLOOKUP(K334,$O$222:$P$239,2,(FALSE))</f>
        <v>2.2000000000000002</v>
      </c>
      <c r="P339" s="841"/>
    </row>
    <row r="340" spans="1:17" x14ac:dyDescent="0.25">
      <c r="A340" s="834">
        <f>VLOOKUP($A$334,$B$258:$F$275,2,FALSE)</f>
        <v>30</v>
      </c>
      <c r="B340" s="835">
        <f>VLOOKUP($A$334,$B$258:$F$275,3,FALSE)</f>
        <v>0.2</v>
      </c>
      <c r="C340" s="835" t="str">
        <f>VLOOKUP($A$334,$B$258:$F$275,4,FALSE)</f>
        <v>-</v>
      </c>
      <c r="D340" s="836">
        <f>VLOOKUP($A$334,$B$258:$F$275,5,FALSE)</f>
        <v>0</v>
      </c>
      <c r="F340" s="834">
        <f>VLOOKUP($F$334,$I$258:$M$275,2,FALSE)</f>
        <v>60</v>
      </c>
      <c r="G340" s="835">
        <f>VLOOKUP($F$334,$I$258:$M$275,3,FALSE)</f>
        <v>-1.5</v>
      </c>
      <c r="H340" s="835" t="str">
        <f>VLOOKUP($F$334,$I$258:$M$275,4,FALSE)</f>
        <v>-</v>
      </c>
      <c r="I340" s="836">
        <f>VLOOKUP($F$334,$I$258:$M$275,5,FALSE)</f>
        <v>0</v>
      </c>
      <c r="L340" s="846"/>
      <c r="M340" s="847"/>
      <c r="N340" s="846"/>
      <c r="O340" s="848"/>
      <c r="P340" s="841"/>
    </row>
    <row r="341" spans="1:17" x14ac:dyDescent="0.25">
      <c r="A341" s="834">
        <f>VLOOKUP($A$334,$B$277:$F$294,2,FALSE)</f>
        <v>35</v>
      </c>
      <c r="B341" s="835">
        <f>VLOOKUP($A$334,$B$277:$F$294,3,FALSE)</f>
        <v>0.1</v>
      </c>
      <c r="C341" s="835" t="str">
        <f>VLOOKUP($A$334,$B$277:$F$294,4,FALSE)</f>
        <v>-</v>
      </c>
      <c r="D341" s="836">
        <f>VLOOKUP($A$334,$B$277:$F$294,5,FALSE)</f>
        <v>0</v>
      </c>
      <c r="F341" s="834">
        <f>VLOOKUP($F$334,$I$277:$M$294,2,FALSE)</f>
        <v>70</v>
      </c>
      <c r="G341" s="835">
        <f>VLOOKUP($F$334,$I$277:$M$294,3,FALSE)</f>
        <v>-1.8</v>
      </c>
      <c r="H341" s="835" t="str">
        <f>VLOOKUP($F$334,$I$277:$M$294,4,FALSE)</f>
        <v>-</v>
      </c>
      <c r="I341" s="836">
        <f>VLOOKUP($F$334,$I$277:$M$294,5,FALSE)</f>
        <v>0</v>
      </c>
      <c r="L341" s="982" t="s">
        <v>366</v>
      </c>
      <c r="M341" s="982"/>
      <c r="N341" s="982"/>
      <c r="O341" s="743"/>
      <c r="P341" s="841"/>
      <c r="Q341" s="849">
        <f>O338</f>
        <v>0.4</v>
      </c>
    </row>
    <row r="342" spans="1:17" x14ac:dyDescent="0.25">
      <c r="A342" s="834">
        <f>VLOOKUP($A$334,$B$296:$F$313,2,FALSE)</f>
        <v>37</v>
      </c>
      <c r="B342" s="835">
        <f>VLOOKUP($A$334,$B$296:$F$313,3,FALSE)</f>
        <v>9.9999999999999995E-7</v>
      </c>
      <c r="C342" s="835" t="str">
        <f>VLOOKUP($A$334,$B$296:$F$313,4,FALSE)</f>
        <v>-</v>
      </c>
      <c r="D342" s="836">
        <f>VLOOKUP($A$334,$B$296:$F$313,5,FALSE)</f>
        <v>0</v>
      </c>
      <c r="F342" s="834">
        <f>VLOOKUP($F$334,$I$296:$M$313,2,FALSE)</f>
        <v>80</v>
      </c>
      <c r="G342" s="835">
        <f>VLOOKUP($F$334,$I$296:$M$313,3,FALSE)</f>
        <v>-2.2999999999999998</v>
      </c>
      <c r="H342" s="835" t="str">
        <f>VLOOKUP($F$334,$I$296:$M$313,4,FALSE)</f>
        <v>-</v>
      </c>
      <c r="I342" s="836">
        <f>VLOOKUP($F$334,$I$296:$M$313,5,FALSE)</f>
        <v>0</v>
      </c>
      <c r="L342" s="742" t="str">
        <f>TEXT(M338,"0.0")</f>
        <v>36.7</v>
      </c>
      <c r="M342" s="742" t="str">
        <f>TEXT(O338,"0.0")</f>
        <v>0.4</v>
      </c>
      <c r="N342" s="850" t="s">
        <v>367</v>
      </c>
      <c r="O342" s="743"/>
      <c r="P342" s="744"/>
      <c r="Q342" s="849">
        <f>O339</f>
        <v>2.2000000000000002</v>
      </c>
    </row>
    <row r="343" spans="1:17" ht="14.4" thickBot="1" x14ac:dyDescent="0.3">
      <c r="A343" s="851">
        <f>VLOOKUP($A$334,$B$315:$F$332,2,FALSE)</f>
        <v>40</v>
      </c>
      <c r="B343" s="852">
        <f>VLOOKUP($A$334,$B$315:$F$332,3,FALSE)</f>
        <v>9.9999999999999995E-7</v>
      </c>
      <c r="C343" s="852" t="str">
        <f>VLOOKUP($A$334,$B$315:$F$332,4,FALSE)</f>
        <v>-</v>
      </c>
      <c r="D343" s="853">
        <f>VLOOKUP($A$334,$B$315:$F$332,5,FALSE)</f>
        <v>0</v>
      </c>
      <c r="F343" s="851">
        <f>VLOOKUP($F$334,$I$315:$M$332,2,FALSE)</f>
        <v>90</v>
      </c>
      <c r="G343" s="852">
        <f>VLOOKUP($F$334,$I$315:$M$332,3,FALSE)</f>
        <v>-3</v>
      </c>
      <c r="H343" s="852" t="str">
        <f>VLOOKUP($F$334,$I$315:$M$332,4,FALSE)</f>
        <v>-</v>
      </c>
      <c r="I343" s="853">
        <f>VLOOKUP($F$334,$I$315:$M$332,5,FALSE)</f>
        <v>0</v>
      </c>
      <c r="L343" s="742" t="str">
        <f>TEXT(M339,"0.0")</f>
        <v>58.0</v>
      </c>
      <c r="M343" s="742" t="str">
        <f>TEXT(O339,"0.0")</f>
        <v>2.2</v>
      </c>
      <c r="N343" s="850" t="s">
        <v>368</v>
      </c>
      <c r="O343" s="743"/>
      <c r="P343" s="841"/>
    </row>
    <row r="344" spans="1:17" ht="14.4" thickBot="1" x14ac:dyDescent="0.3">
      <c r="A344" s="854"/>
      <c r="L344" s="855" t="s">
        <v>369</v>
      </c>
      <c r="M344" s="856" t="s">
        <v>370</v>
      </c>
      <c r="N344" s="856" t="s">
        <v>371</v>
      </c>
      <c r="O344" s="743"/>
      <c r="P344" s="857"/>
    </row>
    <row r="345" spans="1:17" ht="14.4" thickBot="1" x14ac:dyDescent="0.3">
      <c r="A345" s="1120" t="s">
        <v>372</v>
      </c>
      <c r="B345" s="1121"/>
      <c r="C345" s="1121"/>
      <c r="D345" s="1122"/>
      <c r="E345" s="179"/>
      <c r="F345" s="1120" t="s">
        <v>373</v>
      </c>
      <c r="G345" s="1121"/>
      <c r="H345" s="1121"/>
      <c r="I345" s="1122"/>
      <c r="N345" s="746"/>
      <c r="O345" s="743"/>
      <c r="P345" s="747"/>
    </row>
    <row r="346" spans="1:17" x14ac:dyDescent="0.25">
      <c r="A346" s="831"/>
      <c r="B346" s="858">
        <f>IF(A347&lt;=A338,A337,IF(A347&lt;=A339,A338,IF(A347&lt;=A340,A339,IF(A347&lt;=A341,A340,IF(A347&lt;=A342,A341,IF(A347&lt;=A343,A342))))))</f>
        <v>35</v>
      </c>
      <c r="C346" s="858"/>
      <c r="D346" s="859">
        <f>IF(A347&lt;=A338,B337,IF(A347&lt;=A339,B338,IF(A347&lt;=A340,B339,IF(A347&lt;=A341,B340,IF(A347&lt;=A342,B341,IF(A347&lt;=A343,B342))))))</f>
        <v>0.1</v>
      </c>
      <c r="E346" s="860"/>
      <c r="F346" s="861"/>
      <c r="G346" s="858">
        <f>IF(F347&lt;=F338,F337,IF(F347&lt;=F339,F338,IF(F347&lt;=F340,F339,IF(F347&lt;=F341,F340,IF(F347&lt;=F342,F341,IF(F347&lt;=F343,F342))))))</f>
        <v>50</v>
      </c>
      <c r="H346" s="858"/>
      <c r="I346" s="859">
        <f>IF(F347&lt;=F338,G337,IF(F347&lt;=F339,G338,IF(F347&lt;=F340,G339,IF(F347&lt;=F341,G340,IF(F347&lt;=F342,G341,IF(F347&lt;=F343,G342))))))</f>
        <v>-1.4</v>
      </c>
      <c r="O346" s="862"/>
      <c r="P346" s="862"/>
    </row>
    <row r="347" spans="1:17" x14ac:dyDescent="0.25">
      <c r="A347" s="863">
        <f>L338</f>
        <v>36.650000000000006</v>
      </c>
      <c r="B347" s="864"/>
      <c r="C347" s="864">
        <f>((A347-B346)/(B348-B346)*(D348-D346)+D346)</f>
        <v>1.750082499999972E-2</v>
      </c>
      <c r="D347" s="865"/>
      <c r="E347" s="860"/>
      <c r="F347" s="863">
        <f>L339</f>
        <v>59.5</v>
      </c>
      <c r="G347" s="864"/>
      <c r="H347" s="864">
        <f>((F347-G346)/(G348-G346)*(I348-I346)+I346)</f>
        <v>-1.4950000000000001</v>
      </c>
      <c r="I347" s="865"/>
      <c r="K347" s="745" t="str">
        <f>L344&amp;L342&amp;M344&amp;M342&amp;N344&amp;N342</f>
        <v>( 36.7 ± 0.4 ) °C</v>
      </c>
      <c r="O347" s="862"/>
      <c r="P347" s="748"/>
    </row>
    <row r="348" spans="1:17" ht="14.4" thickBot="1" x14ac:dyDescent="0.3">
      <c r="A348" s="866"/>
      <c r="B348" s="867">
        <f>IF(A347&lt;=A338,A338,IF(A347&lt;=A339,A339,IF(A347&lt;=A340,A340,IF(A347&lt;=A341,A341,IF(A347&lt;=A342,A342,IF(A347&lt;=A343,A343))))))</f>
        <v>37</v>
      </c>
      <c r="C348" s="868"/>
      <c r="D348" s="869">
        <f>IF(A347&lt;=A338,B338,IF(A347&lt;=A339,B339,IF(A347&lt;=A340,B340,IF(A347&lt;=A341,B341,IF(A347&lt;=A342,B342,IF(A347&lt;=A343,B343))))))</f>
        <v>9.9999999999999995E-7</v>
      </c>
      <c r="E348" s="870"/>
      <c r="F348" s="866"/>
      <c r="G348" s="867">
        <f>IF(F347&lt;=F338,F338,IF(F347&lt;=F339,F339,IF(F347&lt;=F340,F340,IF(F347&lt;=F341,F341,IF(F347&lt;=F342,F342,IF(F347&lt;=F343,F343))))))</f>
        <v>60</v>
      </c>
      <c r="H348" s="868"/>
      <c r="I348" s="869">
        <f>IF(F347&lt;=F338,G338,IF(F347&lt;=F339,G339,IF(F347&lt;=F340,G340,IF(F347&lt;=F341,G341,IF(F347&lt;=F342,G342,IF(F347&lt;=F343,G343))))))</f>
        <v>-1.5</v>
      </c>
      <c r="J348" s="871"/>
      <c r="K348" s="871" t="str">
        <f>L344&amp;L343&amp;M344&amp;M343&amp;N344&amp;N343</f>
        <v>( 58.0 ± 2.2 ) %RH</v>
      </c>
      <c r="L348" s="871"/>
      <c r="M348" s="871"/>
      <c r="N348" s="871"/>
      <c r="O348" s="872"/>
      <c r="P348" s="873"/>
    </row>
    <row r="349" spans="1:17" x14ac:dyDescent="0.25">
      <c r="A349" s="749"/>
      <c r="B349" s="749"/>
      <c r="C349" s="749"/>
      <c r="D349" s="749"/>
      <c r="E349" s="749"/>
      <c r="F349" s="749"/>
      <c r="G349" s="749"/>
      <c r="H349" s="749"/>
      <c r="I349" s="749"/>
      <c r="J349" s="749"/>
      <c r="K349" s="749"/>
      <c r="L349" s="749"/>
      <c r="M349" s="749"/>
      <c r="N349" s="749"/>
      <c r="O349" s="749"/>
      <c r="P349" s="749"/>
    </row>
    <row r="350" spans="1:17" x14ac:dyDescent="0.25">
      <c r="A350" s="749"/>
      <c r="B350" s="749"/>
      <c r="C350" s="749"/>
      <c r="D350" s="749"/>
      <c r="E350" s="749"/>
      <c r="F350" s="749"/>
      <c r="G350" s="749"/>
      <c r="H350" s="749"/>
      <c r="I350" s="749"/>
      <c r="J350" s="749"/>
      <c r="K350" s="749"/>
      <c r="L350" s="749"/>
      <c r="M350" s="749"/>
      <c r="N350" s="749"/>
      <c r="O350" s="749"/>
      <c r="P350" s="749"/>
    </row>
    <row r="351" spans="1:17" x14ac:dyDescent="0.25">
      <c r="A351" s="749"/>
      <c r="B351" s="749"/>
      <c r="C351" s="749"/>
      <c r="D351" s="749"/>
      <c r="E351" s="749"/>
      <c r="F351" s="749"/>
      <c r="G351" s="749"/>
      <c r="H351" s="749"/>
      <c r="I351" s="749"/>
      <c r="J351" s="749"/>
      <c r="K351" s="749"/>
      <c r="L351" s="749"/>
      <c r="M351" s="749"/>
      <c r="N351" s="749"/>
      <c r="O351" s="749"/>
      <c r="P351" s="749"/>
    </row>
    <row r="352" spans="1:17" ht="14.4" thickBot="1" x14ac:dyDescent="0.3">
      <c r="A352" s="749"/>
      <c r="B352" s="749"/>
      <c r="C352" s="749"/>
      <c r="D352" s="749"/>
      <c r="E352" s="749"/>
      <c r="F352" s="749"/>
      <c r="G352" s="749"/>
      <c r="H352" s="749"/>
      <c r="I352" s="749"/>
      <c r="J352" s="749"/>
      <c r="K352" s="749"/>
      <c r="L352" s="749"/>
      <c r="M352" s="749"/>
      <c r="N352" s="749"/>
      <c r="O352" s="749"/>
      <c r="P352" s="749"/>
    </row>
    <row r="353" spans="1:16" ht="14.4" thickBot="1" x14ac:dyDescent="0.3">
      <c r="A353" s="676" t="str">
        <f>ID!B60</f>
        <v>Digital Thermohygro Barometer : EXTECH, SD700, SN : A.100616</v>
      </c>
      <c r="B353" s="677"/>
      <c r="C353" s="677"/>
      <c r="D353" s="677"/>
      <c r="E353" s="677"/>
      <c r="F353" s="677"/>
      <c r="G353" s="677"/>
      <c r="H353" s="677"/>
      <c r="I353" s="678"/>
      <c r="J353" s="678"/>
      <c r="K353" s="679"/>
      <c r="L353" s="751"/>
      <c r="M353" s="751"/>
      <c r="N353" s="751"/>
      <c r="O353" s="751"/>
      <c r="P353" s="751"/>
    </row>
    <row r="354" spans="1:16" x14ac:dyDescent="0.25">
      <c r="A354" s="675" t="s">
        <v>511</v>
      </c>
      <c r="B354" s="874"/>
      <c r="C354" s="874"/>
      <c r="D354" s="875"/>
      <c r="E354" s="875"/>
      <c r="F354" s="875"/>
      <c r="G354" s="876"/>
      <c r="H354" s="877"/>
      <c r="I354" s="878">
        <f>D4</f>
        <v>2020</v>
      </c>
      <c r="J354" s="879">
        <f>E4</f>
        <v>2017</v>
      </c>
      <c r="K354" s="880">
        <v>1</v>
      </c>
      <c r="L354" s="751"/>
      <c r="M354" s="751"/>
      <c r="N354" s="751"/>
      <c r="O354" s="751"/>
      <c r="P354" s="751"/>
    </row>
    <row r="355" spans="1:16" x14ac:dyDescent="0.25">
      <c r="A355" s="675" t="s">
        <v>512</v>
      </c>
      <c r="B355" s="874"/>
      <c r="C355" s="874"/>
      <c r="D355" s="875"/>
      <c r="E355" s="875"/>
      <c r="F355" s="875"/>
      <c r="G355" s="876"/>
      <c r="H355" s="877"/>
      <c r="I355" s="881">
        <f>D15</f>
        <v>2018</v>
      </c>
      <c r="J355" s="882">
        <f>E15</f>
        <v>2017</v>
      </c>
      <c r="K355" s="880">
        <v>2</v>
      </c>
      <c r="L355" s="751"/>
      <c r="M355" s="751"/>
      <c r="N355" s="751"/>
      <c r="O355" s="751"/>
      <c r="P355" s="751"/>
    </row>
    <row r="356" spans="1:16" x14ac:dyDescent="0.25">
      <c r="A356" s="675" t="s">
        <v>374</v>
      </c>
      <c r="B356" s="874"/>
      <c r="C356" s="874"/>
      <c r="D356" s="875"/>
      <c r="E356" s="875"/>
      <c r="F356" s="875"/>
      <c r="G356" s="876"/>
      <c r="H356" s="877"/>
      <c r="I356" s="881">
        <f>D26</f>
        <v>2018</v>
      </c>
      <c r="J356" s="882">
        <f>E26</f>
        <v>2017</v>
      </c>
      <c r="K356" s="880">
        <v>3</v>
      </c>
      <c r="L356" s="751"/>
      <c r="M356" s="751"/>
      <c r="N356" s="751"/>
      <c r="O356" s="751"/>
      <c r="P356" s="751"/>
    </row>
    <row r="357" spans="1:16" x14ac:dyDescent="0.25">
      <c r="A357" s="675" t="s">
        <v>513</v>
      </c>
      <c r="B357" s="874"/>
      <c r="C357" s="874"/>
      <c r="D357" s="875"/>
      <c r="E357" s="875"/>
      <c r="F357" s="875"/>
      <c r="G357" s="876"/>
      <c r="H357" s="877"/>
      <c r="I357" s="881">
        <f>D37</f>
        <v>2017</v>
      </c>
      <c r="J357" s="882">
        <f>E37</f>
        <v>2015</v>
      </c>
      <c r="K357" s="880">
        <v>4</v>
      </c>
      <c r="L357" s="751"/>
      <c r="M357" s="751"/>
      <c r="N357" s="751"/>
      <c r="O357" s="751"/>
      <c r="P357" s="751"/>
    </row>
    <row r="358" spans="1:16" x14ac:dyDescent="0.25">
      <c r="A358" s="675" t="s">
        <v>514</v>
      </c>
      <c r="B358" s="874"/>
      <c r="C358" s="874"/>
      <c r="D358" s="875"/>
      <c r="E358" s="875"/>
      <c r="F358" s="875"/>
      <c r="G358" s="876"/>
      <c r="H358" s="877"/>
      <c r="I358" s="881">
        <f>D48</f>
        <v>2017</v>
      </c>
      <c r="J358" s="882">
        <f>E48</f>
        <v>2015</v>
      </c>
      <c r="K358" s="880">
        <v>5</v>
      </c>
      <c r="L358" s="751"/>
      <c r="M358" s="751"/>
      <c r="N358" s="751"/>
      <c r="O358" s="751"/>
      <c r="P358" s="751"/>
    </row>
    <row r="359" spans="1:16" x14ac:dyDescent="0.25">
      <c r="A359" s="675" t="s">
        <v>375</v>
      </c>
      <c r="B359" s="874"/>
      <c r="C359" s="874"/>
      <c r="D359" s="875"/>
      <c r="E359" s="875"/>
      <c r="F359" s="875"/>
      <c r="G359" s="876"/>
      <c r="H359" s="877"/>
      <c r="I359" s="881">
        <f>D59</f>
        <v>2018</v>
      </c>
      <c r="J359" s="882">
        <f>E59</f>
        <v>2017</v>
      </c>
      <c r="K359" s="880">
        <v>6</v>
      </c>
      <c r="L359" s="751"/>
      <c r="M359" s="751"/>
      <c r="N359" s="751"/>
      <c r="O359" s="751"/>
      <c r="P359" s="751"/>
    </row>
    <row r="360" spans="1:16" x14ac:dyDescent="0.25">
      <c r="A360" s="675" t="s">
        <v>376</v>
      </c>
      <c r="B360" s="874"/>
      <c r="C360" s="874"/>
      <c r="D360" s="875"/>
      <c r="E360" s="875"/>
      <c r="F360" s="875"/>
      <c r="G360" s="876"/>
      <c r="H360" s="877"/>
      <c r="I360" s="881">
        <f>D70</f>
        <v>2018</v>
      </c>
      <c r="J360" s="882">
        <f>E70</f>
        <v>2017</v>
      </c>
      <c r="K360" s="880">
        <v>7</v>
      </c>
      <c r="L360" s="751"/>
      <c r="M360" s="751"/>
      <c r="N360" s="751"/>
      <c r="O360" s="751"/>
      <c r="P360" s="751"/>
    </row>
    <row r="361" spans="1:16" x14ac:dyDescent="0.25">
      <c r="A361" s="675" t="s">
        <v>377</v>
      </c>
      <c r="B361" s="874"/>
      <c r="C361" s="874"/>
      <c r="D361" s="875"/>
      <c r="E361" s="875"/>
      <c r="F361" s="875"/>
      <c r="G361" s="876"/>
      <c r="H361" s="877"/>
      <c r="I361" s="881">
        <f>D81</f>
        <v>2019</v>
      </c>
      <c r="J361" s="882">
        <f>E81</f>
        <v>2017</v>
      </c>
      <c r="K361" s="880">
        <v>8</v>
      </c>
      <c r="L361" s="751"/>
      <c r="M361" s="751"/>
      <c r="N361" s="751"/>
      <c r="O361" s="751"/>
      <c r="P361" s="751"/>
    </row>
    <row r="362" spans="1:16" x14ac:dyDescent="0.25">
      <c r="A362" s="675" t="s">
        <v>378</v>
      </c>
      <c r="B362" s="874"/>
      <c r="C362" s="874"/>
      <c r="D362" s="875"/>
      <c r="E362" s="875"/>
      <c r="F362" s="875"/>
      <c r="G362" s="876"/>
      <c r="H362" s="877"/>
      <c r="I362" s="881">
        <f>D92</f>
        <v>2019</v>
      </c>
      <c r="J362" s="882" t="str">
        <f>E92</f>
        <v>-</v>
      </c>
      <c r="K362" s="880">
        <v>9</v>
      </c>
      <c r="L362" s="751"/>
      <c r="M362" s="751"/>
      <c r="N362" s="751"/>
      <c r="O362" s="751"/>
      <c r="P362" s="751"/>
    </row>
    <row r="363" spans="1:16" x14ac:dyDescent="0.25">
      <c r="A363" s="675" t="s">
        <v>379</v>
      </c>
      <c r="B363" s="874"/>
      <c r="C363" s="874"/>
      <c r="D363" s="875"/>
      <c r="E363" s="875"/>
      <c r="F363" s="875"/>
      <c r="G363" s="876"/>
      <c r="H363" s="877"/>
      <c r="I363" s="881">
        <f>D103</f>
        <v>2019</v>
      </c>
      <c r="J363" s="882">
        <f>E103</f>
        <v>2016</v>
      </c>
      <c r="K363" s="880">
        <v>10</v>
      </c>
      <c r="L363" s="751"/>
      <c r="M363" s="751"/>
      <c r="N363" s="751"/>
      <c r="O363" s="751"/>
      <c r="P363" s="751"/>
    </row>
    <row r="364" spans="1:16" x14ac:dyDescent="0.25">
      <c r="A364" s="675" t="s">
        <v>380</v>
      </c>
      <c r="B364" s="874"/>
      <c r="C364" s="874"/>
      <c r="D364" s="875"/>
      <c r="E364" s="875"/>
      <c r="F364" s="875"/>
      <c r="G364" s="876"/>
      <c r="H364" s="877"/>
      <c r="I364" s="881">
        <f>D114</f>
        <v>2020</v>
      </c>
      <c r="J364" s="882" t="str">
        <f>E114</f>
        <v>-</v>
      </c>
      <c r="K364" s="880">
        <v>11</v>
      </c>
      <c r="L364" s="751"/>
      <c r="M364" s="751"/>
      <c r="N364" s="751"/>
      <c r="O364" s="751"/>
      <c r="P364" s="751"/>
    </row>
    <row r="365" spans="1:16" x14ac:dyDescent="0.25">
      <c r="A365" s="675" t="s">
        <v>381</v>
      </c>
      <c r="B365" s="874"/>
      <c r="C365" s="874"/>
      <c r="D365" s="875"/>
      <c r="E365" s="875"/>
      <c r="F365" s="875"/>
      <c r="G365" s="876"/>
      <c r="H365" s="877"/>
      <c r="I365" s="883">
        <v>2020</v>
      </c>
      <c r="J365" s="884" t="s">
        <v>100</v>
      </c>
      <c r="K365" s="880">
        <v>12</v>
      </c>
      <c r="L365" s="751"/>
      <c r="M365" s="751"/>
      <c r="N365" s="751"/>
      <c r="O365" s="751"/>
      <c r="P365" s="751"/>
    </row>
    <row r="366" spans="1:16" x14ac:dyDescent="0.25">
      <c r="A366" s="675" t="s">
        <v>382</v>
      </c>
      <c r="B366" s="874"/>
      <c r="C366" s="874"/>
      <c r="D366" s="875"/>
      <c r="E366" s="875"/>
      <c r="F366" s="875"/>
      <c r="G366" s="876"/>
      <c r="H366" s="877"/>
      <c r="I366" s="883">
        <v>2020</v>
      </c>
      <c r="J366" s="884" t="s">
        <v>100</v>
      </c>
      <c r="K366" s="880">
        <v>13</v>
      </c>
      <c r="L366" s="751"/>
      <c r="M366" s="751"/>
      <c r="N366" s="751"/>
      <c r="O366" s="751"/>
      <c r="P366" s="751"/>
    </row>
    <row r="367" spans="1:16" x14ac:dyDescent="0.25">
      <c r="A367" s="675" t="s">
        <v>383</v>
      </c>
      <c r="B367" s="874"/>
      <c r="C367" s="874"/>
      <c r="D367" s="875"/>
      <c r="E367" s="875"/>
      <c r="F367" s="875"/>
      <c r="G367" s="876"/>
      <c r="H367" s="877"/>
      <c r="I367" s="883">
        <v>2020</v>
      </c>
      <c r="J367" s="884" t="s">
        <v>100</v>
      </c>
      <c r="K367" s="880">
        <v>14</v>
      </c>
      <c r="L367" s="751"/>
      <c r="M367" s="751"/>
      <c r="N367" s="751"/>
      <c r="O367" s="751"/>
      <c r="P367" s="751"/>
    </row>
    <row r="368" spans="1:16" x14ac:dyDescent="0.25">
      <c r="A368" s="675" t="s">
        <v>384</v>
      </c>
      <c r="B368" s="874"/>
      <c r="C368" s="874"/>
      <c r="D368" s="875"/>
      <c r="E368" s="875"/>
      <c r="F368" s="875"/>
      <c r="G368" s="876"/>
      <c r="H368" s="877"/>
      <c r="I368" s="883">
        <v>2020</v>
      </c>
      <c r="J368" s="884" t="s">
        <v>100</v>
      </c>
      <c r="K368" s="880">
        <v>15</v>
      </c>
      <c r="L368" s="751"/>
      <c r="M368" s="751"/>
      <c r="N368" s="751"/>
      <c r="O368" s="751"/>
      <c r="P368" s="751"/>
    </row>
    <row r="369" spans="1:16" x14ac:dyDescent="0.25">
      <c r="A369" s="675" t="s">
        <v>385</v>
      </c>
      <c r="B369" s="874"/>
      <c r="C369" s="874"/>
      <c r="D369" s="875"/>
      <c r="E369" s="875"/>
      <c r="F369" s="875"/>
      <c r="G369" s="876"/>
      <c r="H369" s="877"/>
      <c r="I369" s="883">
        <v>2020</v>
      </c>
      <c r="J369" s="884" t="s">
        <v>100</v>
      </c>
      <c r="K369" s="880">
        <v>16</v>
      </c>
      <c r="L369" s="751"/>
      <c r="M369" s="751"/>
      <c r="N369" s="751"/>
      <c r="O369" s="751"/>
      <c r="P369" s="751"/>
    </row>
    <row r="370" spans="1:16" x14ac:dyDescent="0.25">
      <c r="A370" s="675" t="s">
        <v>386</v>
      </c>
      <c r="B370" s="874"/>
      <c r="C370" s="874"/>
      <c r="D370" s="875"/>
      <c r="E370" s="875"/>
      <c r="F370" s="875"/>
      <c r="G370" s="876"/>
      <c r="H370" s="877"/>
      <c r="I370" s="883">
        <v>2020</v>
      </c>
      <c r="J370" s="884" t="s">
        <v>100</v>
      </c>
      <c r="K370" s="880">
        <v>17</v>
      </c>
      <c r="L370" s="751"/>
      <c r="M370" s="751"/>
      <c r="N370" s="751"/>
      <c r="O370" s="751"/>
      <c r="P370" s="751"/>
    </row>
    <row r="371" spans="1:16" x14ac:dyDescent="0.25">
      <c r="A371" s="675" t="s">
        <v>156</v>
      </c>
      <c r="B371" s="874"/>
      <c r="C371" s="874"/>
      <c r="D371" s="875"/>
      <c r="E371" s="875"/>
      <c r="F371" s="875"/>
      <c r="G371" s="876"/>
      <c r="H371" s="877"/>
      <c r="I371" s="881">
        <v>2020</v>
      </c>
      <c r="J371" s="885" t="s">
        <v>100</v>
      </c>
      <c r="K371" s="880">
        <v>18</v>
      </c>
      <c r="L371" s="751"/>
      <c r="M371" s="751"/>
      <c r="N371" s="751"/>
      <c r="O371" s="751"/>
      <c r="P371" s="751"/>
    </row>
    <row r="372" spans="1:16" ht="14.4" thickBot="1" x14ac:dyDescent="0.3">
      <c r="A372" s="1123">
        <f>VLOOKUP(A353,A354:K371,11,(FALSE))</f>
        <v>15</v>
      </c>
      <c r="B372" s="1124"/>
      <c r="C372" s="1124"/>
      <c r="D372" s="1124"/>
      <c r="E372" s="1124"/>
      <c r="F372" s="1124"/>
      <c r="G372" s="1124"/>
      <c r="H372" s="1124"/>
      <c r="I372" s="1125"/>
      <c r="J372" s="1125"/>
      <c r="K372" s="1126"/>
      <c r="L372" s="751"/>
      <c r="M372" s="751"/>
      <c r="N372" s="751"/>
      <c r="O372" s="751"/>
      <c r="P372" s="751"/>
    </row>
  </sheetData>
  <mergeCells count="261"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N68:O68"/>
    <mergeCell ref="B69:C69"/>
    <mergeCell ref="D69:E69"/>
    <mergeCell ref="F69:F70"/>
    <mergeCell ref="H69:I69"/>
    <mergeCell ref="A57:A66"/>
    <mergeCell ref="B57:F57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J102:K102"/>
    <mergeCell ref="L102:L103"/>
    <mergeCell ref="B103:C103"/>
    <mergeCell ref="H103:I103"/>
    <mergeCell ref="A79:A88"/>
    <mergeCell ref="B79:F79"/>
    <mergeCell ref="H79:L79"/>
    <mergeCell ref="B59:C59"/>
    <mergeCell ref="H59:I59"/>
    <mergeCell ref="A68:A77"/>
    <mergeCell ref="B68:F68"/>
    <mergeCell ref="H68:L68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23:O123"/>
    <mergeCell ref="N101:O101"/>
    <mergeCell ref="B102:C102"/>
    <mergeCell ref="D102:E102"/>
    <mergeCell ref="F102:F103"/>
    <mergeCell ref="H102:I102"/>
    <mergeCell ref="A90:A99"/>
    <mergeCell ref="B90:F90"/>
    <mergeCell ref="H90:L90"/>
    <mergeCell ref="N90:O90"/>
    <mergeCell ref="B91:C91"/>
    <mergeCell ref="D91:E91"/>
    <mergeCell ref="F91:F92"/>
    <mergeCell ref="H91:I91"/>
    <mergeCell ref="J91:K91"/>
    <mergeCell ref="L91:L92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A123:A132"/>
    <mergeCell ref="B123:F123"/>
    <mergeCell ref="H123:L123"/>
    <mergeCell ref="B124:C124"/>
    <mergeCell ref="D124:E124"/>
    <mergeCell ref="F124:F125"/>
    <mergeCell ref="H124:I124"/>
    <mergeCell ref="J124:K124"/>
    <mergeCell ref="L124:L125"/>
    <mergeCell ref="B125:C125"/>
    <mergeCell ref="H125:I125"/>
    <mergeCell ref="A187:A196"/>
    <mergeCell ref="B187:F187"/>
    <mergeCell ref="H187:L187"/>
    <mergeCell ref="A134:A143"/>
    <mergeCell ref="B134:F134"/>
    <mergeCell ref="H134:L134"/>
    <mergeCell ref="N134:O134"/>
    <mergeCell ref="B135:C135"/>
    <mergeCell ref="D135:E135"/>
    <mergeCell ref="F135:F136"/>
    <mergeCell ref="H135:I135"/>
    <mergeCell ref="J135:K135"/>
    <mergeCell ref="L135:L136"/>
    <mergeCell ref="B136:C136"/>
    <mergeCell ref="H136:I136"/>
    <mergeCell ref="A145:A154"/>
    <mergeCell ref="B145:F145"/>
    <mergeCell ref="H145:L145"/>
    <mergeCell ref="A156:A165"/>
    <mergeCell ref="B156:F156"/>
    <mergeCell ref="H156:L156"/>
    <mergeCell ref="A167:A176"/>
    <mergeCell ref="B167:F167"/>
    <mergeCell ref="H167:L167"/>
    <mergeCell ref="A177:A186"/>
    <mergeCell ref="B177:F177"/>
    <mergeCell ref="H177:L177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N156:O156"/>
    <mergeCell ref="B157:C157"/>
    <mergeCell ref="D157:E157"/>
    <mergeCell ref="F157:F158"/>
    <mergeCell ref="H157:I157"/>
    <mergeCell ref="J157:K157"/>
    <mergeCell ref="L157:L158"/>
    <mergeCell ref="B158:C158"/>
    <mergeCell ref="H158:I158"/>
    <mergeCell ref="N167:O167"/>
    <mergeCell ref="B168:C168"/>
    <mergeCell ref="D168:E168"/>
    <mergeCell ref="F168:F169"/>
    <mergeCell ref="H168:I168"/>
    <mergeCell ref="J168:K168"/>
    <mergeCell ref="L168:L169"/>
    <mergeCell ref="B169:C169"/>
    <mergeCell ref="H169:I169"/>
    <mergeCell ref="N177:O177"/>
    <mergeCell ref="B178:C178"/>
    <mergeCell ref="D178:E178"/>
    <mergeCell ref="F178:F179"/>
    <mergeCell ref="H178:I178"/>
    <mergeCell ref="J178:K178"/>
    <mergeCell ref="L178:L179"/>
    <mergeCell ref="B179:C179"/>
    <mergeCell ref="H179:I179"/>
    <mergeCell ref="N187:O187"/>
    <mergeCell ref="B188:C188"/>
    <mergeCell ref="D188:E188"/>
    <mergeCell ref="F188:F189"/>
    <mergeCell ref="H188:I188"/>
    <mergeCell ref="J188:K188"/>
    <mergeCell ref="L188:L189"/>
    <mergeCell ref="B189:C189"/>
    <mergeCell ref="H189:I189"/>
    <mergeCell ref="A198:A200"/>
    <mergeCell ref="B198:B200"/>
    <mergeCell ref="C198:F198"/>
    <mergeCell ref="H198:H200"/>
    <mergeCell ref="I198:I200"/>
    <mergeCell ref="J198:M198"/>
    <mergeCell ref="O198:P198"/>
    <mergeCell ref="D199:E199"/>
    <mergeCell ref="F199:F200"/>
    <mergeCell ref="K199:L199"/>
    <mergeCell ref="M199:M200"/>
    <mergeCell ref="O199:P199"/>
    <mergeCell ref="A201:A218"/>
    <mergeCell ref="H201:H218"/>
    <mergeCell ref="A220:A237"/>
    <mergeCell ref="H220:H237"/>
    <mergeCell ref="O220:P220"/>
    <mergeCell ref="O221:P221"/>
    <mergeCell ref="A239:A256"/>
    <mergeCell ref="H239:H256"/>
    <mergeCell ref="A258:A275"/>
    <mergeCell ref="H258:H275"/>
    <mergeCell ref="O335:O337"/>
    <mergeCell ref="A277:A294"/>
    <mergeCell ref="H277:H294"/>
    <mergeCell ref="A296:A313"/>
    <mergeCell ref="H296:H313"/>
    <mergeCell ref="A315:A332"/>
    <mergeCell ref="H315:H332"/>
    <mergeCell ref="B334:D334"/>
    <mergeCell ref="G334:I334"/>
    <mergeCell ref="L334:O334"/>
    <mergeCell ref="L341:N341"/>
    <mergeCell ref="A345:D345"/>
    <mergeCell ref="F345:I345"/>
    <mergeCell ref="A372:K372"/>
    <mergeCell ref="B335:C335"/>
    <mergeCell ref="D335:D336"/>
    <mergeCell ref="G335:H335"/>
    <mergeCell ref="I335:I336"/>
    <mergeCell ref="K335:K337"/>
    <mergeCell ref="L335:L337"/>
    <mergeCell ref="M335:M337"/>
    <mergeCell ref="N335:N337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2"/>
  <sheetViews>
    <sheetView workbookViewId="0">
      <selection activeCell="I3" sqref="I3"/>
    </sheetView>
  </sheetViews>
  <sheetFormatPr defaultColWidth="9.109375" defaultRowHeight="13.8" x14ac:dyDescent="0.25"/>
  <cols>
    <col min="1" max="1" width="102" style="131" customWidth="1"/>
    <col min="2" max="2" width="96" style="131" customWidth="1"/>
    <col min="3" max="3" width="6.6640625" style="131" customWidth="1"/>
    <col min="4" max="4" width="74.109375" style="131" customWidth="1"/>
    <col min="5" max="5" width="12" style="131" customWidth="1"/>
    <col min="6" max="6" width="100.88671875" style="131" customWidth="1"/>
    <col min="7" max="7" width="64.33203125" style="131" customWidth="1"/>
    <col min="8" max="8" width="35.88671875" style="131" customWidth="1"/>
    <col min="9" max="9" width="49.109375" style="131" customWidth="1"/>
    <col min="10" max="11" width="9.109375" style="131"/>
    <col min="12" max="12" width="55" style="131" customWidth="1"/>
    <col min="13" max="13" width="80.88671875" style="131" customWidth="1"/>
    <col min="14" max="14" width="70.88671875" style="131" customWidth="1"/>
    <col min="15" max="15" width="69.6640625" style="131" customWidth="1"/>
    <col min="16" max="16384" width="9.109375" style="131"/>
  </cols>
  <sheetData>
    <row r="1" spans="1:15" ht="14.4" x14ac:dyDescent="0.3">
      <c r="A1" s="131" t="s">
        <v>387</v>
      </c>
      <c r="B1" s="638" t="str">
        <f>ID!B58</f>
        <v>SPO₂ Simulator, Merek : Fluke, Model : SPOT LIGHT, SN : 4404040</v>
      </c>
      <c r="C1" s="639">
        <f>VLOOKUP(B1,B2:C11,2,FALSE)</f>
        <v>5</v>
      </c>
      <c r="D1" s="640" t="str">
        <f>ID!B59</f>
        <v>Electrical Safety Analyzer, Merek : Fluke, Model : ESA 615, SN : 3699030</v>
      </c>
      <c r="E1" s="641" t="e">
        <f>VLOOKUP(D1,D2:E10,2,FALSE)</f>
        <v>#N/A</v>
      </c>
      <c r="G1" s="74" t="s">
        <v>388</v>
      </c>
      <c r="H1" s="642" t="s">
        <v>185</v>
      </c>
      <c r="I1" s="131" t="s">
        <v>494</v>
      </c>
      <c r="J1" s="131" t="s">
        <v>389</v>
      </c>
      <c r="L1" s="643" t="s">
        <v>390</v>
      </c>
      <c r="M1" s="638" t="s">
        <v>391</v>
      </c>
      <c r="N1" s="638" t="s">
        <v>392</v>
      </c>
      <c r="O1" s="131" t="str">
        <f>ID!B58</f>
        <v>SPO₂ Simulator, Merek : Fluke, Model : SPOT LIGHT, SN : 4404040</v>
      </c>
    </row>
    <row r="2" spans="1:15" ht="14.4" x14ac:dyDescent="0.3">
      <c r="A2" s="131" t="s">
        <v>393</v>
      </c>
      <c r="B2" s="643" t="s">
        <v>390</v>
      </c>
      <c r="C2" s="86">
        <v>1</v>
      </c>
      <c r="D2" s="644" t="s">
        <v>394</v>
      </c>
      <c r="E2" s="645">
        <v>1</v>
      </c>
      <c r="F2" s="252" t="s">
        <v>395</v>
      </c>
      <c r="G2" s="74" t="s">
        <v>396</v>
      </c>
      <c r="H2" s="642" t="s">
        <v>183</v>
      </c>
      <c r="I2" s="131" t="s">
        <v>146</v>
      </c>
      <c r="J2" s="131" t="s">
        <v>397</v>
      </c>
      <c r="L2" s="643" t="s">
        <v>398</v>
      </c>
      <c r="M2" s="638" t="s">
        <v>391</v>
      </c>
      <c r="N2" s="638" t="s">
        <v>392</v>
      </c>
      <c r="O2" s="131" t="str">
        <f>VLOOKUP(O1,L1:N10,2,FALSE)</f>
        <v>Hasil Kalibrasi Saturasi Oksigen tertelusur ke Satuan Internasional ( SI ) melalui CALTEK PTE LTD</v>
      </c>
    </row>
    <row r="3" spans="1:15" ht="14.4" x14ac:dyDescent="0.3">
      <c r="B3" s="643" t="s">
        <v>398</v>
      </c>
      <c r="C3" s="86">
        <v>2</v>
      </c>
      <c r="D3" s="644" t="s">
        <v>399</v>
      </c>
      <c r="E3" s="645">
        <v>2</v>
      </c>
      <c r="F3" s="252" t="s">
        <v>395</v>
      </c>
      <c r="G3" s="74" t="s">
        <v>493</v>
      </c>
      <c r="H3" s="642" t="s">
        <v>184</v>
      </c>
      <c r="L3" s="643" t="s">
        <v>400</v>
      </c>
      <c r="M3" s="638" t="s">
        <v>391</v>
      </c>
      <c r="N3" s="638" t="s">
        <v>392</v>
      </c>
      <c r="O3" s="131" t="str">
        <f>VLOOKUP(O1,L1:N10,3,0)</f>
        <v>Hasil Kalibrasi Frekuensi Heart Rate (BPM) tertelusur ke Satuan Internasional ( SI ) melalui CALTEK PTE LTD</v>
      </c>
    </row>
    <row r="4" spans="1:15" ht="14.4" x14ac:dyDescent="0.3">
      <c r="B4" s="643" t="s">
        <v>400</v>
      </c>
      <c r="C4" s="86">
        <v>3</v>
      </c>
      <c r="D4" s="644" t="s">
        <v>401</v>
      </c>
      <c r="E4" s="645">
        <v>3</v>
      </c>
      <c r="F4" s="252" t="s">
        <v>402</v>
      </c>
      <c r="G4" s="74" t="s">
        <v>403</v>
      </c>
      <c r="H4" s="642" t="s">
        <v>404</v>
      </c>
      <c r="L4" s="643" t="s">
        <v>405</v>
      </c>
      <c r="M4" s="638" t="s">
        <v>391</v>
      </c>
      <c r="N4" s="638" t="s">
        <v>392</v>
      </c>
    </row>
    <row r="5" spans="1:15" ht="14.4" x14ac:dyDescent="0.3">
      <c r="B5" s="643" t="s">
        <v>405</v>
      </c>
      <c r="C5" s="86">
        <v>4</v>
      </c>
      <c r="D5" s="644" t="s">
        <v>406</v>
      </c>
      <c r="E5" s="645">
        <v>4</v>
      </c>
      <c r="F5" s="252" t="s">
        <v>402</v>
      </c>
      <c r="G5" s="74" t="s">
        <v>407</v>
      </c>
      <c r="H5" s="642" t="s">
        <v>408</v>
      </c>
      <c r="L5" s="643" t="s">
        <v>506</v>
      </c>
      <c r="M5" s="638" t="s">
        <v>391</v>
      </c>
      <c r="N5" s="638" t="s">
        <v>392</v>
      </c>
    </row>
    <row r="6" spans="1:15" ht="14.4" x14ac:dyDescent="0.3">
      <c r="B6" s="643" t="s">
        <v>506</v>
      </c>
      <c r="C6" s="86">
        <v>5</v>
      </c>
      <c r="D6" s="644" t="s">
        <v>409</v>
      </c>
      <c r="E6" s="645">
        <v>5</v>
      </c>
      <c r="F6" s="252" t="s">
        <v>402</v>
      </c>
      <c r="G6" s="74" t="s">
        <v>410</v>
      </c>
      <c r="H6" s="642" t="s">
        <v>190</v>
      </c>
      <c r="L6" s="646" t="s">
        <v>411</v>
      </c>
      <c r="M6" s="638" t="s">
        <v>391</v>
      </c>
      <c r="N6" s="638" t="s">
        <v>392</v>
      </c>
    </row>
    <row r="7" spans="1:15" ht="14.4" x14ac:dyDescent="0.3">
      <c r="B7" s="646" t="s">
        <v>411</v>
      </c>
      <c r="C7" s="86">
        <v>6</v>
      </c>
      <c r="D7" s="644" t="s">
        <v>412</v>
      </c>
      <c r="E7" s="645">
        <v>6</v>
      </c>
      <c r="F7" s="252" t="s">
        <v>402</v>
      </c>
      <c r="G7" s="131" t="s">
        <v>413</v>
      </c>
      <c r="H7" s="642" t="s">
        <v>187</v>
      </c>
      <c r="L7" s="646" t="s">
        <v>507</v>
      </c>
      <c r="M7" s="638" t="s">
        <v>391</v>
      </c>
      <c r="N7" s="638" t="s">
        <v>392</v>
      </c>
    </row>
    <row r="8" spans="1:15" ht="14.4" x14ac:dyDescent="0.3">
      <c r="B8" s="646" t="s">
        <v>507</v>
      </c>
      <c r="C8" s="86">
        <v>7</v>
      </c>
      <c r="D8" s="644" t="s">
        <v>414</v>
      </c>
      <c r="E8" s="645">
        <v>7</v>
      </c>
      <c r="F8" s="252" t="s">
        <v>402</v>
      </c>
      <c r="G8" s="131" t="s">
        <v>415</v>
      </c>
      <c r="H8" s="642" t="s">
        <v>188</v>
      </c>
      <c r="L8" s="643" t="s">
        <v>155</v>
      </c>
      <c r="M8" s="638" t="s">
        <v>391</v>
      </c>
      <c r="N8" s="638" t="s">
        <v>392</v>
      </c>
    </row>
    <row r="9" spans="1:15" ht="14.4" x14ac:dyDescent="0.3">
      <c r="B9" s="643" t="s">
        <v>155</v>
      </c>
      <c r="C9" s="86">
        <v>8</v>
      </c>
      <c r="D9" s="644" t="s">
        <v>416</v>
      </c>
      <c r="E9" s="645">
        <v>8</v>
      </c>
      <c r="F9" s="252" t="s">
        <v>402</v>
      </c>
      <c r="G9" s="131" t="s">
        <v>417</v>
      </c>
      <c r="H9" s="642" t="s">
        <v>418</v>
      </c>
      <c r="L9" s="646" t="s">
        <v>419</v>
      </c>
      <c r="M9" s="638" t="s">
        <v>420</v>
      </c>
      <c r="N9" s="638" t="s">
        <v>421</v>
      </c>
    </row>
    <row r="10" spans="1:15" ht="14.4" x14ac:dyDescent="0.3">
      <c r="B10" s="646" t="s">
        <v>419</v>
      </c>
      <c r="C10" s="86">
        <v>9</v>
      </c>
      <c r="D10" s="644" t="s">
        <v>422</v>
      </c>
      <c r="E10" s="645">
        <v>9</v>
      </c>
      <c r="F10" s="252" t="s">
        <v>402</v>
      </c>
      <c r="G10" s="131" t="s">
        <v>423</v>
      </c>
      <c r="H10" s="642" t="s">
        <v>424</v>
      </c>
      <c r="L10" s="646" t="s">
        <v>508</v>
      </c>
      <c r="M10" s="638" t="s">
        <v>420</v>
      </c>
      <c r="N10" s="638" t="s">
        <v>421</v>
      </c>
    </row>
    <row r="11" spans="1:15" ht="14.4" x14ac:dyDescent="0.3">
      <c r="B11" s="646" t="s">
        <v>508</v>
      </c>
      <c r="C11" s="86">
        <v>10</v>
      </c>
      <c r="H11" s="642" t="s">
        <v>425</v>
      </c>
      <c r="N11" s="638"/>
    </row>
    <row r="12" spans="1:15" x14ac:dyDescent="0.25">
      <c r="H12" s="642" t="s">
        <v>426</v>
      </c>
    </row>
    <row r="13" spans="1:15" x14ac:dyDescent="0.25">
      <c r="H13" s="642" t="s">
        <v>427</v>
      </c>
    </row>
    <row r="14" spans="1:15" x14ac:dyDescent="0.25">
      <c r="H14" s="642" t="s">
        <v>159</v>
      </c>
    </row>
    <row r="15" spans="1:15" x14ac:dyDescent="0.25">
      <c r="H15" s="642" t="s">
        <v>428</v>
      </c>
    </row>
    <row r="16" spans="1:15" x14ac:dyDescent="0.25">
      <c r="H16" s="642" t="s">
        <v>429</v>
      </c>
    </row>
    <row r="17" spans="8:8" x14ac:dyDescent="0.25">
      <c r="H17" s="642" t="s">
        <v>430</v>
      </c>
    </row>
    <row r="18" spans="8:8" x14ac:dyDescent="0.25">
      <c r="H18" s="642" t="s">
        <v>431</v>
      </c>
    </row>
    <row r="19" spans="8:8" x14ac:dyDescent="0.25">
      <c r="H19" s="642" t="s">
        <v>510</v>
      </c>
    </row>
    <row r="20" spans="8:8" x14ac:dyDescent="0.25">
      <c r="H20" s="131" t="s">
        <v>509</v>
      </c>
    </row>
    <row r="21" spans="8:8" x14ac:dyDescent="0.25">
      <c r="H21" s="642" t="s">
        <v>432</v>
      </c>
    </row>
    <row r="22" spans="8:8" x14ac:dyDescent="0.25">
      <c r="H22" s="642" t="s">
        <v>433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11:E13"/>
  <sheetViews>
    <sheetView topLeftCell="B1" workbookViewId="0">
      <selection activeCell="C18" sqref="C18"/>
    </sheetView>
  </sheetViews>
  <sheetFormatPr defaultRowHeight="13.2" x14ac:dyDescent="0.25"/>
  <cols>
    <col min="4" max="4" width="78.88671875" customWidth="1"/>
    <col min="5" max="5" width="77.109375" customWidth="1"/>
  </cols>
  <sheetData>
    <row r="11" spans="4:5" x14ac:dyDescent="0.25">
      <c r="D11" s="76" t="s">
        <v>434</v>
      </c>
      <c r="E11" s="76" t="s">
        <v>435</v>
      </c>
    </row>
    <row r="12" spans="4:5" ht="54.75" customHeight="1" x14ac:dyDescent="0.25">
      <c r="D12" s="77" t="s">
        <v>436</v>
      </c>
      <c r="E12" s="78" t="s">
        <v>437</v>
      </c>
    </row>
    <row r="13" spans="4:5" ht="55.5" customHeight="1" x14ac:dyDescent="0.25">
      <c r="D13" s="79" t="s">
        <v>438</v>
      </c>
      <c r="E13" s="78" t="s">
        <v>439</v>
      </c>
    </row>
  </sheetData>
  <sheetProtection algorithmName="SHA-512" hashValue="Tn3JAdT48dpwJFapx+VS0j3Nc/TIpIol3R1sI2uuGiaEbWJgVUjOmmiy2IZ1IH65IuqEYUjnZ/3A7lGx9wuguQ==" saltValue="E3K6bWMQdi2bdc8Epbr0UA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0"/>
  <sheetViews>
    <sheetView topLeftCell="A16" workbookViewId="0">
      <selection activeCell="D9" sqref="D9"/>
    </sheetView>
  </sheetViews>
  <sheetFormatPr defaultColWidth="9.109375" defaultRowHeight="13.8" x14ac:dyDescent="0.25"/>
  <cols>
    <col min="1" max="1" width="19.109375" style="689" bestFit="1" customWidth="1"/>
    <col min="2" max="5" width="11.88671875" style="689" bestFit="1" customWidth="1"/>
    <col min="6" max="7" width="10.109375" style="689" bestFit="1" customWidth="1"/>
    <col min="8" max="8" width="10.88671875" style="689" bestFit="1" customWidth="1"/>
    <col min="9" max="10" width="11.88671875" style="689" bestFit="1" customWidth="1"/>
    <col min="11" max="12" width="10.109375" style="689" bestFit="1" customWidth="1"/>
    <col min="13" max="13" width="9.109375" style="689"/>
    <col min="14" max="14" width="10.88671875" style="689" bestFit="1" customWidth="1"/>
    <col min="15" max="16" width="11.88671875" style="689" bestFit="1" customWidth="1"/>
    <col min="17" max="18" width="10.109375" style="689" bestFit="1" customWidth="1"/>
    <col min="19" max="16384" width="9.109375" style="689"/>
  </cols>
  <sheetData>
    <row r="1" spans="1:18" x14ac:dyDescent="0.25">
      <c r="A1" s="688"/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688"/>
    </row>
    <row r="2" spans="1:18" x14ac:dyDescent="0.25">
      <c r="A2" s="688"/>
      <c r="B2" s="688"/>
      <c r="C2" s="688"/>
      <c r="D2" s="688"/>
      <c r="E2" s="688"/>
      <c r="F2" s="688"/>
      <c r="G2" s="688"/>
      <c r="H2" s="688"/>
      <c r="I2" s="688"/>
      <c r="J2" s="688"/>
      <c r="K2" s="688"/>
      <c r="L2" s="688"/>
      <c r="M2" s="688"/>
      <c r="N2" s="688"/>
      <c r="O2" s="688"/>
      <c r="P2" s="688"/>
      <c r="Q2" s="688"/>
      <c r="R2" s="688"/>
    </row>
    <row r="3" spans="1:18" x14ac:dyDescent="0.25">
      <c r="A3" s="688"/>
      <c r="B3" s="688"/>
      <c r="C3" s="688"/>
      <c r="D3" s="688"/>
      <c r="E3" s="688"/>
      <c r="F3" s="688"/>
      <c r="G3" s="688"/>
      <c r="H3" s="688"/>
      <c r="I3" s="688"/>
      <c r="J3" s="688"/>
      <c r="K3" s="688"/>
      <c r="L3" s="688"/>
      <c r="M3" s="688"/>
      <c r="N3" s="688"/>
      <c r="O3" s="688"/>
      <c r="P3" s="688"/>
      <c r="Q3" s="688"/>
      <c r="R3" s="688"/>
    </row>
    <row r="4" spans="1:18" ht="16.5" customHeight="1" x14ac:dyDescent="0.25">
      <c r="A4" s="688"/>
      <c r="B4" s="1193" t="s">
        <v>440</v>
      </c>
      <c r="C4" s="1194"/>
      <c r="D4" s="1194"/>
      <c r="E4" s="1194"/>
      <c r="F4" s="1195"/>
      <c r="G4" s="688"/>
      <c r="H4" s="1193" t="s">
        <v>441</v>
      </c>
      <c r="I4" s="1194"/>
      <c r="J4" s="1194"/>
      <c r="K4" s="1194"/>
      <c r="L4" s="1195"/>
      <c r="M4" s="688"/>
      <c r="N4" s="1193" t="s">
        <v>442</v>
      </c>
      <c r="O4" s="1194"/>
      <c r="P4" s="1194"/>
      <c r="Q4" s="1194"/>
      <c r="R4" s="1195"/>
    </row>
    <row r="5" spans="1:18" x14ac:dyDescent="0.25">
      <c r="A5" s="688"/>
      <c r="B5" s="1184" t="s">
        <v>443</v>
      </c>
      <c r="C5" s="1184"/>
      <c r="D5" s="1184"/>
      <c r="E5" s="1184"/>
      <c r="F5" s="1184"/>
      <c r="G5" s="688"/>
      <c r="H5" s="1184" t="s">
        <v>443</v>
      </c>
      <c r="I5" s="1184"/>
      <c r="J5" s="1184"/>
      <c r="K5" s="1184"/>
      <c r="L5" s="1184"/>
      <c r="M5" s="688"/>
      <c r="N5" s="1184" t="s">
        <v>443</v>
      </c>
      <c r="O5" s="1184"/>
      <c r="P5" s="1184"/>
      <c r="Q5" s="1184"/>
      <c r="R5" s="1184"/>
    </row>
    <row r="6" spans="1:18" x14ac:dyDescent="0.25">
      <c r="A6" s="688"/>
      <c r="B6" s="1185" t="s">
        <v>444</v>
      </c>
      <c r="C6" s="1186"/>
      <c r="D6" s="1187"/>
      <c r="E6" s="1188" t="s">
        <v>310</v>
      </c>
      <c r="F6" s="1188" t="s">
        <v>170</v>
      </c>
      <c r="G6" s="688"/>
      <c r="H6" s="1185" t="s">
        <v>444</v>
      </c>
      <c r="I6" s="1186"/>
      <c r="J6" s="1187"/>
      <c r="K6" s="1188" t="s">
        <v>310</v>
      </c>
      <c r="L6" s="1188" t="s">
        <v>170</v>
      </c>
      <c r="M6" s="688"/>
      <c r="N6" s="1185" t="s">
        <v>444</v>
      </c>
      <c r="O6" s="1186"/>
      <c r="P6" s="1187"/>
      <c r="Q6" s="1188" t="s">
        <v>310</v>
      </c>
      <c r="R6" s="1188" t="s">
        <v>170</v>
      </c>
    </row>
    <row r="7" spans="1:18" x14ac:dyDescent="0.25">
      <c r="A7" s="688"/>
      <c r="B7" s="680" t="s">
        <v>9</v>
      </c>
      <c r="C7" s="680">
        <v>2017</v>
      </c>
      <c r="D7" s="680">
        <v>2019</v>
      </c>
      <c r="E7" s="1189"/>
      <c r="F7" s="1189"/>
      <c r="G7" s="688"/>
      <c r="H7" s="680" t="s">
        <v>9</v>
      </c>
      <c r="I7" s="680">
        <v>2018</v>
      </c>
      <c r="J7" s="680">
        <v>2019</v>
      </c>
      <c r="K7" s="1189"/>
      <c r="L7" s="1189"/>
      <c r="M7" s="688"/>
      <c r="N7" s="680" t="s">
        <v>9</v>
      </c>
      <c r="O7" s="680">
        <v>2018</v>
      </c>
      <c r="P7" s="680">
        <v>2019</v>
      </c>
      <c r="Q7" s="1189"/>
      <c r="R7" s="1189"/>
    </row>
    <row r="8" spans="1:18" x14ac:dyDescent="0.25">
      <c r="A8" s="688"/>
      <c r="B8" s="680">
        <v>0</v>
      </c>
      <c r="C8" s="690">
        <v>1E-3</v>
      </c>
      <c r="D8" s="690" t="s">
        <v>100</v>
      </c>
      <c r="E8" s="680">
        <f>0.5*(MAX(C8:D8)-MIN(C8:D8))</f>
        <v>0</v>
      </c>
      <c r="F8" s="690">
        <v>1E-3</v>
      </c>
      <c r="G8" s="688"/>
      <c r="H8" s="680">
        <v>0</v>
      </c>
      <c r="I8" s="690">
        <v>1E-3</v>
      </c>
      <c r="J8" s="690" t="s">
        <v>100</v>
      </c>
      <c r="K8" s="680">
        <f>0.5*(MAX(I8:J8)-MIN(I8:J8))</f>
        <v>0</v>
      </c>
      <c r="L8" s="690">
        <v>1E-3</v>
      </c>
      <c r="M8" s="688"/>
      <c r="N8" s="680">
        <v>0</v>
      </c>
      <c r="O8" s="690">
        <v>1E-3</v>
      </c>
      <c r="P8" s="690" t="s">
        <v>100</v>
      </c>
      <c r="Q8" s="680">
        <f>0.5*(MAX(O8:P8)-MIN(O8:P8))</f>
        <v>0</v>
      </c>
      <c r="R8" s="690">
        <v>1E-3</v>
      </c>
    </row>
    <row r="9" spans="1:18" x14ac:dyDescent="0.25">
      <c r="A9" s="688"/>
      <c r="B9" s="680">
        <v>30</v>
      </c>
      <c r="C9" s="690">
        <v>1E-3</v>
      </c>
      <c r="D9" s="690" t="s">
        <v>100</v>
      </c>
      <c r="E9" s="680">
        <f t="shared" ref="E9:E12" si="0">0.5*(MAX(C9:D9)-MIN(C9:D9))</f>
        <v>0</v>
      </c>
      <c r="F9" s="690">
        <v>1E-3</v>
      </c>
      <c r="G9" s="688"/>
      <c r="H9" s="680">
        <v>30</v>
      </c>
      <c r="I9" s="690">
        <v>1E-3</v>
      </c>
      <c r="J9" s="690" t="s">
        <v>100</v>
      </c>
      <c r="K9" s="680">
        <f t="shared" ref="K9:K12" si="1">0.5*(MAX(I9:J9)-MIN(I9:J9))</f>
        <v>0</v>
      </c>
      <c r="L9" s="690">
        <v>1E-3</v>
      </c>
      <c r="M9" s="688"/>
      <c r="N9" s="680">
        <v>30</v>
      </c>
      <c r="O9" s="690">
        <v>1E-3</v>
      </c>
      <c r="P9" s="690" t="s">
        <v>100</v>
      </c>
      <c r="Q9" s="680">
        <f t="shared" ref="Q9:Q12" si="2">0.5*(MAX(O9:P9)-MIN(O9:P9))</f>
        <v>0</v>
      </c>
      <c r="R9" s="690">
        <v>1E-3</v>
      </c>
    </row>
    <row r="10" spans="1:18" x14ac:dyDescent="0.25">
      <c r="A10" s="688"/>
      <c r="B10" s="680">
        <v>60</v>
      </c>
      <c r="C10" s="690">
        <v>1E-3</v>
      </c>
      <c r="D10" s="690" t="s">
        <v>100</v>
      </c>
      <c r="E10" s="680">
        <f t="shared" si="0"/>
        <v>0</v>
      </c>
      <c r="F10" s="690">
        <v>1E-3</v>
      </c>
      <c r="G10" s="688"/>
      <c r="H10" s="680">
        <v>60</v>
      </c>
      <c r="I10" s="690">
        <v>1E-3</v>
      </c>
      <c r="J10" s="690" t="s">
        <v>100</v>
      </c>
      <c r="K10" s="680">
        <f t="shared" si="1"/>
        <v>0</v>
      </c>
      <c r="L10" s="690">
        <v>1E-3</v>
      </c>
      <c r="M10" s="688"/>
      <c r="N10" s="680">
        <v>60</v>
      </c>
      <c r="O10" s="690">
        <v>1E-3</v>
      </c>
      <c r="P10" s="690" t="s">
        <v>100</v>
      </c>
      <c r="Q10" s="680">
        <f t="shared" si="2"/>
        <v>0</v>
      </c>
      <c r="R10" s="690">
        <v>1E-3</v>
      </c>
    </row>
    <row r="11" spans="1:18" x14ac:dyDescent="0.25">
      <c r="A11" s="688"/>
      <c r="B11" s="680">
        <v>120</v>
      </c>
      <c r="C11" s="690">
        <v>1E-3</v>
      </c>
      <c r="D11" s="690" t="s">
        <v>100</v>
      </c>
      <c r="E11" s="680">
        <f t="shared" si="0"/>
        <v>0</v>
      </c>
      <c r="F11" s="690">
        <v>1E-3</v>
      </c>
      <c r="G11" s="688"/>
      <c r="H11" s="680">
        <v>120</v>
      </c>
      <c r="I11" s="690">
        <v>1E-3</v>
      </c>
      <c r="J11" s="690" t="s">
        <v>100</v>
      </c>
      <c r="K11" s="680">
        <f t="shared" si="1"/>
        <v>0</v>
      </c>
      <c r="L11" s="690">
        <v>1E-3</v>
      </c>
      <c r="M11" s="688"/>
      <c r="N11" s="680">
        <v>120</v>
      </c>
      <c r="O11" s="690">
        <v>1E-3</v>
      </c>
      <c r="P11" s="690" t="s">
        <v>100</v>
      </c>
      <c r="Q11" s="680">
        <f t="shared" si="2"/>
        <v>0</v>
      </c>
      <c r="R11" s="690">
        <v>1E-3</v>
      </c>
    </row>
    <row r="12" spans="1:18" x14ac:dyDescent="0.25">
      <c r="A12" s="688"/>
      <c r="B12" s="680">
        <v>240</v>
      </c>
      <c r="C12" s="690">
        <v>1E-3</v>
      </c>
      <c r="D12" s="690" t="s">
        <v>100</v>
      </c>
      <c r="E12" s="680">
        <f t="shared" si="0"/>
        <v>0</v>
      </c>
      <c r="F12" s="690">
        <v>1E-3</v>
      </c>
      <c r="G12" s="688"/>
      <c r="H12" s="680">
        <v>240</v>
      </c>
      <c r="I12" s="690">
        <v>1E-3</v>
      </c>
      <c r="J12" s="690" t="s">
        <v>100</v>
      </c>
      <c r="K12" s="680">
        <f t="shared" si="1"/>
        <v>0</v>
      </c>
      <c r="L12" s="690">
        <v>1E-3</v>
      </c>
      <c r="M12" s="688"/>
      <c r="N12" s="680">
        <v>240</v>
      </c>
      <c r="O12" s="690">
        <v>1E-3</v>
      </c>
      <c r="P12" s="690" t="s">
        <v>100</v>
      </c>
      <c r="Q12" s="680">
        <f t="shared" si="2"/>
        <v>0</v>
      </c>
      <c r="R12" s="690">
        <v>1E-3</v>
      </c>
    </row>
    <row r="13" spans="1:18" x14ac:dyDescent="0.25">
      <c r="A13" s="688"/>
      <c r="B13" s="688"/>
      <c r="C13" s="688"/>
      <c r="D13" s="688"/>
      <c r="E13" s="688"/>
      <c r="F13" s="688"/>
      <c r="G13" s="688"/>
      <c r="H13" s="688"/>
      <c r="I13" s="688"/>
      <c r="J13" s="688"/>
      <c r="K13" s="688"/>
      <c r="L13" s="688"/>
      <c r="M13" s="688"/>
      <c r="N13" s="688"/>
      <c r="O13" s="688"/>
      <c r="P13" s="688"/>
      <c r="Q13" s="688"/>
      <c r="R13" s="688"/>
    </row>
    <row r="14" spans="1:18" x14ac:dyDescent="0.25">
      <c r="A14" s="688"/>
      <c r="B14" s="1193" t="s">
        <v>445</v>
      </c>
      <c r="C14" s="1194"/>
      <c r="D14" s="1194"/>
      <c r="E14" s="1194"/>
      <c r="F14" s="1195"/>
      <c r="G14" s="688"/>
      <c r="H14" s="1193" t="s">
        <v>446</v>
      </c>
      <c r="I14" s="1194"/>
      <c r="J14" s="1194"/>
      <c r="K14" s="1194"/>
      <c r="L14" s="1195"/>
      <c r="M14" s="688"/>
      <c r="N14" s="1193" t="s">
        <v>447</v>
      </c>
      <c r="O14" s="1194"/>
      <c r="P14" s="1194"/>
      <c r="Q14" s="1194"/>
      <c r="R14" s="1195"/>
    </row>
    <row r="15" spans="1:18" x14ac:dyDescent="0.25">
      <c r="A15" s="688"/>
      <c r="B15" s="1184" t="s">
        <v>167</v>
      </c>
      <c r="C15" s="1184"/>
      <c r="D15" s="1184"/>
      <c r="E15" s="1184"/>
      <c r="F15" s="1184"/>
      <c r="G15" s="688"/>
      <c r="H15" s="1184" t="s">
        <v>167</v>
      </c>
      <c r="I15" s="1184"/>
      <c r="J15" s="1184"/>
      <c r="K15" s="1184"/>
      <c r="L15" s="1184"/>
      <c r="M15" s="688"/>
      <c r="N15" s="1184" t="s">
        <v>443</v>
      </c>
      <c r="O15" s="1184"/>
      <c r="P15" s="1184"/>
      <c r="Q15" s="1184"/>
      <c r="R15" s="1184"/>
    </row>
    <row r="16" spans="1:18" x14ac:dyDescent="0.25">
      <c r="A16" s="688"/>
      <c r="B16" s="1185" t="s">
        <v>444</v>
      </c>
      <c r="C16" s="1186"/>
      <c r="D16" s="1187"/>
      <c r="E16" s="1188" t="s">
        <v>310</v>
      </c>
      <c r="F16" s="1188" t="s">
        <v>170</v>
      </c>
      <c r="G16" s="688"/>
      <c r="H16" s="1185" t="s">
        <v>444</v>
      </c>
      <c r="I16" s="1186"/>
      <c r="J16" s="1187"/>
      <c r="K16" s="1188" t="s">
        <v>310</v>
      </c>
      <c r="L16" s="1188" t="s">
        <v>170</v>
      </c>
      <c r="M16" s="688"/>
      <c r="N16" s="1185" t="s">
        <v>444</v>
      </c>
      <c r="O16" s="1186"/>
      <c r="P16" s="1187"/>
      <c r="Q16" s="1188" t="s">
        <v>310</v>
      </c>
      <c r="R16" s="1188" t="s">
        <v>170</v>
      </c>
    </row>
    <row r="17" spans="1:18" x14ac:dyDescent="0.25">
      <c r="A17" s="688"/>
      <c r="B17" s="680" t="s">
        <v>9</v>
      </c>
      <c r="C17" s="680">
        <v>2018</v>
      </c>
      <c r="D17" s="680">
        <v>2019</v>
      </c>
      <c r="E17" s="1189"/>
      <c r="F17" s="1189"/>
      <c r="G17" s="688"/>
      <c r="H17" s="680" t="s">
        <v>9</v>
      </c>
      <c r="I17" s="680">
        <v>2018</v>
      </c>
      <c r="J17" s="680">
        <v>2019</v>
      </c>
      <c r="K17" s="1189"/>
      <c r="L17" s="1189"/>
      <c r="M17" s="688"/>
      <c r="N17" s="680" t="s">
        <v>9</v>
      </c>
      <c r="O17" s="680">
        <v>2017</v>
      </c>
      <c r="P17" s="680">
        <v>2018</v>
      </c>
      <c r="Q17" s="1189"/>
      <c r="R17" s="1189"/>
    </row>
    <row r="18" spans="1:18" x14ac:dyDescent="0.25">
      <c r="A18" s="688"/>
      <c r="B18" s="680">
        <v>0</v>
      </c>
      <c r="C18" s="690">
        <v>1E-3</v>
      </c>
      <c r="D18" s="690" t="s">
        <v>100</v>
      </c>
      <c r="E18" s="680">
        <f>0.5*(MAX(C18:D18)-MIN(C18:D18))</f>
        <v>0</v>
      </c>
      <c r="F18" s="690">
        <v>1E-3</v>
      </c>
      <c r="G18" s="688"/>
      <c r="H18" s="680">
        <v>0</v>
      </c>
      <c r="I18" s="690">
        <v>1E-3</v>
      </c>
      <c r="J18" s="690" t="s">
        <v>100</v>
      </c>
      <c r="K18" s="680">
        <f>0.5*(MAX(I18:J18)-MIN(I18:J18))</f>
        <v>0</v>
      </c>
      <c r="L18" s="690">
        <v>1E-3</v>
      </c>
      <c r="M18" s="688"/>
      <c r="N18" s="680">
        <v>0</v>
      </c>
      <c r="O18" s="690">
        <v>1E-3</v>
      </c>
      <c r="P18" s="690" t="s">
        <v>100</v>
      </c>
      <c r="Q18" s="680">
        <f>0.5*(MAX(O18:P18)-MIN(O18:P18))</f>
        <v>0</v>
      </c>
      <c r="R18" s="690">
        <v>1E-3</v>
      </c>
    </row>
    <row r="19" spans="1:18" x14ac:dyDescent="0.25">
      <c r="A19" s="688"/>
      <c r="B19" s="680">
        <v>30</v>
      </c>
      <c r="C19" s="690">
        <v>1E-3</v>
      </c>
      <c r="D19" s="690" t="s">
        <v>100</v>
      </c>
      <c r="E19" s="680">
        <f t="shared" ref="E19:E22" si="3">0.5*(MAX(C19:D19)-MIN(C19:D19))</f>
        <v>0</v>
      </c>
      <c r="F19" s="690">
        <v>1E-3</v>
      </c>
      <c r="G19" s="688"/>
      <c r="H19" s="680">
        <v>30</v>
      </c>
      <c r="I19" s="690">
        <v>1E-3</v>
      </c>
      <c r="J19" s="690" t="s">
        <v>100</v>
      </c>
      <c r="K19" s="680">
        <f t="shared" ref="K19:K22" si="4">0.5*(MAX(I19:J19)-MIN(I19:J19))</f>
        <v>0</v>
      </c>
      <c r="L19" s="690">
        <v>1E-3</v>
      </c>
      <c r="M19" s="688"/>
      <c r="N19" s="680">
        <v>30</v>
      </c>
      <c r="O19" s="690">
        <v>1E-3</v>
      </c>
      <c r="P19" s="690" t="s">
        <v>100</v>
      </c>
      <c r="Q19" s="680">
        <f t="shared" ref="Q19:Q22" si="5">0.5*(MAX(O19:P19)-MIN(O19:P19))</f>
        <v>0</v>
      </c>
      <c r="R19" s="690">
        <v>1E-3</v>
      </c>
    </row>
    <row r="20" spans="1:18" x14ac:dyDescent="0.25">
      <c r="A20" s="688"/>
      <c r="B20" s="680">
        <v>60</v>
      </c>
      <c r="C20" s="690">
        <v>1E-3</v>
      </c>
      <c r="D20" s="690" t="s">
        <v>100</v>
      </c>
      <c r="E20" s="680">
        <f t="shared" si="3"/>
        <v>0</v>
      </c>
      <c r="F20" s="690">
        <v>1E-3</v>
      </c>
      <c r="G20" s="688"/>
      <c r="H20" s="680">
        <v>60</v>
      </c>
      <c r="I20" s="690">
        <v>1E-3</v>
      </c>
      <c r="J20" s="690" t="s">
        <v>100</v>
      </c>
      <c r="K20" s="680">
        <f t="shared" si="4"/>
        <v>0</v>
      </c>
      <c r="L20" s="690">
        <v>1E-3</v>
      </c>
      <c r="M20" s="688"/>
      <c r="N20" s="680">
        <v>60</v>
      </c>
      <c r="O20" s="690">
        <v>1E-3</v>
      </c>
      <c r="P20" s="690" t="s">
        <v>100</v>
      </c>
      <c r="Q20" s="680">
        <f t="shared" si="5"/>
        <v>0</v>
      </c>
      <c r="R20" s="690">
        <v>1E-3</v>
      </c>
    </row>
    <row r="21" spans="1:18" x14ac:dyDescent="0.25">
      <c r="A21" s="688"/>
      <c r="B21" s="680">
        <v>120</v>
      </c>
      <c r="C21" s="690">
        <v>1E-3</v>
      </c>
      <c r="D21" s="690" t="s">
        <v>100</v>
      </c>
      <c r="E21" s="680">
        <f t="shared" si="3"/>
        <v>0</v>
      </c>
      <c r="F21" s="690">
        <v>1E-3</v>
      </c>
      <c r="G21" s="688"/>
      <c r="H21" s="680">
        <v>120</v>
      </c>
      <c r="I21" s="690">
        <v>1E-3</v>
      </c>
      <c r="J21" s="690" t="s">
        <v>100</v>
      </c>
      <c r="K21" s="680">
        <f t="shared" si="4"/>
        <v>0</v>
      </c>
      <c r="L21" s="690">
        <v>1E-3</v>
      </c>
      <c r="M21" s="688"/>
      <c r="N21" s="680">
        <v>120</v>
      </c>
      <c r="O21" s="690">
        <v>1E-3</v>
      </c>
      <c r="P21" s="690" t="s">
        <v>100</v>
      </c>
      <c r="Q21" s="680">
        <f t="shared" si="5"/>
        <v>0</v>
      </c>
      <c r="R21" s="690">
        <v>1E-3</v>
      </c>
    </row>
    <row r="22" spans="1:18" x14ac:dyDescent="0.25">
      <c r="A22" s="688"/>
      <c r="B22" s="680">
        <v>240</v>
      </c>
      <c r="C22" s="690">
        <v>1E-3</v>
      </c>
      <c r="D22" s="690" t="s">
        <v>100</v>
      </c>
      <c r="E22" s="680">
        <f t="shared" si="3"/>
        <v>0</v>
      </c>
      <c r="F22" s="690">
        <v>1E-3</v>
      </c>
      <c r="G22" s="688"/>
      <c r="H22" s="680">
        <v>240</v>
      </c>
      <c r="I22" s="690">
        <v>1E-3</v>
      </c>
      <c r="J22" s="690" t="s">
        <v>100</v>
      </c>
      <c r="K22" s="680">
        <f t="shared" si="4"/>
        <v>0</v>
      </c>
      <c r="L22" s="690">
        <v>1E-3</v>
      </c>
      <c r="M22" s="688"/>
      <c r="N22" s="680">
        <v>240</v>
      </c>
      <c r="O22" s="690">
        <v>1E-3</v>
      </c>
      <c r="P22" s="690" t="s">
        <v>100</v>
      </c>
      <c r="Q22" s="680">
        <f t="shared" si="5"/>
        <v>0</v>
      </c>
      <c r="R22" s="690">
        <v>1E-3</v>
      </c>
    </row>
    <row r="23" spans="1:18" x14ac:dyDescent="0.25">
      <c r="A23" s="688"/>
      <c r="B23" s="688"/>
      <c r="C23" s="688"/>
      <c r="D23" s="688"/>
      <c r="E23" s="688"/>
      <c r="F23" s="688"/>
      <c r="G23" s="688"/>
      <c r="H23" s="688"/>
      <c r="I23" s="688"/>
      <c r="J23" s="688"/>
      <c r="K23" s="688"/>
      <c r="L23" s="688"/>
      <c r="M23" s="688"/>
      <c r="N23" s="688"/>
      <c r="O23" s="688"/>
      <c r="P23" s="688"/>
      <c r="Q23" s="688"/>
      <c r="R23" s="688"/>
    </row>
    <row r="24" spans="1:18" x14ac:dyDescent="0.25">
      <c r="A24" s="688"/>
      <c r="B24" s="1193" t="s">
        <v>448</v>
      </c>
      <c r="C24" s="1194"/>
      <c r="D24" s="1194"/>
      <c r="E24" s="1194"/>
      <c r="F24" s="1195"/>
      <c r="G24" s="688"/>
      <c r="H24" s="1193" t="s">
        <v>449</v>
      </c>
      <c r="I24" s="1194"/>
      <c r="J24" s="1194"/>
      <c r="K24" s="1194"/>
      <c r="L24" s="1195"/>
      <c r="M24" s="688"/>
      <c r="N24" s="1193" t="s">
        <v>450</v>
      </c>
      <c r="O24" s="1194"/>
      <c r="P24" s="1194"/>
      <c r="Q24" s="1194"/>
      <c r="R24" s="1195"/>
    </row>
    <row r="25" spans="1:18" x14ac:dyDescent="0.25">
      <c r="A25" s="688"/>
      <c r="B25" s="1184" t="s">
        <v>443</v>
      </c>
      <c r="C25" s="1184"/>
      <c r="D25" s="1184"/>
      <c r="E25" s="1184"/>
      <c r="F25" s="1184"/>
      <c r="G25" s="688"/>
      <c r="H25" s="1184" t="s">
        <v>443</v>
      </c>
      <c r="I25" s="1184"/>
      <c r="J25" s="1184"/>
      <c r="K25" s="1184"/>
      <c r="L25" s="1184"/>
      <c r="M25" s="688"/>
      <c r="N25" s="1184" t="s">
        <v>443</v>
      </c>
      <c r="O25" s="1184"/>
      <c r="P25" s="1184"/>
      <c r="Q25" s="1184"/>
      <c r="R25" s="1184"/>
    </row>
    <row r="26" spans="1:18" x14ac:dyDescent="0.25">
      <c r="A26" s="688"/>
      <c r="B26" s="1185" t="s">
        <v>444</v>
      </c>
      <c r="C26" s="1186"/>
      <c r="D26" s="1187"/>
      <c r="E26" s="1188" t="s">
        <v>310</v>
      </c>
      <c r="F26" s="1188" t="s">
        <v>170</v>
      </c>
      <c r="G26" s="688"/>
      <c r="H26" s="1185" t="s">
        <v>444</v>
      </c>
      <c r="I26" s="1186"/>
      <c r="J26" s="1187"/>
      <c r="K26" s="1188" t="s">
        <v>310</v>
      </c>
      <c r="L26" s="1188" t="s">
        <v>170</v>
      </c>
      <c r="M26" s="688"/>
      <c r="N26" s="1185" t="s">
        <v>444</v>
      </c>
      <c r="O26" s="1186"/>
      <c r="P26" s="1187"/>
      <c r="Q26" s="1188" t="s">
        <v>310</v>
      </c>
      <c r="R26" s="1188" t="s">
        <v>170</v>
      </c>
    </row>
    <row r="27" spans="1:18" x14ac:dyDescent="0.25">
      <c r="A27" s="688"/>
      <c r="B27" s="680" t="s">
        <v>9</v>
      </c>
      <c r="C27" s="680">
        <v>2017</v>
      </c>
      <c r="D27" s="680">
        <v>2018</v>
      </c>
      <c r="E27" s="1189"/>
      <c r="F27" s="1189"/>
      <c r="G27" s="688"/>
      <c r="H27" s="680" t="s">
        <v>9</v>
      </c>
      <c r="I27" s="680">
        <v>2017</v>
      </c>
      <c r="J27" s="680">
        <v>2018</v>
      </c>
      <c r="K27" s="1189"/>
      <c r="L27" s="1189"/>
      <c r="M27" s="688"/>
      <c r="N27" s="680" t="s">
        <v>9</v>
      </c>
      <c r="O27" s="680">
        <v>2017</v>
      </c>
      <c r="P27" s="680">
        <v>2018</v>
      </c>
      <c r="Q27" s="1189"/>
      <c r="R27" s="1189"/>
    </row>
    <row r="28" spans="1:18" x14ac:dyDescent="0.25">
      <c r="A28" s="688"/>
      <c r="B28" s="680">
        <v>0</v>
      </c>
      <c r="C28" s="690">
        <v>1E-3</v>
      </c>
      <c r="D28" s="690" t="s">
        <v>100</v>
      </c>
      <c r="E28" s="680">
        <f>0.5*(MAX(C28:D28)-MIN(C28:D28))</f>
        <v>0</v>
      </c>
      <c r="F28" s="690">
        <v>1E-3</v>
      </c>
      <c r="G28" s="688"/>
      <c r="H28" s="680">
        <v>0</v>
      </c>
      <c r="I28" s="690">
        <v>1E-3</v>
      </c>
      <c r="J28" s="690" t="s">
        <v>100</v>
      </c>
      <c r="K28" s="680">
        <f>0.5*(MAX(I28:J28)-MIN(I28:J28))</f>
        <v>0</v>
      </c>
      <c r="L28" s="690">
        <v>1E-3</v>
      </c>
      <c r="M28" s="688"/>
      <c r="N28" s="680">
        <v>0</v>
      </c>
      <c r="O28" s="690">
        <v>1E-3</v>
      </c>
      <c r="P28" s="690" t="s">
        <v>100</v>
      </c>
      <c r="Q28" s="680">
        <f>0.5*(MAX(O28:P28)-MIN(O28:P28))</f>
        <v>0</v>
      </c>
      <c r="R28" s="690">
        <v>1E-3</v>
      </c>
    </row>
    <row r="29" spans="1:18" x14ac:dyDescent="0.25">
      <c r="A29" s="688"/>
      <c r="B29" s="680">
        <v>30</v>
      </c>
      <c r="C29" s="690">
        <v>1E-3</v>
      </c>
      <c r="D29" s="690" t="s">
        <v>100</v>
      </c>
      <c r="E29" s="680">
        <f t="shared" ref="E29:E32" si="6">0.5*(MAX(C29:D29)-MIN(C29:D29))</f>
        <v>0</v>
      </c>
      <c r="F29" s="690">
        <v>1E-3</v>
      </c>
      <c r="G29" s="688"/>
      <c r="H29" s="680">
        <v>30</v>
      </c>
      <c r="I29" s="690">
        <v>1E-3</v>
      </c>
      <c r="J29" s="690" t="s">
        <v>100</v>
      </c>
      <c r="K29" s="680">
        <f t="shared" ref="K29:K32" si="7">0.5*(MAX(I29:J29)-MIN(I29:J29))</f>
        <v>0</v>
      </c>
      <c r="L29" s="690">
        <v>1E-3</v>
      </c>
      <c r="M29" s="688"/>
      <c r="N29" s="680">
        <v>30</v>
      </c>
      <c r="O29" s="690">
        <v>1E-3</v>
      </c>
      <c r="P29" s="690" t="s">
        <v>100</v>
      </c>
      <c r="Q29" s="680">
        <f t="shared" ref="Q29:Q32" si="8">0.5*(MAX(O29:P29)-MIN(O29:P29))</f>
        <v>0</v>
      </c>
      <c r="R29" s="690">
        <v>1E-3</v>
      </c>
    </row>
    <row r="30" spans="1:18" x14ac:dyDescent="0.25">
      <c r="A30" s="688"/>
      <c r="B30" s="680">
        <v>60</v>
      </c>
      <c r="C30" s="690">
        <v>1E-3</v>
      </c>
      <c r="D30" s="690" t="s">
        <v>100</v>
      </c>
      <c r="E30" s="680">
        <f t="shared" si="6"/>
        <v>0</v>
      </c>
      <c r="F30" s="690">
        <v>1E-3</v>
      </c>
      <c r="G30" s="688"/>
      <c r="H30" s="680">
        <v>60</v>
      </c>
      <c r="I30" s="690">
        <v>1E-3</v>
      </c>
      <c r="J30" s="690" t="s">
        <v>100</v>
      </c>
      <c r="K30" s="680">
        <f t="shared" si="7"/>
        <v>0</v>
      </c>
      <c r="L30" s="690">
        <v>1E-3</v>
      </c>
      <c r="M30" s="688"/>
      <c r="N30" s="680">
        <v>60</v>
      </c>
      <c r="O30" s="690">
        <v>1E-3</v>
      </c>
      <c r="P30" s="690" t="s">
        <v>100</v>
      </c>
      <c r="Q30" s="680">
        <f t="shared" si="8"/>
        <v>0</v>
      </c>
      <c r="R30" s="690">
        <v>1E-3</v>
      </c>
    </row>
    <row r="31" spans="1:18" x14ac:dyDescent="0.25">
      <c r="A31" s="688"/>
      <c r="B31" s="680">
        <v>120</v>
      </c>
      <c r="C31" s="690">
        <v>1E-3</v>
      </c>
      <c r="D31" s="690" t="s">
        <v>100</v>
      </c>
      <c r="E31" s="680">
        <f t="shared" si="6"/>
        <v>0</v>
      </c>
      <c r="F31" s="690">
        <v>1E-3</v>
      </c>
      <c r="G31" s="688"/>
      <c r="H31" s="680">
        <v>120</v>
      </c>
      <c r="I31" s="690">
        <v>1E-3</v>
      </c>
      <c r="J31" s="690" t="s">
        <v>100</v>
      </c>
      <c r="K31" s="680">
        <f t="shared" si="7"/>
        <v>0</v>
      </c>
      <c r="L31" s="690">
        <v>1E-3</v>
      </c>
      <c r="M31" s="688"/>
      <c r="N31" s="680">
        <v>120</v>
      </c>
      <c r="O31" s="690">
        <v>1E-3</v>
      </c>
      <c r="P31" s="690" t="s">
        <v>100</v>
      </c>
      <c r="Q31" s="680">
        <f t="shared" si="8"/>
        <v>0</v>
      </c>
      <c r="R31" s="690">
        <v>1E-3</v>
      </c>
    </row>
    <row r="32" spans="1:18" x14ac:dyDescent="0.25">
      <c r="A32" s="688"/>
      <c r="B32" s="680">
        <v>240</v>
      </c>
      <c r="C32" s="690">
        <v>1E-3</v>
      </c>
      <c r="D32" s="690" t="s">
        <v>100</v>
      </c>
      <c r="E32" s="680">
        <f t="shared" si="6"/>
        <v>0</v>
      </c>
      <c r="F32" s="690">
        <v>1E-3</v>
      </c>
      <c r="G32" s="688"/>
      <c r="H32" s="680">
        <v>240</v>
      </c>
      <c r="I32" s="690">
        <v>1E-3</v>
      </c>
      <c r="J32" s="690" t="s">
        <v>100</v>
      </c>
      <c r="K32" s="680">
        <f t="shared" si="7"/>
        <v>0</v>
      </c>
      <c r="L32" s="690">
        <v>1E-3</v>
      </c>
      <c r="M32" s="688"/>
      <c r="N32" s="680">
        <v>240</v>
      </c>
      <c r="O32" s="690">
        <v>1E-3</v>
      </c>
      <c r="P32" s="690" t="s">
        <v>100</v>
      </c>
      <c r="Q32" s="680">
        <f t="shared" si="8"/>
        <v>0</v>
      </c>
      <c r="R32" s="690">
        <v>1E-3</v>
      </c>
    </row>
    <row r="33" spans="1:18" x14ac:dyDescent="0.25">
      <c r="A33" s="688"/>
      <c r="B33" s="688"/>
      <c r="C33" s="688"/>
      <c r="D33" s="688"/>
      <c r="E33" s="688"/>
      <c r="F33" s="688"/>
      <c r="G33" s="688"/>
      <c r="H33" s="688"/>
      <c r="I33" s="688"/>
      <c r="J33" s="688"/>
      <c r="K33" s="688"/>
      <c r="L33" s="688"/>
      <c r="M33" s="688"/>
      <c r="N33" s="688"/>
      <c r="O33" s="688"/>
      <c r="P33" s="688"/>
      <c r="Q33" s="688"/>
      <c r="R33" s="688"/>
    </row>
    <row r="34" spans="1:18" x14ac:dyDescent="0.25">
      <c r="A34" s="688"/>
      <c r="B34" s="1193" t="s">
        <v>451</v>
      </c>
      <c r="C34" s="1194"/>
      <c r="D34" s="1194"/>
      <c r="E34" s="1194"/>
      <c r="F34" s="1195"/>
      <c r="G34" s="688"/>
      <c r="H34" s="688"/>
      <c r="I34" s="688"/>
      <c r="J34" s="688"/>
      <c r="K34" s="688"/>
      <c r="L34" s="688"/>
      <c r="M34" s="688"/>
      <c r="N34" s="688"/>
      <c r="O34" s="688"/>
      <c r="P34" s="688"/>
      <c r="Q34" s="688"/>
      <c r="R34" s="688"/>
    </row>
    <row r="35" spans="1:18" x14ac:dyDescent="0.25">
      <c r="A35" s="688"/>
      <c r="B35" s="1184" t="s">
        <v>443</v>
      </c>
      <c r="C35" s="1184"/>
      <c r="D35" s="1184"/>
      <c r="E35" s="1184"/>
      <c r="F35" s="1184"/>
      <c r="G35" s="688"/>
      <c r="H35" s="688"/>
      <c r="I35" s="688"/>
      <c r="J35" s="688"/>
      <c r="K35" s="688"/>
      <c r="L35" s="688"/>
      <c r="M35" s="688"/>
      <c r="N35" s="688"/>
      <c r="O35" s="688"/>
      <c r="P35" s="688"/>
      <c r="Q35" s="688"/>
      <c r="R35" s="688"/>
    </row>
    <row r="36" spans="1:18" x14ac:dyDescent="0.25">
      <c r="A36" s="688"/>
      <c r="B36" s="1185" t="s">
        <v>444</v>
      </c>
      <c r="C36" s="1186"/>
      <c r="D36" s="1187"/>
      <c r="E36" s="1188" t="s">
        <v>310</v>
      </c>
      <c r="F36" s="1188" t="s">
        <v>170</v>
      </c>
      <c r="G36" s="688"/>
      <c r="H36" s="688"/>
      <c r="I36" s="688"/>
      <c r="J36" s="688"/>
      <c r="K36" s="688"/>
      <c r="L36" s="688"/>
      <c r="M36" s="688"/>
      <c r="N36" s="688"/>
      <c r="O36" s="688"/>
      <c r="P36" s="688"/>
      <c r="Q36" s="688"/>
      <c r="R36" s="688"/>
    </row>
    <row r="37" spans="1:18" x14ac:dyDescent="0.25">
      <c r="A37" s="688"/>
      <c r="B37" s="680" t="s">
        <v>9</v>
      </c>
      <c r="C37" s="680">
        <v>2017</v>
      </c>
      <c r="D37" s="680">
        <v>2018</v>
      </c>
      <c r="E37" s="1189"/>
      <c r="F37" s="1189"/>
      <c r="G37" s="688"/>
      <c r="H37" s="688"/>
      <c r="I37" s="688"/>
      <c r="J37" s="688"/>
      <c r="K37" s="688"/>
      <c r="L37" s="688"/>
      <c r="M37" s="688"/>
      <c r="N37" s="688"/>
      <c r="O37" s="688"/>
      <c r="P37" s="688"/>
      <c r="Q37" s="688"/>
      <c r="R37" s="688"/>
    </row>
    <row r="38" spans="1:18" x14ac:dyDescent="0.25">
      <c r="A38" s="688"/>
      <c r="B38" s="680">
        <v>0</v>
      </c>
      <c r="C38" s="690">
        <v>1E-3</v>
      </c>
      <c r="D38" s="690" t="s">
        <v>100</v>
      </c>
      <c r="E38" s="680">
        <f>0.5*(MAX(C38:D38)-MIN(C38:D38))</f>
        <v>0</v>
      </c>
      <c r="F38" s="690">
        <v>1E-3</v>
      </c>
      <c r="G38" s="688"/>
      <c r="H38" s="688"/>
      <c r="I38" s="688"/>
      <c r="J38" s="688"/>
      <c r="K38" s="688"/>
      <c r="L38" s="688"/>
      <c r="M38" s="688"/>
      <c r="N38" s="688"/>
      <c r="O38" s="688"/>
      <c r="P38" s="688"/>
      <c r="Q38" s="688"/>
      <c r="R38" s="688"/>
    </row>
    <row r="39" spans="1:18" x14ac:dyDescent="0.25">
      <c r="A39" s="688"/>
      <c r="B39" s="680">
        <v>30</v>
      </c>
      <c r="C39" s="690">
        <v>1E-3</v>
      </c>
      <c r="D39" s="690" t="s">
        <v>100</v>
      </c>
      <c r="E39" s="680">
        <f t="shared" ref="E39:E42" si="9">0.5*(MAX(C39:D39)-MIN(C39:D39))</f>
        <v>0</v>
      </c>
      <c r="F39" s="690">
        <v>1E-3</v>
      </c>
      <c r="G39" s="688"/>
      <c r="H39" s="688"/>
      <c r="I39" s="688"/>
      <c r="J39" s="688"/>
      <c r="K39" s="688"/>
      <c r="L39" s="688"/>
      <c r="M39" s="688"/>
      <c r="N39" s="688"/>
      <c r="O39" s="688"/>
      <c r="P39" s="688"/>
      <c r="Q39" s="688"/>
      <c r="R39" s="688"/>
    </row>
    <row r="40" spans="1:18" x14ac:dyDescent="0.25">
      <c r="A40" s="688"/>
      <c r="B40" s="680">
        <v>60</v>
      </c>
      <c r="C40" s="690">
        <v>1E-3</v>
      </c>
      <c r="D40" s="690" t="s">
        <v>100</v>
      </c>
      <c r="E40" s="680">
        <f t="shared" si="9"/>
        <v>0</v>
      </c>
      <c r="F40" s="690">
        <v>1E-3</v>
      </c>
      <c r="G40" s="688"/>
      <c r="H40" s="688"/>
      <c r="I40" s="688"/>
      <c r="J40" s="688"/>
      <c r="K40" s="688"/>
      <c r="L40" s="688"/>
      <c r="M40" s="688"/>
      <c r="N40" s="688"/>
      <c r="O40" s="688"/>
      <c r="P40" s="688"/>
      <c r="Q40" s="688"/>
      <c r="R40" s="688"/>
    </row>
    <row r="41" spans="1:18" x14ac:dyDescent="0.25">
      <c r="A41" s="688"/>
      <c r="B41" s="680">
        <v>120</v>
      </c>
      <c r="C41" s="690">
        <v>1E-3</v>
      </c>
      <c r="D41" s="690" t="s">
        <v>100</v>
      </c>
      <c r="E41" s="680">
        <f t="shared" si="9"/>
        <v>0</v>
      </c>
      <c r="F41" s="690">
        <v>1E-3</v>
      </c>
      <c r="G41" s="688"/>
      <c r="H41" s="688"/>
      <c r="I41" s="688"/>
      <c r="J41" s="688"/>
      <c r="K41" s="688"/>
      <c r="L41" s="688"/>
      <c r="M41" s="688"/>
      <c r="N41" s="688"/>
      <c r="O41" s="688"/>
      <c r="P41" s="688"/>
      <c r="Q41" s="688"/>
      <c r="R41" s="688"/>
    </row>
    <row r="42" spans="1:18" x14ac:dyDescent="0.25">
      <c r="A42" s="688"/>
      <c r="B42" s="680">
        <v>240</v>
      </c>
      <c r="C42" s="690">
        <v>1E-3</v>
      </c>
      <c r="D42" s="690" t="s">
        <v>100</v>
      </c>
      <c r="E42" s="680">
        <f t="shared" si="9"/>
        <v>0</v>
      </c>
      <c r="F42" s="690">
        <v>1E-3</v>
      </c>
      <c r="G42" s="688"/>
      <c r="H42" s="688"/>
      <c r="I42" s="688"/>
      <c r="J42" s="688"/>
      <c r="K42" s="688"/>
      <c r="L42" s="688"/>
      <c r="M42" s="688"/>
      <c r="N42" s="688"/>
      <c r="O42" s="688"/>
      <c r="P42" s="688"/>
      <c r="Q42" s="688"/>
      <c r="R42" s="688"/>
    </row>
    <row r="43" spans="1:18" x14ac:dyDescent="0.25">
      <c r="A43" s="688"/>
      <c r="B43" s="688"/>
      <c r="C43" s="688"/>
      <c r="D43" s="688"/>
      <c r="E43" s="688"/>
      <c r="F43" s="688"/>
      <c r="G43" s="688"/>
      <c r="H43" s="688"/>
      <c r="I43" s="688"/>
      <c r="J43" s="688"/>
      <c r="K43" s="688"/>
      <c r="L43" s="688"/>
      <c r="M43" s="688"/>
      <c r="N43" s="688"/>
      <c r="O43" s="688"/>
      <c r="P43" s="688"/>
      <c r="Q43" s="688"/>
      <c r="R43" s="688"/>
    </row>
    <row r="44" spans="1:18" x14ac:dyDescent="0.25">
      <c r="A44" s="688"/>
      <c r="B44" s="688"/>
      <c r="C44" s="688"/>
      <c r="D44" s="688"/>
      <c r="E44" s="688"/>
      <c r="F44" s="688"/>
      <c r="G44" s="688"/>
      <c r="H44" s="688"/>
      <c r="I44" s="688"/>
      <c r="J44" s="688"/>
      <c r="K44" s="688"/>
      <c r="L44" s="688"/>
      <c r="M44" s="688"/>
      <c r="N44" s="688"/>
      <c r="O44" s="688"/>
      <c r="P44" s="688"/>
      <c r="Q44" s="688"/>
      <c r="R44" s="688"/>
    </row>
    <row r="45" spans="1:18" ht="14.4" thickBot="1" x14ac:dyDescent="0.3">
      <c r="A45" s="688"/>
      <c r="B45" s="688"/>
      <c r="C45" s="688"/>
      <c r="D45" s="688"/>
      <c r="E45" s="688"/>
      <c r="F45" s="688"/>
      <c r="G45" s="688"/>
      <c r="H45" s="688"/>
      <c r="I45" s="688"/>
      <c r="J45" s="688"/>
      <c r="K45" s="688"/>
      <c r="L45" s="688"/>
      <c r="M45" s="688"/>
      <c r="N45" s="688"/>
      <c r="O45" s="688"/>
      <c r="P45" s="688"/>
      <c r="Q45" s="688"/>
      <c r="R45" s="688"/>
    </row>
    <row r="46" spans="1:18" x14ac:dyDescent="0.25">
      <c r="A46" s="1196">
        <v>30</v>
      </c>
      <c r="B46" s="1199" t="s">
        <v>33</v>
      </c>
      <c r="C46" s="1201" t="s">
        <v>452</v>
      </c>
      <c r="D46" s="1201"/>
      <c r="E46" s="1201"/>
      <c r="F46" s="1201"/>
      <c r="G46" s="1202"/>
      <c r="H46" s="688"/>
      <c r="I46" s="688"/>
      <c r="J46" s="688"/>
      <c r="K46" s="688"/>
      <c r="L46" s="688"/>
      <c r="M46" s="688"/>
      <c r="N46" s="688"/>
      <c r="O46" s="688"/>
      <c r="P46" s="688"/>
      <c r="Q46" s="688"/>
      <c r="R46" s="688"/>
    </row>
    <row r="47" spans="1:18" x14ac:dyDescent="0.25">
      <c r="A47" s="1197"/>
      <c r="B47" s="1200"/>
      <c r="C47" s="1203" t="str">
        <f>B6</f>
        <v>Setting BPM</v>
      </c>
      <c r="D47" s="1203"/>
      <c r="E47" s="1203"/>
      <c r="F47" s="1204" t="s">
        <v>310</v>
      </c>
      <c r="G47" s="1206" t="s">
        <v>170</v>
      </c>
      <c r="H47" s="688"/>
      <c r="I47" s="688"/>
      <c r="J47" s="688"/>
      <c r="K47" s="688"/>
      <c r="L47" s="688"/>
      <c r="M47" s="688"/>
      <c r="N47" s="688"/>
      <c r="O47" s="688"/>
      <c r="P47" s="688"/>
      <c r="Q47" s="688"/>
      <c r="R47" s="688"/>
    </row>
    <row r="48" spans="1:18" x14ac:dyDescent="0.25">
      <c r="A48" s="1197"/>
      <c r="B48" s="1200"/>
      <c r="C48" s="681" t="s">
        <v>9</v>
      </c>
      <c r="D48" s="681">
        <v>2017</v>
      </c>
      <c r="E48" s="681">
        <v>2018</v>
      </c>
      <c r="F48" s="1205"/>
      <c r="G48" s="1207"/>
      <c r="H48" s="688"/>
      <c r="I48" s="688"/>
      <c r="J48" s="688"/>
      <c r="K48" s="688"/>
      <c r="L48" s="688"/>
      <c r="M48" s="688"/>
      <c r="N48" s="688"/>
      <c r="O48" s="688"/>
      <c r="P48" s="688"/>
      <c r="Q48" s="688"/>
      <c r="R48" s="688"/>
    </row>
    <row r="49" spans="1:18" ht="15.75" customHeight="1" x14ac:dyDescent="0.25">
      <c r="A49" s="1197"/>
      <c r="B49" s="681">
        <v>1</v>
      </c>
      <c r="C49" s="681">
        <v>30</v>
      </c>
      <c r="D49" s="681">
        <f>$C$9</f>
        <v>1E-3</v>
      </c>
      <c r="E49" s="681" t="str">
        <f>$D$9</f>
        <v>-</v>
      </c>
      <c r="F49" s="681">
        <f>$E$9</f>
        <v>0</v>
      </c>
      <c r="G49" s="691">
        <f>$F$9</f>
        <v>1E-3</v>
      </c>
      <c r="H49" s="688"/>
      <c r="I49" s="688"/>
      <c r="J49" s="688"/>
      <c r="K49" s="688"/>
      <c r="L49" s="688"/>
      <c r="M49" s="688"/>
      <c r="N49" s="688"/>
      <c r="O49" s="688"/>
      <c r="P49" s="688"/>
      <c r="Q49" s="688"/>
      <c r="R49" s="688"/>
    </row>
    <row r="50" spans="1:18" ht="15.75" customHeight="1" x14ac:dyDescent="0.25">
      <c r="A50" s="1197"/>
      <c r="B50" s="681">
        <v>2</v>
      </c>
      <c r="C50" s="681">
        <v>30</v>
      </c>
      <c r="D50" s="681">
        <f>$I$9</f>
        <v>1E-3</v>
      </c>
      <c r="E50" s="681" t="str">
        <f>$J$9</f>
        <v>-</v>
      </c>
      <c r="F50" s="681">
        <f>$K$9</f>
        <v>0</v>
      </c>
      <c r="G50" s="691">
        <f>$L$9</f>
        <v>1E-3</v>
      </c>
      <c r="H50" s="688"/>
      <c r="I50" s="688"/>
      <c r="J50" s="688"/>
      <c r="K50" s="688"/>
      <c r="L50" s="688"/>
      <c r="M50" s="688"/>
      <c r="N50" s="688"/>
      <c r="O50" s="688"/>
      <c r="P50" s="688"/>
      <c r="Q50" s="688"/>
      <c r="R50" s="688"/>
    </row>
    <row r="51" spans="1:18" ht="15.75" customHeight="1" x14ac:dyDescent="0.25">
      <c r="A51" s="1197"/>
      <c r="B51" s="681">
        <v>3</v>
      </c>
      <c r="C51" s="681">
        <v>30</v>
      </c>
      <c r="D51" s="681">
        <f>$O$9</f>
        <v>1E-3</v>
      </c>
      <c r="E51" s="681" t="str">
        <f>$P$9</f>
        <v>-</v>
      </c>
      <c r="F51" s="681">
        <f>$Q$9</f>
        <v>0</v>
      </c>
      <c r="G51" s="691">
        <f>$R$9</f>
        <v>1E-3</v>
      </c>
      <c r="H51" s="688"/>
      <c r="I51" s="688"/>
      <c r="J51" s="688"/>
      <c r="K51" s="688"/>
      <c r="L51" s="688"/>
      <c r="M51" s="688"/>
      <c r="N51" s="688"/>
      <c r="O51" s="688"/>
      <c r="P51" s="688"/>
      <c r="Q51" s="688"/>
      <c r="R51" s="688"/>
    </row>
    <row r="52" spans="1:18" ht="15" customHeight="1" x14ac:dyDescent="0.25">
      <c r="A52" s="1197"/>
      <c r="B52" s="681">
        <v>4</v>
      </c>
      <c r="C52" s="681">
        <v>30</v>
      </c>
      <c r="D52" s="681">
        <f>$C$19</f>
        <v>1E-3</v>
      </c>
      <c r="E52" s="681" t="str">
        <f>$D$19</f>
        <v>-</v>
      </c>
      <c r="F52" s="681">
        <f>$E$19</f>
        <v>0</v>
      </c>
      <c r="G52" s="691">
        <f>$F$19</f>
        <v>1E-3</v>
      </c>
      <c r="H52" s="688"/>
      <c r="I52" s="688"/>
      <c r="J52" s="688"/>
      <c r="K52" s="688"/>
      <c r="L52" s="688"/>
      <c r="M52" s="688"/>
      <c r="N52" s="688"/>
      <c r="O52" s="688"/>
      <c r="P52" s="688"/>
      <c r="Q52" s="688"/>
      <c r="R52" s="688"/>
    </row>
    <row r="53" spans="1:18" ht="15" customHeight="1" x14ac:dyDescent="0.25">
      <c r="A53" s="1197"/>
      <c r="B53" s="681">
        <v>5</v>
      </c>
      <c r="C53" s="681">
        <v>30</v>
      </c>
      <c r="D53" s="681">
        <f>$I$19</f>
        <v>1E-3</v>
      </c>
      <c r="E53" s="681" t="str">
        <f>$J$19</f>
        <v>-</v>
      </c>
      <c r="F53" s="681">
        <f>$K$19</f>
        <v>0</v>
      </c>
      <c r="G53" s="691">
        <f>$L$19</f>
        <v>1E-3</v>
      </c>
      <c r="H53" s="688"/>
      <c r="I53" s="688"/>
      <c r="J53" s="688"/>
      <c r="K53" s="688"/>
      <c r="L53" s="688"/>
      <c r="M53" s="688"/>
      <c r="N53" s="688"/>
      <c r="O53" s="688"/>
      <c r="P53" s="688"/>
      <c r="Q53" s="688"/>
      <c r="R53" s="688"/>
    </row>
    <row r="54" spans="1:18" x14ac:dyDescent="0.25">
      <c r="A54" s="1197"/>
      <c r="B54" s="681">
        <v>6</v>
      </c>
      <c r="C54" s="681">
        <v>30</v>
      </c>
      <c r="D54" s="681">
        <f>$O$19</f>
        <v>1E-3</v>
      </c>
      <c r="E54" s="681" t="str">
        <f>$D$9</f>
        <v>-</v>
      </c>
      <c r="F54" s="681">
        <f>$E$9</f>
        <v>0</v>
      </c>
      <c r="G54" s="691">
        <f>$F$9</f>
        <v>1E-3</v>
      </c>
      <c r="H54" s="688"/>
      <c r="I54" s="688"/>
      <c r="J54" s="688"/>
      <c r="K54" s="688"/>
      <c r="L54" s="688"/>
      <c r="M54" s="688"/>
      <c r="N54" s="688"/>
      <c r="O54" s="688"/>
      <c r="P54" s="688"/>
      <c r="Q54" s="688"/>
      <c r="R54" s="688"/>
    </row>
    <row r="55" spans="1:18" x14ac:dyDescent="0.25">
      <c r="A55" s="1197"/>
      <c r="B55" s="681">
        <v>7</v>
      </c>
      <c r="C55" s="681">
        <v>30</v>
      </c>
      <c r="D55" s="681">
        <f>$C$29</f>
        <v>1E-3</v>
      </c>
      <c r="E55" s="681" t="str">
        <f>$J$9</f>
        <v>-</v>
      </c>
      <c r="F55" s="681">
        <f>$K$9</f>
        <v>0</v>
      </c>
      <c r="G55" s="691">
        <f>$L$9</f>
        <v>1E-3</v>
      </c>
      <c r="H55" s="688"/>
      <c r="I55" s="688"/>
      <c r="J55" s="688"/>
      <c r="K55" s="688"/>
      <c r="L55" s="688"/>
      <c r="M55" s="688"/>
      <c r="N55" s="688"/>
      <c r="O55" s="688"/>
      <c r="P55" s="688"/>
      <c r="Q55" s="688"/>
      <c r="R55" s="688"/>
    </row>
    <row r="56" spans="1:18" x14ac:dyDescent="0.25">
      <c r="A56" s="1197"/>
      <c r="B56" s="681">
        <v>8</v>
      </c>
      <c r="C56" s="681">
        <v>30</v>
      </c>
      <c r="D56" s="681">
        <f>$I$29</f>
        <v>1E-3</v>
      </c>
      <c r="E56" s="681" t="str">
        <f>$P$9</f>
        <v>-</v>
      </c>
      <c r="F56" s="681">
        <f>$Q$9</f>
        <v>0</v>
      </c>
      <c r="G56" s="691">
        <f>$R$9</f>
        <v>1E-3</v>
      </c>
      <c r="H56" s="688"/>
      <c r="I56" s="688"/>
      <c r="J56" s="688"/>
      <c r="K56" s="688"/>
      <c r="L56" s="688"/>
      <c r="M56" s="688"/>
      <c r="N56" s="688"/>
      <c r="O56" s="688"/>
      <c r="P56" s="688"/>
      <c r="Q56" s="688"/>
      <c r="R56" s="688"/>
    </row>
    <row r="57" spans="1:18" x14ac:dyDescent="0.25">
      <c r="A57" s="1197"/>
      <c r="B57" s="681">
        <v>9</v>
      </c>
      <c r="C57" s="681">
        <v>30</v>
      </c>
      <c r="D57" s="681">
        <f>$O$29</f>
        <v>1E-3</v>
      </c>
      <c r="E57" s="681" t="str">
        <f>$D$19</f>
        <v>-</v>
      </c>
      <c r="F57" s="681">
        <f>$E$19</f>
        <v>0</v>
      </c>
      <c r="G57" s="691">
        <f>$F$19</f>
        <v>1E-3</v>
      </c>
      <c r="H57" s="688"/>
      <c r="I57" s="688"/>
      <c r="J57" s="688"/>
      <c r="K57" s="688"/>
      <c r="L57" s="688"/>
      <c r="M57" s="688"/>
      <c r="N57" s="688"/>
      <c r="O57" s="688"/>
      <c r="P57" s="688"/>
      <c r="Q57" s="688"/>
      <c r="R57" s="688"/>
    </row>
    <row r="58" spans="1:18" ht="17.25" customHeight="1" thickBot="1" x14ac:dyDescent="0.3">
      <c r="A58" s="1198"/>
      <c r="B58" s="682">
        <v>10</v>
      </c>
      <c r="C58" s="682">
        <v>30</v>
      </c>
      <c r="D58" s="682">
        <f>$C$39</f>
        <v>1E-3</v>
      </c>
      <c r="E58" s="682" t="str">
        <f>$J$19</f>
        <v>-</v>
      </c>
      <c r="F58" s="682">
        <f>$K$19</f>
        <v>0</v>
      </c>
      <c r="G58" s="692">
        <f>$L$19</f>
        <v>1E-3</v>
      </c>
      <c r="H58" s="688"/>
      <c r="I58" s="688"/>
      <c r="J58" s="688"/>
      <c r="K58" s="688"/>
      <c r="L58" s="688"/>
      <c r="M58" s="688"/>
      <c r="N58" s="688"/>
      <c r="O58" s="688"/>
      <c r="P58" s="688"/>
      <c r="Q58" s="688"/>
      <c r="R58" s="688"/>
    </row>
    <row r="59" spans="1:18" ht="17.25" customHeight="1" x14ac:dyDescent="0.25">
      <c r="A59" s="1196">
        <v>60</v>
      </c>
      <c r="B59" s="683">
        <v>1</v>
      </c>
      <c r="C59" s="693">
        <v>60</v>
      </c>
      <c r="D59" s="693">
        <f>$C$10</f>
        <v>1E-3</v>
      </c>
      <c r="E59" s="693" t="str">
        <f>$D$10</f>
        <v>-</v>
      </c>
      <c r="F59" s="693">
        <f>$E$10</f>
        <v>0</v>
      </c>
      <c r="G59" s="694">
        <f>$F$10</f>
        <v>1E-3</v>
      </c>
      <c r="H59" s="688"/>
      <c r="I59" s="688"/>
      <c r="J59" s="688"/>
      <c r="K59" s="688"/>
      <c r="L59" s="688"/>
      <c r="M59" s="688"/>
      <c r="N59" s="688"/>
      <c r="O59" s="688"/>
      <c r="P59" s="688"/>
      <c r="Q59" s="688"/>
      <c r="R59" s="688"/>
    </row>
    <row r="60" spans="1:18" ht="15" customHeight="1" x14ac:dyDescent="0.25">
      <c r="A60" s="1197"/>
      <c r="B60" s="681">
        <v>2</v>
      </c>
      <c r="C60" s="695">
        <v>60</v>
      </c>
      <c r="D60" s="695">
        <f>$I$10</f>
        <v>1E-3</v>
      </c>
      <c r="E60" s="695" t="str">
        <f>$J$10</f>
        <v>-</v>
      </c>
      <c r="F60" s="695">
        <f>$K$10</f>
        <v>0</v>
      </c>
      <c r="G60" s="696">
        <f>$L$10</f>
        <v>1E-3</v>
      </c>
      <c r="H60" s="688"/>
      <c r="I60" s="688"/>
      <c r="J60" s="688"/>
      <c r="K60" s="688"/>
      <c r="L60" s="688"/>
      <c r="M60" s="688"/>
      <c r="N60" s="688"/>
      <c r="O60" s="688"/>
      <c r="P60" s="688"/>
      <c r="Q60" s="688"/>
      <c r="R60" s="688"/>
    </row>
    <row r="61" spans="1:18" ht="14.25" customHeight="1" x14ac:dyDescent="0.25">
      <c r="A61" s="1197"/>
      <c r="B61" s="681">
        <v>3</v>
      </c>
      <c r="C61" s="695">
        <v>60</v>
      </c>
      <c r="D61" s="695">
        <f>$O$10</f>
        <v>1E-3</v>
      </c>
      <c r="E61" s="695" t="str">
        <f>$P$10</f>
        <v>-</v>
      </c>
      <c r="F61" s="695">
        <f>$Q$10</f>
        <v>0</v>
      </c>
      <c r="G61" s="696">
        <f>$R$10</f>
        <v>1E-3</v>
      </c>
      <c r="H61" s="688"/>
      <c r="I61" s="688"/>
      <c r="J61" s="688"/>
      <c r="K61" s="688"/>
      <c r="L61" s="688"/>
      <c r="M61" s="688"/>
      <c r="N61" s="688"/>
      <c r="O61" s="688"/>
      <c r="P61" s="688"/>
      <c r="Q61" s="688"/>
      <c r="R61" s="688"/>
    </row>
    <row r="62" spans="1:18" ht="15" customHeight="1" x14ac:dyDescent="0.25">
      <c r="A62" s="1197"/>
      <c r="B62" s="681">
        <v>4</v>
      </c>
      <c r="C62" s="695">
        <v>60</v>
      </c>
      <c r="D62" s="695">
        <f>$C$20</f>
        <v>1E-3</v>
      </c>
      <c r="E62" s="695" t="str">
        <f>$D$20</f>
        <v>-</v>
      </c>
      <c r="F62" s="695">
        <f>$E$20</f>
        <v>0</v>
      </c>
      <c r="G62" s="696">
        <f>$F$20</f>
        <v>1E-3</v>
      </c>
      <c r="H62" s="688"/>
      <c r="I62" s="688"/>
      <c r="J62" s="688"/>
      <c r="K62" s="688"/>
      <c r="L62" s="688"/>
      <c r="M62" s="688"/>
      <c r="N62" s="688"/>
      <c r="O62" s="688"/>
      <c r="P62" s="688"/>
      <c r="Q62" s="688"/>
      <c r="R62" s="688"/>
    </row>
    <row r="63" spans="1:18" ht="13.5" customHeight="1" x14ac:dyDescent="0.25">
      <c r="A63" s="1197"/>
      <c r="B63" s="681">
        <v>5</v>
      </c>
      <c r="C63" s="681">
        <v>60</v>
      </c>
      <c r="D63" s="681">
        <f>$I$20</f>
        <v>1E-3</v>
      </c>
      <c r="E63" s="681" t="str">
        <f>$J$20</f>
        <v>-</v>
      </c>
      <c r="F63" s="681">
        <f>$K$20</f>
        <v>0</v>
      </c>
      <c r="G63" s="691">
        <f>$L$20</f>
        <v>1E-3</v>
      </c>
      <c r="H63" s="688"/>
      <c r="I63" s="688"/>
      <c r="J63" s="688"/>
      <c r="K63" s="688"/>
      <c r="L63" s="688"/>
      <c r="M63" s="688"/>
      <c r="N63" s="688"/>
      <c r="O63" s="688"/>
      <c r="P63" s="688"/>
      <c r="Q63" s="688"/>
      <c r="R63" s="688"/>
    </row>
    <row r="64" spans="1:18" ht="12.75" customHeight="1" x14ac:dyDescent="0.25">
      <c r="A64" s="1197"/>
      <c r="B64" s="681">
        <v>6</v>
      </c>
      <c r="C64" s="681">
        <v>60</v>
      </c>
      <c r="D64" s="697">
        <f>$O$20</f>
        <v>1E-3</v>
      </c>
      <c r="E64" s="697" t="str">
        <f>$D$10</f>
        <v>-</v>
      </c>
      <c r="F64" s="697">
        <f>$E$10</f>
        <v>0</v>
      </c>
      <c r="G64" s="698">
        <f>$F$10</f>
        <v>1E-3</v>
      </c>
      <c r="H64" s="688"/>
      <c r="I64" s="688"/>
      <c r="J64" s="688"/>
      <c r="K64" s="688"/>
      <c r="L64" s="688"/>
      <c r="M64" s="688"/>
      <c r="N64" s="688"/>
      <c r="O64" s="688"/>
      <c r="P64" s="688"/>
      <c r="Q64" s="688"/>
      <c r="R64" s="688"/>
    </row>
    <row r="65" spans="1:18" ht="12.75" customHeight="1" x14ac:dyDescent="0.25">
      <c r="A65" s="1197"/>
      <c r="B65" s="681">
        <v>7</v>
      </c>
      <c r="C65" s="681">
        <v>60</v>
      </c>
      <c r="D65" s="695">
        <f>$C$30</f>
        <v>1E-3</v>
      </c>
      <c r="E65" s="695" t="str">
        <f>$J$10</f>
        <v>-</v>
      </c>
      <c r="F65" s="695">
        <f>K10</f>
        <v>0</v>
      </c>
      <c r="G65" s="696">
        <f>$L$10</f>
        <v>1E-3</v>
      </c>
      <c r="H65" s="688"/>
      <c r="I65" s="688"/>
      <c r="J65" s="688"/>
      <c r="K65" s="688"/>
      <c r="L65" s="688"/>
      <c r="M65" s="688"/>
      <c r="N65" s="688"/>
      <c r="O65" s="688"/>
      <c r="P65" s="688"/>
      <c r="Q65" s="688"/>
      <c r="R65" s="688"/>
    </row>
    <row r="66" spans="1:18" ht="12.75" customHeight="1" x14ac:dyDescent="0.25">
      <c r="A66" s="1197"/>
      <c r="B66" s="681">
        <v>8</v>
      </c>
      <c r="C66" s="681">
        <v>60</v>
      </c>
      <c r="D66" s="695">
        <f>$I$30</f>
        <v>1E-3</v>
      </c>
      <c r="E66" s="695" t="str">
        <f>$P$10</f>
        <v>-</v>
      </c>
      <c r="F66" s="695">
        <f>$Q$10</f>
        <v>0</v>
      </c>
      <c r="G66" s="696">
        <f>$R$10</f>
        <v>1E-3</v>
      </c>
      <c r="H66" s="688"/>
      <c r="I66" s="688"/>
      <c r="J66" s="688"/>
      <c r="K66" s="688"/>
      <c r="L66" s="688"/>
      <c r="M66" s="688"/>
      <c r="N66" s="688"/>
      <c r="O66" s="688"/>
      <c r="P66" s="688"/>
      <c r="Q66" s="688"/>
      <c r="R66" s="688"/>
    </row>
    <row r="67" spans="1:18" ht="15" customHeight="1" x14ac:dyDescent="0.25">
      <c r="A67" s="1197"/>
      <c r="B67" s="681">
        <v>9</v>
      </c>
      <c r="C67" s="681">
        <v>60</v>
      </c>
      <c r="D67" s="695">
        <f>$O$30</f>
        <v>1E-3</v>
      </c>
      <c r="E67" s="695" t="str">
        <f>$D$20</f>
        <v>-</v>
      </c>
      <c r="F67" s="695">
        <f>$E$20</f>
        <v>0</v>
      </c>
      <c r="G67" s="696">
        <f>$F$20</f>
        <v>1E-3</v>
      </c>
      <c r="H67" s="688"/>
      <c r="I67" s="688"/>
      <c r="J67" s="688"/>
      <c r="K67" s="688"/>
      <c r="L67" s="688"/>
      <c r="M67" s="688"/>
      <c r="N67" s="688"/>
      <c r="O67" s="688"/>
      <c r="P67" s="688"/>
      <c r="Q67" s="688"/>
      <c r="R67" s="688"/>
    </row>
    <row r="68" spans="1:18" ht="15" customHeight="1" thickBot="1" x14ac:dyDescent="0.3">
      <c r="A68" s="1198"/>
      <c r="B68" s="682">
        <v>10</v>
      </c>
      <c r="C68" s="682">
        <v>60</v>
      </c>
      <c r="D68" s="682">
        <f>$C$40</f>
        <v>1E-3</v>
      </c>
      <c r="E68" s="682" t="str">
        <f>$J$20</f>
        <v>-</v>
      </c>
      <c r="F68" s="682">
        <f>$K$20</f>
        <v>0</v>
      </c>
      <c r="G68" s="692">
        <f>$L$20</f>
        <v>1E-3</v>
      </c>
      <c r="H68" s="688"/>
      <c r="I68" s="688"/>
      <c r="J68" s="688"/>
      <c r="K68" s="688"/>
      <c r="L68" s="688"/>
      <c r="M68" s="688"/>
      <c r="N68" s="688"/>
      <c r="O68" s="688"/>
      <c r="P68" s="688"/>
      <c r="Q68" s="688"/>
      <c r="R68" s="688"/>
    </row>
    <row r="69" spans="1:18" ht="15" customHeight="1" x14ac:dyDescent="0.25">
      <c r="A69" s="1196">
        <v>120</v>
      </c>
      <c r="B69" s="683">
        <v>1</v>
      </c>
      <c r="C69" s="693">
        <v>120</v>
      </c>
      <c r="D69" s="693">
        <f>$C$11</f>
        <v>1E-3</v>
      </c>
      <c r="E69" s="693" t="str">
        <f>$D$11</f>
        <v>-</v>
      </c>
      <c r="F69" s="693">
        <f>$E$11</f>
        <v>0</v>
      </c>
      <c r="G69" s="694">
        <f>$F$11</f>
        <v>1E-3</v>
      </c>
      <c r="H69" s="688"/>
      <c r="I69" s="688"/>
      <c r="J69" s="688"/>
      <c r="K69" s="688"/>
      <c r="L69" s="688"/>
      <c r="M69" s="688"/>
      <c r="N69" s="688"/>
      <c r="O69" s="688"/>
      <c r="P69" s="688"/>
      <c r="Q69" s="688"/>
      <c r="R69" s="688"/>
    </row>
    <row r="70" spans="1:18" ht="14.25" customHeight="1" x14ac:dyDescent="0.25">
      <c r="A70" s="1197"/>
      <c r="B70" s="681">
        <v>2</v>
      </c>
      <c r="C70" s="695">
        <v>120</v>
      </c>
      <c r="D70" s="695">
        <f>$I$11</f>
        <v>1E-3</v>
      </c>
      <c r="E70" s="695" t="str">
        <f>$J$11</f>
        <v>-</v>
      </c>
      <c r="F70" s="695">
        <f>$K$11</f>
        <v>0</v>
      </c>
      <c r="G70" s="696">
        <f>$L$11</f>
        <v>1E-3</v>
      </c>
      <c r="H70" s="688"/>
      <c r="I70" s="688"/>
      <c r="J70" s="688"/>
      <c r="K70" s="688"/>
      <c r="L70" s="688"/>
      <c r="M70" s="688"/>
      <c r="N70" s="688"/>
      <c r="O70" s="688"/>
      <c r="P70" s="688"/>
      <c r="Q70" s="688"/>
      <c r="R70" s="688"/>
    </row>
    <row r="71" spans="1:18" ht="13.5" customHeight="1" x14ac:dyDescent="0.25">
      <c r="A71" s="1197"/>
      <c r="B71" s="681">
        <v>3</v>
      </c>
      <c r="C71" s="695">
        <v>120</v>
      </c>
      <c r="D71" s="695">
        <f>$O$11</f>
        <v>1E-3</v>
      </c>
      <c r="E71" s="695" t="str">
        <f>$P$11</f>
        <v>-</v>
      </c>
      <c r="F71" s="695">
        <f>$Q$11</f>
        <v>0</v>
      </c>
      <c r="G71" s="696">
        <f>$R$11</f>
        <v>1E-3</v>
      </c>
      <c r="H71" s="688"/>
      <c r="I71" s="688"/>
      <c r="J71" s="688"/>
      <c r="K71" s="688"/>
      <c r="L71" s="688"/>
      <c r="M71" s="688"/>
      <c r="N71" s="688"/>
      <c r="O71" s="688"/>
      <c r="P71" s="688"/>
      <c r="Q71" s="688"/>
      <c r="R71" s="688"/>
    </row>
    <row r="72" spans="1:18" ht="13.5" customHeight="1" x14ac:dyDescent="0.25">
      <c r="A72" s="1197"/>
      <c r="B72" s="681">
        <v>4</v>
      </c>
      <c r="C72" s="695">
        <v>120</v>
      </c>
      <c r="D72" s="695">
        <f>$C$21</f>
        <v>1E-3</v>
      </c>
      <c r="E72" s="695" t="str">
        <f>$D$21</f>
        <v>-</v>
      </c>
      <c r="F72" s="695">
        <f>$E$21</f>
        <v>0</v>
      </c>
      <c r="G72" s="696">
        <f>$F$21</f>
        <v>1E-3</v>
      </c>
      <c r="H72" s="688"/>
      <c r="I72" s="688"/>
      <c r="J72" s="688"/>
      <c r="K72" s="688"/>
      <c r="L72" s="688"/>
      <c r="M72" s="688"/>
      <c r="N72" s="688"/>
      <c r="O72" s="688"/>
      <c r="P72" s="688"/>
      <c r="Q72" s="688"/>
      <c r="R72" s="688"/>
    </row>
    <row r="73" spans="1:18" ht="14.25" customHeight="1" x14ac:dyDescent="0.25">
      <c r="A73" s="1197"/>
      <c r="B73" s="681">
        <v>5</v>
      </c>
      <c r="C73" s="681">
        <v>120</v>
      </c>
      <c r="D73" s="681">
        <f>$I$21</f>
        <v>1E-3</v>
      </c>
      <c r="E73" s="681" t="str">
        <f>$J$21</f>
        <v>-</v>
      </c>
      <c r="F73" s="681">
        <f>$K$21</f>
        <v>0</v>
      </c>
      <c r="G73" s="691">
        <f>$L$21</f>
        <v>1E-3</v>
      </c>
      <c r="H73" s="688"/>
      <c r="I73" s="688"/>
      <c r="J73" s="688"/>
      <c r="K73" s="688"/>
      <c r="L73" s="688"/>
      <c r="M73" s="688"/>
      <c r="N73" s="688"/>
      <c r="O73" s="688"/>
      <c r="P73" s="688"/>
      <c r="Q73" s="688"/>
      <c r="R73" s="688"/>
    </row>
    <row r="74" spans="1:18" x14ac:dyDescent="0.25">
      <c r="A74" s="1197"/>
      <c r="B74" s="681">
        <v>6</v>
      </c>
      <c r="C74" s="681">
        <v>120</v>
      </c>
      <c r="D74" s="697">
        <f>$O$21</f>
        <v>1E-3</v>
      </c>
      <c r="E74" s="697" t="str">
        <f>$D$11</f>
        <v>-</v>
      </c>
      <c r="F74" s="697">
        <f>$E$11</f>
        <v>0</v>
      </c>
      <c r="G74" s="698">
        <f>$F$11</f>
        <v>1E-3</v>
      </c>
      <c r="H74" s="688"/>
      <c r="I74" s="688"/>
      <c r="J74" s="688"/>
      <c r="K74" s="688"/>
      <c r="L74" s="688"/>
      <c r="M74" s="688"/>
      <c r="N74" s="688"/>
      <c r="O74" s="688"/>
      <c r="P74" s="688"/>
      <c r="Q74" s="688"/>
      <c r="R74" s="688"/>
    </row>
    <row r="75" spans="1:18" x14ac:dyDescent="0.25">
      <c r="A75" s="1197"/>
      <c r="B75" s="681">
        <v>7</v>
      </c>
      <c r="C75" s="681">
        <v>120</v>
      </c>
      <c r="D75" s="695">
        <f>$C$31</f>
        <v>1E-3</v>
      </c>
      <c r="E75" s="695" t="str">
        <f>$J$11</f>
        <v>-</v>
      </c>
      <c r="F75" s="695">
        <f>$K$11</f>
        <v>0</v>
      </c>
      <c r="G75" s="696">
        <f>$L$11</f>
        <v>1E-3</v>
      </c>
      <c r="H75" s="688"/>
      <c r="I75" s="688"/>
      <c r="J75" s="688"/>
      <c r="K75" s="688"/>
      <c r="L75" s="688"/>
      <c r="M75" s="688"/>
      <c r="N75" s="688"/>
      <c r="O75" s="688"/>
      <c r="P75" s="688"/>
      <c r="Q75" s="688"/>
      <c r="R75" s="688"/>
    </row>
    <row r="76" spans="1:18" x14ac:dyDescent="0.25">
      <c r="A76" s="1197"/>
      <c r="B76" s="681">
        <v>8</v>
      </c>
      <c r="C76" s="681">
        <v>120</v>
      </c>
      <c r="D76" s="695">
        <f>$I$31</f>
        <v>1E-3</v>
      </c>
      <c r="E76" s="695" t="str">
        <f>$P$11</f>
        <v>-</v>
      </c>
      <c r="F76" s="695">
        <f>$Q$11</f>
        <v>0</v>
      </c>
      <c r="G76" s="696">
        <f>$R$11</f>
        <v>1E-3</v>
      </c>
      <c r="H76" s="688"/>
      <c r="I76" s="688"/>
      <c r="J76" s="688"/>
      <c r="K76" s="688"/>
      <c r="L76" s="688"/>
      <c r="M76" s="688"/>
      <c r="N76" s="688"/>
      <c r="O76" s="688"/>
      <c r="P76" s="688"/>
      <c r="Q76" s="688"/>
      <c r="R76" s="688"/>
    </row>
    <row r="77" spans="1:18" x14ac:dyDescent="0.25">
      <c r="A77" s="1197"/>
      <c r="B77" s="681">
        <v>9</v>
      </c>
      <c r="C77" s="681">
        <v>120</v>
      </c>
      <c r="D77" s="695">
        <f>$O$31</f>
        <v>1E-3</v>
      </c>
      <c r="E77" s="695" t="str">
        <f>$D$21</f>
        <v>-</v>
      </c>
      <c r="F77" s="695">
        <f>$E$21</f>
        <v>0</v>
      </c>
      <c r="G77" s="696">
        <f>$F$21</f>
        <v>1E-3</v>
      </c>
      <c r="H77" s="688"/>
      <c r="I77" s="688"/>
      <c r="J77" s="688"/>
      <c r="K77" s="688"/>
      <c r="L77" s="688"/>
      <c r="M77" s="688"/>
      <c r="N77" s="688"/>
      <c r="O77" s="688"/>
      <c r="P77" s="688"/>
      <c r="Q77" s="688"/>
      <c r="R77" s="688"/>
    </row>
    <row r="78" spans="1:18" ht="14.4" thickBot="1" x14ac:dyDescent="0.3">
      <c r="A78" s="1197"/>
      <c r="B78" s="684">
        <v>10</v>
      </c>
      <c r="C78" s="684">
        <v>120</v>
      </c>
      <c r="D78" s="684">
        <f>$C$41</f>
        <v>1E-3</v>
      </c>
      <c r="E78" s="684" t="str">
        <f>$J$21</f>
        <v>-</v>
      </c>
      <c r="F78" s="684">
        <f>$K$21</f>
        <v>0</v>
      </c>
      <c r="G78" s="699">
        <f>$L$21</f>
        <v>1E-3</v>
      </c>
      <c r="H78" s="688"/>
      <c r="I78" s="688"/>
      <c r="J78" s="688"/>
      <c r="K78" s="688"/>
      <c r="L78" s="688"/>
      <c r="M78" s="688"/>
      <c r="N78" s="688"/>
      <c r="O78" s="688"/>
      <c r="P78" s="688"/>
      <c r="Q78" s="688"/>
      <c r="R78" s="688"/>
    </row>
    <row r="79" spans="1:18" ht="15.75" customHeight="1" x14ac:dyDescent="0.25">
      <c r="A79" s="1196">
        <v>240</v>
      </c>
      <c r="B79" s="685">
        <v>1</v>
      </c>
      <c r="C79" s="700">
        <v>240</v>
      </c>
      <c r="D79" s="693">
        <f>$C$12</f>
        <v>1E-3</v>
      </c>
      <c r="E79" s="693" t="str">
        <f>$D$12</f>
        <v>-</v>
      </c>
      <c r="F79" s="693">
        <f>$E$12</f>
        <v>0</v>
      </c>
      <c r="G79" s="694">
        <f>$F$12</f>
        <v>1E-3</v>
      </c>
      <c r="H79" s="688"/>
      <c r="I79" s="688"/>
      <c r="J79" s="688"/>
      <c r="K79" s="688"/>
      <c r="L79" s="688"/>
      <c r="M79" s="688"/>
      <c r="N79" s="688"/>
      <c r="O79" s="688"/>
      <c r="P79" s="688"/>
      <c r="Q79" s="688"/>
      <c r="R79" s="688"/>
    </row>
    <row r="80" spans="1:18" ht="12.75" customHeight="1" x14ac:dyDescent="0.25">
      <c r="A80" s="1197"/>
      <c r="B80" s="686">
        <v>2</v>
      </c>
      <c r="C80" s="701">
        <v>240</v>
      </c>
      <c r="D80" s="695">
        <f>$I$12</f>
        <v>1E-3</v>
      </c>
      <c r="E80" s="695" t="str">
        <f>$J$12</f>
        <v>-</v>
      </c>
      <c r="F80" s="695">
        <f>$K$12</f>
        <v>0</v>
      </c>
      <c r="G80" s="696">
        <f>$L$12</f>
        <v>1E-3</v>
      </c>
      <c r="H80" s="688"/>
      <c r="I80" s="688"/>
      <c r="J80" s="688"/>
      <c r="K80" s="688"/>
      <c r="L80" s="688"/>
      <c r="M80" s="688"/>
      <c r="N80" s="688"/>
      <c r="O80" s="688"/>
      <c r="P80" s="688"/>
      <c r="Q80" s="688"/>
      <c r="R80" s="688"/>
    </row>
    <row r="81" spans="1:18" ht="16.5" customHeight="1" x14ac:dyDescent="0.25">
      <c r="A81" s="1197"/>
      <c r="B81" s="686">
        <v>3</v>
      </c>
      <c r="C81" s="701">
        <v>240</v>
      </c>
      <c r="D81" s="695">
        <f>$O$12</f>
        <v>1E-3</v>
      </c>
      <c r="E81" s="695" t="str">
        <f>$P$12</f>
        <v>-</v>
      </c>
      <c r="F81" s="695">
        <f>$Q$12</f>
        <v>0</v>
      </c>
      <c r="G81" s="696">
        <f>$R$12</f>
        <v>1E-3</v>
      </c>
      <c r="H81" s="688"/>
      <c r="I81" s="688"/>
      <c r="J81" s="688"/>
      <c r="K81" s="688"/>
      <c r="L81" s="688"/>
      <c r="M81" s="688"/>
      <c r="N81" s="688"/>
      <c r="O81" s="688"/>
      <c r="P81" s="688"/>
      <c r="Q81" s="688"/>
      <c r="R81" s="688"/>
    </row>
    <row r="82" spans="1:18" ht="12.75" customHeight="1" x14ac:dyDescent="0.25">
      <c r="A82" s="1197"/>
      <c r="B82" s="686">
        <v>4</v>
      </c>
      <c r="C82" s="701">
        <v>240</v>
      </c>
      <c r="D82" s="702">
        <f>$C$22</f>
        <v>1E-3</v>
      </c>
      <c r="E82" s="695" t="str">
        <f>$D$22</f>
        <v>-</v>
      </c>
      <c r="F82" s="695">
        <f>$E$22</f>
        <v>0</v>
      </c>
      <c r="G82" s="696">
        <f>$F$22</f>
        <v>1E-3</v>
      </c>
      <c r="H82" s="688"/>
      <c r="I82" s="688"/>
      <c r="J82" s="688"/>
      <c r="K82" s="688"/>
      <c r="L82" s="688"/>
      <c r="M82" s="688"/>
      <c r="N82" s="688"/>
      <c r="O82" s="688"/>
      <c r="P82" s="688"/>
      <c r="Q82" s="688"/>
      <c r="R82" s="688"/>
    </row>
    <row r="83" spans="1:18" ht="12.75" customHeight="1" x14ac:dyDescent="0.25">
      <c r="A83" s="1197"/>
      <c r="B83" s="686">
        <v>5</v>
      </c>
      <c r="C83" s="701">
        <v>240</v>
      </c>
      <c r="D83" s="681">
        <f>$I$22</f>
        <v>1E-3</v>
      </c>
      <c r="E83" s="681" t="str">
        <f>$J$22</f>
        <v>-</v>
      </c>
      <c r="F83" s="681">
        <f>$K$22</f>
        <v>0</v>
      </c>
      <c r="G83" s="691">
        <f>$L$22</f>
        <v>1E-3</v>
      </c>
      <c r="H83" s="688"/>
      <c r="I83" s="688"/>
      <c r="J83" s="688"/>
      <c r="K83" s="688"/>
      <c r="L83" s="688"/>
      <c r="M83" s="688"/>
      <c r="N83" s="688"/>
      <c r="O83" s="688"/>
      <c r="P83" s="688"/>
      <c r="Q83" s="688"/>
      <c r="R83" s="688"/>
    </row>
    <row r="84" spans="1:18" x14ac:dyDescent="0.25">
      <c r="A84" s="1197"/>
      <c r="B84" s="686">
        <v>6</v>
      </c>
      <c r="C84" s="701">
        <v>240</v>
      </c>
      <c r="D84" s="697">
        <f>$O$22</f>
        <v>1E-3</v>
      </c>
      <c r="E84" s="697" t="str">
        <f>$D$12</f>
        <v>-</v>
      </c>
      <c r="F84" s="697">
        <f>$E$12</f>
        <v>0</v>
      </c>
      <c r="G84" s="696">
        <f>$F$12</f>
        <v>1E-3</v>
      </c>
      <c r="H84" s="688"/>
      <c r="I84" s="688"/>
      <c r="J84" s="688"/>
      <c r="K84" s="688"/>
      <c r="L84" s="688"/>
      <c r="M84" s="688"/>
      <c r="N84" s="688"/>
      <c r="O84" s="688"/>
      <c r="P84" s="688"/>
      <c r="Q84" s="688"/>
      <c r="R84" s="688"/>
    </row>
    <row r="85" spans="1:18" x14ac:dyDescent="0.25">
      <c r="A85" s="1197"/>
      <c r="B85" s="686">
        <v>7</v>
      </c>
      <c r="C85" s="701">
        <v>240</v>
      </c>
      <c r="D85" s="695">
        <f>$C$32</f>
        <v>1E-3</v>
      </c>
      <c r="E85" s="695" t="str">
        <f>$J$12</f>
        <v>-</v>
      </c>
      <c r="F85" s="695">
        <f>$K$12</f>
        <v>0</v>
      </c>
      <c r="G85" s="696">
        <f>$L$12</f>
        <v>1E-3</v>
      </c>
      <c r="H85" s="688"/>
      <c r="I85" s="688"/>
      <c r="J85" s="688"/>
      <c r="K85" s="688"/>
      <c r="L85" s="688"/>
      <c r="M85" s="688"/>
      <c r="N85" s="688"/>
      <c r="O85" s="688"/>
      <c r="P85" s="688"/>
      <c r="Q85" s="688"/>
      <c r="R85" s="688"/>
    </row>
    <row r="86" spans="1:18" x14ac:dyDescent="0.25">
      <c r="A86" s="1197"/>
      <c r="B86" s="686">
        <v>8</v>
      </c>
      <c r="C86" s="701">
        <v>240</v>
      </c>
      <c r="D86" s="695">
        <f>$I$32</f>
        <v>1E-3</v>
      </c>
      <c r="E86" s="695" t="str">
        <f>$P$12</f>
        <v>-</v>
      </c>
      <c r="F86" s="695">
        <f>$Q$12</f>
        <v>0</v>
      </c>
      <c r="G86" s="696">
        <f>$R$12</f>
        <v>1E-3</v>
      </c>
      <c r="H86" s="688"/>
      <c r="I86" s="688"/>
      <c r="J86" s="688"/>
      <c r="K86" s="688"/>
      <c r="L86" s="688"/>
      <c r="M86" s="688"/>
      <c r="N86" s="688"/>
      <c r="O86" s="688"/>
      <c r="P86" s="688"/>
      <c r="Q86" s="688"/>
      <c r="R86" s="688"/>
    </row>
    <row r="87" spans="1:18" x14ac:dyDescent="0.25">
      <c r="A87" s="1197"/>
      <c r="B87" s="686">
        <v>9</v>
      </c>
      <c r="C87" s="701">
        <v>240</v>
      </c>
      <c r="D87" s="695">
        <f>$O$32</f>
        <v>1E-3</v>
      </c>
      <c r="E87" s="695" t="str">
        <f>$D$22</f>
        <v>-</v>
      </c>
      <c r="F87" s="695">
        <f>$E$22</f>
        <v>0</v>
      </c>
      <c r="G87" s="696">
        <f>$F$22</f>
        <v>1E-3</v>
      </c>
      <c r="H87" s="688"/>
      <c r="I87" s="688"/>
      <c r="J87" s="688"/>
      <c r="K87" s="688"/>
      <c r="L87" s="688"/>
      <c r="M87" s="688"/>
      <c r="N87" s="688"/>
      <c r="O87" s="688"/>
      <c r="P87" s="688"/>
      <c r="Q87" s="688"/>
      <c r="R87" s="688"/>
    </row>
    <row r="88" spans="1:18" ht="14.4" thickBot="1" x14ac:dyDescent="0.3">
      <c r="A88" s="1198"/>
      <c r="B88" s="687">
        <v>10</v>
      </c>
      <c r="C88" s="703">
        <v>240</v>
      </c>
      <c r="D88" s="682">
        <f>$C$42</f>
        <v>1E-3</v>
      </c>
      <c r="E88" s="704" t="str">
        <f>$J$22</f>
        <v>-</v>
      </c>
      <c r="F88" s="682">
        <f>$K$22</f>
        <v>0</v>
      </c>
      <c r="G88" s="692">
        <f>$L$22</f>
        <v>1E-3</v>
      </c>
      <c r="H88" s="688"/>
      <c r="I88" s="688"/>
      <c r="J88" s="688"/>
      <c r="K88" s="688"/>
      <c r="L88" s="688"/>
      <c r="M88" s="688"/>
      <c r="N88" s="688"/>
      <c r="O88" s="688"/>
      <c r="P88" s="688"/>
      <c r="Q88" s="688"/>
      <c r="R88" s="688"/>
    </row>
    <row r="89" spans="1:18" x14ac:dyDescent="0.25">
      <c r="A89" s="688"/>
      <c r="B89" s="688"/>
      <c r="C89" s="688"/>
      <c r="D89" s="688"/>
      <c r="E89" s="688"/>
      <c r="F89" s="688"/>
      <c r="G89" s="688"/>
      <c r="H89" s="688"/>
      <c r="I89" s="688"/>
      <c r="J89" s="688"/>
      <c r="K89" s="688"/>
      <c r="L89" s="688"/>
      <c r="M89" s="688"/>
      <c r="N89" s="688"/>
      <c r="O89" s="688"/>
      <c r="P89" s="688"/>
      <c r="Q89" s="688"/>
      <c r="R89" s="688"/>
    </row>
    <row r="90" spans="1:18" x14ac:dyDescent="0.25">
      <c r="A90" s="688"/>
      <c r="B90" s="688"/>
      <c r="C90" s="688"/>
      <c r="D90" s="688"/>
      <c r="E90" s="688"/>
      <c r="F90" s="688"/>
      <c r="G90" s="688"/>
      <c r="H90" s="688"/>
      <c r="I90" s="688"/>
      <c r="J90" s="688"/>
      <c r="K90" s="688"/>
      <c r="L90" s="688"/>
      <c r="M90" s="688"/>
      <c r="N90" s="688"/>
      <c r="O90" s="688"/>
      <c r="P90" s="688"/>
      <c r="Q90" s="688"/>
      <c r="R90" s="688"/>
    </row>
    <row r="91" spans="1:18" x14ac:dyDescent="0.25">
      <c r="A91" s="688"/>
      <c r="B91" s="688"/>
      <c r="C91" s="688"/>
      <c r="D91" s="688"/>
      <c r="E91" s="688"/>
      <c r="F91" s="688"/>
      <c r="G91" s="688"/>
      <c r="H91" s="688"/>
      <c r="I91" s="688"/>
      <c r="J91" s="688"/>
      <c r="K91" s="688"/>
      <c r="L91" s="688"/>
      <c r="M91" s="688"/>
      <c r="N91" s="688"/>
      <c r="O91" s="688"/>
      <c r="P91" s="688"/>
      <c r="Q91" s="688"/>
      <c r="R91" s="688"/>
    </row>
    <row r="92" spans="1:18" s="706" customFormat="1" ht="42" customHeight="1" x14ac:dyDescent="0.25">
      <c r="A92" s="673">
        <f>cetik!C1</f>
        <v>5</v>
      </c>
      <c r="B92" s="1190" t="str">
        <f>cetik!B1</f>
        <v>SPO₂ Simulator, Merek : Fluke, Model : SPOT LIGHT, SN : 4404040</v>
      </c>
      <c r="C92" s="1191"/>
      <c r="D92" s="1191"/>
      <c r="E92" s="1192"/>
      <c r="F92" s="705"/>
      <c r="G92" s="705"/>
      <c r="H92" s="705"/>
      <c r="I92" s="705"/>
      <c r="J92" s="705"/>
      <c r="K92" s="705"/>
      <c r="L92" s="705"/>
      <c r="M92" s="705"/>
      <c r="N92" s="705"/>
      <c r="O92" s="705"/>
      <c r="P92" s="705"/>
      <c r="Q92" s="705"/>
      <c r="R92" s="705"/>
    </row>
    <row r="93" spans="1:18" x14ac:dyDescent="0.25">
      <c r="A93" s="1184" t="s">
        <v>443</v>
      </c>
      <c r="B93" s="1184"/>
      <c r="C93" s="1184"/>
      <c r="D93" s="1184"/>
      <c r="E93" s="1184"/>
      <c r="F93" s="688"/>
      <c r="G93" s="688"/>
      <c r="H93" s="688"/>
      <c r="I93" s="688"/>
      <c r="J93" s="688"/>
      <c r="K93" s="688"/>
      <c r="L93" s="688"/>
      <c r="M93" s="688"/>
      <c r="N93" s="688"/>
      <c r="O93" s="688"/>
      <c r="P93" s="688"/>
      <c r="Q93" s="688"/>
      <c r="R93" s="688"/>
    </row>
    <row r="94" spans="1:18" x14ac:dyDescent="0.25">
      <c r="A94" s="1185" t="s">
        <v>444</v>
      </c>
      <c r="B94" s="1186"/>
      <c r="C94" s="1187"/>
      <c r="D94" s="1188" t="s">
        <v>310</v>
      </c>
      <c r="E94" s="1188" t="s">
        <v>170</v>
      </c>
      <c r="F94" s="688"/>
      <c r="G94" s="688"/>
      <c r="H94" s="688"/>
      <c r="I94" s="688"/>
      <c r="J94" s="688"/>
      <c r="K94" s="688"/>
      <c r="L94" s="688"/>
      <c r="M94" s="688"/>
      <c r="N94" s="688"/>
      <c r="O94" s="688"/>
      <c r="P94" s="688"/>
      <c r="Q94" s="688"/>
      <c r="R94" s="688"/>
    </row>
    <row r="95" spans="1:18" x14ac:dyDescent="0.25">
      <c r="A95" s="680" t="s">
        <v>9</v>
      </c>
      <c r="B95" s="680">
        <v>2018</v>
      </c>
      <c r="C95" s="680">
        <v>2019</v>
      </c>
      <c r="D95" s="1189"/>
      <c r="E95" s="1189"/>
      <c r="F95" s="688"/>
      <c r="G95" s="688"/>
      <c r="H95" s="688"/>
      <c r="I95" s="688"/>
      <c r="J95" s="688"/>
      <c r="K95" s="688"/>
      <c r="L95" s="688"/>
      <c r="M95" s="688"/>
      <c r="N95" s="688"/>
      <c r="O95" s="688"/>
      <c r="P95" s="688"/>
      <c r="Q95" s="688"/>
      <c r="R95" s="688"/>
    </row>
    <row r="96" spans="1:18" x14ac:dyDescent="0.25">
      <c r="A96" s="680">
        <v>30</v>
      </c>
      <c r="B96" s="673">
        <f>VLOOKUP($A$92,$B$49:$G$58,3,FALSE)</f>
        <v>1E-3</v>
      </c>
      <c r="C96" s="690" t="str">
        <f>VLOOKUP($A$92,B49:G58,4,FALSE)</f>
        <v>-</v>
      </c>
      <c r="D96" s="680">
        <f>1/3*E96</f>
        <v>3.3333333333333332E-4</v>
      </c>
      <c r="E96" s="673">
        <f>VLOOKUP($A$92,B49:G58,6,(FALSE))</f>
        <v>1E-3</v>
      </c>
      <c r="F96" s="688"/>
      <c r="G96" s="688"/>
      <c r="H96" s="688"/>
      <c r="I96" s="688"/>
      <c r="J96" s="688"/>
      <c r="K96" s="688"/>
      <c r="L96" s="688"/>
      <c r="M96" s="688"/>
      <c r="N96" s="688"/>
      <c r="O96" s="688"/>
      <c r="P96" s="688"/>
      <c r="Q96" s="688"/>
      <c r="R96" s="688"/>
    </row>
    <row r="97" spans="1:18" x14ac:dyDescent="0.25">
      <c r="A97" s="680">
        <v>60</v>
      </c>
      <c r="B97" s="673">
        <f>VLOOKUP($A$92,B59:G68,3,FALSE)</f>
        <v>1E-3</v>
      </c>
      <c r="C97" s="690" t="str">
        <f>VLOOKUP($A$92,B59:G68,4,FALSE)</f>
        <v>-</v>
      </c>
      <c r="D97" s="680">
        <f t="shared" ref="D97:D99" si="10">1/3*E97</f>
        <v>3.3333333333333332E-4</v>
      </c>
      <c r="E97" s="673">
        <f>VLOOKUP($A$92,B59:G68,6,(FALSE))</f>
        <v>1E-3</v>
      </c>
      <c r="F97" s="688"/>
      <c r="G97" s="688"/>
      <c r="H97" s="688"/>
      <c r="I97" s="688"/>
      <c r="J97" s="688"/>
      <c r="K97" s="688"/>
      <c r="L97" s="688"/>
      <c r="M97" s="688"/>
      <c r="N97" s="688"/>
      <c r="O97" s="688"/>
      <c r="P97" s="688"/>
      <c r="Q97" s="688"/>
      <c r="R97" s="688"/>
    </row>
    <row r="98" spans="1:18" x14ac:dyDescent="0.25">
      <c r="A98" s="680">
        <v>120</v>
      </c>
      <c r="B98" s="673">
        <f>VLOOKUP($A$92,B69:G78,3,FALSE)</f>
        <v>1E-3</v>
      </c>
      <c r="C98" s="690" t="str">
        <f>VLOOKUP($A$92,B69:G78,4,FALSE)</f>
        <v>-</v>
      </c>
      <c r="D98" s="680">
        <f t="shared" si="10"/>
        <v>3.3333333333333332E-4</v>
      </c>
      <c r="E98" s="673">
        <f>VLOOKUP($A$92,B69:G78,6,(FALSE))</f>
        <v>1E-3</v>
      </c>
      <c r="F98" s="688"/>
      <c r="G98" s="688"/>
      <c r="H98" s="688"/>
      <c r="I98" s="688"/>
      <c r="J98" s="688"/>
      <c r="K98" s="688"/>
      <c r="L98" s="688"/>
      <c r="M98" s="688"/>
      <c r="N98" s="688"/>
      <c r="O98" s="688"/>
      <c r="P98" s="688"/>
      <c r="Q98" s="688"/>
      <c r="R98" s="688"/>
    </row>
    <row r="99" spans="1:18" x14ac:dyDescent="0.25">
      <c r="A99" s="680">
        <v>240</v>
      </c>
      <c r="B99" s="673">
        <f>VLOOKUP($A$92,B79:G88,3,FALSE)</f>
        <v>1E-3</v>
      </c>
      <c r="C99" s="690" t="str">
        <f>VLOOKUP($A$92,B79:G88,4,FALSE)</f>
        <v>-</v>
      </c>
      <c r="D99" s="680">
        <f t="shared" si="10"/>
        <v>3.3333333333333332E-4</v>
      </c>
      <c r="E99" s="673">
        <f>VLOOKUP($A$92,B79:G88,6,(FALSE))</f>
        <v>1E-3</v>
      </c>
      <c r="F99" s="688"/>
      <c r="G99" s="688"/>
      <c r="H99" s="688"/>
      <c r="I99" s="688"/>
      <c r="J99" s="688"/>
      <c r="K99" s="688"/>
      <c r="L99" s="688"/>
      <c r="M99" s="688"/>
      <c r="N99" s="688"/>
      <c r="O99" s="688"/>
      <c r="P99" s="688"/>
      <c r="Q99" s="688"/>
      <c r="R99" s="688"/>
    </row>
    <row r="100" spans="1:18" x14ac:dyDescent="0.25">
      <c r="A100" s="688"/>
      <c r="B100" s="688"/>
      <c r="C100" s="688"/>
      <c r="D100" s="688"/>
      <c r="E100" s="688"/>
      <c r="F100" s="688"/>
      <c r="G100" s="688"/>
      <c r="H100" s="688"/>
      <c r="I100" s="688"/>
      <c r="J100" s="688"/>
      <c r="K100" s="688"/>
      <c r="L100" s="688"/>
      <c r="M100" s="688"/>
      <c r="N100" s="688"/>
      <c r="O100" s="688"/>
      <c r="P100" s="688"/>
      <c r="Q100" s="688"/>
      <c r="R100" s="688"/>
    </row>
  </sheetData>
  <mergeCells count="64">
    <mergeCell ref="A46:A58"/>
    <mergeCell ref="A59:A68"/>
    <mergeCell ref="A69:A78"/>
    <mergeCell ref="A79:A88"/>
    <mergeCell ref="B25:F25"/>
    <mergeCell ref="B26:D26"/>
    <mergeCell ref="E26:E27"/>
    <mergeCell ref="F26:F27"/>
    <mergeCell ref="B46:B48"/>
    <mergeCell ref="C46:G46"/>
    <mergeCell ref="C47:E47"/>
    <mergeCell ref="F47:F48"/>
    <mergeCell ref="G47:G48"/>
    <mergeCell ref="B34:F34"/>
    <mergeCell ref="B35:F35"/>
    <mergeCell ref="B36:D36"/>
    <mergeCell ref="E36:E37"/>
    <mergeCell ref="F36:F37"/>
    <mergeCell ref="R16:R17"/>
    <mergeCell ref="H24:L24"/>
    <mergeCell ref="H25:L25"/>
    <mergeCell ref="H26:J26"/>
    <mergeCell ref="K26:K27"/>
    <mergeCell ref="L26:L27"/>
    <mergeCell ref="N25:R25"/>
    <mergeCell ref="N26:P26"/>
    <mergeCell ref="Q26:Q27"/>
    <mergeCell ref="R26:R27"/>
    <mergeCell ref="B24:F24"/>
    <mergeCell ref="N24:R24"/>
    <mergeCell ref="H16:J16"/>
    <mergeCell ref="K16:K17"/>
    <mergeCell ref="L16:L17"/>
    <mergeCell ref="B14:F14"/>
    <mergeCell ref="B15:F15"/>
    <mergeCell ref="B16:D16"/>
    <mergeCell ref="E16:E17"/>
    <mergeCell ref="F16:F17"/>
    <mergeCell ref="N14:R14"/>
    <mergeCell ref="N15:R15"/>
    <mergeCell ref="N16:P16"/>
    <mergeCell ref="Q16:Q17"/>
    <mergeCell ref="H4:L4"/>
    <mergeCell ref="H5:L5"/>
    <mergeCell ref="H6:J6"/>
    <mergeCell ref="K6:K7"/>
    <mergeCell ref="L6:L7"/>
    <mergeCell ref="N4:R4"/>
    <mergeCell ref="N5:R5"/>
    <mergeCell ref="N6:P6"/>
    <mergeCell ref="Q6:Q7"/>
    <mergeCell ref="R6:R7"/>
    <mergeCell ref="H14:L14"/>
    <mergeCell ref="H15:L15"/>
    <mergeCell ref="B6:D6"/>
    <mergeCell ref="B5:F5"/>
    <mergeCell ref="B4:F4"/>
    <mergeCell ref="E6:E7"/>
    <mergeCell ref="F6:F7"/>
    <mergeCell ref="A93:E93"/>
    <mergeCell ref="A94:C94"/>
    <mergeCell ref="D94:D95"/>
    <mergeCell ref="E94:E95"/>
    <mergeCell ref="B92:E92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45"/>
  <sheetViews>
    <sheetView topLeftCell="A22" workbookViewId="0">
      <selection activeCell="B31" sqref="B31:F31"/>
    </sheetView>
  </sheetViews>
  <sheetFormatPr defaultColWidth="9.109375" defaultRowHeight="13.8" x14ac:dyDescent="0.25"/>
  <cols>
    <col min="1" max="1" width="21" style="689" bestFit="1" customWidth="1"/>
    <col min="2" max="5" width="13.109375" style="689" bestFit="1" customWidth="1"/>
    <col min="6" max="7" width="10.33203125" style="689" bestFit="1" customWidth="1"/>
    <col min="8" max="8" width="12" style="689" bestFit="1" customWidth="1"/>
    <col min="9" max="10" width="13.109375" style="689" bestFit="1" customWidth="1"/>
    <col min="11" max="12" width="10.33203125" style="689" bestFit="1" customWidth="1"/>
    <col min="13" max="13" width="9.109375" style="689"/>
    <col min="14" max="14" width="12" style="689" bestFit="1" customWidth="1"/>
    <col min="15" max="16" width="13.109375" style="689" bestFit="1" customWidth="1"/>
    <col min="17" max="18" width="10.33203125" style="689" bestFit="1" customWidth="1"/>
    <col min="19" max="16384" width="9.109375" style="689"/>
  </cols>
  <sheetData>
    <row r="1" spans="1:18" x14ac:dyDescent="0.25">
      <c r="A1" s="718"/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718"/>
      <c r="Q1" s="718"/>
      <c r="R1" s="718"/>
    </row>
    <row r="2" spans="1:18" x14ac:dyDescent="0.25">
      <c r="A2" s="718"/>
      <c r="B2" s="718"/>
      <c r="C2" s="718"/>
      <c r="D2" s="718"/>
      <c r="E2" s="718"/>
      <c r="F2" s="718"/>
      <c r="G2" s="718"/>
      <c r="H2" s="718"/>
      <c r="I2" s="718"/>
      <c r="J2" s="718"/>
      <c r="K2" s="718"/>
      <c r="L2" s="718"/>
      <c r="M2" s="718"/>
      <c r="N2" s="718"/>
      <c r="O2" s="718"/>
      <c r="P2" s="718"/>
      <c r="Q2" s="718"/>
      <c r="R2" s="718"/>
    </row>
    <row r="3" spans="1:18" x14ac:dyDescent="0.25">
      <c r="A3" s="718"/>
      <c r="B3" s="718"/>
      <c r="C3" s="718"/>
      <c r="D3" s="718"/>
      <c r="E3" s="718"/>
      <c r="F3" s="718"/>
      <c r="G3" s="718"/>
      <c r="H3" s="718"/>
      <c r="I3" s="718"/>
      <c r="J3" s="718"/>
      <c r="K3" s="718"/>
      <c r="L3" s="718"/>
      <c r="M3" s="718"/>
      <c r="N3" s="718"/>
      <c r="O3" s="718"/>
      <c r="P3" s="718"/>
      <c r="Q3" s="718"/>
      <c r="R3" s="718"/>
    </row>
    <row r="4" spans="1:18" ht="16.5" customHeight="1" x14ac:dyDescent="0.25">
      <c r="A4" s="718"/>
      <c r="B4" s="1230" t="s">
        <v>440</v>
      </c>
      <c r="C4" s="1231"/>
      <c r="D4" s="1231"/>
      <c r="E4" s="1231"/>
      <c r="F4" s="1232"/>
      <c r="G4" s="718"/>
      <c r="H4" s="1230" t="s">
        <v>441</v>
      </c>
      <c r="I4" s="1231"/>
      <c r="J4" s="1231"/>
      <c r="K4" s="1231"/>
      <c r="L4" s="1232"/>
      <c r="M4" s="718"/>
      <c r="N4" s="1230" t="s">
        <v>442</v>
      </c>
      <c r="O4" s="1231"/>
      <c r="P4" s="1231"/>
      <c r="Q4" s="1231"/>
      <c r="R4" s="1232"/>
    </row>
    <row r="5" spans="1:18" x14ac:dyDescent="0.25">
      <c r="A5" s="718"/>
      <c r="B5" s="1214" t="s">
        <v>443</v>
      </c>
      <c r="C5" s="1214"/>
      <c r="D5" s="1214"/>
      <c r="E5" s="1214"/>
      <c r="F5" s="1214"/>
      <c r="G5" s="718"/>
      <c r="H5" s="1214" t="s">
        <v>443</v>
      </c>
      <c r="I5" s="1214"/>
      <c r="J5" s="1214"/>
      <c r="K5" s="1214"/>
      <c r="L5" s="1214"/>
      <c r="M5" s="718"/>
      <c r="N5" s="1214" t="s">
        <v>443</v>
      </c>
      <c r="O5" s="1214"/>
      <c r="P5" s="1214"/>
      <c r="Q5" s="1214"/>
      <c r="R5" s="1214"/>
    </row>
    <row r="6" spans="1:18" x14ac:dyDescent="0.25">
      <c r="A6" s="718"/>
      <c r="B6" s="1215" t="s">
        <v>453</v>
      </c>
      <c r="C6" s="1216"/>
      <c r="D6" s="1217"/>
      <c r="E6" s="1218" t="s">
        <v>310</v>
      </c>
      <c r="F6" s="1218" t="s">
        <v>170</v>
      </c>
      <c r="G6" s="718"/>
      <c r="H6" s="1215" t="s">
        <v>453</v>
      </c>
      <c r="I6" s="1216"/>
      <c r="J6" s="1217"/>
      <c r="K6" s="1218" t="s">
        <v>310</v>
      </c>
      <c r="L6" s="1218" t="s">
        <v>170</v>
      </c>
      <c r="M6" s="718"/>
      <c r="N6" s="1215" t="s">
        <v>453</v>
      </c>
      <c r="O6" s="1216"/>
      <c r="P6" s="1217"/>
      <c r="Q6" s="1218" t="s">
        <v>310</v>
      </c>
      <c r="R6" s="1218" t="s">
        <v>170</v>
      </c>
    </row>
    <row r="7" spans="1:18" x14ac:dyDescent="0.25">
      <c r="A7" s="718"/>
      <c r="B7" s="707" t="s">
        <v>454</v>
      </c>
      <c r="C7" s="707">
        <v>2017</v>
      </c>
      <c r="D7" s="707">
        <v>2019</v>
      </c>
      <c r="E7" s="1219"/>
      <c r="F7" s="1219"/>
      <c r="G7" s="718"/>
      <c r="H7" s="707" t="s">
        <v>454</v>
      </c>
      <c r="I7" s="707">
        <v>2018</v>
      </c>
      <c r="J7" s="707">
        <v>2019</v>
      </c>
      <c r="K7" s="1219"/>
      <c r="L7" s="1219"/>
      <c r="M7" s="718"/>
      <c r="N7" s="707" t="s">
        <v>454</v>
      </c>
      <c r="O7" s="707">
        <v>2018</v>
      </c>
      <c r="P7" s="707">
        <v>2019</v>
      </c>
      <c r="Q7" s="1219"/>
      <c r="R7" s="1219"/>
    </row>
    <row r="8" spans="1:18" x14ac:dyDescent="0.25">
      <c r="A8" s="718"/>
      <c r="B8" s="707">
        <v>0</v>
      </c>
      <c r="C8" s="719">
        <v>9.9999999999999995E-7</v>
      </c>
      <c r="D8" s="719" t="s">
        <v>100</v>
      </c>
      <c r="E8" s="707">
        <f>0.5*(MAX(C8:D8)-MIN(C8:D8))</f>
        <v>0</v>
      </c>
      <c r="F8" s="719">
        <v>1E-4</v>
      </c>
      <c r="G8" s="718"/>
      <c r="H8" s="707">
        <v>0</v>
      </c>
      <c r="I8" s="719">
        <v>9.9999999999999995E-7</v>
      </c>
      <c r="J8" s="719" t="s">
        <v>100</v>
      </c>
      <c r="K8" s="707">
        <f>0.5*(MAX(I8:J8)-MIN(I8:J8))</f>
        <v>0</v>
      </c>
      <c r="L8" s="719">
        <v>1E-4</v>
      </c>
      <c r="M8" s="718"/>
      <c r="N8" s="707">
        <v>0</v>
      </c>
      <c r="O8" s="719">
        <v>1E-3</v>
      </c>
      <c r="P8" s="719" t="s">
        <v>100</v>
      </c>
      <c r="Q8" s="707">
        <f>0.5*(MAX(O8:P8)-MIN(O8:P8))</f>
        <v>0</v>
      </c>
      <c r="R8" s="719">
        <v>1E-4</v>
      </c>
    </row>
    <row r="9" spans="1:18" x14ac:dyDescent="0.25">
      <c r="A9" s="718"/>
      <c r="B9" s="707">
        <v>85</v>
      </c>
      <c r="C9" s="719">
        <v>9.9999999999999995E-7</v>
      </c>
      <c r="D9" s="719" t="s">
        <v>100</v>
      </c>
      <c r="E9" s="707">
        <f t="shared" ref="E9:E12" si="0">0.5*(MAX(C9:D9)-MIN(C9:D9))</f>
        <v>0</v>
      </c>
      <c r="F9" s="719">
        <v>1E-4</v>
      </c>
      <c r="G9" s="718"/>
      <c r="H9" s="707">
        <v>85</v>
      </c>
      <c r="I9" s="719">
        <v>9.9999999999999995E-7</v>
      </c>
      <c r="J9" s="719" t="s">
        <v>100</v>
      </c>
      <c r="K9" s="707">
        <f t="shared" ref="K9:K15" si="1">0.5*(MAX(I9:J9)-MIN(I9:J9))</f>
        <v>0</v>
      </c>
      <c r="L9" s="719">
        <v>1E-4</v>
      </c>
      <c r="M9" s="718"/>
      <c r="N9" s="707">
        <v>85</v>
      </c>
      <c r="O9" s="719">
        <v>1E-3</v>
      </c>
      <c r="P9" s="719" t="s">
        <v>100</v>
      </c>
      <c r="Q9" s="707">
        <f t="shared" ref="Q9:Q15" si="2">0.5*(MAX(O9:P9)-MIN(O9:P9))</f>
        <v>0</v>
      </c>
      <c r="R9" s="719">
        <v>1E-4</v>
      </c>
    </row>
    <row r="10" spans="1:18" x14ac:dyDescent="0.25">
      <c r="A10" s="718"/>
      <c r="B10" s="707">
        <v>90</v>
      </c>
      <c r="C10" s="719">
        <v>9.9999999999999995E-7</v>
      </c>
      <c r="D10" s="719" t="s">
        <v>100</v>
      </c>
      <c r="E10" s="707">
        <f t="shared" si="0"/>
        <v>0</v>
      </c>
      <c r="F10" s="719">
        <v>1E-4</v>
      </c>
      <c r="G10" s="718"/>
      <c r="H10" s="707">
        <v>90</v>
      </c>
      <c r="I10" s="719">
        <v>9.9999999999999995E-7</v>
      </c>
      <c r="J10" s="719" t="s">
        <v>100</v>
      </c>
      <c r="K10" s="707">
        <f t="shared" si="1"/>
        <v>0</v>
      </c>
      <c r="L10" s="719">
        <v>1E-4</v>
      </c>
      <c r="M10" s="718"/>
      <c r="N10" s="707">
        <v>90</v>
      </c>
      <c r="O10" s="719">
        <v>1E-3</v>
      </c>
      <c r="P10" s="719" t="s">
        <v>100</v>
      </c>
      <c r="Q10" s="707">
        <f t="shared" si="2"/>
        <v>0</v>
      </c>
      <c r="R10" s="719">
        <v>1E-4</v>
      </c>
    </row>
    <row r="11" spans="1:18" x14ac:dyDescent="0.25">
      <c r="A11" s="718"/>
      <c r="B11" s="707">
        <v>95</v>
      </c>
      <c r="C11" s="719">
        <v>9.9999999999999995E-7</v>
      </c>
      <c r="D11" s="719" t="s">
        <v>100</v>
      </c>
      <c r="E11" s="707">
        <f t="shared" si="0"/>
        <v>0</v>
      </c>
      <c r="F11" s="719">
        <v>1E-4</v>
      </c>
      <c r="G11" s="718"/>
      <c r="H11" s="707">
        <v>95</v>
      </c>
      <c r="I11" s="719">
        <v>9.9999999999999995E-7</v>
      </c>
      <c r="J11" s="719" t="s">
        <v>100</v>
      </c>
      <c r="K11" s="707">
        <f t="shared" si="1"/>
        <v>0</v>
      </c>
      <c r="L11" s="719">
        <v>1E-4</v>
      </c>
      <c r="M11" s="718"/>
      <c r="N11" s="707">
        <v>95</v>
      </c>
      <c r="O11" s="719">
        <v>1E-3</v>
      </c>
      <c r="P11" s="719" t="s">
        <v>100</v>
      </c>
      <c r="Q11" s="707">
        <f t="shared" si="2"/>
        <v>0</v>
      </c>
      <c r="R11" s="719">
        <v>1E-4</v>
      </c>
    </row>
    <row r="12" spans="1:18" x14ac:dyDescent="0.25">
      <c r="A12" s="718"/>
      <c r="B12" s="707">
        <v>97</v>
      </c>
      <c r="C12" s="719">
        <v>9.9999999999999995E-7</v>
      </c>
      <c r="D12" s="719" t="s">
        <v>100</v>
      </c>
      <c r="E12" s="707">
        <f t="shared" si="0"/>
        <v>0</v>
      </c>
      <c r="F12" s="719">
        <v>1E-4</v>
      </c>
      <c r="G12" s="718"/>
      <c r="H12" s="707">
        <v>97</v>
      </c>
      <c r="I12" s="719">
        <v>9.9999999999999995E-7</v>
      </c>
      <c r="J12" s="719" t="s">
        <v>100</v>
      </c>
      <c r="K12" s="707">
        <f t="shared" si="1"/>
        <v>0</v>
      </c>
      <c r="L12" s="719">
        <v>1E-4</v>
      </c>
      <c r="M12" s="718"/>
      <c r="N12" s="707">
        <v>97</v>
      </c>
      <c r="O12" s="719">
        <v>1E-3</v>
      </c>
      <c r="P12" s="719" t="s">
        <v>100</v>
      </c>
      <c r="Q12" s="707">
        <f t="shared" si="2"/>
        <v>0</v>
      </c>
      <c r="R12" s="719">
        <v>1E-4</v>
      </c>
    </row>
    <row r="13" spans="1:18" x14ac:dyDescent="0.25">
      <c r="A13" s="718"/>
      <c r="B13" s="707">
        <v>98</v>
      </c>
      <c r="C13" s="719">
        <v>9.9999999999999995E-7</v>
      </c>
      <c r="D13" s="719" t="s">
        <v>100</v>
      </c>
      <c r="E13" s="707">
        <f t="shared" ref="E13:E15" si="3">0.5*(MAX(C13:D13)-MIN(C13:D13))</f>
        <v>0</v>
      </c>
      <c r="F13" s="719">
        <v>1E-4</v>
      </c>
      <c r="G13" s="718"/>
      <c r="H13" s="707">
        <v>98</v>
      </c>
      <c r="I13" s="719">
        <v>9.9999999999999995E-7</v>
      </c>
      <c r="J13" s="719" t="s">
        <v>100</v>
      </c>
      <c r="K13" s="707">
        <f t="shared" si="1"/>
        <v>0</v>
      </c>
      <c r="L13" s="719">
        <v>1E-4</v>
      </c>
      <c r="M13" s="718"/>
      <c r="N13" s="707">
        <v>98</v>
      </c>
      <c r="O13" s="719">
        <v>1E-3</v>
      </c>
      <c r="P13" s="719" t="s">
        <v>100</v>
      </c>
      <c r="Q13" s="707">
        <f t="shared" si="2"/>
        <v>0</v>
      </c>
      <c r="R13" s="719">
        <v>1E-4</v>
      </c>
    </row>
    <row r="14" spans="1:18" x14ac:dyDescent="0.25">
      <c r="A14" s="718"/>
      <c r="B14" s="707">
        <v>99</v>
      </c>
      <c r="C14" s="719">
        <v>9.9999999999999995E-7</v>
      </c>
      <c r="D14" s="719" t="s">
        <v>100</v>
      </c>
      <c r="E14" s="707">
        <f t="shared" si="3"/>
        <v>0</v>
      </c>
      <c r="F14" s="719">
        <v>1E-4</v>
      </c>
      <c r="G14" s="718"/>
      <c r="H14" s="707">
        <v>99</v>
      </c>
      <c r="I14" s="719">
        <v>9.9999999999999995E-7</v>
      </c>
      <c r="J14" s="719" t="s">
        <v>100</v>
      </c>
      <c r="K14" s="707">
        <f t="shared" si="1"/>
        <v>0</v>
      </c>
      <c r="L14" s="719">
        <v>1E-4</v>
      </c>
      <c r="M14" s="718"/>
      <c r="N14" s="707">
        <v>99</v>
      </c>
      <c r="O14" s="719">
        <v>1E-3</v>
      </c>
      <c r="P14" s="719" t="s">
        <v>100</v>
      </c>
      <c r="Q14" s="707">
        <f t="shared" si="2"/>
        <v>0</v>
      </c>
      <c r="R14" s="719">
        <v>1E-4</v>
      </c>
    </row>
    <row r="15" spans="1:18" x14ac:dyDescent="0.25">
      <c r="A15" s="718"/>
      <c r="B15" s="707">
        <v>100</v>
      </c>
      <c r="C15" s="719">
        <v>9.9999999999999995E-7</v>
      </c>
      <c r="D15" s="719" t="s">
        <v>100</v>
      </c>
      <c r="E15" s="707">
        <f t="shared" si="3"/>
        <v>0</v>
      </c>
      <c r="F15" s="719">
        <v>1E-4</v>
      </c>
      <c r="G15" s="718"/>
      <c r="H15" s="707">
        <v>100</v>
      </c>
      <c r="I15" s="719">
        <v>9.9999999999999995E-7</v>
      </c>
      <c r="J15" s="719" t="s">
        <v>100</v>
      </c>
      <c r="K15" s="707">
        <f t="shared" si="1"/>
        <v>0</v>
      </c>
      <c r="L15" s="719">
        <v>1E-4</v>
      </c>
      <c r="M15" s="718"/>
      <c r="N15" s="707">
        <v>100</v>
      </c>
      <c r="O15" s="719">
        <v>1E-3</v>
      </c>
      <c r="P15" s="719" t="s">
        <v>100</v>
      </c>
      <c r="Q15" s="707">
        <f t="shared" si="2"/>
        <v>0</v>
      </c>
      <c r="R15" s="719">
        <v>1E-4</v>
      </c>
    </row>
    <row r="16" spans="1:18" x14ac:dyDescent="0.25">
      <c r="A16" s="718"/>
      <c r="B16" s="718"/>
      <c r="C16" s="718"/>
      <c r="D16" s="718"/>
      <c r="E16" s="718"/>
      <c r="F16" s="718"/>
      <c r="G16" s="718"/>
      <c r="H16" s="718"/>
      <c r="I16" s="718"/>
      <c r="J16" s="718"/>
      <c r="K16" s="718"/>
      <c r="L16" s="720"/>
      <c r="M16" s="718"/>
      <c r="N16" s="718"/>
      <c r="O16" s="718"/>
      <c r="P16" s="718"/>
      <c r="Q16" s="718"/>
      <c r="R16" s="718"/>
    </row>
    <row r="17" spans="1:18" x14ac:dyDescent="0.25">
      <c r="A17" s="718"/>
      <c r="B17" s="1230" t="s">
        <v>445</v>
      </c>
      <c r="C17" s="1231"/>
      <c r="D17" s="1231"/>
      <c r="E17" s="1231"/>
      <c r="F17" s="1232"/>
      <c r="G17" s="718"/>
      <c r="H17" s="1230" t="s">
        <v>446</v>
      </c>
      <c r="I17" s="1231"/>
      <c r="J17" s="1231"/>
      <c r="K17" s="1231"/>
      <c r="L17" s="1232"/>
      <c r="M17" s="718"/>
      <c r="N17" s="1230" t="s">
        <v>447</v>
      </c>
      <c r="O17" s="1231"/>
      <c r="P17" s="1231"/>
      <c r="Q17" s="1231"/>
      <c r="R17" s="1232"/>
    </row>
    <row r="18" spans="1:18" x14ac:dyDescent="0.25">
      <c r="A18" s="718"/>
      <c r="B18" s="1214" t="s">
        <v>167</v>
      </c>
      <c r="C18" s="1214"/>
      <c r="D18" s="1214"/>
      <c r="E18" s="1214"/>
      <c r="F18" s="1214"/>
      <c r="G18" s="718"/>
      <c r="H18" s="1214" t="s">
        <v>167</v>
      </c>
      <c r="I18" s="1214"/>
      <c r="J18" s="1214"/>
      <c r="K18" s="1214"/>
      <c r="L18" s="1214"/>
      <c r="M18" s="718"/>
      <c r="N18" s="1214" t="s">
        <v>443</v>
      </c>
      <c r="O18" s="1214"/>
      <c r="P18" s="1214"/>
      <c r="Q18" s="1214"/>
      <c r="R18" s="1214"/>
    </row>
    <row r="19" spans="1:18" x14ac:dyDescent="0.25">
      <c r="A19" s="718"/>
      <c r="B19" s="1215" t="s">
        <v>453</v>
      </c>
      <c r="C19" s="1216"/>
      <c r="D19" s="1217"/>
      <c r="E19" s="1218" t="s">
        <v>310</v>
      </c>
      <c r="F19" s="1218" t="s">
        <v>170</v>
      </c>
      <c r="G19" s="718"/>
      <c r="H19" s="1215" t="s">
        <v>453</v>
      </c>
      <c r="I19" s="1216"/>
      <c r="J19" s="1217"/>
      <c r="K19" s="1218" t="s">
        <v>310</v>
      </c>
      <c r="L19" s="1218" t="s">
        <v>170</v>
      </c>
      <c r="M19" s="718"/>
      <c r="N19" s="1215" t="s">
        <v>453</v>
      </c>
      <c r="O19" s="1216"/>
      <c r="P19" s="1217"/>
      <c r="Q19" s="1218" t="s">
        <v>310</v>
      </c>
      <c r="R19" s="1218" t="s">
        <v>170</v>
      </c>
    </row>
    <row r="20" spans="1:18" x14ac:dyDescent="0.25">
      <c r="A20" s="718"/>
      <c r="B20" s="707" t="s">
        <v>454</v>
      </c>
      <c r="C20" s="707">
        <v>2018</v>
      </c>
      <c r="D20" s="707">
        <v>2019</v>
      </c>
      <c r="E20" s="1219"/>
      <c r="F20" s="1219"/>
      <c r="G20" s="718"/>
      <c r="H20" s="707" t="s">
        <v>454</v>
      </c>
      <c r="I20" s="707">
        <v>2018</v>
      </c>
      <c r="J20" s="707">
        <v>2019</v>
      </c>
      <c r="K20" s="1219"/>
      <c r="L20" s="1219"/>
      <c r="M20" s="718"/>
      <c r="N20" s="707" t="s">
        <v>454</v>
      </c>
      <c r="O20" s="707">
        <v>2017</v>
      </c>
      <c r="P20" s="707">
        <v>2018</v>
      </c>
      <c r="Q20" s="1219"/>
      <c r="R20" s="1219"/>
    </row>
    <row r="21" spans="1:18" x14ac:dyDescent="0.25">
      <c r="A21" s="718"/>
      <c r="B21" s="707">
        <v>0</v>
      </c>
      <c r="C21" s="719">
        <v>9.9999999999999995E-7</v>
      </c>
      <c r="D21" s="719" t="s">
        <v>100</v>
      </c>
      <c r="E21" s="707">
        <f>0.5*(MAX(C21:D21)-MIN(C21:D21))</f>
        <v>0</v>
      </c>
      <c r="F21" s="719">
        <v>1E-4</v>
      </c>
      <c r="G21" s="718"/>
      <c r="H21" s="707">
        <v>0</v>
      </c>
      <c r="I21" s="719">
        <v>9.9999999999999995E-7</v>
      </c>
      <c r="J21" s="719" t="s">
        <v>100</v>
      </c>
      <c r="K21" s="707">
        <f>0.5*(MAX(I21:J21)-MIN(I21:J21))</f>
        <v>0</v>
      </c>
      <c r="L21" s="719">
        <v>1E-4</v>
      </c>
      <c r="M21" s="718"/>
      <c r="N21" s="707">
        <v>0</v>
      </c>
      <c r="O21" s="719">
        <v>9.9999999999999995E-7</v>
      </c>
      <c r="P21" s="719" t="s">
        <v>100</v>
      </c>
      <c r="Q21" s="707">
        <f>0.5*(MAX(O21:P21)-MIN(O21:P21))</f>
        <v>0</v>
      </c>
      <c r="R21" s="719">
        <v>1E-4</v>
      </c>
    </row>
    <row r="22" spans="1:18" x14ac:dyDescent="0.25">
      <c r="A22" s="718"/>
      <c r="B22" s="707">
        <v>85</v>
      </c>
      <c r="C22" s="719">
        <v>9.9999999999999995E-7</v>
      </c>
      <c r="D22" s="719" t="s">
        <v>100</v>
      </c>
      <c r="E22" s="707">
        <f t="shared" ref="E22:E28" si="4">0.5*(MAX(C22:D22)-MIN(C22:D22))</f>
        <v>0</v>
      </c>
      <c r="F22" s="719">
        <v>1E-4</v>
      </c>
      <c r="G22" s="718"/>
      <c r="H22" s="707">
        <v>85</v>
      </c>
      <c r="I22" s="719">
        <v>9.9999999999999995E-7</v>
      </c>
      <c r="J22" s="719" t="s">
        <v>100</v>
      </c>
      <c r="K22" s="707">
        <f t="shared" ref="K22:K28" si="5">0.5*(MAX(I22:J22)-MIN(I22:J22))</f>
        <v>0</v>
      </c>
      <c r="L22" s="719">
        <v>1E-4</v>
      </c>
      <c r="M22" s="718"/>
      <c r="N22" s="707">
        <v>85</v>
      </c>
      <c r="O22" s="719">
        <v>9.9999999999999995E-7</v>
      </c>
      <c r="P22" s="719" t="s">
        <v>100</v>
      </c>
      <c r="Q22" s="707">
        <f t="shared" ref="Q22:Q28" si="6">0.5*(MAX(O22:P22)-MIN(O22:P22))</f>
        <v>0</v>
      </c>
      <c r="R22" s="719">
        <v>1E-4</v>
      </c>
    </row>
    <row r="23" spans="1:18" x14ac:dyDescent="0.25">
      <c r="A23" s="718"/>
      <c r="B23" s="707">
        <v>90</v>
      </c>
      <c r="C23" s="719">
        <v>9.9999999999999995E-7</v>
      </c>
      <c r="D23" s="719" t="s">
        <v>100</v>
      </c>
      <c r="E23" s="707">
        <f t="shared" si="4"/>
        <v>0</v>
      </c>
      <c r="F23" s="719">
        <v>1E-4</v>
      </c>
      <c r="G23" s="718"/>
      <c r="H23" s="707">
        <v>90</v>
      </c>
      <c r="I23" s="719">
        <v>9.9999999999999995E-7</v>
      </c>
      <c r="J23" s="719" t="s">
        <v>100</v>
      </c>
      <c r="K23" s="707">
        <f t="shared" si="5"/>
        <v>0</v>
      </c>
      <c r="L23" s="719">
        <v>1E-4</v>
      </c>
      <c r="M23" s="718"/>
      <c r="N23" s="707">
        <v>90</v>
      </c>
      <c r="O23" s="719">
        <v>9.9999999999999995E-7</v>
      </c>
      <c r="P23" s="719" t="s">
        <v>100</v>
      </c>
      <c r="Q23" s="707">
        <f t="shared" si="6"/>
        <v>0</v>
      </c>
      <c r="R23" s="719">
        <v>1E-4</v>
      </c>
    </row>
    <row r="24" spans="1:18" x14ac:dyDescent="0.25">
      <c r="A24" s="718"/>
      <c r="B24" s="707">
        <v>95</v>
      </c>
      <c r="C24" s="719">
        <v>9.9999999999999995E-7</v>
      </c>
      <c r="D24" s="719" t="s">
        <v>100</v>
      </c>
      <c r="E24" s="707">
        <f t="shared" si="4"/>
        <v>0</v>
      </c>
      <c r="F24" s="719">
        <v>1E-4</v>
      </c>
      <c r="G24" s="718"/>
      <c r="H24" s="707">
        <v>95</v>
      </c>
      <c r="I24" s="719">
        <v>9.9999999999999995E-7</v>
      </c>
      <c r="J24" s="719" t="s">
        <v>100</v>
      </c>
      <c r="K24" s="707">
        <f t="shared" si="5"/>
        <v>0</v>
      </c>
      <c r="L24" s="719">
        <v>1E-4</v>
      </c>
      <c r="M24" s="718"/>
      <c r="N24" s="707">
        <v>95</v>
      </c>
      <c r="O24" s="719">
        <v>9.9999999999999995E-7</v>
      </c>
      <c r="P24" s="719" t="s">
        <v>100</v>
      </c>
      <c r="Q24" s="707">
        <f t="shared" si="6"/>
        <v>0</v>
      </c>
      <c r="R24" s="719">
        <v>1E-4</v>
      </c>
    </row>
    <row r="25" spans="1:18" x14ac:dyDescent="0.25">
      <c r="A25" s="718"/>
      <c r="B25" s="707">
        <v>97</v>
      </c>
      <c r="C25" s="719">
        <v>9.9999999999999995E-7</v>
      </c>
      <c r="D25" s="719" t="s">
        <v>100</v>
      </c>
      <c r="E25" s="707">
        <f t="shared" si="4"/>
        <v>0</v>
      </c>
      <c r="F25" s="719">
        <v>1E-4</v>
      </c>
      <c r="G25" s="718"/>
      <c r="H25" s="707">
        <v>97</v>
      </c>
      <c r="I25" s="719">
        <v>9.9999999999999995E-7</v>
      </c>
      <c r="J25" s="719" t="s">
        <v>100</v>
      </c>
      <c r="K25" s="707">
        <f t="shared" si="5"/>
        <v>0</v>
      </c>
      <c r="L25" s="719">
        <v>1E-4</v>
      </c>
      <c r="M25" s="718"/>
      <c r="N25" s="707">
        <v>97</v>
      </c>
      <c r="O25" s="719">
        <v>9.9999999999999995E-7</v>
      </c>
      <c r="P25" s="719" t="s">
        <v>100</v>
      </c>
      <c r="Q25" s="707">
        <f t="shared" si="6"/>
        <v>0</v>
      </c>
      <c r="R25" s="719">
        <v>1E-4</v>
      </c>
    </row>
    <row r="26" spans="1:18" x14ac:dyDescent="0.25">
      <c r="A26" s="718"/>
      <c r="B26" s="707">
        <v>98</v>
      </c>
      <c r="C26" s="719">
        <v>9.9999999999999995E-7</v>
      </c>
      <c r="D26" s="719" t="s">
        <v>100</v>
      </c>
      <c r="E26" s="707">
        <f t="shared" si="4"/>
        <v>0</v>
      </c>
      <c r="F26" s="719">
        <v>1E-4</v>
      </c>
      <c r="G26" s="718"/>
      <c r="H26" s="707">
        <v>98</v>
      </c>
      <c r="I26" s="719">
        <v>9.9999999999999995E-7</v>
      </c>
      <c r="J26" s="719" t="s">
        <v>100</v>
      </c>
      <c r="K26" s="707">
        <f t="shared" si="5"/>
        <v>0</v>
      </c>
      <c r="L26" s="719">
        <v>1E-4</v>
      </c>
      <c r="M26" s="718"/>
      <c r="N26" s="707">
        <v>98</v>
      </c>
      <c r="O26" s="719">
        <v>9.9999999999999995E-7</v>
      </c>
      <c r="P26" s="719" t="s">
        <v>100</v>
      </c>
      <c r="Q26" s="707">
        <f t="shared" si="6"/>
        <v>0</v>
      </c>
      <c r="R26" s="719">
        <v>1E-4</v>
      </c>
    </row>
    <row r="27" spans="1:18" x14ac:dyDescent="0.25">
      <c r="A27" s="718"/>
      <c r="B27" s="707">
        <v>99</v>
      </c>
      <c r="C27" s="719">
        <v>9.9999999999999995E-7</v>
      </c>
      <c r="D27" s="719" t="s">
        <v>100</v>
      </c>
      <c r="E27" s="707">
        <f t="shared" si="4"/>
        <v>0</v>
      </c>
      <c r="F27" s="719">
        <v>1E-4</v>
      </c>
      <c r="G27" s="718"/>
      <c r="H27" s="707">
        <v>99</v>
      </c>
      <c r="I27" s="719">
        <v>9.9999999999999995E-7</v>
      </c>
      <c r="J27" s="719" t="s">
        <v>100</v>
      </c>
      <c r="K27" s="707">
        <f t="shared" si="5"/>
        <v>0</v>
      </c>
      <c r="L27" s="719">
        <v>1E-4</v>
      </c>
      <c r="M27" s="718"/>
      <c r="N27" s="707">
        <v>99</v>
      </c>
      <c r="O27" s="719">
        <v>9.9999999999999995E-7</v>
      </c>
      <c r="P27" s="719" t="s">
        <v>100</v>
      </c>
      <c r="Q27" s="707">
        <f t="shared" si="6"/>
        <v>0</v>
      </c>
      <c r="R27" s="719">
        <v>1E-4</v>
      </c>
    </row>
    <row r="28" spans="1:18" x14ac:dyDescent="0.25">
      <c r="A28" s="718"/>
      <c r="B28" s="707">
        <v>100</v>
      </c>
      <c r="C28" s="719">
        <v>9.9999999999999995E-7</v>
      </c>
      <c r="D28" s="719" t="s">
        <v>100</v>
      </c>
      <c r="E28" s="707">
        <f t="shared" si="4"/>
        <v>0</v>
      </c>
      <c r="F28" s="719">
        <v>1E-4</v>
      </c>
      <c r="G28" s="718"/>
      <c r="H28" s="707">
        <v>100</v>
      </c>
      <c r="I28" s="719">
        <v>9.9999999999999995E-7</v>
      </c>
      <c r="J28" s="719" t="s">
        <v>100</v>
      </c>
      <c r="K28" s="707">
        <f t="shared" si="5"/>
        <v>0</v>
      </c>
      <c r="L28" s="719">
        <v>1E-4</v>
      </c>
      <c r="M28" s="718"/>
      <c r="N28" s="707">
        <v>100</v>
      </c>
      <c r="O28" s="719">
        <v>9.9999999999999995E-7</v>
      </c>
      <c r="P28" s="719" t="s">
        <v>100</v>
      </c>
      <c r="Q28" s="707">
        <f t="shared" si="6"/>
        <v>0</v>
      </c>
      <c r="R28" s="719">
        <v>1E-4</v>
      </c>
    </row>
    <row r="29" spans="1:18" x14ac:dyDescent="0.25">
      <c r="A29" s="718"/>
      <c r="B29" s="708"/>
      <c r="C29" s="721"/>
      <c r="D29" s="721"/>
      <c r="E29" s="708"/>
      <c r="F29" s="720"/>
      <c r="G29" s="718"/>
      <c r="H29" s="708"/>
      <c r="I29" s="721"/>
      <c r="J29" s="721"/>
      <c r="K29" s="708"/>
      <c r="L29" s="708"/>
      <c r="M29" s="718"/>
      <c r="N29" s="708"/>
      <c r="O29" s="720"/>
      <c r="P29" s="721"/>
      <c r="Q29" s="708"/>
      <c r="R29" s="708"/>
    </row>
    <row r="30" spans="1:18" x14ac:dyDescent="0.25">
      <c r="A30" s="718"/>
      <c r="B30" s="718"/>
      <c r="C30" s="718"/>
      <c r="D30" s="718"/>
      <c r="E30" s="718"/>
      <c r="F30" s="718"/>
      <c r="G30" s="718"/>
      <c r="H30" s="718"/>
      <c r="I30" s="718"/>
      <c r="J30" s="718"/>
      <c r="K30" s="718"/>
      <c r="L30" s="718"/>
      <c r="M30" s="718"/>
      <c r="N30" s="718"/>
      <c r="O30" s="718"/>
      <c r="P30" s="718"/>
      <c r="Q30" s="718"/>
      <c r="R30" s="718"/>
    </row>
    <row r="31" spans="1:18" x14ac:dyDescent="0.25">
      <c r="A31" s="718"/>
      <c r="B31" s="1230" t="s">
        <v>448</v>
      </c>
      <c r="C31" s="1231"/>
      <c r="D31" s="1231"/>
      <c r="E31" s="1231"/>
      <c r="F31" s="1232"/>
      <c r="G31" s="718"/>
      <c r="H31" s="1230" t="s">
        <v>455</v>
      </c>
      <c r="I31" s="1231"/>
      <c r="J31" s="1231"/>
      <c r="K31" s="1231"/>
      <c r="L31" s="1232"/>
      <c r="M31" s="718"/>
      <c r="N31" s="1230" t="s">
        <v>450</v>
      </c>
      <c r="O31" s="1231"/>
      <c r="P31" s="1231"/>
      <c r="Q31" s="1231"/>
      <c r="R31" s="1232"/>
    </row>
    <row r="32" spans="1:18" x14ac:dyDescent="0.25">
      <c r="A32" s="718"/>
      <c r="B32" s="1214" t="s">
        <v>443</v>
      </c>
      <c r="C32" s="1214"/>
      <c r="D32" s="1214"/>
      <c r="E32" s="1214"/>
      <c r="F32" s="1214"/>
      <c r="G32" s="718"/>
      <c r="H32" s="1214" t="s">
        <v>443</v>
      </c>
      <c r="I32" s="1214"/>
      <c r="J32" s="1214"/>
      <c r="K32" s="1214"/>
      <c r="L32" s="1214"/>
      <c r="M32" s="718"/>
      <c r="N32" s="1214" t="s">
        <v>443</v>
      </c>
      <c r="O32" s="1214"/>
      <c r="P32" s="1214"/>
      <c r="Q32" s="1214"/>
      <c r="R32" s="1214"/>
    </row>
    <row r="33" spans="1:18" x14ac:dyDescent="0.25">
      <c r="A33" s="718"/>
      <c r="B33" s="1215" t="s">
        <v>453</v>
      </c>
      <c r="C33" s="1216"/>
      <c r="D33" s="1217"/>
      <c r="E33" s="1218" t="s">
        <v>310</v>
      </c>
      <c r="F33" s="1218" t="s">
        <v>170</v>
      </c>
      <c r="G33" s="718"/>
      <c r="H33" s="1215" t="s">
        <v>453</v>
      </c>
      <c r="I33" s="1216"/>
      <c r="J33" s="1217"/>
      <c r="K33" s="1218" t="s">
        <v>310</v>
      </c>
      <c r="L33" s="1218" t="s">
        <v>170</v>
      </c>
      <c r="M33" s="718"/>
      <c r="N33" s="1215" t="s">
        <v>453</v>
      </c>
      <c r="O33" s="1216"/>
      <c r="P33" s="1217"/>
      <c r="Q33" s="1218" t="s">
        <v>310</v>
      </c>
      <c r="R33" s="1218" t="s">
        <v>170</v>
      </c>
    </row>
    <row r="34" spans="1:18" x14ac:dyDescent="0.25">
      <c r="A34" s="718"/>
      <c r="B34" s="707" t="s">
        <v>454</v>
      </c>
      <c r="C34" s="707">
        <v>2017</v>
      </c>
      <c r="D34" s="707">
        <v>2018</v>
      </c>
      <c r="E34" s="1219"/>
      <c r="F34" s="1219"/>
      <c r="G34" s="718"/>
      <c r="H34" s="707" t="s">
        <v>454</v>
      </c>
      <c r="I34" s="707">
        <v>2017</v>
      </c>
      <c r="J34" s="707">
        <v>2018</v>
      </c>
      <c r="K34" s="1219"/>
      <c r="L34" s="1219"/>
      <c r="M34" s="718"/>
      <c r="N34" s="707" t="s">
        <v>454</v>
      </c>
      <c r="O34" s="707">
        <v>2017</v>
      </c>
      <c r="P34" s="707">
        <v>2018</v>
      </c>
      <c r="Q34" s="1219"/>
      <c r="R34" s="1219"/>
    </row>
    <row r="35" spans="1:18" x14ac:dyDescent="0.25">
      <c r="A35" s="718"/>
      <c r="B35" s="707">
        <v>0</v>
      </c>
      <c r="C35" s="719">
        <v>9.9999999999999995E-7</v>
      </c>
      <c r="D35" s="719" t="s">
        <v>100</v>
      </c>
      <c r="E35" s="707">
        <f>0.5*(MAX(C35:D35)-MIN(C35:D35))</f>
        <v>0</v>
      </c>
      <c r="F35" s="719">
        <v>1E-4</v>
      </c>
      <c r="G35" s="718"/>
      <c r="H35" s="707">
        <v>0</v>
      </c>
      <c r="I35" s="719">
        <v>9.9999999999999995E-7</v>
      </c>
      <c r="J35" s="719" t="s">
        <v>100</v>
      </c>
      <c r="K35" s="707">
        <f>0.5*(MAX(I35:J35)-MIN(I35:J35))</f>
        <v>0</v>
      </c>
      <c r="L35" s="719">
        <v>1E-4</v>
      </c>
      <c r="M35" s="718"/>
      <c r="N35" s="707">
        <v>0</v>
      </c>
      <c r="O35" s="719">
        <v>9.9999999999999995E-7</v>
      </c>
      <c r="P35" s="719" t="s">
        <v>100</v>
      </c>
      <c r="Q35" s="707">
        <f>0.5*(MAX(O35:P35)-MIN(O35:P35))</f>
        <v>0</v>
      </c>
      <c r="R35" s="719">
        <v>1E-4</v>
      </c>
    </row>
    <row r="36" spans="1:18" x14ac:dyDescent="0.25">
      <c r="A36" s="718"/>
      <c r="B36" s="707">
        <v>85</v>
      </c>
      <c r="C36" s="719">
        <v>9.9999999999999995E-7</v>
      </c>
      <c r="D36" s="719" t="s">
        <v>100</v>
      </c>
      <c r="E36" s="707">
        <f t="shared" ref="E36:E42" si="7">0.5*(MAX(C36:D36)-MIN(C36:D36))</f>
        <v>0</v>
      </c>
      <c r="F36" s="719">
        <v>1E-4</v>
      </c>
      <c r="G36" s="718"/>
      <c r="H36" s="707">
        <v>85</v>
      </c>
      <c r="I36" s="719">
        <v>9.9999999999999995E-7</v>
      </c>
      <c r="J36" s="719" t="s">
        <v>100</v>
      </c>
      <c r="K36" s="707">
        <f t="shared" ref="K36:K39" si="8">0.5*(MAX(I36:J36)-MIN(I36:J36))</f>
        <v>0</v>
      </c>
      <c r="L36" s="719">
        <v>1E-4</v>
      </c>
      <c r="M36" s="718"/>
      <c r="N36" s="707">
        <v>85</v>
      </c>
      <c r="O36" s="719">
        <v>9.9999999999999995E-7</v>
      </c>
      <c r="P36" s="719" t="s">
        <v>100</v>
      </c>
      <c r="Q36" s="707">
        <f t="shared" ref="Q36:Q39" si="9">0.5*(MAX(O36:P36)-MIN(O36:P36))</f>
        <v>0</v>
      </c>
      <c r="R36" s="719">
        <v>1E-4</v>
      </c>
    </row>
    <row r="37" spans="1:18" x14ac:dyDescent="0.25">
      <c r="A37" s="718"/>
      <c r="B37" s="707">
        <v>90</v>
      </c>
      <c r="C37" s="719">
        <v>9.9999999999999995E-7</v>
      </c>
      <c r="D37" s="719" t="s">
        <v>100</v>
      </c>
      <c r="E37" s="707">
        <f t="shared" si="7"/>
        <v>0</v>
      </c>
      <c r="F37" s="719">
        <v>1E-4</v>
      </c>
      <c r="G37" s="718"/>
      <c r="H37" s="707">
        <v>90</v>
      </c>
      <c r="I37" s="719">
        <v>9.9999999999999995E-7</v>
      </c>
      <c r="J37" s="719" t="s">
        <v>100</v>
      </c>
      <c r="K37" s="707">
        <f t="shared" si="8"/>
        <v>0</v>
      </c>
      <c r="L37" s="719">
        <v>1E-4</v>
      </c>
      <c r="M37" s="718"/>
      <c r="N37" s="707">
        <v>90</v>
      </c>
      <c r="O37" s="719">
        <v>9.9999999999999995E-7</v>
      </c>
      <c r="P37" s="719" t="s">
        <v>100</v>
      </c>
      <c r="Q37" s="707">
        <f t="shared" si="9"/>
        <v>0</v>
      </c>
      <c r="R37" s="719">
        <v>1E-4</v>
      </c>
    </row>
    <row r="38" spans="1:18" x14ac:dyDescent="0.25">
      <c r="A38" s="718"/>
      <c r="B38" s="707">
        <v>95</v>
      </c>
      <c r="C38" s="719">
        <v>9.9999999999999995E-7</v>
      </c>
      <c r="D38" s="719" t="s">
        <v>100</v>
      </c>
      <c r="E38" s="707">
        <f t="shared" si="7"/>
        <v>0</v>
      </c>
      <c r="F38" s="719">
        <v>1E-4</v>
      </c>
      <c r="G38" s="718"/>
      <c r="H38" s="707">
        <v>95</v>
      </c>
      <c r="I38" s="719">
        <v>9.9999999999999995E-7</v>
      </c>
      <c r="J38" s="719" t="s">
        <v>100</v>
      </c>
      <c r="K38" s="707">
        <f t="shared" si="8"/>
        <v>0</v>
      </c>
      <c r="L38" s="719">
        <v>1E-4</v>
      </c>
      <c r="M38" s="718"/>
      <c r="N38" s="707">
        <v>95</v>
      </c>
      <c r="O38" s="719">
        <v>9.9999999999999995E-7</v>
      </c>
      <c r="P38" s="719" t="s">
        <v>100</v>
      </c>
      <c r="Q38" s="707">
        <f t="shared" si="9"/>
        <v>0</v>
      </c>
      <c r="R38" s="719">
        <v>1E-4</v>
      </c>
    </row>
    <row r="39" spans="1:18" x14ac:dyDescent="0.25">
      <c r="A39" s="718"/>
      <c r="B39" s="707">
        <v>97</v>
      </c>
      <c r="C39" s="719">
        <v>9.9999999999999995E-7</v>
      </c>
      <c r="D39" s="719" t="s">
        <v>100</v>
      </c>
      <c r="E39" s="707">
        <f t="shared" si="7"/>
        <v>0</v>
      </c>
      <c r="F39" s="719">
        <v>1E-4</v>
      </c>
      <c r="G39" s="718"/>
      <c r="H39" s="707">
        <v>97</v>
      </c>
      <c r="I39" s="719">
        <v>9.9999999999999995E-7</v>
      </c>
      <c r="J39" s="719" t="s">
        <v>100</v>
      </c>
      <c r="K39" s="707">
        <f t="shared" si="8"/>
        <v>0</v>
      </c>
      <c r="L39" s="719">
        <v>1E-4</v>
      </c>
      <c r="M39" s="718"/>
      <c r="N39" s="707">
        <v>97</v>
      </c>
      <c r="O39" s="719">
        <v>9.9999999999999995E-7</v>
      </c>
      <c r="P39" s="719" t="s">
        <v>100</v>
      </c>
      <c r="Q39" s="707">
        <f t="shared" si="9"/>
        <v>0</v>
      </c>
      <c r="R39" s="719">
        <v>1E-4</v>
      </c>
    </row>
    <row r="40" spans="1:18" x14ac:dyDescent="0.25">
      <c r="A40" s="718"/>
      <c r="B40" s="707">
        <v>98</v>
      </c>
      <c r="C40" s="719">
        <v>9.9999999999999995E-7</v>
      </c>
      <c r="D40" s="719" t="s">
        <v>100</v>
      </c>
      <c r="E40" s="707">
        <f t="shared" si="7"/>
        <v>0</v>
      </c>
      <c r="F40" s="719">
        <v>1E-4</v>
      </c>
      <c r="G40" s="718"/>
      <c r="H40" s="707">
        <v>98</v>
      </c>
      <c r="I40" s="719">
        <v>9.9999999999999995E-7</v>
      </c>
      <c r="J40" s="719" t="s">
        <v>100</v>
      </c>
      <c r="K40" s="707">
        <f t="shared" ref="K40:K42" si="10">0.5*(MAX(I40:J40)-MIN(I40:J40))</f>
        <v>0</v>
      </c>
      <c r="L40" s="719">
        <v>1E-4</v>
      </c>
      <c r="M40" s="718"/>
      <c r="N40" s="707">
        <v>98</v>
      </c>
      <c r="O40" s="719">
        <v>9.9999999999999995E-7</v>
      </c>
      <c r="P40" s="719" t="s">
        <v>100</v>
      </c>
      <c r="Q40" s="707">
        <f t="shared" ref="Q40:Q42" si="11">0.5*(MAX(O40:P40)-MIN(O40:P40))</f>
        <v>0</v>
      </c>
      <c r="R40" s="719">
        <v>1E-4</v>
      </c>
    </row>
    <row r="41" spans="1:18" x14ac:dyDescent="0.25">
      <c r="A41" s="718"/>
      <c r="B41" s="707">
        <v>99</v>
      </c>
      <c r="C41" s="719">
        <v>9.9999999999999995E-7</v>
      </c>
      <c r="D41" s="719" t="s">
        <v>100</v>
      </c>
      <c r="E41" s="707">
        <f t="shared" si="7"/>
        <v>0</v>
      </c>
      <c r="F41" s="719">
        <v>1E-4</v>
      </c>
      <c r="G41" s="718"/>
      <c r="H41" s="707">
        <v>99</v>
      </c>
      <c r="I41" s="719">
        <v>9.9999999999999995E-7</v>
      </c>
      <c r="J41" s="719" t="s">
        <v>100</v>
      </c>
      <c r="K41" s="707">
        <f t="shared" si="10"/>
        <v>0</v>
      </c>
      <c r="L41" s="719">
        <v>1E-4</v>
      </c>
      <c r="M41" s="718"/>
      <c r="N41" s="707">
        <v>99</v>
      </c>
      <c r="O41" s="719">
        <v>9.9999999999999995E-7</v>
      </c>
      <c r="P41" s="719" t="s">
        <v>100</v>
      </c>
      <c r="Q41" s="707">
        <f t="shared" si="11"/>
        <v>0</v>
      </c>
      <c r="R41" s="719">
        <v>1E-4</v>
      </c>
    </row>
    <row r="42" spans="1:18" x14ac:dyDescent="0.25">
      <c r="A42" s="718"/>
      <c r="B42" s="707">
        <v>100</v>
      </c>
      <c r="C42" s="719">
        <v>9.9999999999999995E-7</v>
      </c>
      <c r="D42" s="719" t="s">
        <v>100</v>
      </c>
      <c r="E42" s="707">
        <f t="shared" si="7"/>
        <v>0</v>
      </c>
      <c r="F42" s="719">
        <v>1E-4</v>
      </c>
      <c r="G42" s="718"/>
      <c r="H42" s="707">
        <v>100</v>
      </c>
      <c r="I42" s="719">
        <v>9.9999999999999995E-7</v>
      </c>
      <c r="J42" s="719" t="s">
        <v>100</v>
      </c>
      <c r="K42" s="707">
        <f t="shared" si="10"/>
        <v>0</v>
      </c>
      <c r="L42" s="719">
        <v>1E-4</v>
      </c>
      <c r="M42" s="718"/>
      <c r="N42" s="707">
        <v>100</v>
      </c>
      <c r="O42" s="719">
        <v>9.9999999999999995E-7</v>
      </c>
      <c r="P42" s="719" t="s">
        <v>100</v>
      </c>
      <c r="Q42" s="707">
        <f t="shared" si="11"/>
        <v>0</v>
      </c>
      <c r="R42" s="719">
        <v>1E-4</v>
      </c>
    </row>
    <row r="43" spans="1:18" x14ac:dyDescent="0.25">
      <c r="A43" s="718"/>
      <c r="B43" s="718"/>
      <c r="C43" s="718"/>
      <c r="D43" s="718"/>
      <c r="E43" s="718"/>
      <c r="F43" s="718"/>
      <c r="G43" s="718"/>
      <c r="H43" s="718"/>
      <c r="I43" s="718"/>
      <c r="J43" s="718"/>
      <c r="K43" s="718"/>
      <c r="L43" s="718"/>
      <c r="M43" s="718"/>
      <c r="N43" s="718"/>
      <c r="O43" s="718"/>
      <c r="P43" s="718"/>
      <c r="Q43" s="718"/>
      <c r="R43" s="718"/>
    </row>
    <row r="44" spans="1:18" x14ac:dyDescent="0.25">
      <c r="A44" s="718"/>
      <c r="B44" s="1230" t="s">
        <v>451</v>
      </c>
      <c r="C44" s="1231"/>
      <c r="D44" s="1231"/>
      <c r="E44" s="1231"/>
      <c r="F44" s="1232"/>
      <c r="G44" s="718"/>
      <c r="H44" s="718"/>
      <c r="I44" s="718"/>
      <c r="J44" s="718"/>
      <c r="K44" s="718"/>
      <c r="L44" s="718"/>
      <c r="M44" s="718"/>
      <c r="N44" s="718"/>
      <c r="O44" s="718"/>
      <c r="P44" s="718"/>
      <c r="Q44" s="718"/>
      <c r="R44" s="718"/>
    </row>
    <row r="45" spans="1:18" x14ac:dyDescent="0.25">
      <c r="A45" s="718"/>
      <c r="B45" s="1214" t="s">
        <v>443</v>
      </c>
      <c r="C45" s="1214"/>
      <c r="D45" s="1214"/>
      <c r="E45" s="1214"/>
      <c r="F45" s="1214"/>
      <c r="G45" s="718"/>
      <c r="H45" s="718"/>
      <c r="I45" s="718"/>
      <c r="J45" s="718"/>
      <c r="K45" s="718"/>
      <c r="L45" s="718"/>
      <c r="M45" s="718"/>
      <c r="N45" s="718"/>
      <c r="O45" s="718"/>
      <c r="P45" s="718"/>
      <c r="Q45" s="718"/>
      <c r="R45" s="718"/>
    </row>
    <row r="46" spans="1:18" x14ac:dyDescent="0.25">
      <c r="A46" s="718"/>
      <c r="B46" s="1215" t="s">
        <v>453</v>
      </c>
      <c r="C46" s="1216"/>
      <c r="D46" s="1217"/>
      <c r="E46" s="1218" t="s">
        <v>310</v>
      </c>
      <c r="F46" s="1218" t="s">
        <v>170</v>
      </c>
      <c r="G46" s="718"/>
      <c r="H46" s="718"/>
      <c r="I46" s="718"/>
      <c r="J46" s="718"/>
      <c r="K46" s="718"/>
      <c r="L46" s="718"/>
      <c r="M46" s="718"/>
      <c r="N46" s="718"/>
      <c r="O46" s="718"/>
      <c r="P46" s="718"/>
      <c r="Q46" s="718"/>
      <c r="R46" s="718"/>
    </row>
    <row r="47" spans="1:18" x14ac:dyDescent="0.25">
      <c r="A47" s="718"/>
      <c r="B47" s="707" t="s">
        <v>454</v>
      </c>
      <c r="C47" s="707">
        <v>2017</v>
      </c>
      <c r="D47" s="707">
        <v>2018</v>
      </c>
      <c r="E47" s="1219"/>
      <c r="F47" s="1219"/>
      <c r="G47" s="718"/>
      <c r="H47" s="718"/>
      <c r="I47" s="718"/>
      <c r="J47" s="718"/>
      <c r="K47" s="718"/>
      <c r="L47" s="718"/>
      <c r="M47" s="718"/>
      <c r="N47" s="718"/>
      <c r="O47" s="718"/>
      <c r="P47" s="718"/>
      <c r="Q47" s="718"/>
      <c r="R47" s="718"/>
    </row>
    <row r="48" spans="1:18" x14ac:dyDescent="0.25">
      <c r="A48" s="718"/>
      <c r="B48" s="707">
        <v>0</v>
      </c>
      <c r="C48" s="719">
        <v>9.9999999999999995E-7</v>
      </c>
      <c r="D48" s="719" t="s">
        <v>100</v>
      </c>
      <c r="E48" s="707">
        <f>0.5*(MAX(C48:D48)-MIN(C48:D48))</f>
        <v>0</v>
      </c>
      <c r="F48" s="719">
        <v>1E-4</v>
      </c>
      <c r="G48" s="718"/>
      <c r="H48" s="718"/>
      <c r="I48" s="718"/>
      <c r="J48" s="718"/>
      <c r="K48" s="718"/>
      <c r="L48" s="718"/>
      <c r="M48" s="718"/>
      <c r="N48" s="718"/>
      <c r="O48" s="718"/>
      <c r="P48" s="718"/>
      <c r="Q48" s="718"/>
      <c r="R48" s="718"/>
    </row>
    <row r="49" spans="1:18" x14ac:dyDescent="0.25">
      <c r="A49" s="718"/>
      <c r="B49" s="707">
        <v>85</v>
      </c>
      <c r="C49" s="719">
        <v>9.9999999999999995E-7</v>
      </c>
      <c r="D49" s="719" t="s">
        <v>100</v>
      </c>
      <c r="E49" s="707">
        <f t="shared" ref="E49:E52" si="12">0.5*(MAX(C49:D49)-MIN(C49:D49))</f>
        <v>0</v>
      </c>
      <c r="F49" s="719">
        <v>1E-4</v>
      </c>
      <c r="G49" s="718"/>
      <c r="H49" s="718"/>
      <c r="I49" s="718"/>
      <c r="J49" s="718"/>
      <c r="K49" s="718"/>
      <c r="L49" s="718"/>
      <c r="M49" s="718"/>
      <c r="N49" s="718"/>
      <c r="O49" s="718"/>
      <c r="P49" s="718"/>
      <c r="Q49" s="718"/>
      <c r="R49" s="718"/>
    </row>
    <row r="50" spans="1:18" x14ac:dyDescent="0.25">
      <c r="A50" s="718"/>
      <c r="B50" s="707">
        <v>90</v>
      </c>
      <c r="C50" s="719">
        <v>9.9999999999999995E-7</v>
      </c>
      <c r="D50" s="719" t="s">
        <v>100</v>
      </c>
      <c r="E50" s="707">
        <f t="shared" si="12"/>
        <v>0</v>
      </c>
      <c r="F50" s="719">
        <v>1E-4</v>
      </c>
      <c r="G50" s="718"/>
      <c r="H50" s="718"/>
      <c r="I50" s="718"/>
      <c r="J50" s="718"/>
      <c r="K50" s="718"/>
      <c r="L50" s="718"/>
      <c r="M50" s="718"/>
      <c r="N50" s="718"/>
      <c r="O50" s="718"/>
      <c r="P50" s="718"/>
      <c r="Q50" s="718"/>
      <c r="R50" s="718"/>
    </row>
    <row r="51" spans="1:18" x14ac:dyDescent="0.25">
      <c r="A51" s="718"/>
      <c r="B51" s="707">
        <v>95</v>
      </c>
      <c r="C51" s="719">
        <v>9.9999999999999995E-7</v>
      </c>
      <c r="D51" s="719" t="s">
        <v>100</v>
      </c>
      <c r="E51" s="707">
        <f t="shared" si="12"/>
        <v>0</v>
      </c>
      <c r="F51" s="719">
        <v>1E-4</v>
      </c>
      <c r="G51" s="718"/>
      <c r="H51" s="718"/>
      <c r="I51" s="718"/>
      <c r="J51" s="718"/>
      <c r="K51" s="718"/>
      <c r="L51" s="718"/>
      <c r="M51" s="718"/>
      <c r="N51" s="718"/>
      <c r="O51" s="718"/>
      <c r="P51" s="718"/>
      <c r="Q51" s="718"/>
      <c r="R51" s="718"/>
    </row>
    <row r="52" spans="1:18" x14ac:dyDescent="0.25">
      <c r="A52" s="718"/>
      <c r="B52" s="707">
        <v>97</v>
      </c>
      <c r="C52" s="719">
        <v>9.9999999999999995E-7</v>
      </c>
      <c r="D52" s="719" t="s">
        <v>100</v>
      </c>
      <c r="E52" s="707">
        <f t="shared" si="12"/>
        <v>0</v>
      </c>
      <c r="F52" s="719">
        <v>1E-4</v>
      </c>
      <c r="G52" s="718"/>
      <c r="H52" s="718"/>
      <c r="I52" s="718"/>
      <c r="J52" s="718"/>
      <c r="K52" s="718"/>
      <c r="L52" s="718"/>
      <c r="M52" s="718"/>
      <c r="N52" s="718"/>
      <c r="O52" s="718"/>
      <c r="P52" s="718"/>
      <c r="Q52" s="718"/>
      <c r="R52" s="718"/>
    </row>
    <row r="53" spans="1:18" x14ac:dyDescent="0.25">
      <c r="A53" s="718"/>
      <c r="B53" s="707">
        <v>98</v>
      </c>
      <c r="C53" s="719">
        <v>9.9999999999999995E-7</v>
      </c>
      <c r="D53" s="719" t="s">
        <v>100</v>
      </c>
      <c r="E53" s="707">
        <f t="shared" ref="E53:E55" si="13">0.5*(MAX(C53:D53)-MIN(C53:D53))</f>
        <v>0</v>
      </c>
      <c r="F53" s="719">
        <v>1E-4</v>
      </c>
      <c r="G53" s="718"/>
      <c r="H53" s="718"/>
      <c r="I53" s="718"/>
      <c r="J53" s="718"/>
      <c r="K53" s="718"/>
      <c r="L53" s="718"/>
      <c r="M53" s="718"/>
      <c r="N53" s="718"/>
      <c r="O53" s="718"/>
      <c r="P53" s="718"/>
      <c r="Q53" s="718"/>
      <c r="R53" s="718"/>
    </row>
    <row r="54" spans="1:18" x14ac:dyDescent="0.25">
      <c r="A54" s="718"/>
      <c r="B54" s="707">
        <v>99</v>
      </c>
      <c r="C54" s="719">
        <v>9.9999999999999995E-7</v>
      </c>
      <c r="D54" s="719" t="s">
        <v>100</v>
      </c>
      <c r="E54" s="707">
        <f t="shared" si="13"/>
        <v>0</v>
      </c>
      <c r="F54" s="719">
        <v>1E-4</v>
      </c>
      <c r="G54" s="718"/>
      <c r="H54" s="718"/>
      <c r="I54" s="718"/>
      <c r="J54" s="718"/>
      <c r="K54" s="718"/>
      <c r="L54" s="718"/>
      <c r="M54" s="718"/>
      <c r="N54" s="718"/>
      <c r="O54" s="718"/>
      <c r="P54" s="718"/>
      <c r="Q54" s="718"/>
      <c r="R54" s="718"/>
    </row>
    <row r="55" spans="1:18" x14ac:dyDescent="0.25">
      <c r="A55" s="718"/>
      <c r="B55" s="707">
        <v>100</v>
      </c>
      <c r="C55" s="719">
        <v>9.9999999999999995E-7</v>
      </c>
      <c r="D55" s="719" t="s">
        <v>100</v>
      </c>
      <c r="E55" s="707">
        <f t="shared" si="13"/>
        <v>0</v>
      </c>
      <c r="F55" s="719">
        <v>1E-4</v>
      </c>
      <c r="G55" s="718"/>
      <c r="H55" s="718"/>
      <c r="I55" s="718"/>
      <c r="J55" s="718"/>
      <c r="K55" s="718"/>
      <c r="L55" s="718"/>
      <c r="M55" s="718"/>
      <c r="N55" s="718"/>
      <c r="O55" s="718"/>
      <c r="P55" s="718"/>
      <c r="Q55" s="718"/>
      <c r="R55" s="718"/>
    </row>
    <row r="56" spans="1:18" x14ac:dyDescent="0.25">
      <c r="A56" s="718"/>
      <c r="B56" s="718"/>
      <c r="C56" s="718"/>
      <c r="D56" s="718"/>
      <c r="E56" s="718"/>
      <c r="F56" s="718"/>
      <c r="G56" s="718"/>
      <c r="H56" s="718"/>
      <c r="I56" s="718"/>
      <c r="J56" s="718"/>
      <c r="K56" s="718"/>
      <c r="L56" s="718"/>
      <c r="M56" s="718"/>
      <c r="N56" s="718"/>
      <c r="O56" s="718"/>
      <c r="P56" s="718"/>
      <c r="Q56" s="718"/>
      <c r="R56" s="718"/>
    </row>
    <row r="57" spans="1:18" x14ac:dyDescent="0.25">
      <c r="A57" s="718"/>
      <c r="B57" s="718"/>
      <c r="C57" s="718"/>
      <c r="D57" s="718"/>
      <c r="E57" s="718"/>
      <c r="F57" s="718"/>
      <c r="G57" s="718"/>
      <c r="H57" s="718"/>
      <c r="I57" s="718"/>
      <c r="J57" s="718"/>
      <c r="K57" s="718"/>
      <c r="L57" s="718"/>
      <c r="M57" s="718"/>
      <c r="N57" s="718"/>
      <c r="O57" s="718"/>
      <c r="P57" s="718"/>
      <c r="Q57" s="718"/>
      <c r="R57" s="718"/>
    </row>
    <row r="58" spans="1:18" ht="14.4" thickBot="1" x14ac:dyDescent="0.3">
      <c r="A58" s="718"/>
      <c r="B58" s="718"/>
      <c r="C58" s="718"/>
      <c r="D58" s="718"/>
      <c r="E58" s="718"/>
      <c r="F58" s="718"/>
      <c r="G58" s="718"/>
      <c r="H58" s="718"/>
      <c r="I58" s="718"/>
      <c r="J58" s="718"/>
      <c r="K58" s="718"/>
      <c r="L58" s="718"/>
      <c r="M58" s="718"/>
      <c r="N58" s="718"/>
      <c r="O58" s="718"/>
      <c r="P58" s="718"/>
      <c r="Q58" s="718"/>
      <c r="R58" s="718"/>
    </row>
    <row r="59" spans="1:18" x14ac:dyDescent="0.25">
      <c r="A59" s="1208">
        <v>85</v>
      </c>
      <c r="B59" s="1221" t="s">
        <v>33</v>
      </c>
      <c r="C59" s="1223" t="s">
        <v>452</v>
      </c>
      <c r="D59" s="1223"/>
      <c r="E59" s="1223"/>
      <c r="F59" s="1223"/>
      <c r="G59" s="1224"/>
      <c r="H59" s="718"/>
      <c r="I59" s="718"/>
      <c r="J59" s="718"/>
      <c r="K59" s="718"/>
      <c r="L59" s="718"/>
      <c r="M59" s="718"/>
      <c r="N59" s="718"/>
      <c r="O59" s="718"/>
      <c r="P59" s="718"/>
      <c r="Q59" s="718"/>
      <c r="R59" s="718"/>
    </row>
    <row r="60" spans="1:18" x14ac:dyDescent="0.25">
      <c r="A60" s="1209"/>
      <c r="B60" s="1222"/>
      <c r="C60" s="1225" t="str">
        <f>B6</f>
        <v>Setting O2%</v>
      </c>
      <c r="D60" s="1225"/>
      <c r="E60" s="1225"/>
      <c r="F60" s="1226" t="s">
        <v>310</v>
      </c>
      <c r="G60" s="1228" t="s">
        <v>170</v>
      </c>
      <c r="H60" s="718"/>
      <c r="I60" s="718"/>
      <c r="J60" s="718"/>
      <c r="K60" s="718"/>
      <c r="L60" s="718"/>
      <c r="M60" s="718"/>
      <c r="N60" s="718"/>
      <c r="O60" s="718"/>
      <c r="P60" s="718"/>
      <c r="Q60" s="718"/>
      <c r="R60" s="718"/>
    </row>
    <row r="61" spans="1:18" x14ac:dyDescent="0.25">
      <c r="A61" s="1209"/>
      <c r="B61" s="1222"/>
      <c r="C61" s="709" t="s">
        <v>454</v>
      </c>
      <c r="D61" s="709">
        <v>2017</v>
      </c>
      <c r="E61" s="709">
        <v>2018</v>
      </c>
      <c r="F61" s="1227"/>
      <c r="G61" s="1229"/>
      <c r="H61" s="718"/>
      <c r="I61" s="718"/>
      <c r="J61" s="718"/>
      <c r="K61" s="718"/>
      <c r="L61" s="718"/>
      <c r="M61" s="718"/>
      <c r="N61" s="718"/>
      <c r="O61" s="718"/>
      <c r="P61" s="718"/>
      <c r="Q61" s="718"/>
      <c r="R61" s="718"/>
    </row>
    <row r="62" spans="1:18" ht="15.75" customHeight="1" x14ac:dyDescent="0.25">
      <c r="A62" s="1209"/>
      <c r="B62" s="709">
        <v>1</v>
      </c>
      <c r="C62" s="709">
        <v>85</v>
      </c>
      <c r="D62" s="709">
        <f>$C$9</f>
        <v>9.9999999999999995E-7</v>
      </c>
      <c r="E62" s="709" t="str">
        <f>$D$9</f>
        <v>-</v>
      </c>
      <c r="F62" s="709">
        <f>$E$9</f>
        <v>0</v>
      </c>
      <c r="G62" s="710">
        <f>$F$9</f>
        <v>1E-4</v>
      </c>
      <c r="H62" s="718"/>
      <c r="I62" s="718"/>
      <c r="J62" s="718"/>
      <c r="K62" s="718"/>
      <c r="L62" s="718"/>
      <c r="M62" s="718"/>
      <c r="N62" s="718"/>
      <c r="O62" s="718"/>
      <c r="P62" s="718"/>
      <c r="Q62" s="718"/>
      <c r="R62" s="718"/>
    </row>
    <row r="63" spans="1:18" ht="15.75" customHeight="1" x14ac:dyDescent="0.25">
      <c r="A63" s="1209"/>
      <c r="B63" s="709">
        <v>2</v>
      </c>
      <c r="C63" s="709">
        <v>85</v>
      </c>
      <c r="D63" s="709">
        <f>$I$9</f>
        <v>9.9999999999999995E-7</v>
      </c>
      <c r="E63" s="709" t="str">
        <f>$J$9</f>
        <v>-</v>
      </c>
      <c r="F63" s="709">
        <f>$K$9</f>
        <v>0</v>
      </c>
      <c r="G63" s="710">
        <f>$L$9</f>
        <v>1E-4</v>
      </c>
      <c r="H63" s="718"/>
      <c r="I63" s="718"/>
      <c r="J63" s="718"/>
      <c r="K63" s="718"/>
      <c r="L63" s="718"/>
      <c r="M63" s="718"/>
      <c r="N63" s="718"/>
      <c r="O63" s="718"/>
      <c r="P63" s="718"/>
      <c r="Q63" s="718"/>
      <c r="R63" s="718"/>
    </row>
    <row r="64" spans="1:18" ht="15.75" customHeight="1" x14ac:dyDescent="0.25">
      <c r="A64" s="1209"/>
      <c r="B64" s="709">
        <v>3</v>
      </c>
      <c r="C64" s="709">
        <v>85</v>
      </c>
      <c r="D64" s="709">
        <f>$O$9</f>
        <v>1E-3</v>
      </c>
      <c r="E64" s="709" t="str">
        <f>$P$9</f>
        <v>-</v>
      </c>
      <c r="F64" s="709">
        <f>$Q$9</f>
        <v>0</v>
      </c>
      <c r="G64" s="710">
        <f>$R$9</f>
        <v>1E-4</v>
      </c>
      <c r="H64" s="718"/>
      <c r="I64" s="718"/>
      <c r="J64" s="718"/>
      <c r="K64" s="718"/>
      <c r="L64" s="718"/>
      <c r="M64" s="718"/>
      <c r="N64" s="718"/>
      <c r="O64" s="718"/>
      <c r="P64" s="718"/>
      <c r="Q64" s="718"/>
      <c r="R64" s="718"/>
    </row>
    <row r="65" spans="1:18" ht="15" customHeight="1" x14ac:dyDescent="0.25">
      <c r="A65" s="1209"/>
      <c r="B65" s="709">
        <v>4</v>
      </c>
      <c r="C65" s="709">
        <v>85</v>
      </c>
      <c r="D65" s="709">
        <f>$C$22</f>
        <v>9.9999999999999995E-7</v>
      </c>
      <c r="E65" s="709" t="str">
        <f>$D$22</f>
        <v>-</v>
      </c>
      <c r="F65" s="709">
        <f>$E$22</f>
        <v>0</v>
      </c>
      <c r="G65" s="710">
        <f>$F$22</f>
        <v>1E-4</v>
      </c>
      <c r="H65" s="718"/>
      <c r="I65" s="718"/>
      <c r="J65" s="718"/>
      <c r="K65" s="718"/>
      <c r="L65" s="718"/>
      <c r="M65" s="718"/>
      <c r="N65" s="718"/>
      <c r="O65" s="718"/>
      <c r="P65" s="718"/>
      <c r="Q65" s="718"/>
      <c r="R65" s="718"/>
    </row>
    <row r="66" spans="1:18" ht="15" customHeight="1" x14ac:dyDescent="0.25">
      <c r="A66" s="1209"/>
      <c r="B66" s="709">
        <v>5</v>
      </c>
      <c r="C66" s="709">
        <v>85</v>
      </c>
      <c r="D66" s="709">
        <f>$I$22</f>
        <v>9.9999999999999995E-7</v>
      </c>
      <c r="E66" s="709" t="str">
        <f>$J$22</f>
        <v>-</v>
      </c>
      <c r="F66" s="709">
        <f>$K$22</f>
        <v>0</v>
      </c>
      <c r="G66" s="710">
        <f>$L$22</f>
        <v>1E-4</v>
      </c>
      <c r="H66" s="718"/>
      <c r="I66" s="718"/>
      <c r="J66" s="718"/>
      <c r="K66" s="718"/>
      <c r="L66" s="718"/>
      <c r="M66" s="718"/>
      <c r="N66" s="718"/>
      <c r="O66" s="718"/>
      <c r="P66" s="718"/>
      <c r="Q66" s="718"/>
      <c r="R66" s="718"/>
    </row>
    <row r="67" spans="1:18" x14ac:dyDescent="0.25">
      <c r="A67" s="1209"/>
      <c r="B67" s="709">
        <v>6</v>
      </c>
      <c r="C67" s="709">
        <v>85</v>
      </c>
      <c r="D67" s="709">
        <f>$O$22</f>
        <v>9.9999999999999995E-7</v>
      </c>
      <c r="E67" s="709" t="str">
        <f>$P$22</f>
        <v>-</v>
      </c>
      <c r="F67" s="709">
        <f>$Q$22</f>
        <v>0</v>
      </c>
      <c r="G67" s="710">
        <f>$R$22</f>
        <v>1E-4</v>
      </c>
      <c r="H67" s="718"/>
      <c r="I67" s="718"/>
      <c r="J67" s="718"/>
      <c r="K67" s="718"/>
      <c r="L67" s="718"/>
      <c r="M67" s="718"/>
      <c r="N67" s="718"/>
      <c r="O67" s="718"/>
      <c r="P67" s="718"/>
      <c r="Q67" s="718"/>
      <c r="R67" s="718"/>
    </row>
    <row r="68" spans="1:18" x14ac:dyDescent="0.25">
      <c r="A68" s="1209"/>
      <c r="B68" s="709">
        <v>7</v>
      </c>
      <c r="C68" s="709">
        <v>85</v>
      </c>
      <c r="D68" s="709">
        <f>$C$36</f>
        <v>9.9999999999999995E-7</v>
      </c>
      <c r="E68" s="709" t="str">
        <f>$D$36</f>
        <v>-</v>
      </c>
      <c r="F68" s="709">
        <f>$E$36</f>
        <v>0</v>
      </c>
      <c r="G68" s="710">
        <f>$F$36</f>
        <v>1E-4</v>
      </c>
      <c r="H68" s="718"/>
      <c r="I68" s="718"/>
      <c r="J68" s="718"/>
      <c r="K68" s="718"/>
      <c r="L68" s="718"/>
      <c r="M68" s="718"/>
      <c r="N68" s="718"/>
      <c r="O68" s="718"/>
      <c r="P68" s="718"/>
      <c r="Q68" s="718"/>
      <c r="R68" s="718"/>
    </row>
    <row r="69" spans="1:18" x14ac:dyDescent="0.25">
      <c r="A69" s="1209"/>
      <c r="B69" s="709">
        <v>8</v>
      </c>
      <c r="C69" s="709">
        <v>85</v>
      </c>
      <c r="D69" s="709">
        <f>$I$36</f>
        <v>9.9999999999999995E-7</v>
      </c>
      <c r="E69" s="709" t="str">
        <f>$J$36</f>
        <v>-</v>
      </c>
      <c r="F69" s="709">
        <f>$K$36</f>
        <v>0</v>
      </c>
      <c r="G69" s="710">
        <f>$L$36</f>
        <v>1E-4</v>
      </c>
      <c r="H69" s="718"/>
      <c r="I69" s="718"/>
      <c r="J69" s="718"/>
      <c r="K69" s="718"/>
      <c r="L69" s="718"/>
      <c r="M69" s="718"/>
      <c r="N69" s="718"/>
      <c r="O69" s="718"/>
      <c r="P69" s="718"/>
      <c r="Q69" s="718"/>
      <c r="R69" s="718"/>
    </row>
    <row r="70" spans="1:18" x14ac:dyDescent="0.25">
      <c r="A70" s="1209"/>
      <c r="B70" s="709">
        <v>9</v>
      </c>
      <c r="C70" s="709">
        <v>85</v>
      </c>
      <c r="D70" s="709">
        <f>$O$36</f>
        <v>9.9999999999999995E-7</v>
      </c>
      <c r="E70" s="709" t="str">
        <f>P36</f>
        <v>-</v>
      </c>
      <c r="F70" s="709">
        <f>$Q$36</f>
        <v>0</v>
      </c>
      <c r="G70" s="710">
        <f>$R$36</f>
        <v>1E-4</v>
      </c>
      <c r="H70" s="718"/>
      <c r="I70" s="718"/>
      <c r="J70" s="718"/>
      <c r="K70" s="718"/>
      <c r="L70" s="718"/>
      <c r="M70" s="718"/>
      <c r="N70" s="718"/>
      <c r="O70" s="718"/>
      <c r="P70" s="718"/>
      <c r="Q70" s="718"/>
      <c r="R70" s="718"/>
    </row>
    <row r="71" spans="1:18" ht="17.25" customHeight="1" thickBot="1" x14ac:dyDescent="0.3">
      <c r="A71" s="1210"/>
      <c r="B71" s="711">
        <v>10</v>
      </c>
      <c r="C71" s="709">
        <v>85</v>
      </c>
      <c r="D71" s="711">
        <f>$C$49</f>
        <v>9.9999999999999995E-7</v>
      </c>
      <c r="E71" s="711" t="str">
        <f>D49</f>
        <v>-</v>
      </c>
      <c r="F71" s="711">
        <f>$E$49</f>
        <v>0</v>
      </c>
      <c r="G71" s="722">
        <f>$F$49</f>
        <v>1E-4</v>
      </c>
      <c r="H71" s="718"/>
      <c r="I71" s="718"/>
      <c r="J71" s="718"/>
      <c r="K71" s="718"/>
      <c r="L71" s="718"/>
      <c r="M71" s="718"/>
      <c r="N71" s="718"/>
      <c r="O71" s="718"/>
      <c r="P71" s="718"/>
      <c r="Q71" s="718"/>
      <c r="R71" s="718"/>
    </row>
    <row r="72" spans="1:18" ht="17.25" customHeight="1" x14ac:dyDescent="0.25">
      <c r="A72" s="1208">
        <v>90</v>
      </c>
      <c r="B72" s="712">
        <v>1</v>
      </c>
      <c r="C72" s="723">
        <v>90</v>
      </c>
      <c r="D72" s="723">
        <f>$C$10</f>
        <v>9.9999999999999995E-7</v>
      </c>
      <c r="E72" s="723" t="str">
        <f>$D$10</f>
        <v>-</v>
      </c>
      <c r="F72" s="723">
        <f>$E$10</f>
        <v>0</v>
      </c>
      <c r="G72" s="724">
        <f>$F$10</f>
        <v>1E-4</v>
      </c>
      <c r="H72" s="718"/>
      <c r="I72" s="718"/>
      <c r="J72" s="718"/>
      <c r="K72" s="718"/>
      <c r="L72" s="718"/>
      <c r="M72" s="718"/>
      <c r="N72" s="718"/>
      <c r="O72" s="718"/>
      <c r="P72" s="718"/>
      <c r="Q72" s="718"/>
      <c r="R72" s="718"/>
    </row>
    <row r="73" spans="1:18" ht="15" customHeight="1" x14ac:dyDescent="0.25">
      <c r="A73" s="1209"/>
      <c r="B73" s="709">
        <v>2</v>
      </c>
      <c r="C73" s="725">
        <v>90</v>
      </c>
      <c r="D73" s="725">
        <f>$I$10</f>
        <v>9.9999999999999995E-7</v>
      </c>
      <c r="E73" s="725" t="str">
        <f>$J$10</f>
        <v>-</v>
      </c>
      <c r="F73" s="725">
        <f>$K$10</f>
        <v>0</v>
      </c>
      <c r="G73" s="726">
        <f>$L$10</f>
        <v>1E-4</v>
      </c>
      <c r="H73" s="718"/>
      <c r="I73" s="718"/>
      <c r="J73" s="718"/>
      <c r="K73" s="718"/>
      <c r="L73" s="718"/>
      <c r="M73" s="718"/>
      <c r="N73" s="718"/>
      <c r="O73" s="718"/>
      <c r="P73" s="718"/>
      <c r="Q73" s="718"/>
      <c r="R73" s="718"/>
    </row>
    <row r="74" spans="1:18" ht="14.25" customHeight="1" x14ac:dyDescent="0.25">
      <c r="A74" s="1209"/>
      <c r="B74" s="709">
        <v>3</v>
      </c>
      <c r="C74" s="725">
        <v>90</v>
      </c>
      <c r="D74" s="725">
        <f>$O$10</f>
        <v>1E-3</v>
      </c>
      <c r="E74" s="725" t="str">
        <f>$P$10</f>
        <v>-</v>
      </c>
      <c r="F74" s="725">
        <f>$Q$10</f>
        <v>0</v>
      </c>
      <c r="G74" s="726">
        <f>$R$10</f>
        <v>1E-4</v>
      </c>
      <c r="H74" s="718"/>
      <c r="I74" s="718"/>
      <c r="J74" s="718"/>
      <c r="K74" s="718"/>
      <c r="L74" s="718"/>
      <c r="M74" s="718"/>
      <c r="N74" s="718"/>
      <c r="O74" s="718"/>
      <c r="P74" s="718"/>
      <c r="Q74" s="718"/>
      <c r="R74" s="718"/>
    </row>
    <row r="75" spans="1:18" ht="15" customHeight="1" x14ac:dyDescent="0.25">
      <c r="A75" s="1209"/>
      <c r="B75" s="709">
        <v>4</v>
      </c>
      <c r="C75" s="725">
        <v>90</v>
      </c>
      <c r="D75" s="725">
        <f>$C$23</f>
        <v>9.9999999999999995E-7</v>
      </c>
      <c r="E75" s="725" t="str">
        <f>$D$23</f>
        <v>-</v>
      </c>
      <c r="F75" s="725">
        <f>$E$23</f>
        <v>0</v>
      </c>
      <c r="G75" s="726">
        <f>$F$23</f>
        <v>1E-4</v>
      </c>
      <c r="H75" s="718"/>
      <c r="I75" s="718"/>
      <c r="J75" s="718"/>
      <c r="K75" s="718"/>
      <c r="L75" s="718"/>
      <c r="M75" s="718"/>
      <c r="N75" s="718"/>
      <c r="O75" s="718"/>
      <c r="P75" s="718"/>
      <c r="Q75" s="718"/>
      <c r="R75" s="718"/>
    </row>
    <row r="76" spans="1:18" ht="13.5" customHeight="1" x14ac:dyDescent="0.25">
      <c r="A76" s="1209"/>
      <c r="B76" s="709">
        <v>5</v>
      </c>
      <c r="C76" s="725">
        <v>90</v>
      </c>
      <c r="D76" s="709">
        <f>$I$23</f>
        <v>9.9999999999999995E-7</v>
      </c>
      <c r="E76" s="709" t="str">
        <f>$J$23</f>
        <v>-</v>
      </c>
      <c r="F76" s="709">
        <f>$K$23</f>
        <v>0</v>
      </c>
      <c r="G76" s="710">
        <f>$L$23</f>
        <v>1E-4</v>
      </c>
      <c r="H76" s="718"/>
      <c r="I76" s="718"/>
      <c r="J76" s="718"/>
      <c r="K76" s="718"/>
      <c r="L76" s="718"/>
      <c r="M76" s="718"/>
      <c r="N76" s="718"/>
      <c r="O76" s="718"/>
      <c r="P76" s="718"/>
      <c r="Q76" s="718"/>
      <c r="R76" s="718"/>
    </row>
    <row r="77" spans="1:18" ht="12.75" customHeight="1" x14ac:dyDescent="0.25">
      <c r="A77" s="1209"/>
      <c r="B77" s="709">
        <v>6</v>
      </c>
      <c r="C77" s="725">
        <v>90</v>
      </c>
      <c r="D77" s="727">
        <f>$O$23</f>
        <v>9.9999999999999995E-7</v>
      </c>
      <c r="E77" s="727" t="str">
        <f>$P$23</f>
        <v>-</v>
      </c>
      <c r="F77" s="727">
        <f>Q23</f>
        <v>0</v>
      </c>
      <c r="G77" s="728">
        <f>R23</f>
        <v>1E-4</v>
      </c>
      <c r="H77" s="718"/>
      <c r="I77" s="718"/>
      <c r="J77" s="718"/>
      <c r="K77" s="718"/>
      <c r="L77" s="718"/>
      <c r="M77" s="718"/>
      <c r="N77" s="718"/>
      <c r="O77" s="718"/>
      <c r="P77" s="718"/>
      <c r="Q77" s="718"/>
      <c r="R77" s="718"/>
    </row>
    <row r="78" spans="1:18" ht="12.75" customHeight="1" x14ac:dyDescent="0.25">
      <c r="A78" s="1209"/>
      <c r="B78" s="709">
        <v>7</v>
      </c>
      <c r="C78" s="725">
        <v>90</v>
      </c>
      <c r="D78" s="725">
        <f>$C$37</f>
        <v>9.9999999999999995E-7</v>
      </c>
      <c r="E78" s="725" t="str">
        <f>$D$37</f>
        <v>-</v>
      </c>
      <c r="F78" s="725">
        <f>E37</f>
        <v>0</v>
      </c>
      <c r="G78" s="726">
        <f>F37</f>
        <v>1E-4</v>
      </c>
      <c r="H78" s="718"/>
      <c r="I78" s="718"/>
      <c r="J78" s="718"/>
      <c r="K78" s="718"/>
      <c r="L78" s="718"/>
      <c r="M78" s="718"/>
      <c r="N78" s="718"/>
      <c r="O78" s="718"/>
      <c r="P78" s="718"/>
      <c r="Q78" s="718"/>
      <c r="R78" s="718"/>
    </row>
    <row r="79" spans="1:18" ht="12.75" customHeight="1" x14ac:dyDescent="0.25">
      <c r="A79" s="1209"/>
      <c r="B79" s="709">
        <v>8</v>
      </c>
      <c r="C79" s="725">
        <v>90</v>
      </c>
      <c r="D79" s="725">
        <f>$I$37</f>
        <v>9.9999999999999995E-7</v>
      </c>
      <c r="E79" s="725" t="str">
        <f>$J$37</f>
        <v>-</v>
      </c>
      <c r="F79" s="725">
        <f>K37</f>
        <v>0</v>
      </c>
      <c r="G79" s="726">
        <f>L37</f>
        <v>1E-4</v>
      </c>
      <c r="H79" s="718"/>
      <c r="I79" s="718"/>
      <c r="J79" s="718"/>
      <c r="K79" s="718"/>
      <c r="L79" s="718"/>
      <c r="M79" s="718"/>
      <c r="N79" s="718"/>
      <c r="O79" s="718"/>
      <c r="P79" s="718"/>
      <c r="Q79" s="718"/>
      <c r="R79" s="718"/>
    </row>
    <row r="80" spans="1:18" ht="15" customHeight="1" x14ac:dyDescent="0.25">
      <c r="A80" s="1209"/>
      <c r="B80" s="709">
        <v>9</v>
      </c>
      <c r="C80" s="725">
        <v>90</v>
      </c>
      <c r="D80" s="725">
        <f>$O$37</f>
        <v>9.9999999999999995E-7</v>
      </c>
      <c r="E80" s="725" t="str">
        <f>$P$37</f>
        <v>-</v>
      </c>
      <c r="F80" s="725">
        <f>Q37</f>
        <v>0</v>
      </c>
      <c r="G80" s="726">
        <f>R37</f>
        <v>1E-4</v>
      </c>
      <c r="H80" s="718"/>
      <c r="I80" s="718"/>
      <c r="J80" s="718"/>
      <c r="K80" s="718"/>
      <c r="L80" s="718"/>
      <c r="M80" s="718"/>
      <c r="N80" s="718"/>
      <c r="O80" s="718"/>
      <c r="P80" s="718"/>
      <c r="Q80" s="718"/>
      <c r="R80" s="718"/>
    </row>
    <row r="81" spans="1:18" ht="15" customHeight="1" thickBot="1" x14ac:dyDescent="0.3">
      <c r="A81" s="1210"/>
      <c r="B81" s="711">
        <v>10</v>
      </c>
      <c r="C81" s="725">
        <v>90</v>
      </c>
      <c r="D81" s="711">
        <f>$C$50</f>
        <v>9.9999999999999995E-7</v>
      </c>
      <c r="E81" s="711" t="str">
        <f>$D$50</f>
        <v>-</v>
      </c>
      <c r="F81" s="711">
        <f>E50</f>
        <v>0</v>
      </c>
      <c r="G81" s="722">
        <f>F50</f>
        <v>1E-4</v>
      </c>
      <c r="H81" s="718"/>
      <c r="I81" s="718"/>
      <c r="J81" s="718"/>
      <c r="K81" s="718"/>
      <c r="L81" s="718"/>
      <c r="M81" s="718"/>
      <c r="N81" s="718"/>
      <c r="O81" s="718"/>
      <c r="P81" s="718"/>
      <c r="Q81" s="718"/>
      <c r="R81" s="718"/>
    </row>
    <row r="82" spans="1:18" ht="15" customHeight="1" x14ac:dyDescent="0.25">
      <c r="A82" s="1208">
        <v>95</v>
      </c>
      <c r="B82" s="712">
        <v>1</v>
      </c>
      <c r="C82" s="723">
        <v>95</v>
      </c>
      <c r="D82" s="723">
        <f>$C$11</f>
        <v>9.9999999999999995E-7</v>
      </c>
      <c r="E82" s="723" t="str">
        <f>$D$11</f>
        <v>-</v>
      </c>
      <c r="F82" s="723">
        <f>$E$11</f>
        <v>0</v>
      </c>
      <c r="G82" s="724">
        <f>$F$11</f>
        <v>1E-4</v>
      </c>
      <c r="H82" s="718"/>
      <c r="I82" s="718"/>
      <c r="J82" s="718"/>
      <c r="K82" s="718"/>
      <c r="L82" s="718"/>
      <c r="M82" s="718"/>
      <c r="N82" s="718"/>
      <c r="O82" s="718"/>
      <c r="P82" s="718"/>
      <c r="Q82" s="718"/>
      <c r="R82" s="718"/>
    </row>
    <row r="83" spans="1:18" ht="14.25" customHeight="1" x14ac:dyDescent="0.25">
      <c r="A83" s="1209"/>
      <c r="B83" s="709">
        <v>2</v>
      </c>
      <c r="C83" s="725">
        <v>95</v>
      </c>
      <c r="D83" s="725">
        <f>$I$11</f>
        <v>9.9999999999999995E-7</v>
      </c>
      <c r="E83" s="725" t="str">
        <f>$J$11</f>
        <v>-</v>
      </c>
      <c r="F83" s="725">
        <f>$K$11</f>
        <v>0</v>
      </c>
      <c r="G83" s="726">
        <f>$L$11</f>
        <v>1E-4</v>
      </c>
      <c r="H83" s="718"/>
      <c r="I83" s="718"/>
      <c r="J83" s="718"/>
      <c r="K83" s="718"/>
      <c r="L83" s="718"/>
      <c r="M83" s="718"/>
      <c r="N83" s="718"/>
      <c r="O83" s="718"/>
      <c r="P83" s="718"/>
      <c r="Q83" s="718"/>
      <c r="R83" s="718"/>
    </row>
    <row r="84" spans="1:18" ht="13.5" customHeight="1" x14ac:dyDescent="0.25">
      <c r="A84" s="1209"/>
      <c r="B84" s="709">
        <v>3</v>
      </c>
      <c r="C84" s="725">
        <v>95</v>
      </c>
      <c r="D84" s="725">
        <f>$O$11</f>
        <v>1E-3</v>
      </c>
      <c r="E84" s="725" t="str">
        <f>$P$11</f>
        <v>-</v>
      </c>
      <c r="F84" s="725">
        <f>$Q$11</f>
        <v>0</v>
      </c>
      <c r="G84" s="726">
        <f>$R$11</f>
        <v>1E-4</v>
      </c>
      <c r="H84" s="718"/>
      <c r="I84" s="718"/>
      <c r="J84" s="718"/>
      <c r="K84" s="718"/>
      <c r="L84" s="718"/>
      <c r="M84" s="718"/>
      <c r="N84" s="718"/>
      <c r="O84" s="718"/>
      <c r="P84" s="718"/>
      <c r="Q84" s="718"/>
      <c r="R84" s="718"/>
    </row>
    <row r="85" spans="1:18" ht="13.5" customHeight="1" x14ac:dyDescent="0.25">
      <c r="A85" s="1209"/>
      <c r="B85" s="709">
        <v>4</v>
      </c>
      <c r="C85" s="725">
        <v>95</v>
      </c>
      <c r="D85" s="725">
        <f>$C$24</f>
        <v>9.9999999999999995E-7</v>
      </c>
      <c r="E85" s="725" t="str">
        <f>$D$24</f>
        <v>-</v>
      </c>
      <c r="F85" s="725">
        <f>$E$24</f>
        <v>0</v>
      </c>
      <c r="G85" s="726">
        <f>$F$24</f>
        <v>1E-4</v>
      </c>
      <c r="H85" s="718"/>
      <c r="I85" s="718"/>
      <c r="J85" s="718"/>
      <c r="K85" s="718"/>
      <c r="L85" s="718"/>
      <c r="M85" s="718"/>
      <c r="N85" s="718"/>
      <c r="O85" s="718"/>
      <c r="P85" s="718"/>
      <c r="Q85" s="718"/>
      <c r="R85" s="718"/>
    </row>
    <row r="86" spans="1:18" ht="14.25" customHeight="1" x14ac:dyDescent="0.25">
      <c r="A86" s="1209"/>
      <c r="B86" s="709">
        <v>5</v>
      </c>
      <c r="C86" s="725">
        <v>95</v>
      </c>
      <c r="D86" s="709">
        <f>$I$24</f>
        <v>9.9999999999999995E-7</v>
      </c>
      <c r="E86" s="709" t="str">
        <f>$J$24</f>
        <v>-</v>
      </c>
      <c r="F86" s="709">
        <f>$K$24</f>
        <v>0</v>
      </c>
      <c r="G86" s="710">
        <f>$L$24</f>
        <v>1E-4</v>
      </c>
      <c r="H86" s="718"/>
      <c r="I86" s="718"/>
      <c r="J86" s="718"/>
      <c r="K86" s="718"/>
      <c r="L86" s="718"/>
      <c r="M86" s="718"/>
      <c r="N86" s="718"/>
      <c r="O86" s="718"/>
      <c r="P86" s="718"/>
      <c r="Q86" s="718"/>
      <c r="R86" s="718"/>
    </row>
    <row r="87" spans="1:18" x14ac:dyDescent="0.25">
      <c r="A87" s="1209"/>
      <c r="B87" s="709">
        <v>6</v>
      </c>
      <c r="C87" s="725">
        <v>95</v>
      </c>
      <c r="D87" s="727">
        <f>$O$24</f>
        <v>9.9999999999999995E-7</v>
      </c>
      <c r="E87" s="727" t="str">
        <f>P11</f>
        <v>-</v>
      </c>
      <c r="F87" s="727">
        <f>Q24</f>
        <v>0</v>
      </c>
      <c r="G87" s="728">
        <f>R24</f>
        <v>1E-4</v>
      </c>
      <c r="H87" s="718"/>
      <c r="I87" s="718"/>
      <c r="J87" s="718"/>
      <c r="K87" s="718"/>
      <c r="L87" s="718"/>
      <c r="M87" s="718"/>
      <c r="N87" s="718"/>
      <c r="O87" s="718"/>
      <c r="P87" s="718"/>
      <c r="Q87" s="718"/>
      <c r="R87" s="718"/>
    </row>
    <row r="88" spans="1:18" x14ac:dyDescent="0.25">
      <c r="A88" s="1209"/>
      <c r="B88" s="709">
        <v>7</v>
      </c>
      <c r="C88" s="725">
        <v>95</v>
      </c>
      <c r="D88" s="725">
        <f>$C$38</f>
        <v>9.9999999999999995E-7</v>
      </c>
      <c r="E88" s="725" t="str">
        <f>D38</f>
        <v>-</v>
      </c>
      <c r="F88" s="725">
        <f>E38</f>
        <v>0</v>
      </c>
      <c r="G88" s="726">
        <f>F38</f>
        <v>1E-4</v>
      </c>
      <c r="H88" s="718"/>
      <c r="I88" s="718"/>
      <c r="J88" s="718"/>
      <c r="K88" s="718"/>
      <c r="L88" s="718"/>
      <c r="M88" s="718"/>
      <c r="N88" s="718"/>
      <c r="O88" s="718"/>
      <c r="P88" s="718"/>
      <c r="Q88" s="718"/>
      <c r="R88" s="718"/>
    </row>
    <row r="89" spans="1:18" x14ac:dyDescent="0.25">
      <c r="A89" s="1209"/>
      <c r="B89" s="709">
        <v>8</v>
      </c>
      <c r="C89" s="725">
        <v>95</v>
      </c>
      <c r="D89" s="725">
        <f>$I$38</f>
        <v>9.9999999999999995E-7</v>
      </c>
      <c r="E89" s="725" t="str">
        <f>J38</f>
        <v>-</v>
      </c>
      <c r="F89" s="725">
        <f>K38</f>
        <v>0</v>
      </c>
      <c r="G89" s="726">
        <f>L38</f>
        <v>1E-4</v>
      </c>
      <c r="H89" s="718"/>
      <c r="I89" s="718"/>
      <c r="J89" s="718"/>
      <c r="K89" s="718"/>
      <c r="L89" s="718"/>
      <c r="M89" s="718"/>
      <c r="N89" s="718"/>
      <c r="O89" s="718"/>
      <c r="P89" s="718"/>
      <c r="Q89" s="718"/>
      <c r="R89" s="718"/>
    </row>
    <row r="90" spans="1:18" x14ac:dyDescent="0.25">
      <c r="A90" s="1209"/>
      <c r="B90" s="709">
        <v>9</v>
      </c>
      <c r="C90" s="725">
        <v>95</v>
      </c>
      <c r="D90" s="725">
        <f>$O$38</f>
        <v>9.9999999999999995E-7</v>
      </c>
      <c r="E90" s="725" t="str">
        <f>P38</f>
        <v>-</v>
      </c>
      <c r="F90" s="725">
        <f>Q38</f>
        <v>0</v>
      </c>
      <c r="G90" s="726">
        <f>R38</f>
        <v>1E-4</v>
      </c>
      <c r="H90" s="718"/>
      <c r="I90" s="718"/>
      <c r="J90" s="718"/>
      <c r="K90" s="718"/>
      <c r="L90" s="718"/>
      <c r="M90" s="718"/>
      <c r="N90" s="718"/>
      <c r="O90" s="718"/>
      <c r="P90" s="718"/>
      <c r="Q90" s="718"/>
      <c r="R90" s="718"/>
    </row>
    <row r="91" spans="1:18" ht="14.4" thickBot="1" x14ac:dyDescent="0.3">
      <c r="A91" s="1209"/>
      <c r="B91" s="713">
        <v>10</v>
      </c>
      <c r="C91" s="725">
        <v>95</v>
      </c>
      <c r="D91" s="713">
        <f>$C$51</f>
        <v>9.9999999999999995E-7</v>
      </c>
      <c r="E91" s="713" t="str">
        <f>D51</f>
        <v>-</v>
      </c>
      <c r="F91" s="713">
        <f>E51</f>
        <v>0</v>
      </c>
      <c r="G91" s="729">
        <f>F51</f>
        <v>1E-4</v>
      </c>
      <c r="H91" s="718"/>
      <c r="I91" s="718"/>
      <c r="J91" s="718"/>
      <c r="K91" s="718"/>
      <c r="L91" s="718"/>
      <c r="M91" s="718"/>
      <c r="N91" s="718"/>
      <c r="O91" s="718"/>
      <c r="P91" s="718"/>
      <c r="Q91" s="718"/>
      <c r="R91" s="718"/>
    </row>
    <row r="92" spans="1:18" ht="15.75" customHeight="1" x14ac:dyDescent="0.25">
      <c r="A92" s="1208">
        <v>97</v>
      </c>
      <c r="B92" s="714">
        <v>1</v>
      </c>
      <c r="C92" s="730">
        <v>97</v>
      </c>
      <c r="D92" s="723">
        <f>$C$12</f>
        <v>9.9999999999999995E-7</v>
      </c>
      <c r="E92" s="723" t="str">
        <f>$D$12</f>
        <v>-</v>
      </c>
      <c r="F92" s="723">
        <f>$E$12</f>
        <v>0</v>
      </c>
      <c r="G92" s="724">
        <f>$F$12</f>
        <v>1E-4</v>
      </c>
      <c r="H92" s="718"/>
      <c r="I92" s="718"/>
      <c r="J92" s="718"/>
      <c r="K92" s="718"/>
      <c r="L92" s="718"/>
      <c r="M92" s="718"/>
      <c r="N92" s="718"/>
      <c r="O92" s="718"/>
      <c r="P92" s="718"/>
      <c r="Q92" s="718"/>
      <c r="R92" s="718"/>
    </row>
    <row r="93" spans="1:18" ht="12.75" customHeight="1" x14ac:dyDescent="0.25">
      <c r="A93" s="1209"/>
      <c r="B93" s="715">
        <v>2</v>
      </c>
      <c r="C93" s="731">
        <v>97</v>
      </c>
      <c r="D93" s="725">
        <f>$I$12</f>
        <v>9.9999999999999995E-7</v>
      </c>
      <c r="E93" s="725" t="str">
        <f>$J$12</f>
        <v>-</v>
      </c>
      <c r="F93" s="725">
        <f>$K$12</f>
        <v>0</v>
      </c>
      <c r="G93" s="726">
        <f>$L$12</f>
        <v>1E-4</v>
      </c>
      <c r="H93" s="718"/>
      <c r="I93" s="718"/>
      <c r="J93" s="718"/>
      <c r="K93" s="718"/>
      <c r="L93" s="718"/>
      <c r="M93" s="718"/>
      <c r="N93" s="718"/>
      <c r="O93" s="718"/>
      <c r="P93" s="718"/>
      <c r="Q93" s="718"/>
      <c r="R93" s="718"/>
    </row>
    <row r="94" spans="1:18" ht="16.5" customHeight="1" x14ac:dyDescent="0.25">
      <c r="A94" s="1209"/>
      <c r="B94" s="715">
        <v>3</v>
      </c>
      <c r="C94" s="731">
        <v>97</v>
      </c>
      <c r="D94" s="725">
        <f>$O$12</f>
        <v>1E-3</v>
      </c>
      <c r="E94" s="725" t="str">
        <f>$P$12</f>
        <v>-</v>
      </c>
      <c r="F94" s="725">
        <f>$Q$12</f>
        <v>0</v>
      </c>
      <c r="G94" s="726">
        <f>$R$12</f>
        <v>1E-4</v>
      </c>
      <c r="H94" s="718"/>
      <c r="I94" s="718"/>
      <c r="J94" s="718"/>
      <c r="K94" s="718"/>
      <c r="L94" s="718"/>
      <c r="M94" s="718"/>
      <c r="N94" s="718"/>
      <c r="O94" s="718"/>
      <c r="P94" s="718"/>
      <c r="Q94" s="718"/>
      <c r="R94" s="718"/>
    </row>
    <row r="95" spans="1:18" ht="12.75" customHeight="1" x14ac:dyDescent="0.25">
      <c r="A95" s="1209"/>
      <c r="B95" s="715">
        <v>4</v>
      </c>
      <c r="C95" s="731">
        <v>97</v>
      </c>
      <c r="D95" s="732">
        <f>$C$25</f>
        <v>9.9999999999999995E-7</v>
      </c>
      <c r="E95" s="725" t="str">
        <f>$D$25</f>
        <v>-</v>
      </c>
      <c r="F95" s="725">
        <f>$E$25</f>
        <v>0</v>
      </c>
      <c r="G95" s="726">
        <f>$F$25</f>
        <v>1E-4</v>
      </c>
      <c r="H95" s="718"/>
      <c r="I95" s="718"/>
      <c r="J95" s="718"/>
      <c r="K95" s="718"/>
      <c r="L95" s="718"/>
      <c r="M95" s="718"/>
      <c r="N95" s="718"/>
      <c r="O95" s="718"/>
      <c r="P95" s="718"/>
      <c r="Q95" s="718"/>
      <c r="R95" s="718"/>
    </row>
    <row r="96" spans="1:18" ht="12.75" customHeight="1" x14ac:dyDescent="0.25">
      <c r="A96" s="1209"/>
      <c r="B96" s="715">
        <v>5</v>
      </c>
      <c r="C96" s="731">
        <v>97</v>
      </c>
      <c r="D96" s="709">
        <f>$I$25</f>
        <v>9.9999999999999995E-7</v>
      </c>
      <c r="E96" s="709" t="str">
        <f>$J$25</f>
        <v>-</v>
      </c>
      <c r="F96" s="709">
        <f>$K$25</f>
        <v>0</v>
      </c>
      <c r="G96" s="710">
        <f>$L$25</f>
        <v>1E-4</v>
      </c>
      <c r="H96" s="718"/>
      <c r="I96" s="718"/>
      <c r="J96" s="718"/>
      <c r="K96" s="718"/>
      <c r="L96" s="718"/>
      <c r="M96" s="718"/>
      <c r="N96" s="718"/>
      <c r="O96" s="718"/>
      <c r="P96" s="718"/>
      <c r="Q96" s="718"/>
      <c r="R96" s="718"/>
    </row>
    <row r="97" spans="1:18" x14ac:dyDescent="0.25">
      <c r="A97" s="1209"/>
      <c r="B97" s="715">
        <v>6</v>
      </c>
      <c r="C97" s="731">
        <v>97</v>
      </c>
      <c r="D97" s="727">
        <f>$O$25</f>
        <v>9.9999999999999995E-7</v>
      </c>
      <c r="E97" s="727" t="str">
        <f>P25</f>
        <v>-</v>
      </c>
      <c r="F97" s="727">
        <f>Q25</f>
        <v>0</v>
      </c>
      <c r="G97" s="726">
        <f>R25</f>
        <v>1E-4</v>
      </c>
      <c r="H97" s="718"/>
      <c r="I97" s="718"/>
      <c r="J97" s="718"/>
      <c r="K97" s="718"/>
      <c r="L97" s="718"/>
      <c r="M97" s="718"/>
      <c r="N97" s="718"/>
      <c r="O97" s="718"/>
      <c r="P97" s="718"/>
      <c r="Q97" s="718"/>
      <c r="R97" s="718"/>
    </row>
    <row r="98" spans="1:18" x14ac:dyDescent="0.25">
      <c r="A98" s="1209"/>
      <c r="B98" s="715">
        <v>7</v>
      </c>
      <c r="C98" s="731">
        <v>97</v>
      </c>
      <c r="D98" s="725">
        <f>$C$39</f>
        <v>9.9999999999999995E-7</v>
      </c>
      <c r="E98" s="725" t="str">
        <f>D39</f>
        <v>-</v>
      </c>
      <c r="F98" s="725">
        <f>E39</f>
        <v>0</v>
      </c>
      <c r="G98" s="726">
        <f>F39</f>
        <v>1E-4</v>
      </c>
      <c r="H98" s="718"/>
      <c r="I98" s="718"/>
      <c r="J98" s="718"/>
      <c r="K98" s="718"/>
      <c r="L98" s="718"/>
      <c r="M98" s="718"/>
      <c r="N98" s="718"/>
      <c r="O98" s="718"/>
      <c r="P98" s="718"/>
      <c r="Q98" s="718"/>
      <c r="R98" s="718"/>
    </row>
    <row r="99" spans="1:18" x14ac:dyDescent="0.25">
      <c r="A99" s="1209"/>
      <c r="B99" s="715">
        <v>8</v>
      </c>
      <c r="C99" s="731">
        <v>97</v>
      </c>
      <c r="D99" s="725">
        <f>$I$39</f>
        <v>9.9999999999999995E-7</v>
      </c>
      <c r="E99" s="725" t="str">
        <f>J39</f>
        <v>-</v>
      </c>
      <c r="F99" s="725">
        <f>K39</f>
        <v>0</v>
      </c>
      <c r="G99" s="726">
        <f>L39</f>
        <v>1E-4</v>
      </c>
      <c r="H99" s="718"/>
      <c r="I99" s="718"/>
      <c r="J99" s="718"/>
      <c r="K99" s="718"/>
      <c r="L99" s="718"/>
      <c r="M99" s="718"/>
      <c r="N99" s="718"/>
      <c r="O99" s="718"/>
      <c r="P99" s="718"/>
      <c r="Q99" s="718"/>
      <c r="R99" s="718"/>
    </row>
    <row r="100" spans="1:18" x14ac:dyDescent="0.25">
      <c r="A100" s="1209"/>
      <c r="B100" s="715">
        <v>9</v>
      </c>
      <c r="C100" s="731">
        <v>97</v>
      </c>
      <c r="D100" s="725">
        <f>$O$39</f>
        <v>9.9999999999999995E-7</v>
      </c>
      <c r="E100" s="725" t="str">
        <f>P39</f>
        <v>-</v>
      </c>
      <c r="F100" s="725">
        <f>Q39</f>
        <v>0</v>
      </c>
      <c r="G100" s="726">
        <f>R39</f>
        <v>1E-4</v>
      </c>
      <c r="H100" s="718"/>
      <c r="I100" s="718"/>
      <c r="J100" s="718"/>
      <c r="K100" s="718"/>
      <c r="L100" s="718"/>
      <c r="M100" s="718"/>
      <c r="N100" s="718"/>
      <c r="O100" s="718"/>
      <c r="P100" s="718"/>
      <c r="Q100" s="718"/>
      <c r="R100" s="718"/>
    </row>
    <row r="101" spans="1:18" ht="14.4" thickBot="1" x14ac:dyDescent="0.3">
      <c r="A101" s="1210"/>
      <c r="B101" s="716">
        <v>10</v>
      </c>
      <c r="C101" s="731">
        <v>97</v>
      </c>
      <c r="D101" s="711">
        <f>$C$52</f>
        <v>9.9999999999999995E-7</v>
      </c>
      <c r="E101" s="733" t="str">
        <f>D52</f>
        <v>-</v>
      </c>
      <c r="F101" s="711">
        <f>E52</f>
        <v>0</v>
      </c>
      <c r="G101" s="722">
        <f>F52</f>
        <v>1E-4</v>
      </c>
      <c r="H101" s="718"/>
      <c r="I101" s="718"/>
      <c r="J101" s="718"/>
      <c r="K101" s="718"/>
      <c r="L101" s="718"/>
      <c r="M101" s="718"/>
      <c r="N101" s="718"/>
      <c r="O101" s="718"/>
      <c r="P101" s="718"/>
      <c r="Q101" s="718"/>
      <c r="R101" s="718"/>
    </row>
    <row r="102" spans="1:18" x14ac:dyDescent="0.25">
      <c r="A102" s="1208">
        <v>98</v>
      </c>
      <c r="B102" s="714">
        <v>1</v>
      </c>
      <c r="C102" s="730">
        <v>98</v>
      </c>
      <c r="D102" s="723">
        <f>C13</f>
        <v>9.9999999999999995E-7</v>
      </c>
      <c r="E102" s="723" t="str">
        <f>D13</f>
        <v>-</v>
      </c>
      <c r="F102" s="723">
        <f>E13</f>
        <v>0</v>
      </c>
      <c r="G102" s="724">
        <f>F13</f>
        <v>1E-4</v>
      </c>
      <c r="H102" s="718"/>
      <c r="I102" s="718"/>
      <c r="J102" s="718"/>
      <c r="K102" s="718"/>
      <c r="L102" s="718"/>
      <c r="M102" s="718"/>
      <c r="N102" s="718"/>
      <c r="O102" s="718"/>
      <c r="P102" s="718"/>
      <c r="Q102" s="718"/>
      <c r="R102" s="718"/>
    </row>
    <row r="103" spans="1:18" x14ac:dyDescent="0.25">
      <c r="A103" s="1209"/>
      <c r="B103" s="715">
        <v>2</v>
      </c>
      <c r="C103" s="731">
        <v>98</v>
      </c>
      <c r="D103" s="725">
        <f>I13</f>
        <v>9.9999999999999995E-7</v>
      </c>
      <c r="E103" s="725" t="str">
        <f>J13</f>
        <v>-</v>
      </c>
      <c r="F103" s="725">
        <f>K13</f>
        <v>0</v>
      </c>
      <c r="G103" s="726">
        <f>L13</f>
        <v>1E-4</v>
      </c>
      <c r="H103" s="718"/>
      <c r="I103" s="718"/>
      <c r="J103" s="718"/>
      <c r="K103" s="718"/>
      <c r="L103" s="718"/>
      <c r="M103" s="718"/>
      <c r="N103" s="718"/>
      <c r="O103" s="718"/>
      <c r="P103" s="718"/>
      <c r="Q103" s="718"/>
      <c r="R103" s="718"/>
    </row>
    <row r="104" spans="1:18" x14ac:dyDescent="0.25">
      <c r="A104" s="1209"/>
      <c r="B104" s="715">
        <v>3</v>
      </c>
      <c r="C104" s="731">
        <v>98</v>
      </c>
      <c r="D104" s="725">
        <f>O13</f>
        <v>1E-3</v>
      </c>
      <c r="E104" s="725" t="str">
        <f>P13</f>
        <v>-</v>
      </c>
      <c r="F104" s="725">
        <f>Q13</f>
        <v>0</v>
      </c>
      <c r="G104" s="726">
        <f>R13</f>
        <v>1E-4</v>
      </c>
      <c r="H104" s="718"/>
      <c r="I104" s="718"/>
      <c r="J104" s="718"/>
      <c r="K104" s="718"/>
      <c r="L104" s="718"/>
      <c r="M104" s="718"/>
      <c r="N104" s="718"/>
      <c r="O104" s="718"/>
      <c r="P104" s="718"/>
      <c r="Q104" s="718"/>
      <c r="R104" s="718"/>
    </row>
    <row r="105" spans="1:18" x14ac:dyDescent="0.25">
      <c r="A105" s="1209"/>
      <c r="B105" s="715">
        <v>4</v>
      </c>
      <c r="C105" s="731">
        <v>98</v>
      </c>
      <c r="D105" s="732">
        <f>C26</f>
        <v>9.9999999999999995E-7</v>
      </c>
      <c r="E105" s="725" t="str">
        <f>D26</f>
        <v>-</v>
      </c>
      <c r="F105" s="725">
        <f>E26</f>
        <v>0</v>
      </c>
      <c r="G105" s="726">
        <f>F26</f>
        <v>1E-4</v>
      </c>
      <c r="H105" s="718"/>
      <c r="I105" s="718"/>
      <c r="J105" s="718"/>
      <c r="K105" s="718"/>
      <c r="L105" s="718"/>
      <c r="M105" s="718"/>
      <c r="N105" s="718"/>
      <c r="O105" s="718"/>
      <c r="P105" s="718"/>
      <c r="Q105" s="718"/>
      <c r="R105" s="718"/>
    </row>
    <row r="106" spans="1:18" x14ac:dyDescent="0.25">
      <c r="A106" s="1209"/>
      <c r="B106" s="715">
        <v>5</v>
      </c>
      <c r="C106" s="731">
        <v>98</v>
      </c>
      <c r="D106" s="709">
        <f>I26</f>
        <v>9.9999999999999995E-7</v>
      </c>
      <c r="E106" s="709" t="str">
        <f>J26</f>
        <v>-</v>
      </c>
      <c r="F106" s="709">
        <f>K26</f>
        <v>0</v>
      </c>
      <c r="G106" s="710">
        <f>L26</f>
        <v>1E-4</v>
      </c>
      <c r="H106" s="718"/>
      <c r="I106" s="718"/>
      <c r="J106" s="718"/>
      <c r="K106" s="718"/>
      <c r="L106" s="718"/>
      <c r="M106" s="718"/>
      <c r="N106" s="718"/>
      <c r="O106" s="718"/>
      <c r="P106" s="718"/>
      <c r="Q106" s="718"/>
      <c r="R106" s="718"/>
    </row>
    <row r="107" spans="1:18" x14ac:dyDescent="0.25">
      <c r="A107" s="1209"/>
      <c r="B107" s="715">
        <v>6</v>
      </c>
      <c r="C107" s="731">
        <v>98</v>
      </c>
      <c r="D107" s="727">
        <f>O26</f>
        <v>9.9999999999999995E-7</v>
      </c>
      <c r="E107" s="727" t="str">
        <f>P26</f>
        <v>-</v>
      </c>
      <c r="F107" s="727">
        <f>Q26</f>
        <v>0</v>
      </c>
      <c r="G107" s="726">
        <f>R26</f>
        <v>1E-4</v>
      </c>
      <c r="H107" s="718"/>
      <c r="I107" s="718"/>
      <c r="J107" s="718"/>
      <c r="K107" s="718"/>
      <c r="L107" s="718"/>
      <c r="M107" s="718"/>
      <c r="N107" s="718"/>
      <c r="O107" s="718"/>
      <c r="P107" s="718"/>
      <c r="Q107" s="718"/>
      <c r="R107" s="718"/>
    </row>
    <row r="108" spans="1:18" x14ac:dyDescent="0.25">
      <c r="A108" s="1209"/>
      <c r="B108" s="715">
        <v>7</v>
      </c>
      <c r="C108" s="731">
        <v>98</v>
      </c>
      <c r="D108" s="725">
        <f>C40</f>
        <v>9.9999999999999995E-7</v>
      </c>
      <c r="E108" s="725" t="str">
        <f>D40</f>
        <v>-</v>
      </c>
      <c r="F108" s="725">
        <f>E40</f>
        <v>0</v>
      </c>
      <c r="G108" s="726">
        <f>F40</f>
        <v>1E-4</v>
      </c>
      <c r="H108" s="718"/>
      <c r="I108" s="718"/>
      <c r="J108" s="718"/>
      <c r="K108" s="718"/>
      <c r="L108" s="718"/>
      <c r="M108" s="718"/>
      <c r="N108" s="718"/>
      <c r="O108" s="718"/>
      <c r="P108" s="718"/>
      <c r="Q108" s="718"/>
      <c r="R108" s="718"/>
    </row>
    <row r="109" spans="1:18" x14ac:dyDescent="0.25">
      <c r="A109" s="1209"/>
      <c r="B109" s="715">
        <v>8</v>
      </c>
      <c r="C109" s="731">
        <v>98</v>
      </c>
      <c r="D109" s="725">
        <f>I40</f>
        <v>9.9999999999999995E-7</v>
      </c>
      <c r="E109" s="725" t="str">
        <f>J40</f>
        <v>-</v>
      </c>
      <c r="F109" s="725">
        <f>K40</f>
        <v>0</v>
      </c>
      <c r="G109" s="726">
        <f>L40</f>
        <v>1E-4</v>
      </c>
      <c r="H109" s="718"/>
      <c r="I109" s="718"/>
      <c r="J109" s="718"/>
      <c r="K109" s="718"/>
      <c r="L109" s="718"/>
      <c r="M109" s="718"/>
      <c r="N109" s="718"/>
      <c r="O109" s="718"/>
      <c r="P109" s="718"/>
      <c r="Q109" s="718"/>
      <c r="R109" s="718"/>
    </row>
    <row r="110" spans="1:18" x14ac:dyDescent="0.25">
      <c r="A110" s="1209"/>
      <c r="B110" s="715">
        <v>9</v>
      </c>
      <c r="C110" s="731">
        <v>98</v>
      </c>
      <c r="D110" s="725">
        <f>O40</f>
        <v>9.9999999999999995E-7</v>
      </c>
      <c r="E110" s="725" t="str">
        <f>P40</f>
        <v>-</v>
      </c>
      <c r="F110" s="725">
        <f>Q40</f>
        <v>0</v>
      </c>
      <c r="G110" s="726">
        <f>R40</f>
        <v>1E-4</v>
      </c>
      <c r="H110" s="718"/>
      <c r="I110" s="718"/>
      <c r="J110" s="718"/>
      <c r="K110" s="718"/>
      <c r="L110" s="718"/>
      <c r="M110" s="718"/>
      <c r="N110" s="718"/>
      <c r="O110" s="718"/>
      <c r="P110" s="718"/>
      <c r="Q110" s="718"/>
      <c r="R110" s="718"/>
    </row>
    <row r="111" spans="1:18" ht="14.4" thickBot="1" x14ac:dyDescent="0.3">
      <c r="A111" s="1210"/>
      <c r="B111" s="716">
        <v>10</v>
      </c>
      <c r="C111" s="731">
        <v>98</v>
      </c>
      <c r="D111" s="711">
        <f>C53</f>
        <v>9.9999999999999995E-7</v>
      </c>
      <c r="E111" s="733" t="str">
        <f>D53</f>
        <v>-</v>
      </c>
      <c r="F111" s="711">
        <f>E53</f>
        <v>0</v>
      </c>
      <c r="G111" s="722">
        <f>F53</f>
        <v>1E-4</v>
      </c>
      <c r="H111" s="718"/>
      <c r="I111" s="718"/>
      <c r="J111" s="718"/>
      <c r="K111" s="718"/>
      <c r="L111" s="718"/>
      <c r="M111" s="718"/>
      <c r="N111" s="718"/>
      <c r="O111" s="718"/>
      <c r="P111" s="718"/>
      <c r="Q111" s="718"/>
      <c r="R111" s="718"/>
    </row>
    <row r="112" spans="1:18" x14ac:dyDescent="0.25">
      <c r="A112" s="1208">
        <v>99</v>
      </c>
      <c r="B112" s="714">
        <v>1</v>
      </c>
      <c r="C112" s="730">
        <v>99</v>
      </c>
      <c r="D112" s="723">
        <f>C14</f>
        <v>9.9999999999999995E-7</v>
      </c>
      <c r="E112" s="723" t="str">
        <f>D14</f>
        <v>-</v>
      </c>
      <c r="F112" s="723">
        <f>E14</f>
        <v>0</v>
      </c>
      <c r="G112" s="724">
        <f>F14</f>
        <v>1E-4</v>
      </c>
      <c r="H112" s="718"/>
      <c r="I112" s="718"/>
      <c r="J112" s="718"/>
      <c r="K112" s="718"/>
      <c r="L112" s="718"/>
      <c r="M112" s="718"/>
      <c r="N112" s="718"/>
      <c r="O112" s="718"/>
      <c r="P112" s="718"/>
      <c r="Q112" s="718"/>
      <c r="R112" s="718"/>
    </row>
    <row r="113" spans="1:18" x14ac:dyDescent="0.25">
      <c r="A113" s="1209"/>
      <c r="B113" s="715">
        <v>2</v>
      </c>
      <c r="C113" s="731">
        <v>99</v>
      </c>
      <c r="D113" s="725">
        <f>I14</f>
        <v>9.9999999999999995E-7</v>
      </c>
      <c r="E113" s="725" t="str">
        <f>J14</f>
        <v>-</v>
      </c>
      <c r="F113" s="725">
        <f>K14</f>
        <v>0</v>
      </c>
      <c r="G113" s="726">
        <f>L14</f>
        <v>1E-4</v>
      </c>
      <c r="H113" s="718"/>
      <c r="I113" s="718"/>
      <c r="J113" s="718"/>
      <c r="K113" s="718"/>
      <c r="L113" s="718"/>
      <c r="M113" s="718"/>
      <c r="N113" s="718"/>
      <c r="O113" s="718"/>
      <c r="P113" s="718"/>
      <c r="Q113" s="718"/>
      <c r="R113" s="718"/>
    </row>
    <row r="114" spans="1:18" x14ac:dyDescent="0.25">
      <c r="A114" s="1209"/>
      <c r="B114" s="715">
        <v>3</v>
      </c>
      <c r="C114" s="731">
        <v>99</v>
      </c>
      <c r="D114" s="725">
        <f>O14</f>
        <v>1E-3</v>
      </c>
      <c r="E114" s="725" t="str">
        <f>P14</f>
        <v>-</v>
      </c>
      <c r="F114" s="725">
        <f>Q14</f>
        <v>0</v>
      </c>
      <c r="G114" s="726">
        <f>R14</f>
        <v>1E-4</v>
      </c>
      <c r="H114" s="718"/>
      <c r="I114" s="718"/>
      <c r="J114" s="718"/>
      <c r="K114" s="718"/>
      <c r="L114" s="718"/>
      <c r="M114" s="718"/>
      <c r="N114" s="718"/>
      <c r="O114" s="718"/>
      <c r="P114" s="718"/>
      <c r="Q114" s="718"/>
      <c r="R114" s="718"/>
    </row>
    <row r="115" spans="1:18" x14ac:dyDescent="0.25">
      <c r="A115" s="1209"/>
      <c r="B115" s="715">
        <v>4</v>
      </c>
      <c r="C115" s="731">
        <v>99</v>
      </c>
      <c r="D115" s="732">
        <f>C27</f>
        <v>9.9999999999999995E-7</v>
      </c>
      <c r="E115" s="725" t="str">
        <f>D27</f>
        <v>-</v>
      </c>
      <c r="F115" s="725">
        <f>E27</f>
        <v>0</v>
      </c>
      <c r="G115" s="726">
        <f>F27</f>
        <v>1E-4</v>
      </c>
      <c r="H115" s="718"/>
      <c r="I115" s="718"/>
      <c r="J115" s="718"/>
      <c r="K115" s="718"/>
      <c r="L115" s="718"/>
      <c r="M115" s="718"/>
      <c r="N115" s="718"/>
      <c r="O115" s="718"/>
      <c r="P115" s="718"/>
      <c r="Q115" s="718"/>
      <c r="R115" s="718"/>
    </row>
    <row r="116" spans="1:18" x14ac:dyDescent="0.25">
      <c r="A116" s="1209"/>
      <c r="B116" s="715">
        <v>5</v>
      </c>
      <c r="C116" s="731">
        <v>99</v>
      </c>
      <c r="D116" s="709">
        <f>I27</f>
        <v>9.9999999999999995E-7</v>
      </c>
      <c r="E116" s="709" t="str">
        <f>J27</f>
        <v>-</v>
      </c>
      <c r="F116" s="709">
        <f>K27</f>
        <v>0</v>
      </c>
      <c r="G116" s="710">
        <f>L27</f>
        <v>1E-4</v>
      </c>
      <c r="H116" s="718"/>
      <c r="I116" s="718"/>
      <c r="J116" s="718"/>
      <c r="K116" s="718"/>
      <c r="L116" s="718"/>
      <c r="M116" s="718"/>
      <c r="N116" s="718"/>
      <c r="O116" s="718"/>
      <c r="P116" s="718"/>
      <c r="Q116" s="718"/>
      <c r="R116" s="718"/>
    </row>
    <row r="117" spans="1:18" x14ac:dyDescent="0.25">
      <c r="A117" s="1209"/>
      <c r="B117" s="715">
        <v>6</v>
      </c>
      <c r="C117" s="731">
        <v>99</v>
      </c>
      <c r="D117" s="727">
        <f>O27</f>
        <v>9.9999999999999995E-7</v>
      </c>
      <c r="E117" s="727" t="str">
        <f>P27</f>
        <v>-</v>
      </c>
      <c r="F117" s="727">
        <f>Q27</f>
        <v>0</v>
      </c>
      <c r="G117" s="726">
        <f>R27</f>
        <v>1E-4</v>
      </c>
      <c r="H117" s="718"/>
      <c r="I117" s="718"/>
      <c r="J117" s="718"/>
      <c r="K117" s="718"/>
      <c r="L117" s="718"/>
      <c r="M117" s="718"/>
      <c r="N117" s="718"/>
      <c r="O117" s="718"/>
      <c r="P117" s="718"/>
      <c r="Q117" s="718"/>
      <c r="R117" s="718"/>
    </row>
    <row r="118" spans="1:18" x14ac:dyDescent="0.25">
      <c r="A118" s="1209"/>
      <c r="B118" s="715">
        <v>7</v>
      </c>
      <c r="C118" s="731">
        <v>99</v>
      </c>
      <c r="D118" s="725">
        <f>C41</f>
        <v>9.9999999999999995E-7</v>
      </c>
      <c r="E118" s="725" t="str">
        <f>D41</f>
        <v>-</v>
      </c>
      <c r="F118" s="725">
        <f>E41</f>
        <v>0</v>
      </c>
      <c r="G118" s="726">
        <f>F41</f>
        <v>1E-4</v>
      </c>
      <c r="H118" s="718"/>
      <c r="I118" s="718"/>
      <c r="J118" s="718"/>
      <c r="K118" s="718"/>
      <c r="L118" s="718"/>
      <c r="M118" s="718"/>
      <c r="N118" s="718"/>
      <c r="O118" s="718"/>
      <c r="P118" s="718"/>
      <c r="Q118" s="718"/>
      <c r="R118" s="718"/>
    </row>
    <row r="119" spans="1:18" x14ac:dyDescent="0.25">
      <c r="A119" s="1209"/>
      <c r="B119" s="715">
        <v>8</v>
      </c>
      <c r="C119" s="731">
        <v>99</v>
      </c>
      <c r="D119" s="725">
        <f>I41</f>
        <v>9.9999999999999995E-7</v>
      </c>
      <c r="E119" s="725" t="str">
        <f>J41</f>
        <v>-</v>
      </c>
      <c r="F119" s="725">
        <f>K41</f>
        <v>0</v>
      </c>
      <c r="G119" s="726">
        <f>L41</f>
        <v>1E-4</v>
      </c>
      <c r="H119" s="718"/>
      <c r="I119" s="718"/>
      <c r="J119" s="718"/>
      <c r="K119" s="718"/>
      <c r="L119" s="718"/>
      <c r="M119" s="718"/>
      <c r="N119" s="718"/>
      <c r="O119" s="718"/>
      <c r="P119" s="718"/>
      <c r="Q119" s="718"/>
      <c r="R119" s="718"/>
    </row>
    <row r="120" spans="1:18" x14ac:dyDescent="0.25">
      <c r="A120" s="1209"/>
      <c r="B120" s="715">
        <v>9</v>
      </c>
      <c r="C120" s="731">
        <v>99</v>
      </c>
      <c r="D120" s="725">
        <f>O41</f>
        <v>9.9999999999999995E-7</v>
      </c>
      <c r="E120" s="725" t="str">
        <f>P41</f>
        <v>-</v>
      </c>
      <c r="F120" s="725">
        <f>Q41</f>
        <v>0</v>
      </c>
      <c r="G120" s="726">
        <f>R41</f>
        <v>1E-4</v>
      </c>
      <c r="H120" s="718"/>
      <c r="I120" s="718"/>
      <c r="J120" s="718"/>
      <c r="K120" s="718"/>
      <c r="L120" s="718"/>
      <c r="M120" s="718"/>
      <c r="N120" s="718"/>
      <c r="O120" s="718"/>
      <c r="P120" s="718"/>
      <c r="Q120" s="718"/>
      <c r="R120" s="718"/>
    </row>
    <row r="121" spans="1:18" ht="14.4" thickBot="1" x14ac:dyDescent="0.3">
      <c r="A121" s="1210"/>
      <c r="B121" s="716">
        <v>10</v>
      </c>
      <c r="C121" s="731">
        <v>99</v>
      </c>
      <c r="D121" s="711">
        <f>C54</f>
        <v>9.9999999999999995E-7</v>
      </c>
      <c r="E121" s="733" t="str">
        <f>D54</f>
        <v>-</v>
      </c>
      <c r="F121" s="711">
        <f>E54</f>
        <v>0</v>
      </c>
      <c r="G121" s="722">
        <f>F54</f>
        <v>1E-4</v>
      </c>
      <c r="H121" s="718"/>
      <c r="I121" s="718"/>
      <c r="J121" s="718"/>
      <c r="K121" s="718"/>
      <c r="L121" s="718"/>
      <c r="M121" s="718"/>
      <c r="N121" s="718"/>
      <c r="O121" s="718"/>
      <c r="P121" s="718"/>
      <c r="Q121" s="718"/>
      <c r="R121" s="718"/>
    </row>
    <row r="122" spans="1:18" x14ac:dyDescent="0.25">
      <c r="A122" s="1208">
        <v>100</v>
      </c>
      <c r="B122" s="714">
        <v>1</v>
      </c>
      <c r="C122" s="730">
        <v>100</v>
      </c>
      <c r="D122" s="723">
        <f>C15</f>
        <v>9.9999999999999995E-7</v>
      </c>
      <c r="E122" s="723" t="str">
        <f>D15</f>
        <v>-</v>
      </c>
      <c r="F122" s="723">
        <f>E15</f>
        <v>0</v>
      </c>
      <c r="G122" s="724">
        <f>F15</f>
        <v>1E-4</v>
      </c>
      <c r="H122" s="718"/>
      <c r="I122" s="718"/>
      <c r="J122" s="718"/>
      <c r="K122" s="718"/>
      <c r="L122" s="718"/>
      <c r="M122" s="718"/>
      <c r="N122" s="718"/>
      <c r="O122" s="718"/>
      <c r="P122" s="718"/>
      <c r="Q122" s="718"/>
      <c r="R122" s="718"/>
    </row>
    <row r="123" spans="1:18" x14ac:dyDescent="0.25">
      <c r="A123" s="1209"/>
      <c r="B123" s="715">
        <v>2</v>
      </c>
      <c r="C123" s="731">
        <v>100</v>
      </c>
      <c r="D123" s="725">
        <f>I15</f>
        <v>9.9999999999999995E-7</v>
      </c>
      <c r="E123" s="725" t="str">
        <f>J15</f>
        <v>-</v>
      </c>
      <c r="F123" s="725">
        <f>K15</f>
        <v>0</v>
      </c>
      <c r="G123" s="726">
        <f>L15</f>
        <v>1E-4</v>
      </c>
      <c r="H123" s="718"/>
      <c r="I123" s="718"/>
      <c r="J123" s="718"/>
      <c r="K123" s="718"/>
      <c r="L123" s="718"/>
      <c r="M123" s="718"/>
      <c r="N123" s="718"/>
      <c r="O123" s="718"/>
      <c r="P123" s="718"/>
      <c r="Q123" s="718"/>
      <c r="R123" s="718"/>
    </row>
    <row r="124" spans="1:18" x14ac:dyDescent="0.25">
      <c r="A124" s="1209"/>
      <c r="B124" s="715">
        <v>3</v>
      </c>
      <c r="C124" s="731">
        <v>100</v>
      </c>
      <c r="D124" s="725">
        <f>O15</f>
        <v>1E-3</v>
      </c>
      <c r="E124" s="725" t="str">
        <f>P15</f>
        <v>-</v>
      </c>
      <c r="F124" s="725">
        <f>Q15</f>
        <v>0</v>
      </c>
      <c r="G124" s="726">
        <f>R15</f>
        <v>1E-4</v>
      </c>
      <c r="H124" s="718"/>
      <c r="I124" s="718"/>
      <c r="J124" s="718"/>
      <c r="K124" s="718"/>
      <c r="L124" s="718"/>
      <c r="M124" s="718"/>
      <c r="N124" s="718"/>
      <c r="O124" s="718"/>
      <c r="P124" s="718"/>
      <c r="Q124" s="718"/>
      <c r="R124" s="718"/>
    </row>
    <row r="125" spans="1:18" x14ac:dyDescent="0.25">
      <c r="A125" s="1209"/>
      <c r="B125" s="715">
        <v>4</v>
      </c>
      <c r="C125" s="731">
        <v>100</v>
      </c>
      <c r="D125" s="732">
        <f>C28</f>
        <v>9.9999999999999995E-7</v>
      </c>
      <c r="E125" s="725" t="str">
        <f>D28</f>
        <v>-</v>
      </c>
      <c r="F125" s="725">
        <f>E28</f>
        <v>0</v>
      </c>
      <c r="G125" s="726">
        <f>F28</f>
        <v>1E-4</v>
      </c>
      <c r="H125" s="718"/>
      <c r="I125" s="718"/>
      <c r="J125" s="718"/>
      <c r="K125" s="718"/>
      <c r="L125" s="718"/>
      <c r="M125" s="718"/>
      <c r="N125" s="718"/>
      <c r="O125" s="718"/>
      <c r="P125" s="718"/>
      <c r="Q125" s="718"/>
      <c r="R125" s="718"/>
    </row>
    <row r="126" spans="1:18" x14ac:dyDescent="0.25">
      <c r="A126" s="1209"/>
      <c r="B126" s="715">
        <v>5</v>
      </c>
      <c r="C126" s="731">
        <v>100</v>
      </c>
      <c r="D126" s="709">
        <f>I28</f>
        <v>9.9999999999999995E-7</v>
      </c>
      <c r="E126" s="709" t="str">
        <f>J28</f>
        <v>-</v>
      </c>
      <c r="F126" s="709">
        <f>K28</f>
        <v>0</v>
      </c>
      <c r="G126" s="710">
        <f>L28</f>
        <v>1E-4</v>
      </c>
      <c r="H126" s="718"/>
      <c r="I126" s="718"/>
      <c r="J126" s="718"/>
      <c r="K126" s="718"/>
      <c r="L126" s="718"/>
      <c r="M126" s="718"/>
      <c r="N126" s="718"/>
      <c r="O126" s="718"/>
      <c r="P126" s="718"/>
      <c r="Q126" s="718"/>
      <c r="R126" s="718"/>
    </row>
    <row r="127" spans="1:18" x14ac:dyDescent="0.25">
      <c r="A127" s="1209"/>
      <c r="B127" s="715">
        <v>6</v>
      </c>
      <c r="C127" s="731">
        <v>100</v>
      </c>
      <c r="D127" s="727">
        <f>O28</f>
        <v>9.9999999999999995E-7</v>
      </c>
      <c r="E127" s="727" t="str">
        <f>P28</f>
        <v>-</v>
      </c>
      <c r="F127" s="727">
        <f>Q28</f>
        <v>0</v>
      </c>
      <c r="G127" s="726">
        <f>R28</f>
        <v>1E-4</v>
      </c>
      <c r="H127" s="718"/>
      <c r="I127" s="718"/>
      <c r="J127" s="718"/>
      <c r="K127" s="718"/>
      <c r="L127" s="718"/>
      <c r="M127" s="718"/>
      <c r="N127" s="718"/>
      <c r="O127" s="718"/>
      <c r="P127" s="718"/>
      <c r="Q127" s="718"/>
      <c r="R127" s="718"/>
    </row>
    <row r="128" spans="1:18" x14ac:dyDescent="0.25">
      <c r="A128" s="1209"/>
      <c r="B128" s="715">
        <v>7</v>
      </c>
      <c r="C128" s="731">
        <v>100</v>
      </c>
      <c r="D128" s="725">
        <f>C42</f>
        <v>9.9999999999999995E-7</v>
      </c>
      <c r="E128" s="725" t="str">
        <f>D42</f>
        <v>-</v>
      </c>
      <c r="F128" s="725">
        <f>E42</f>
        <v>0</v>
      </c>
      <c r="G128" s="726">
        <f>F42</f>
        <v>1E-4</v>
      </c>
      <c r="H128" s="718"/>
      <c r="I128" s="718"/>
      <c r="J128" s="718"/>
      <c r="K128" s="718"/>
      <c r="L128" s="718"/>
      <c r="M128" s="718"/>
      <c r="N128" s="718"/>
      <c r="O128" s="718"/>
      <c r="P128" s="718"/>
      <c r="Q128" s="718"/>
      <c r="R128" s="718"/>
    </row>
    <row r="129" spans="1:18" x14ac:dyDescent="0.25">
      <c r="A129" s="1209"/>
      <c r="B129" s="715">
        <v>8</v>
      </c>
      <c r="C129" s="731">
        <v>100</v>
      </c>
      <c r="D129" s="725">
        <f>I42</f>
        <v>9.9999999999999995E-7</v>
      </c>
      <c r="E129" s="725" t="str">
        <f>J42</f>
        <v>-</v>
      </c>
      <c r="F129" s="725">
        <f>K42</f>
        <v>0</v>
      </c>
      <c r="G129" s="726">
        <f>L42</f>
        <v>1E-4</v>
      </c>
      <c r="H129" s="718"/>
      <c r="I129" s="718"/>
      <c r="J129" s="718"/>
      <c r="K129" s="718"/>
      <c r="L129" s="718"/>
      <c r="M129" s="718"/>
      <c r="N129" s="718"/>
      <c r="O129" s="718"/>
      <c r="P129" s="718"/>
      <c r="Q129" s="718"/>
      <c r="R129" s="718"/>
    </row>
    <row r="130" spans="1:18" x14ac:dyDescent="0.25">
      <c r="A130" s="1209"/>
      <c r="B130" s="715">
        <v>9</v>
      </c>
      <c r="C130" s="731">
        <v>100</v>
      </c>
      <c r="D130" s="725">
        <f>O42</f>
        <v>9.9999999999999995E-7</v>
      </c>
      <c r="E130" s="725" t="str">
        <f>P42</f>
        <v>-</v>
      </c>
      <c r="F130" s="725">
        <f>Q42</f>
        <v>0</v>
      </c>
      <c r="G130" s="726">
        <f>R42</f>
        <v>1E-4</v>
      </c>
      <c r="H130" s="718"/>
      <c r="I130" s="718"/>
      <c r="J130" s="718"/>
      <c r="K130" s="718"/>
      <c r="L130" s="718"/>
      <c r="M130" s="718"/>
      <c r="N130" s="718"/>
      <c r="O130" s="718"/>
      <c r="P130" s="718"/>
      <c r="Q130" s="718"/>
      <c r="R130" s="718"/>
    </row>
    <row r="131" spans="1:18" x14ac:dyDescent="0.25">
      <c r="A131" s="1220"/>
      <c r="B131" s="715">
        <v>10</v>
      </c>
      <c r="C131" s="731">
        <v>100</v>
      </c>
      <c r="D131" s="709">
        <f>C55</f>
        <v>9.9999999999999995E-7</v>
      </c>
      <c r="E131" s="734" t="str">
        <f>D55</f>
        <v>-</v>
      </c>
      <c r="F131" s="709">
        <f>E55</f>
        <v>0</v>
      </c>
      <c r="G131" s="710">
        <f>F55</f>
        <v>1E-4</v>
      </c>
      <c r="H131" s="718"/>
      <c r="I131" s="718"/>
      <c r="J131" s="718"/>
      <c r="K131" s="718"/>
      <c r="L131" s="718"/>
      <c r="M131" s="718"/>
      <c r="N131" s="718"/>
      <c r="O131" s="718"/>
      <c r="P131" s="718"/>
      <c r="Q131" s="718"/>
      <c r="R131" s="718"/>
    </row>
    <row r="132" spans="1:18" x14ac:dyDescent="0.25">
      <c r="A132" s="735"/>
      <c r="B132" s="717"/>
      <c r="C132" s="735"/>
      <c r="D132" s="717"/>
      <c r="E132" s="717"/>
      <c r="F132" s="717"/>
      <c r="G132" s="717"/>
      <c r="H132" s="718"/>
      <c r="I132" s="718"/>
      <c r="J132" s="718"/>
      <c r="K132" s="718"/>
      <c r="L132" s="718"/>
      <c r="M132" s="718"/>
      <c r="N132" s="718"/>
      <c r="O132" s="718"/>
      <c r="P132" s="718"/>
      <c r="Q132" s="718"/>
      <c r="R132" s="718"/>
    </row>
    <row r="133" spans="1:18" x14ac:dyDescent="0.25">
      <c r="A133" s="735"/>
      <c r="B133" s="717"/>
      <c r="C133" s="735"/>
      <c r="D133" s="717"/>
      <c r="E133" s="717"/>
      <c r="F133" s="717"/>
      <c r="G133" s="717"/>
      <c r="H133" s="718"/>
      <c r="I133" s="718"/>
      <c r="J133" s="718"/>
      <c r="K133" s="718"/>
      <c r="L133" s="718"/>
      <c r="M133" s="718"/>
      <c r="N133" s="718"/>
      <c r="O133" s="718"/>
      <c r="P133" s="718"/>
      <c r="Q133" s="718"/>
      <c r="R133" s="718"/>
    </row>
    <row r="134" spans="1:18" s="706" customFormat="1" ht="42" customHeight="1" x14ac:dyDescent="0.25">
      <c r="A134" s="737">
        <f>cetik!C1</f>
        <v>5</v>
      </c>
      <c r="B134" s="1211" t="str">
        <f>cetik!B1</f>
        <v>SPO₂ Simulator, Merek : Fluke, Model : SPOT LIGHT, SN : 4404040</v>
      </c>
      <c r="C134" s="1212"/>
      <c r="D134" s="1212"/>
      <c r="E134" s="1213"/>
      <c r="F134" s="736"/>
      <c r="G134" s="736"/>
      <c r="H134" s="736"/>
      <c r="I134" s="736"/>
      <c r="J134" s="736"/>
      <c r="K134" s="736"/>
      <c r="L134" s="736"/>
      <c r="M134" s="736"/>
      <c r="N134" s="736"/>
      <c r="O134" s="736"/>
      <c r="P134" s="736"/>
      <c r="Q134" s="736"/>
      <c r="R134" s="736"/>
    </row>
    <row r="135" spans="1:18" x14ac:dyDescent="0.25">
      <c r="A135" s="1214" t="s">
        <v>443</v>
      </c>
      <c r="B135" s="1214"/>
      <c r="C135" s="1214"/>
      <c r="D135" s="1214"/>
      <c r="E135" s="1214"/>
      <c r="F135" s="718"/>
      <c r="G135" s="718"/>
      <c r="H135" s="718"/>
      <c r="I135" s="718"/>
      <c r="J135" s="718"/>
      <c r="K135" s="718"/>
      <c r="L135" s="718"/>
      <c r="M135" s="718"/>
      <c r="N135" s="718"/>
      <c r="O135" s="718"/>
      <c r="P135" s="718"/>
      <c r="Q135" s="718"/>
      <c r="R135" s="718"/>
    </row>
    <row r="136" spans="1:18" x14ac:dyDescent="0.25">
      <c r="A136" s="1215" t="str">
        <f>C60</f>
        <v>Setting O2%</v>
      </c>
      <c r="B136" s="1216"/>
      <c r="C136" s="1217"/>
      <c r="D136" s="1218" t="s">
        <v>310</v>
      </c>
      <c r="E136" s="1218" t="s">
        <v>170</v>
      </c>
      <c r="F136" s="718"/>
      <c r="G136" s="718"/>
      <c r="H136" s="718"/>
      <c r="I136" s="718"/>
      <c r="J136" s="718"/>
      <c r="K136" s="718"/>
      <c r="L136" s="718"/>
      <c r="M136" s="718"/>
      <c r="N136" s="718"/>
      <c r="O136" s="718"/>
      <c r="P136" s="718"/>
      <c r="Q136" s="718"/>
      <c r="R136" s="718"/>
    </row>
    <row r="137" spans="1:18" x14ac:dyDescent="0.25">
      <c r="A137" s="707" t="s">
        <v>454</v>
      </c>
      <c r="B137" s="707">
        <v>2018</v>
      </c>
      <c r="C137" s="707">
        <v>2019</v>
      </c>
      <c r="D137" s="1219"/>
      <c r="E137" s="1219"/>
      <c r="F137" s="718"/>
      <c r="G137" s="718"/>
      <c r="H137" s="718"/>
      <c r="I137" s="718"/>
      <c r="J137" s="718"/>
      <c r="K137" s="718"/>
      <c r="L137" s="718"/>
      <c r="M137" s="718"/>
      <c r="N137" s="718"/>
      <c r="O137" s="718"/>
      <c r="P137" s="718"/>
      <c r="Q137" s="718"/>
      <c r="R137" s="718"/>
    </row>
    <row r="138" spans="1:18" x14ac:dyDescent="0.25">
      <c r="A138" s="707">
        <v>85</v>
      </c>
      <c r="B138" s="737">
        <f>VLOOKUP($A$134,$B$62:$G$71,3,FALSE)</f>
        <v>9.9999999999999995E-7</v>
      </c>
      <c r="C138" s="719" t="str">
        <f>VLOOKUP($A$134,B62:G71,4,FALSE)</f>
        <v>-</v>
      </c>
      <c r="D138" s="738">
        <f>1/3*E138</f>
        <v>3.3333333333333335E-5</v>
      </c>
      <c r="E138" s="737">
        <f>VLOOKUP($A$134,B62:G71,6,(FALSE))</f>
        <v>1E-4</v>
      </c>
      <c r="F138" s="718"/>
      <c r="G138" s="718"/>
      <c r="H138" s="718"/>
      <c r="I138" s="718"/>
      <c r="J138" s="718"/>
      <c r="K138" s="718"/>
      <c r="L138" s="718"/>
      <c r="M138" s="718"/>
      <c r="N138" s="718"/>
      <c r="O138" s="718"/>
      <c r="P138" s="718"/>
      <c r="Q138" s="718"/>
      <c r="R138" s="718"/>
    </row>
    <row r="139" spans="1:18" x14ac:dyDescent="0.25">
      <c r="A139" s="707">
        <v>90</v>
      </c>
      <c r="B139" s="737">
        <f>VLOOKUP($A$134,B72:G81,3,FALSE)</f>
        <v>9.9999999999999995E-7</v>
      </c>
      <c r="C139" s="719" t="str">
        <f>VLOOKUP($A$134,B72:G81,4,FALSE)</f>
        <v>-</v>
      </c>
      <c r="D139" s="738">
        <f t="shared" ref="D139:D144" si="14">1/3*E139</f>
        <v>3.3333333333333335E-5</v>
      </c>
      <c r="E139" s="737">
        <f>VLOOKUP($A$134,B72:G81,6,(FALSE))</f>
        <v>1E-4</v>
      </c>
      <c r="F139" s="718"/>
      <c r="G139" s="718"/>
      <c r="H139" s="718"/>
      <c r="I139" s="718"/>
      <c r="J139" s="718"/>
      <c r="K139" s="718"/>
      <c r="L139" s="718"/>
      <c r="M139" s="718"/>
      <c r="N139" s="718"/>
      <c r="O139" s="718"/>
      <c r="P139" s="718"/>
      <c r="Q139" s="718"/>
      <c r="R139" s="718"/>
    </row>
    <row r="140" spans="1:18" x14ac:dyDescent="0.25">
      <c r="A140" s="707">
        <v>95</v>
      </c>
      <c r="B140" s="737">
        <f>VLOOKUP($A$134,B82:G91,3,FALSE)</f>
        <v>9.9999999999999995E-7</v>
      </c>
      <c r="C140" s="719" t="str">
        <f>VLOOKUP($A$134,B82:G91,4,FALSE)</f>
        <v>-</v>
      </c>
      <c r="D140" s="738">
        <f t="shared" si="14"/>
        <v>3.3333333333333335E-5</v>
      </c>
      <c r="E140" s="737">
        <f>VLOOKUP($A$134,B82:G91,6,(FALSE))</f>
        <v>1E-4</v>
      </c>
      <c r="F140" s="718"/>
      <c r="G140" s="718"/>
      <c r="H140" s="718"/>
      <c r="I140" s="718"/>
      <c r="J140" s="718"/>
      <c r="K140" s="718"/>
      <c r="L140" s="718"/>
      <c r="M140" s="718"/>
      <c r="N140" s="718"/>
      <c r="O140" s="718"/>
      <c r="P140" s="718"/>
      <c r="Q140" s="718"/>
      <c r="R140" s="718"/>
    </row>
    <row r="141" spans="1:18" x14ac:dyDescent="0.25">
      <c r="A141" s="707">
        <v>97</v>
      </c>
      <c r="B141" s="737">
        <f>VLOOKUP($A$134,B92:G101,3,FALSE)</f>
        <v>9.9999999999999995E-7</v>
      </c>
      <c r="C141" s="719" t="str">
        <f>VLOOKUP($A$134,B92:G101,4,FALSE)</f>
        <v>-</v>
      </c>
      <c r="D141" s="738">
        <f t="shared" si="14"/>
        <v>3.3333333333333335E-5</v>
      </c>
      <c r="E141" s="737">
        <f>VLOOKUP($A$134,B92:G101,6,(FALSE))</f>
        <v>1E-4</v>
      </c>
      <c r="F141" s="718"/>
      <c r="G141" s="718"/>
      <c r="H141" s="718"/>
      <c r="I141" s="718"/>
      <c r="J141" s="718"/>
      <c r="K141" s="718"/>
      <c r="L141" s="718"/>
      <c r="M141" s="718"/>
      <c r="N141" s="718"/>
      <c r="O141" s="718"/>
      <c r="P141" s="718"/>
      <c r="Q141" s="718"/>
      <c r="R141" s="718"/>
    </row>
    <row r="142" spans="1:18" x14ac:dyDescent="0.25">
      <c r="A142" s="707">
        <v>98</v>
      </c>
      <c r="B142" s="737">
        <f>VLOOKUP($A$134,B102:G111,3,FALSE)</f>
        <v>9.9999999999999995E-7</v>
      </c>
      <c r="C142" s="719" t="str">
        <f>VLOOKUP($A$134,B102:G111,4,FALSE)</f>
        <v>-</v>
      </c>
      <c r="D142" s="738">
        <f t="shared" si="14"/>
        <v>3.3333333333333335E-5</v>
      </c>
      <c r="E142" s="737">
        <f>VLOOKUP($A$134,B102:G111,6,(FALSE))</f>
        <v>1E-4</v>
      </c>
      <c r="F142" s="718"/>
      <c r="G142" s="718"/>
      <c r="H142" s="718"/>
      <c r="I142" s="718"/>
      <c r="J142" s="718"/>
      <c r="K142" s="718"/>
      <c r="L142" s="718"/>
      <c r="M142" s="718"/>
      <c r="N142" s="718"/>
      <c r="O142" s="718"/>
      <c r="P142" s="718"/>
      <c r="Q142" s="718"/>
      <c r="R142" s="718"/>
    </row>
    <row r="143" spans="1:18" x14ac:dyDescent="0.25">
      <c r="A143" s="707">
        <v>99</v>
      </c>
      <c r="B143" s="737">
        <f>VLOOKUP($A$134,B112:G121,3,FALSE)</f>
        <v>9.9999999999999995E-7</v>
      </c>
      <c r="C143" s="719" t="str">
        <f>VLOOKUP($A$134,B112:G121,4,FALSE)</f>
        <v>-</v>
      </c>
      <c r="D143" s="738">
        <f t="shared" si="14"/>
        <v>3.3333333333333335E-5</v>
      </c>
      <c r="E143" s="737">
        <f>VLOOKUP($A$134,B112:G121,6,(FALSE))</f>
        <v>1E-4</v>
      </c>
      <c r="F143" s="718"/>
      <c r="G143" s="718"/>
      <c r="H143" s="718"/>
      <c r="I143" s="718"/>
      <c r="J143" s="718"/>
      <c r="K143" s="718"/>
      <c r="L143" s="718"/>
      <c r="M143" s="718"/>
      <c r="N143" s="718"/>
      <c r="O143" s="718"/>
      <c r="P143" s="718"/>
      <c r="Q143" s="718"/>
      <c r="R143" s="718"/>
    </row>
    <row r="144" spans="1:18" x14ac:dyDescent="0.25">
      <c r="A144" s="707">
        <v>100</v>
      </c>
      <c r="B144" s="737">
        <f>VLOOKUP($A$134,B122:G131,3,FALSE)</f>
        <v>9.9999999999999995E-7</v>
      </c>
      <c r="C144" s="719" t="str">
        <f>VLOOKUP($A$134,B122:G131,4,FALSE)</f>
        <v>-</v>
      </c>
      <c r="D144" s="738">
        <f t="shared" si="14"/>
        <v>3.3333333333333335E-5</v>
      </c>
      <c r="E144" s="737">
        <f>VLOOKUP($A$134,B122:G131,6,(FALSE))</f>
        <v>1E-4</v>
      </c>
      <c r="F144" s="718"/>
      <c r="G144" s="718"/>
      <c r="H144" s="718"/>
      <c r="I144" s="718"/>
      <c r="J144" s="718"/>
      <c r="K144" s="718"/>
      <c r="L144" s="718"/>
      <c r="M144" s="718"/>
      <c r="N144" s="718"/>
      <c r="O144" s="718"/>
      <c r="P144" s="718"/>
      <c r="Q144" s="718"/>
      <c r="R144" s="718"/>
    </row>
    <row r="145" spans="1:18" x14ac:dyDescent="0.25">
      <c r="A145" s="718"/>
      <c r="B145" s="718"/>
      <c r="C145" s="718"/>
      <c r="D145" s="718"/>
      <c r="E145" s="718"/>
      <c r="F145" s="718"/>
      <c r="G145" s="718"/>
      <c r="H145" s="718"/>
      <c r="I145" s="718"/>
      <c r="J145" s="718"/>
      <c r="K145" s="718"/>
      <c r="L145" s="718"/>
      <c r="M145" s="718"/>
      <c r="N145" s="718"/>
      <c r="O145" s="718"/>
      <c r="P145" s="718"/>
      <c r="Q145" s="718"/>
      <c r="R145" s="718"/>
    </row>
  </sheetData>
  <mergeCells count="67">
    <mergeCell ref="B4:F4"/>
    <mergeCell ref="H4:L4"/>
    <mergeCell ref="N4:R4"/>
    <mergeCell ref="B5:F5"/>
    <mergeCell ref="H5:L5"/>
    <mergeCell ref="N5:R5"/>
    <mergeCell ref="N6:P6"/>
    <mergeCell ref="Q6:Q7"/>
    <mergeCell ref="R6:R7"/>
    <mergeCell ref="B17:F17"/>
    <mergeCell ref="H17:L17"/>
    <mergeCell ref="N17:R17"/>
    <mergeCell ref="B6:D6"/>
    <mergeCell ref="E6:E7"/>
    <mergeCell ref="F6:F7"/>
    <mergeCell ref="H6:J6"/>
    <mergeCell ref="K6:K7"/>
    <mergeCell ref="L6:L7"/>
    <mergeCell ref="B32:F32"/>
    <mergeCell ref="H32:L32"/>
    <mergeCell ref="N32:R32"/>
    <mergeCell ref="B18:F18"/>
    <mergeCell ref="H18:L18"/>
    <mergeCell ref="N18:R18"/>
    <mergeCell ref="B19:D19"/>
    <mergeCell ref="E19:E20"/>
    <mergeCell ref="F19:F20"/>
    <mergeCell ref="H19:J19"/>
    <mergeCell ref="K19:K20"/>
    <mergeCell ref="L19:L20"/>
    <mergeCell ref="N19:P19"/>
    <mergeCell ref="Q19:Q20"/>
    <mergeCell ref="R19:R20"/>
    <mergeCell ref="B31:F31"/>
    <mergeCell ref="H31:L31"/>
    <mergeCell ref="N31:R31"/>
    <mergeCell ref="B46:D46"/>
    <mergeCell ref="E46:E47"/>
    <mergeCell ref="F46:F47"/>
    <mergeCell ref="B33:D33"/>
    <mergeCell ref="E33:E34"/>
    <mergeCell ref="F33:F34"/>
    <mergeCell ref="N33:P33"/>
    <mergeCell ref="Q33:Q34"/>
    <mergeCell ref="R33:R34"/>
    <mergeCell ref="B44:F44"/>
    <mergeCell ref="B45:F45"/>
    <mergeCell ref="H33:J33"/>
    <mergeCell ref="K33:K34"/>
    <mergeCell ref="L33:L34"/>
    <mergeCell ref="A59:A71"/>
    <mergeCell ref="B59:B61"/>
    <mergeCell ref="C59:G59"/>
    <mergeCell ref="C60:E60"/>
    <mergeCell ref="F60:F61"/>
    <mergeCell ref="G60:G61"/>
    <mergeCell ref="A136:C136"/>
    <mergeCell ref="D136:D137"/>
    <mergeCell ref="E136:E137"/>
    <mergeCell ref="A102:A111"/>
    <mergeCell ref="A112:A121"/>
    <mergeCell ref="A122:A131"/>
    <mergeCell ref="A72:A81"/>
    <mergeCell ref="A82:A91"/>
    <mergeCell ref="A92:A101"/>
    <mergeCell ref="B134:E134"/>
    <mergeCell ref="A135:E13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00"/>
  <sheetViews>
    <sheetView workbookViewId="0">
      <selection activeCell="E19" sqref="E19"/>
    </sheetView>
  </sheetViews>
  <sheetFormatPr defaultRowHeight="13.2" x14ac:dyDescent="0.25"/>
  <cols>
    <col min="2" max="2" width="25.6640625" customWidth="1"/>
    <col min="3" max="3" width="42.109375" bestFit="1" customWidth="1"/>
    <col min="4" max="4" width="52.44140625" customWidth="1"/>
  </cols>
  <sheetData>
    <row r="2" spans="1:5" x14ac:dyDescent="0.25">
      <c r="A2" s="920" t="s">
        <v>96</v>
      </c>
      <c r="B2" s="920" t="s">
        <v>97</v>
      </c>
      <c r="C2" s="920" t="s">
        <v>98</v>
      </c>
      <c r="D2" s="920"/>
      <c r="E2" s="84" t="s">
        <v>99</v>
      </c>
    </row>
    <row r="3" spans="1:5" x14ac:dyDescent="0.25">
      <c r="A3" s="920"/>
      <c r="B3" s="920"/>
      <c r="C3" s="273" t="s">
        <v>16</v>
      </c>
      <c r="D3" s="273" t="s">
        <v>17</v>
      </c>
      <c r="E3" s="84"/>
    </row>
    <row r="4" spans="1:5" ht="13.8" x14ac:dyDescent="0.25">
      <c r="A4" s="273">
        <v>1</v>
      </c>
      <c r="B4" s="274">
        <v>44225</v>
      </c>
      <c r="C4" s="275" t="s">
        <v>100</v>
      </c>
      <c r="D4" s="276" t="s">
        <v>101</v>
      </c>
      <c r="E4" s="84"/>
    </row>
    <row r="5" spans="1:5" ht="15" x14ac:dyDescent="0.25">
      <c r="A5" s="273"/>
      <c r="B5" s="277"/>
      <c r="C5" s="281" t="s">
        <v>102</v>
      </c>
      <c r="D5" s="278" t="s">
        <v>103</v>
      </c>
      <c r="E5" s="84"/>
    </row>
    <row r="6" spans="1:5" ht="57.75" customHeight="1" x14ac:dyDescent="0.25">
      <c r="A6" s="273"/>
      <c r="B6" s="277"/>
      <c r="C6" s="279" t="s">
        <v>100</v>
      </c>
      <c r="D6" s="280" t="s">
        <v>104</v>
      </c>
      <c r="E6" s="84"/>
    </row>
    <row r="7" spans="1:5" x14ac:dyDescent="0.25">
      <c r="A7" s="273"/>
      <c r="B7" s="277"/>
      <c r="C7" s="273" t="s">
        <v>105</v>
      </c>
      <c r="D7" s="273" t="s">
        <v>106</v>
      </c>
      <c r="E7" s="84"/>
    </row>
    <row r="8" spans="1:5" x14ac:dyDescent="0.25">
      <c r="A8" s="273"/>
      <c r="B8" s="277"/>
      <c r="C8" s="279" t="s">
        <v>100</v>
      </c>
      <c r="D8" s="273" t="s">
        <v>107</v>
      </c>
      <c r="E8" s="84"/>
    </row>
    <row r="9" spans="1:5" x14ac:dyDescent="0.25">
      <c r="A9" s="273"/>
      <c r="B9" s="277"/>
      <c r="C9" s="273" t="s">
        <v>108</v>
      </c>
      <c r="D9" s="273" t="s">
        <v>109</v>
      </c>
      <c r="E9" s="84"/>
    </row>
    <row r="10" spans="1:5" x14ac:dyDescent="0.25">
      <c r="A10" s="273"/>
      <c r="B10" s="277"/>
      <c r="C10" s="273" t="s">
        <v>110</v>
      </c>
      <c r="D10" s="273" t="s">
        <v>111</v>
      </c>
      <c r="E10" s="84"/>
    </row>
    <row r="11" spans="1:5" x14ac:dyDescent="0.25">
      <c r="A11" s="273">
        <v>2</v>
      </c>
      <c r="B11" s="277">
        <v>44316</v>
      </c>
      <c r="C11" s="273" t="s">
        <v>112</v>
      </c>
      <c r="D11" s="273" t="s">
        <v>113</v>
      </c>
      <c r="E11" s="84" t="s">
        <v>114</v>
      </c>
    </row>
    <row r="12" spans="1:5" x14ac:dyDescent="0.25">
      <c r="A12" s="273"/>
      <c r="B12" s="277"/>
      <c r="C12" s="273" t="s">
        <v>115</v>
      </c>
      <c r="D12" s="273" t="s">
        <v>113</v>
      </c>
      <c r="E12" s="84" t="s">
        <v>114</v>
      </c>
    </row>
    <row r="13" spans="1:5" x14ac:dyDescent="0.25">
      <c r="A13" s="273">
        <v>3</v>
      </c>
      <c r="B13" s="277">
        <v>44323</v>
      </c>
      <c r="C13" s="273" t="s">
        <v>116</v>
      </c>
      <c r="D13" s="273" t="s">
        <v>117</v>
      </c>
      <c r="E13" s="84" t="s">
        <v>118</v>
      </c>
    </row>
    <row r="14" spans="1:5" x14ac:dyDescent="0.25">
      <c r="A14" s="273">
        <v>4</v>
      </c>
      <c r="B14" s="277" t="s">
        <v>119</v>
      </c>
      <c r="C14" s="273" t="s">
        <v>120</v>
      </c>
      <c r="D14" s="273" t="s">
        <v>113</v>
      </c>
      <c r="E14" s="84" t="s">
        <v>121</v>
      </c>
    </row>
    <row r="15" spans="1:5" x14ac:dyDescent="0.25">
      <c r="A15" s="273">
        <v>5</v>
      </c>
      <c r="B15" s="332" t="s">
        <v>122</v>
      </c>
      <c r="C15" s="332" t="s">
        <v>123</v>
      </c>
      <c r="D15" s="332" t="s">
        <v>113</v>
      </c>
      <c r="E15" s="222" t="s">
        <v>124</v>
      </c>
    </row>
    <row r="16" spans="1:5" x14ac:dyDescent="0.25">
      <c r="A16" s="273">
        <v>6</v>
      </c>
      <c r="B16" s="277" t="s">
        <v>125</v>
      </c>
      <c r="C16" s="332" t="s">
        <v>126</v>
      </c>
      <c r="D16" s="273" t="s">
        <v>113</v>
      </c>
      <c r="E16" s="84" t="s">
        <v>124</v>
      </c>
    </row>
    <row r="17" spans="1:5" x14ac:dyDescent="0.25">
      <c r="A17" s="273">
        <v>7</v>
      </c>
      <c r="B17" s="277">
        <v>44656</v>
      </c>
      <c r="C17" s="273" t="s">
        <v>127</v>
      </c>
      <c r="D17" s="273" t="s">
        <v>113</v>
      </c>
      <c r="E17" s="222" t="s">
        <v>128</v>
      </c>
    </row>
    <row r="18" spans="1:5" ht="39.6" x14ac:dyDescent="0.25">
      <c r="A18" s="273"/>
      <c r="B18" s="277" t="s">
        <v>500</v>
      </c>
      <c r="C18" s="280" t="s">
        <v>501</v>
      </c>
      <c r="D18" s="273" t="s">
        <v>502</v>
      </c>
      <c r="E18" s="421" t="s">
        <v>124</v>
      </c>
    </row>
    <row r="19" spans="1:5" x14ac:dyDescent="0.25">
      <c r="A19" s="273"/>
      <c r="B19" s="277"/>
      <c r="C19" s="273"/>
      <c r="D19" s="273"/>
      <c r="E19" s="84"/>
    </row>
    <row r="20" spans="1:5" x14ac:dyDescent="0.25">
      <c r="A20" s="273"/>
      <c r="B20" s="277"/>
      <c r="C20" s="273"/>
      <c r="D20" s="273"/>
      <c r="E20" s="84"/>
    </row>
    <row r="21" spans="1:5" x14ac:dyDescent="0.25">
      <c r="A21" s="273"/>
      <c r="B21" s="277"/>
      <c r="C21" s="273"/>
      <c r="D21" s="273"/>
      <c r="E21" s="84"/>
    </row>
    <row r="22" spans="1:5" x14ac:dyDescent="0.25">
      <c r="A22" s="273"/>
      <c r="B22" s="277"/>
      <c r="C22" s="273"/>
      <c r="D22" s="273"/>
      <c r="E22" s="84"/>
    </row>
    <row r="100" spans="1:1" x14ac:dyDescent="0.25">
      <c r="A100" s="7" t="s">
        <v>499</v>
      </c>
    </row>
  </sheetData>
  <mergeCells count="3">
    <mergeCell ref="A2:A3"/>
    <mergeCell ref="B2:B3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H120"/>
  <sheetViews>
    <sheetView view="pageBreakPreview" topLeftCell="A37" zoomScale="112" zoomScaleNormal="100" zoomScaleSheetLayoutView="112" workbookViewId="0">
      <selection activeCell="B43" sqref="B43"/>
    </sheetView>
  </sheetViews>
  <sheetFormatPr defaultRowHeight="13.2" x14ac:dyDescent="0.25"/>
  <cols>
    <col min="1" max="1" width="15.6640625" customWidth="1"/>
    <col min="3" max="3" width="6.5546875" customWidth="1"/>
    <col min="4" max="4" width="8.109375" customWidth="1"/>
    <col min="5" max="5" width="7.44140625" customWidth="1"/>
    <col min="6" max="6" width="6.88671875" customWidth="1"/>
    <col min="7" max="7" width="7.109375" customWidth="1"/>
    <col min="8" max="8" width="7" customWidth="1"/>
    <col min="9" max="9" width="6.5546875" customWidth="1"/>
    <col min="10" max="10" width="10.5546875" customWidth="1"/>
    <col min="11" max="11" width="13.44140625" customWidth="1"/>
    <col min="12" max="12" width="5.6640625" customWidth="1"/>
    <col min="13" max="13" width="5.33203125" customWidth="1"/>
    <col min="14" max="14" width="6.5546875" customWidth="1"/>
    <col min="15" max="15" width="7" customWidth="1"/>
    <col min="16" max="16" width="7.6640625" customWidth="1"/>
    <col min="17" max="17" width="8.109375" customWidth="1"/>
    <col min="18" max="18" width="7" customWidth="1"/>
    <col min="19" max="19" width="7.5546875" customWidth="1"/>
    <col min="21" max="21" width="8" customWidth="1"/>
    <col min="22" max="23" width="7.33203125" customWidth="1"/>
    <col min="24" max="24" width="6.109375" customWidth="1"/>
    <col min="26" max="26" width="6.5546875" customWidth="1"/>
    <col min="27" max="27" width="6.88671875" customWidth="1"/>
    <col min="28" max="28" width="7.33203125" customWidth="1"/>
    <col min="29" max="29" width="7" customWidth="1"/>
    <col min="31" max="31" width="7" customWidth="1"/>
    <col min="32" max="32" width="6.44140625" customWidth="1"/>
    <col min="33" max="33" width="7" customWidth="1"/>
    <col min="34" max="34" width="7.44140625" customWidth="1"/>
  </cols>
  <sheetData>
    <row r="1" spans="1:13" ht="17.399999999999999" x14ac:dyDescent="0.3">
      <c r="A1" s="925" t="s">
        <v>194</v>
      </c>
      <c r="B1" s="925"/>
      <c r="C1" s="925"/>
      <c r="D1" s="925"/>
      <c r="E1" s="925"/>
      <c r="F1" s="925"/>
      <c r="G1" s="925"/>
      <c r="H1" s="925"/>
      <c r="I1" s="925"/>
      <c r="J1" s="925"/>
      <c r="K1" s="925"/>
      <c r="L1" s="925"/>
      <c r="M1" s="5"/>
    </row>
    <row r="2" spans="1:13" ht="17.399999999999999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5"/>
      <c r="M2" s="5"/>
    </row>
    <row r="3" spans="1:13" ht="17.399999999999999" x14ac:dyDescent="0.3">
      <c r="A3" s="88" t="s">
        <v>195</v>
      </c>
      <c r="B3" s="87"/>
      <c r="C3" s="3"/>
      <c r="D3" s="3"/>
      <c r="E3" s="3"/>
      <c r="F3" s="3"/>
      <c r="G3" s="3"/>
      <c r="H3" s="3"/>
      <c r="I3" s="3"/>
      <c r="J3" s="3"/>
      <c r="K3" s="3"/>
      <c r="L3" s="5"/>
      <c r="M3" s="5"/>
    </row>
    <row r="4" spans="1:13" ht="17.399999999999999" x14ac:dyDescent="0.3">
      <c r="A4" s="8" t="s">
        <v>196</v>
      </c>
      <c r="B4" s="8" t="s">
        <v>197</v>
      </c>
      <c r="C4" s="8" t="s">
        <v>198</v>
      </c>
      <c r="D4" s="8" t="s">
        <v>199</v>
      </c>
      <c r="E4" s="8" t="s">
        <v>200</v>
      </c>
      <c r="F4" s="8" t="s">
        <v>201</v>
      </c>
      <c r="G4" s="8" t="s">
        <v>202</v>
      </c>
      <c r="H4" s="8" t="s">
        <v>203</v>
      </c>
      <c r="I4" s="8" t="s">
        <v>204</v>
      </c>
      <c r="J4" s="8" t="s">
        <v>205</v>
      </c>
      <c r="K4" s="8" t="s">
        <v>206</v>
      </c>
      <c r="L4" s="5"/>
      <c r="M4" s="5"/>
    </row>
    <row r="5" spans="1:13" ht="17.399999999999999" x14ac:dyDescent="0.3">
      <c r="A5" s="6" t="s">
        <v>207</v>
      </c>
      <c r="B5" s="20">
        <f>ID!M82</f>
        <v>0</v>
      </c>
      <c r="C5" s="6" t="s">
        <v>208</v>
      </c>
      <c r="D5" s="6" t="s">
        <v>209</v>
      </c>
      <c r="E5" s="46">
        <f>SQRT(6)</f>
        <v>2.4494897427831779</v>
      </c>
      <c r="F5" s="46">
        <f>B5/E5</f>
        <v>0</v>
      </c>
      <c r="G5" s="24">
        <f>6-1</f>
        <v>5</v>
      </c>
      <c r="H5" s="24">
        <v>1</v>
      </c>
      <c r="I5" s="46">
        <f>F5*H5</f>
        <v>0</v>
      </c>
      <c r="J5" s="46">
        <f>I5^2</f>
        <v>0</v>
      </c>
      <c r="K5" s="46">
        <f>(J5^2)/G5</f>
        <v>0</v>
      </c>
      <c r="L5" s="5"/>
      <c r="M5" s="5"/>
    </row>
    <row r="6" spans="1:13" ht="17.399999999999999" x14ac:dyDescent="0.3">
      <c r="A6" s="6" t="s">
        <v>210</v>
      </c>
      <c r="B6" s="19">
        <f>N77</f>
        <v>0</v>
      </c>
      <c r="C6" s="6" t="s">
        <v>208</v>
      </c>
      <c r="D6" s="6" t="s">
        <v>211</v>
      </c>
      <c r="E6" s="46">
        <f>SQRT(3)</f>
        <v>1.7320508075688772</v>
      </c>
      <c r="F6" s="46">
        <f>B6/E6</f>
        <v>0</v>
      </c>
      <c r="G6" s="24">
        <v>50</v>
      </c>
      <c r="H6" s="24">
        <v>1</v>
      </c>
      <c r="I6" s="46">
        <f>F6*H6</f>
        <v>0</v>
      </c>
      <c r="J6" s="46">
        <f>I6^2</f>
        <v>0</v>
      </c>
      <c r="K6" s="46">
        <f>(J6^2)/G6</f>
        <v>0</v>
      </c>
      <c r="L6" s="5"/>
      <c r="M6" s="5"/>
    </row>
    <row r="7" spans="1:13" ht="17.399999999999999" x14ac:dyDescent="0.3">
      <c r="A7" s="6" t="s">
        <v>6</v>
      </c>
      <c r="B7" s="4">
        <f>1*0.5</f>
        <v>0.5</v>
      </c>
      <c r="C7" s="6" t="s">
        <v>208</v>
      </c>
      <c r="D7" s="6" t="s">
        <v>211</v>
      </c>
      <c r="E7" s="46">
        <f>SQRT(3)</f>
        <v>1.7320508075688772</v>
      </c>
      <c r="F7" s="46">
        <f>B7/E7</f>
        <v>0.28867513459481292</v>
      </c>
      <c r="G7" s="24">
        <v>50</v>
      </c>
      <c r="H7" s="24">
        <v>1</v>
      </c>
      <c r="I7" s="46">
        <f>F7*H7</f>
        <v>0.28867513459481292</v>
      </c>
      <c r="J7" s="46">
        <f>I7^2</f>
        <v>8.3333333333333356E-2</v>
      </c>
      <c r="K7" s="46">
        <f>(J7^2)/G7</f>
        <v>1.3888888888888897E-4</v>
      </c>
      <c r="L7" s="5"/>
      <c r="M7" s="5"/>
    </row>
    <row r="8" spans="1:13" ht="17.399999999999999" x14ac:dyDescent="0.3">
      <c r="A8" s="6" t="s">
        <v>212</v>
      </c>
      <c r="B8" s="19">
        <f>B77</f>
        <v>1E-3</v>
      </c>
      <c r="C8" s="6" t="s">
        <v>208</v>
      </c>
      <c r="D8" s="6" t="s">
        <v>209</v>
      </c>
      <c r="E8" s="46">
        <v>2</v>
      </c>
      <c r="F8" s="46">
        <f>B8/E8</f>
        <v>5.0000000000000001E-4</v>
      </c>
      <c r="G8" s="24">
        <v>50</v>
      </c>
      <c r="H8" s="24">
        <v>1</v>
      </c>
      <c r="I8" s="46">
        <f>F8*H8</f>
        <v>5.0000000000000001E-4</v>
      </c>
      <c r="J8" s="46">
        <f>I8^2</f>
        <v>2.4999999999999999E-7</v>
      </c>
      <c r="K8" s="46">
        <f>(J8^2)/G8</f>
        <v>1.25E-15</v>
      </c>
      <c r="L8" s="5"/>
      <c r="M8" s="5"/>
    </row>
    <row r="9" spans="1:13" ht="17.399999999999999" x14ac:dyDescent="0.3">
      <c r="A9" s="930" t="s">
        <v>213</v>
      </c>
      <c r="B9" s="930"/>
      <c r="C9" s="930"/>
      <c r="D9" s="930"/>
      <c r="E9" s="930"/>
      <c r="F9" s="930"/>
      <c r="G9" s="930"/>
      <c r="H9" s="930"/>
      <c r="I9" s="930"/>
      <c r="J9" s="46">
        <f>SUM(J5:J8)</f>
        <v>8.333358333333335E-2</v>
      </c>
      <c r="K9" s="46">
        <f>SUM(K5:K8)</f>
        <v>1.3888888889013897E-4</v>
      </c>
      <c r="L9" s="5"/>
      <c r="M9" s="5"/>
    </row>
    <row r="10" spans="1:13" ht="18" x14ac:dyDescent="0.35">
      <c r="A10" s="930" t="s">
        <v>214</v>
      </c>
      <c r="B10" s="930"/>
      <c r="C10" s="930"/>
      <c r="D10" s="930"/>
      <c r="E10" s="930"/>
      <c r="F10" s="930"/>
      <c r="G10" s="933" t="s">
        <v>215</v>
      </c>
      <c r="H10" s="933"/>
      <c r="I10" s="933"/>
      <c r="J10" s="46">
        <f>SQRT(J9)</f>
        <v>0.28867556760719004</v>
      </c>
      <c r="K10" s="46"/>
      <c r="L10" s="5"/>
      <c r="M10" s="5"/>
    </row>
    <row r="11" spans="1:13" ht="18" x14ac:dyDescent="0.35">
      <c r="A11" s="930" t="s">
        <v>216</v>
      </c>
      <c r="B11" s="930"/>
      <c r="C11" s="930"/>
      <c r="D11" s="930"/>
      <c r="E11" s="930"/>
      <c r="F11" s="930"/>
      <c r="G11" s="932" t="s">
        <v>217</v>
      </c>
      <c r="H11" s="932"/>
      <c r="I11" s="932"/>
      <c r="J11" s="46">
        <f>J10^4/(K9)</f>
        <v>50.000299999999982</v>
      </c>
      <c r="K11" s="46"/>
      <c r="L11" s="5"/>
      <c r="M11" s="5"/>
    </row>
    <row r="12" spans="1:13" ht="17.399999999999999" x14ac:dyDescent="0.3">
      <c r="A12" s="930" t="s">
        <v>218</v>
      </c>
      <c r="B12" s="930"/>
      <c r="C12" s="930"/>
      <c r="D12" s="930"/>
      <c r="E12" s="930"/>
      <c r="F12" s="930"/>
      <c r="G12" s="931" t="s">
        <v>219</v>
      </c>
      <c r="H12" s="931"/>
      <c r="I12" s="931"/>
      <c r="J12" s="46">
        <f>1.95996+(2.37356/J11)+(2.818745/J11^2)+(2.546662/J11^3)+(1.761829/J11^4)+(0.245458/J11^5)+(1.000764/J11^6)</f>
        <v>2.0085790553093026</v>
      </c>
      <c r="K12" s="46"/>
      <c r="L12" s="5"/>
      <c r="M12" s="5"/>
    </row>
    <row r="13" spans="1:13" ht="17.399999999999999" x14ac:dyDescent="0.3">
      <c r="A13" s="930" t="s">
        <v>220</v>
      </c>
      <c r="B13" s="930"/>
      <c r="C13" s="930"/>
      <c r="D13" s="930"/>
      <c r="E13" s="930"/>
      <c r="F13" s="930"/>
      <c r="G13" s="931" t="s">
        <v>221</v>
      </c>
      <c r="H13" s="931"/>
      <c r="I13" s="931"/>
      <c r="J13" s="46">
        <f>J12*J10</f>
        <v>0.57982769887532648</v>
      </c>
      <c r="K13" s="47" t="s">
        <v>9</v>
      </c>
      <c r="L13" s="5"/>
      <c r="M13" s="5"/>
    </row>
    <row r="14" spans="1:13" ht="17.399999999999999" x14ac:dyDescent="0.3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5"/>
      <c r="M14" s="5"/>
    </row>
    <row r="15" spans="1:13" ht="17.399999999999999" x14ac:dyDescent="0.3">
      <c r="A15" s="88" t="s">
        <v>222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5"/>
      <c r="M15" s="5"/>
    </row>
    <row r="16" spans="1:13" ht="17.399999999999999" x14ac:dyDescent="0.3">
      <c r="A16" s="8" t="s">
        <v>196</v>
      </c>
      <c r="B16" s="8" t="s">
        <v>197</v>
      </c>
      <c r="C16" s="8" t="s">
        <v>198</v>
      </c>
      <c r="D16" s="8" t="s">
        <v>199</v>
      </c>
      <c r="E16" s="8" t="s">
        <v>200</v>
      </c>
      <c r="F16" s="8" t="s">
        <v>201</v>
      </c>
      <c r="G16" s="8" t="s">
        <v>202</v>
      </c>
      <c r="H16" s="8" t="s">
        <v>203</v>
      </c>
      <c r="I16" s="8" t="s">
        <v>204</v>
      </c>
      <c r="J16" s="8" t="s">
        <v>205</v>
      </c>
      <c r="K16" s="8" t="s">
        <v>206</v>
      </c>
      <c r="L16" s="5"/>
      <c r="M16" s="5"/>
    </row>
    <row r="17" spans="1:13" ht="17.399999999999999" x14ac:dyDescent="0.3">
      <c r="A17" s="6" t="s">
        <v>207</v>
      </c>
      <c r="B17" s="20">
        <f>ID!M83</f>
        <v>0</v>
      </c>
      <c r="C17" s="6" t="s">
        <v>208</v>
      </c>
      <c r="D17" s="6" t="s">
        <v>209</v>
      </c>
      <c r="E17" s="46">
        <f>SQRT(6)</f>
        <v>2.4494897427831779</v>
      </c>
      <c r="F17" s="46">
        <f>B17/E17</f>
        <v>0</v>
      </c>
      <c r="G17" s="24">
        <f>6-1</f>
        <v>5</v>
      </c>
      <c r="H17" s="24">
        <v>1</v>
      </c>
      <c r="I17" s="46">
        <f>F17*H17</f>
        <v>0</v>
      </c>
      <c r="J17" s="46">
        <f>I17^2</f>
        <v>0</v>
      </c>
      <c r="K17" s="46">
        <f>(J17^2)/G17</f>
        <v>0</v>
      </c>
      <c r="L17" s="5"/>
      <c r="M17" s="5"/>
    </row>
    <row r="18" spans="1:13" ht="17.399999999999999" x14ac:dyDescent="0.3">
      <c r="A18" s="6" t="s">
        <v>210</v>
      </c>
      <c r="B18" s="19">
        <f>N78</f>
        <v>0</v>
      </c>
      <c r="C18" s="6" t="s">
        <v>208</v>
      </c>
      <c r="D18" s="6" t="s">
        <v>211</v>
      </c>
      <c r="E18" s="46">
        <f>SQRT(3)</f>
        <v>1.7320508075688772</v>
      </c>
      <c r="F18" s="46">
        <f>B18/E18</f>
        <v>0</v>
      </c>
      <c r="G18" s="24">
        <v>50</v>
      </c>
      <c r="H18" s="24">
        <v>1</v>
      </c>
      <c r="I18" s="46">
        <f>F18*H18</f>
        <v>0</v>
      </c>
      <c r="J18" s="46">
        <f>I18^2</f>
        <v>0</v>
      </c>
      <c r="K18" s="46">
        <f>(J18^2)/G18</f>
        <v>0</v>
      </c>
      <c r="L18" s="5"/>
      <c r="M18" s="5"/>
    </row>
    <row r="19" spans="1:13" ht="17.399999999999999" x14ac:dyDescent="0.3">
      <c r="A19" s="6" t="s">
        <v>6</v>
      </c>
      <c r="B19" s="4">
        <f>1*0.5</f>
        <v>0.5</v>
      </c>
      <c r="C19" s="6" t="s">
        <v>208</v>
      </c>
      <c r="D19" s="6" t="s">
        <v>211</v>
      </c>
      <c r="E19" s="46">
        <f>SQRT(3)</f>
        <v>1.7320508075688772</v>
      </c>
      <c r="F19" s="46">
        <f>B19/E19</f>
        <v>0.28867513459481292</v>
      </c>
      <c r="G19" s="24">
        <v>50</v>
      </c>
      <c r="H19" s="24">
        <v>1</v>
      </c>
      <c r="I19" s="46">
        <f>F19*H19</f>
        <v>0.28867513459481292</v>
      </c>
      <c r="J19" s="46">
        <f>I19^2</f>
        <v>8.3333333333333356E-2</v>
      </c>
      <c r="K19" s="46">
        <f>(J19^2)/G19</f>
        <v>1.3888888888888897E-4</v>
      </c>
      <c r="L19" s="5"/>
      <c r="M19" s="5"/>
    </row>
    <row r="20" spans="1:13" ht="17.399999999999999" x14ac:dyDescent="0.3">
      <c r="A20" s="6" t="s">
        <v>212</v>
      </c>
      <c r="B20" s="19">
        <f>B78</f>
        <v>1E-3</v>
      </c>
      <c r="C20" s="6" t="s">
        <v>208</v>
      </c>
      <c r="D20" s="6" t="s">
        <v>209</v>
      </c>
      <c r="E20" s="46">
        <v>2</v>
      </c>
      <c r="F20" s="46">
        <f>B20/E20</f>
        <v>5.0000000000000001E-4</v>
      </c>
      <c r="G20" s="24">
        <v>50</v>
      </c>
      <c r="H20" s="24">
        <v>1</v>
      </c>
      <c r="I20" s="46">
        <f>F20*H20</f>
        <v>5.0000000000000001E-4</v>
      </c>
      <c r="J20" s="46">
        <f>I20^2</f>
        <v>2.4999999999999999E-7</v>
      </c>
      <c r="K20" s="46">
        <f>(J20^2)/G20</f>
        <v>1.25E-15</v>
      </c>
      <c r="L20" s="5"/>
      <c r="M20" s="5"/>
    </row>
    <row r="21" spans="1:13" ht="17.399999999999999" x14ac:dyDescent="0.3">
      <c r="A21" s="930" t="s">
        <v>213</v>
      </c>
      <c r="B21" s="930"/>
      <c r="C21" s="930"/>
      <c r="D21" s="930"/>
      <c r="E21" s="930"/>
      <c r="F21" s="930"/>
      <c r="G21" s="930"/>
      <c r="H21" s="930"/>
      <c r="I21" s="930"/>
      <c r="J21" s="46">
        <f>SUM(J17:J20)</f>
        <v>8.333358333333335E-2</v>
      </c>
      <c r="K21" s="46">
        <f>SUM(K17:K20)</f>
        <v>1.3888888889013897E-4</v>
      </c>
      <c r="L21" s="5"/>
      <c r="M21" s="5"/>
    </row>
    <row r="22" spans="1:13" ht="18" x14ac:dyDescent="0.35">
      <c r="A22" s="930" t="s">
        <v>214</v>
      </c>
      <c r="B22" s="930"/>
      <c r="C22" s="930"/>
      <c r="D22" s="930"/>
      <c r="E22" s="930"/>
      <c r="F22" s="930"/>
      <c r="G22" s="933" t="s">
        <v>215</v>
      </c>
      <c r="H22" s="933"/>
      <c r="I22" s="933"/>
      <c r="J22" s="46">
        <f>SQRT(J21)</f>
        <v>0.28867556760719004</v>
      </c>
      <c r="K22" s="46"/>
      <c r="L22" s="5"/>
      <c r="M22" s="5"/>
    </row>
    <row r="23" spans="1:13" ht="18" x14ac:dyDescent="0.35">
      <c r="A23" s="930" t="s">
        <v>216</v>
      </c>
      <c r="B23" s="930"/>
      <c r="C23" s="930"/>
      <c r="D23" s="930"/>
      <c r="E23" s="930"/>
      <c r="F23" s="930"/>
      <c r="G23" s="932" t="s">
        <v>217</v>
      </c>
      <c r="H23" s="932"/>
      <c r="I23" s="932"/>
      <c r="J23" s="46">
        <f>J22^4/(K21)</f>
        <v>50.000299999999982</v>
      </c>
      <c r="K23" s="46"/>
      <c r="L23" s="5"/>
      <c r="M23" s="5"/>
    </row>
    <row r="24" spans="1:13" ht="17.399999999999999" x14ac:dyDescent="0.3">
      <c r="A24" s="930" t="s">
        <v>218</v>
      </c>
      <c r="B24" s="930"/>
      <c r="C24" s="930"/>
      <c r="D24" s="930"/>
      <c r="E24" s="930"/>
      <c r="F24" s="930"/>
      <c r="G24" s="931" t="s">
        <v>219</v>
      </c>
      <c r="H24" s="931"/>
      <c r="I24" s="931"/>
      <c r="J24" s="46">
        <f>1.95996+(2.37356/J23)+(2.818745/J23^2)+(2.546662/J23^3)+(1.761829/J23^4)+(0.245458/J23^5)+(1.000764/J23^6)</f>
        <v>2.0085790553093026</v>
      </c>
      <c r="K24" s="46"/>
      <c r="L24" s="5"/>
      <c r="M24" s="5"/>
    </row>
    <row r="25" spans="1:13" ht="17.399999999999999" x14ac:dyDescent="0.3">
      <c r="A25" s="930" t="s">
        <v>220</v>
      </c>
      <c r="B25" s="930"/>
      <c r="C25" s="930"/>
      <c r="D25" s="930"/>
      <c r="E25" s="930"/>
      <c r="F25" s="930"/>
      <c r="G25" s="931" t="s">
        <v>221</v>
      </c>
      <c r="H25" s="931"/>
      <c r="I25" s="931"/>
      <c r="J25" s="46">
        <f>J24*J22</f>
        <v>0.57982769887532648</v>
      </c>
      <c r="K25" s="47" t="s">
        <v>9</v>
      </c>
      <c r="L25" s="5"/>
      <c r="M25" s="5"/>
    </row>
    <row r="26" spans="1:13" ht="17.399999999999999" x14ac:dyDescent="0.3">
      <c r="A26" s="27"/>
      <c r="B26" s="27"/>
      <c r="C26" s="27"/>
      <c r="D26" s="27"/>
      <c r="E26" s="27"/>
      <c r="F26" s="27"/>
      <c r="G26" s="28"/>
      <c r="H26" s="28"/>
      <c r="I26" s="28"/>
      <c r="J26" s="49"/>
      <c r="K26" s="50"/>
      <c r="L26" s="5"/>
      <c r="M26" s="5"/>
    </row>
    <row r="27" spans="1:13" ht="14.4" x14ac:dyDescent="0.3">
      <c r="A27" s="27"/>
      <c r="B27" s="27"/>
      <c r="C27" s="27"/>
      <c r="D27" s="27"/>
      <c r="E27" s="27"/>
      <c r="F27" s="27"/>
      <c r="G27" s="28"/>
      <c r="H27" s="28"/>
      <c r="I27" s="28"/>
      <c r="J27" s="3"/>
      <c r="K27" s="29"/>
    </row>
    <row r="28" spans="1:13" x14ac:dyDescent="0.25">
      <c r="A28" s="88" t="s">
        <v>223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3" ht="21.75" customHeight="1" x14ac:dyDescent="0.25">
      <c r="A29" s="8" t="s">
        <v>196</v>
      </c>
      <c r="B29" s="8" t="s">
        <v>197</v>
      </c>
      <c r="C29" s="8" t="s">
        <v>198</v>
      </c>
      <c r="D29" s="8" t="s">
        <v>199</v>
      </c>
      <c r="E29" s="8" t="s">
        <v>200</v>
      </c>
      <c r="F29" s="8" t="s">
        <v>201</v>
      </c>
      <c r="G29" s="8" t="s">
        <v>202</v>
      </c>
      <c r="H29" s="8" t="s">
        <v>203</v>
      </c>
      <c r="I29" s="8" t="s">
        <v>204</v>
      </c>
      <c r="J29" s="8" t="s">
        <v>205</v>
      </c>
      <c r="K29" s="8" t="s">
        <v>206</v>
      </c>
    </row>
    <row r="30" spans="1:13" ht="21.75" customHeight="1" x14ac:dyDescent="0.25">
      <c r="A30" s="6" t="s">
        <v>207</v>
      </c>
      <c r="B30" s="48">
        <f>ID!M84</f>
        <v>0</v>
      </c>
      <c r="C30" s="6" t="s">
        <v>208</v>
      </c>
      <c r="D30" s="6" t="s">
        <v>209</v>
      </c>
      <c r="E30" s="46">
        <f>SQRT(6)</f>
        <v>2.4494897427831779</v>
      </c>
      <c r="F30" s="46">
        <f>B30/E30</f>
        <v>0</v>
      </c>
      <c r="G30" s="72">
        <f>6-1</f>
        <v>5</v>
      </c>
      <c r="H30" s="72">
        <v>1</v>
      </c>
      <c r="I30" s="46">
        <f>F30*H30</f>
        <v>0</v>
      </c>
      <c r="J30" s="46">
        <f>I30^2</f>
        <v>0</v>
      </c>
      <c r="K30" s="46">
        <f>(J30^2)/G30</f>
        <v>0</v>
      </c>
    </row>
    <row r="31" spans="1:13" ht="21.75" customHeight="1" x14ac:dyDescent="0.25">
      <c r="A31" s="6" t="s">
        <v>210</v>
      </c>
      <c r="B31" s="48">
        <f>N79</f>
        <v>0</v>
      </c>
      <c r="C31" s="6" t="s">
        <v>208</v>
      </c>
      <c r="D31" s="6" t="s">
        <v>211</v>
      </c>
      <c r="E31" s="46">
        <f>SQRT(3)</f>
        <v>1.7320508075688772</v>
      </c>
      <c r="F31" s="46">
        <f>B31/E31</f>
        <v>0</v>
      </c>
      <c r="G31" s="72">
        <v>50</v>
      </c>
      <c r="H31" s="72">
        <v>1</v>
      </c>
      <c r="I31" s="46">
        <f>F31*H31</f>
        <v>0</v>
      </c>
      <c r="J31" s="46">
        <f>I31^2</f>
        <v>0</v>
      </c>
      <c r="K31" s="46">
        <f>(J31^2)/G31</f>
        <v>0</v>
      </c>
    </row>
    <row r="32" spans="1:13" ht="21.75" customHeight="1" x14ac:dyDescent="0.25">
      <c r="A32" s="6" t="s">
        <v>6</v>
      </c>
      <c r="B32" s="4">
        <f>1*0.5</f>
        <v>0.5</v>
      </c>
      <c r="C32" s="6" t="s">
        <v>208</v>
      </c>
      <c r="D32" s="6" t="s">
        <v>211</v>
      </c>
      <c r="E32" s="46">
        <f>SQRT(3)</f>
        <v>1.7320508075688772</v>
      </c>
      <c r="F32" s="46">
        <f>B32/E32</f>
        <v>0.28867513459481292</v>
      </c>
      <c r="G32" s="72">
        <v>50</v>
      </c>
      <c r="H32" s="72">
        <v>1</v>
      </c>
      <c r="I32" s="46">
        <f>F32*H32</f>
        <v>0.28867513459481292</v>
      </c>
      <c r="J32" s="46">
        <f>I32^2</f>
        <v>8.3333333333333356E-2</v>
      </c>
      <c r="K32" s="46">
        <f>(J32^2)/G32</f>
        <v>1.3888888888888897E-4</v>
      </c>
    </row>
    <row r="33" spans="1:11" ht="21.75" customHeight="1" x14ac:dyDescent="0.25">
      <c r="A33" s="6" t="s">
        <v>212</v>
      </c>
      <c r="B33" s="48">
        <f>B79</f>
        <v>1E-3</v>
      </c>
      <c r="C33" s="6" t="s">
        <v>208</v>
      </c>
      <c r="D33" s="6" t="s">
        <v>209</v>
      </c>
      <c r="E33" s="46">
        <v>2</v>
      </c>
      <c r="F33" s="46">
        <f>B33/E33</f>
        <v>5.0000000000000001E-4</v>
      </c>
      <c r="G33" s="72">
        <v>50</v>
      </c>
      <c r="H33" s="72">
        <v>1</v>
      </c>
      <c r="I33" s="46">
        <f>F33*H33</f>
        <v>5.0000000000000001E-4</v>
      </c>
      <c r="J33" s="46">
        <f>I33^2</f>
        <v>2.4999999999999999E-7</v>
      </c>
      <c r="K33" s="46">
        <f>(J33^2)/G33</f>
        <v>1.25E-15</v>
      </c>
    </row>
    <row r="34" spans="1:11" ht="21.75" customHeight="1" x14ac:dyDescent="0.3">
      <c r="A34" s="930" t="s">
        <v>213</v>
      </c>
      <c r="B34" s="930"/>
      <c r="C34" s="930"/>
      <c r="D34" s="930"/>
      <c r="E34" s="930"/>
      <c r="F34" s="930"/>
      <c r="G34" s="930"/>
      <c r="H34" s="930"/>
      <c r="I34" s="930"/>
      <c r="J34" s="46">
        <f>SUM(J30:J33)</f>
        <v>8.333358333333335E-2</v>
      </c>
      <c r="K34" s="46">
        <f>SUM(K30:K33)</f>
        <v>1.3888888889013897E-4</v>
      </c>
    </row>
    <row r="35" spans="1:11" ht="21.75" customHeight="1" x14ac:dyDescent="0.35">
      <c r="A35" s="930" t="s">
        <v>214</v>
      </c>
      <c r="B35" s="930"/>
      <c r="C35" s="930"/>
      <c r="D35" s="930"/>
      <c r="E35" s="930"/>
      <c r="F35" s="930"/>
      <c r="G35" s="933" t="s">
        <v>215</v>
      </c>
      <c r="H35" s="933"/>
      <c r="I35" s="933"/>
      <c r="J35" s="46">
        <f>SQRT(J34)</f>
        <v>0.28867556760719004</v>
      </c>
      <c r="K35" s="46"/>
    </row>
    <row r="36" spans="1:11" ht="21.75" customHeight="1" x14ac:dyDescent="0.35">
      <c r="A36" s="930" t="s">
        <v>216</v>
      </c>
      <c r="B36" s="930"/>
      <c r="C36" s="930"/>
      <c r="D36" s="930"/>
      <c r="E36" s="930"/>
      <c r="F36" s="930"/>
      <c r="G36" s="932" t="s">
        <v>217</v>
      </c>
      <c r="H36" s="932"/>
      <c r="I36" s="932"/>
      <c r="J36" s="46">
        <f>J35^4/(K34)</f>
        <v>50.000299999999982</v>
      </c>
      <c r="K36" s="46"/>
    </row>
    <row r="37" spans="1:11" ht="21.75" customHeight="1" x14ac:dyDescent="0.3">
      <c r="A37" s="930" t="s">
        <v>218</v>
      </c>
      <c r="B37" s="930"/>
      <c r="C37" s="930"/>
      <c r="D37" s="930"/>
      <c r="E37" s="930"/>
      <c r="F37" s="930"/>
      <c r="G37" s="931" t="s">
        <v>219</v>
      </c>
      <c r="H37" s="931"/>
      <c r="I37" s="931"/>
      <c r="J37" s="46">
        <f>1.95996+(2.37356/J36)+(2.818745/J36^2)+(2.546662/J36^3)+(1.761829/J36^4)+(0.245458/J36^5)+(1.000764/J36^6)</f>
        <v>2.0085790553093026</v>
      </c>
      <c r="K37" s="46"/>
    </row>
    <row r="38" spans="1:11" ht="21.75" customHeight="1" x14ac:dyDescent="0.3">
      <c r="A38" s="930" t="s">
        <v>220</v>
      </c>
      <c r="B38" s="930"/>
      <c r="C38" s="930"/>
      <c r="D38" s="930"/>
      <c r="E38" s="930"/>
      <c r="F38" s="930"/>
      <c r="G38" s="931" t="s">
        <v>221</v>
      </c>
      <c r="H38" s="931"/>
      <c r="I38" s="931"/>
      <c r="J38" s="46">
        <f>J37*J35</f>
        <v>0.57982769887532648</v>
      </c>
      <c r="K38" s="47" t="s">
        <v>9</v>
      </c>
    </row>
    <row r="39" spans="1:11" ht="21.75" customHeight="1" x14ac:dyDescent="0.3">
      <c r="A39" s="27"/>
      <c r="B39" s="27"/>
      <c r="C39" s="27"/>
      <c r="D39" s="27"/>
      <c r="E39" s="27"/>
      <c r="F39" s="27"/>
      <c r="G39" s="28"/>
      <c r="H39" s="28"/>
      <c r="I39" s="28"/>
      <c r="J39" s="49"/>
      <c r="K39" s="50"/>
    </row>
    <row r="40" spans="1:11" ht="18.75" customHeight="1" x14ac:dyDescent="0.25">
      <c r="A40" s="88" t="s">
        <v>224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8.75" customHeight="1" x14ac:dyDescent="0.25">
      <c r="A41" s="8" t="s">
        <v>196</v>
      </c>
      <c r="B41" s="8" t="s">
        <v>197</v>
      </c>
      <c r="C41" s="8" t="s">
        <v>198</v>
      </c>
      <c r="D41" s="8" t="s">
        <v>199</v>
      </c>
      <c r="E41" s="8" t="s">
        <v>200</v>
      </c>
      <c r="F41" s="8" t="s">
        <v>201</v>
      </c>
      <c r="G41" s="8" t="s">
        <v>202</v>
      </c>
      <c r="H41" s="8" t="s">
        <v>203</v>
      </c>
      <c r="I41" s="8" t="s">
        <v>204</v>
      </c>
      <c r="J41" s="8" t="s">
        <v>205</v>
      </c>
      <c r="K41" s="8" t="s">
        <v>206</v>
      </c>
    </row>
    <row r="42" spans="1:11" ht="18.75" customHeight="1" x14ac:dyDescent="0.25">
      <c r="A42" s="6" t="s">
        <v>207</v>
      </c>
      <c r="B42" s="20">
        <f>ID!M85</f>
        <v>0</v>
      </c>
      <c r="C42" s="6" t="s">
        <v>208</v>
      </c>
      <c r="D42" s="6" t="s">
        <v>209</v>
      </c>
      <c r="E42" s="46">
        <f>SQRT(6)</f>
        <v>2.4494897427831779</v>
      </c>
      <c r="F42" s="46">
        <f>B42/E42</f>
        <v>0</v>
      </c>
      <c r="G42" s="72">
        <f>6-1</f>
        <v>5</v>
      </c>
      <c r="H42" s="72">
        <v>1</v>
      </c>
      <c r="I42" s="46">
        <f>F42*H42</f>
        <v>0</v>
      </c>
      <c r="J42" s="46">
        <f>I42^2</f>
        <v>0</v>
      </c>
      <c r="K42" s="46">
        <f>(J42^2)/G42</f>
        <v>0</v>
      </c>
    </row>
    <row r="43" spans="1:11" ht="18.75" customHeight="1" x14ac:dyDescent="0.25">
      <c r="A43" s="6" t="s">
        <v>225</v>
      </c>
      <c r="B43" s="20">
        <f>N80</f>
        <v>0</v>
      </c>
      <c r="C43" s="6" t="s">
        <v>208</v>
      </c>
      <c r="D43" s="6" t="s">
        <v>211</v>
      </c>
      <c r="E43" s="46">
        <f>SQRT(3)</f>
        <v>1.7320508075688772</v>
      </c>
      <c r="F43" s="46">
        <f>B43/E43</f>
        <v>0</v>
      </c>
      <c r="G43" s="72">
        <v>50</v>
      </c>
      <c r="H43" s="72">
        <v>1</v>
      </c>
      <c r="I43" s="46">
        <f>F43*H43</f>
        <v>0</v>
      </c>
      <c r="J43" s="46">
        <f>I43^2</f>
        <v>0</v>
      </c>
      <c r="K43" s="46">
        <f>(J43^2)/G43</f>
        <v>0</v>
      </c>
    </row>
    <row r="44" spans="1:11" ht="18.75" customHeight="1" x14ac:dyDescent="0.25">
      <c r="A44" s="6" t="s">
        <v>6</v>
      </c>
      <c r="B44" s="4">
        <f>1*0.5</f>
        <v>0.5</v>
      </c>
      <c r="C44" s="6" t="s">
        <v>208</v>
      </c>
      <c r="D44" s="6" t="s">
        <v>211</v>
      </c>
      <c r="E44" s="46">
        <f>SQRT(3)</f>
        <v>1.7320508075688772</v>
      </c>
      <c r="F44" s="46">
        <f>B44/E44</f>
        <v>0.28867513459481292</v>
      </c>
      <c r="G44" s="72">
        <v>50</v>
      </c>
      <c r="H44" s="72">
        <v>1</v>
      </c>
      <c r="I44" s="46">
        <f>F44*H44</f>
        <v>0.28867513459481292</v>
      </c>
      <c r="J44" s="46">
        <f>I44^2</f>
        <v>8.3333333333333356E-2</v>
      </c>
      <c r="K44" s="46">
        <f>(J44^2)/G44</f>
        <v>1.3888888888888897E-4</v>
      </c>
    </row>
    <row r="45" spans="1:11" ht="18.75" customHeight="1" x14ac:dyDescent="0.25">
      <c r="A45" s="6" t="s">
        <v>212</v>
      </c>
      <c r="B45" s="20">
        <f>B80</f>
        <v>0</v>
      </c>
      <c r="C45" s="6" t="s">
        <v>208</v>
      </c>
      <c r="D45" s="6" t="s">
        <v>209</v>
      </c>
      <c r="E45" s="46">
        <v>2</v>
      </c>
      <c r="F45" s="46">
        <f>B45/E45</f>
        <v>0</v>
      </c>
      <c r="G45" s="72">
        <v>50</v>
      </c>
      <c r="H45" s="72">
        <v>1</v>
      </c>
      <c r="I45" s="46">
        <f>F45*H45</f>
        <v>0</v>
      </c>
      <c r="J45" s="46">
        <f>I45^2</f>
        <v>0</v>
      </c>
      <c r="K45" s="46">
        <f>(J45^2)/G45</f>
        <v>0</v>
      </c>
    </row>
    <row r="46" spans="1:11" ht="18.75" customHeight="1" x14ac:dyDescent="0.3">
      <c r="A46" s="930" t="s">
        <v>213</v>
      </c>
      <c r="B46" s="930"/>
      <c r="C46" s="930"/>
      <c r="D46" s="930"/>
      <c r="E46" s="930"/>
      <c r="F46" s="930"/>
      <c r="G46" s="930"/>
      <c r="H46" s="930"/>
      <c r="I46" s="930"/>
      <c r="J46" s="46">
        <f>SUM(J42:J45)</f>
        <v>8.3333333333333356E-2</v>
      </c>
      <c r="K46" s="46">
        <f>SUM(K42:K45)</f>
        <v>1.3888888888888897E-4</v>
      </c>
    </row>
    <row r="47" spans="1:11" ht="18.75" customHeight="1" x14ac:dyDescent="0.35">
      <c r="A47" s="930" t="s">
        <v>214</v>
      </c>
      <c r="B47" s="930"/>
      <c r="C47" s="930"/>
      <c r="D47" s="930"/>
      <c r="E47" s="930"/>
      <c r="F47" s="930"/>
      <c r="G47" s="933" t="s">
        <v>215</v>
      </c>
      <c r="H47" s="933"/>
      <c r="I47" s="933"/>
      <c r="J47" s="46">
        <f>SQRT(J46)</f>
        <v>0.28867513459481292</v>
      </c>
      <c r="K47" s="46"/>
    </row>
    <row r="48" spans="1:11" ht="18.75" customHeight="1" x14ac:dyDescent="0.35">
      <c r="A48" s="930" t="s">
        <v>216</v>
      </c>
      <c r="B48" s="930"/>
      <c r="C48" s="930"/>
      <c r="D48" s="930"/>
      <c r="E48" s="930"/>
      <c r="F48" s="930"/>
      <c r="G48" s="932" t="s">
        <v>217</v>
      </c>
      <c r="H48" s="932"/>
      <c r="I48" s="932"/>
      <c r="J48" s="46">
        <f>J47^4/(K46)</f>
        <v>50</v>
      </c>
      <c r="K48" s="46"/>
    </row>
    <row r="49" spans="1:15" ht="18.75" customHeight="1" x14ac:dyDescent="0.3">
      <c r="A49" s="930" t="s">
        <v>218</v>
      </c>
      <c r="B49" s="930"/>
      <c r="C49" s="930"/>
      <c r="D49" s="930"/>
      <c r="E49" s="930"/>
      <c r="F49" s="930"/>
      <c r="G49" s="931" t="s">
        <v>219</v>
      </c>
      <c r="H49" s="931"/>
      <c r="I49" s="931"/>
      <c r="J49" s="46">
        <f>1.95996+(2.37356/J48)+(2.818745/J48^2)+(2.546662/J48^3)+(1.761829/J48^4)+(0.245458/J48^5)+(1.000764/J48^6)</f>
        <v>2.008579354038154</v>
      </c>
      <c r="K49" s="46"/>
    </row>
    <row r="50" spans="1:15" ht="18.75" customHeight="1" x14ac:dyDescent="0.3">
      <c r="A50" s="930" t="s">
        <v>220</v>
      </c>
      <c r="B50" s="930"/>
      <c r="C50" s="930"/>
      <c r="D50" s="930"/>
      <c r="E50" s="930"/>
      <c r="F50" s="930"/>
      <c r="G50" s="931" t="s">
        <v>221</v>
      </c>
      <c r="H50" s="931"/>
      <c r="I50" s="931"/>
      <c r="J50" s="46">
        <f>J49*J47</f>
        <v>0.57982691537132647</v>
      </c>
      <c r="K50" s="47" t="s">
        <v>9</v>
      </c>
    </row>
    <row r="51" spans="1:15" ht="18.75" customHeight="1" x14ac:dyDescent="0.3">
      <c r="A51" s="27"/>
      <c r="B51" s="27"/>
      <c r="C51" s="27"/>
      <c r="D51" s="27"/>
      <c r="E51" s="27"/>
      <c r="F51" s="27"/>
      <c r="G51" s="28"/>
      <c r="H51" s="28"/>
      <c r="I51" s="28"/>
      <c r="J51" s="49"/>
      <c r="K51" s="50"/>
    </row>
    <row r="52" spans="1: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5" ht="37.5" customHeight="1" x14ac:dyDescent="0.25">
      <c r="A53" s="85" t="s">
        <v>226</v>
      </c>
      <c r="B53" s="949" t="str">
        <f>ID!B60</f>
        <v>Digital Thermohygro Barometer : EXTECH, SD700, SN : A.100616</v>
      </c>
      <c r="C53" s="950"/>
      <c r="D53" s="950"/>
      <c r="E53" s="951"/>
      <c r="F53" s="3"/>
      <c r="G53" s="3"/>
      <c r="H53" s="3"/>
      <c r="I53" s="3"/>
      <c r="J53" s="3"/>
      <c r="K53" s="3"/>
    </row>
    <row r="54" spans="1:15" x14ac:dyDescent="0.25">
      <c r="A54" s="9" t="s">
        <v>227</v>
      </c>
      <c r="B54" s="9"/>
      <c r="C54" s="4"/>
      <c r="D54" s="6" t="s">
        <v>228</v>
      </c>
      <c r="E54" s="4"/>
      <c r="F54" s="3"/>
      <c r="G54" s="3"/>
      <c r="H54" s="3"/>
      <c r="I54" s="3"/>
      <c r="J54" s="3"/>
      <c r="K54" s="3"/>
    </row>
    <row r="55" spans="1:15" x14ac:dyDescent="0.25">
      <c r="A55" s="10" t="s">
        <v>229</v>
      </c>
      <c r="B55" s="10" t="s">
        <v>167</v>
      </c>
      <c r="C55" s="4"/>
      <c r="D55" s="6" t="s">
        <v>229</v>
      </c>
      <c r="E55" s="6" t="s">
        <v>167</v>
      </c>
      <c r="F55" s="3"/>
      <c r="G55" s="936" t="s">
        <v>230</v>
      </c>
      <c r="H55" s="937"/>
      <c r="I55" s="937"/>
      <c r="J55" s="938"/>
      <c r="K55" s="6" t="s">
        <v>231</v>
      </c>
      <c r="L55" s="3"/>
    </row>
    <row r="56" spans="1:15" x14ac:dyDescent="0.25">
      <c r="A56" s="11">
        <v>15</v>
      </c>
      <c r="B56" s="11">
        <v>0.4</v>
      </c>
      <c r="C56" s="11"/>
      <c r="D56" s="11">
        <v>35</v>
      </c>
      <c r="E56" s="11">
        <v>-0.8</v>
      </c>
      <c r="F56" s="3"/>
      <c r="G56" s="12"/>
      <c r="H56" s="12" t="str">
        <f>IF(G57&lt;=20,"15",IF(G57&lt;=25,"20",IF(G57&lt;=30,"25",IF(G57&lt;=35,"30",IF(G57&lt;=37,"35",IF(G57&lt;=40,"37",IF(G57&lt;=40,"40",)))))))</f>
        <v>35</v>
      </c>
      <c r="I56" s="12"/>
      <c r="J56" s="12" t="str">
        <f>IF(G57&lt;=20,"0.4",IF(G57&lt;=25,"0.0",IF(G57&lt;=30,"-0.5",IF(G57&lt;35,"-1.0",IF(G57&lt;=37,"-1.5",IF(G57&lt;=40,"-1.8"))))))</f>
        <v>-1.5</v>
      </c>
      <c r="K56" s="6" t="s">
        <v>227</v>
      </c>
      <c r="L56" s="4">
        <v>0.4</v>
      </c>
    </row>
    <row r="57" spans="1:15" x14ac:dyDescent="0.25">
      <c r="A57" s="13">
        <v>20</v>
      </c>
      <c r="B57" s="13">
        <v>0</v>
      </c>
      <c r="C57" s="13"/>
      <c r="D57" s="13">
        <v>40</v>
      </c>
      <c r="E57" s="13">
        <v>-0.9</v>
      </c>
      <c r="F57" s="3"/>
      <c r="G57" s="14">
        <f>ID!O15</f>
        <v>36.650000000000006</v>
      </c>
      <c r="H57" s="12"/>
      <c r="I57" s="14">
        <f>((G57-H56)/(H58-H56)*(J58-J56)+J56)</f>
        <v>-1.7475000000000009</v>
      </c>
      <c r="J57" s="14"/>
      <c r="K57" s="6" t="s">
        <v>228</v>
      </c>
      <c r="L57" s="4">
        <v>1.6</v>
      </c>
    </row>
    <row r="58" spans="1:15" x14ac:dyDescent="0.25">
      <c r="A58" s="15">
        <v>25</v>
      </c>
      <c r="B58" s="15">
        <v>-0.5</v>
      </c>
      <c r="C58" s="15"/>
      <c r="D58" s="15">
        <v>50</v>
      </c>
      <c r="E58" s="15">
        <v>-1</v>
      </c>
      <c r="F58" s="3"/>
      <c r="G58" s="12"/>
      <c r="H58" s="12" t="str">
        <f>IF(G57&lt;=20,"20",IF(G57&lt;=25,"25",IF(G57&lt;=30,"30",IF(G57&lt;=35,"35",IF(G57&lt;=37,"37",IF(G57&lt;=40,"40",))))))</f>
        <v>37</v>
      </c>
      <c r="I58" s="12"/>
      <c r="J58" s="12" t="str">
        <f>IF(G57&lt;=20,"0.0",IF(G57&lt;=25,"-0.5",IF(G57&lt;=30,"-1.0",IF(G57&lt;=35,"-1.5",IF(G57&lt;=37,"-1.8",IF(G57&lt;=40,"-2.1"))))))</f>
        <v>-1.8</v>
      </c>
      <c r="K58" s="3"/>
    </row>
    <row r="59" spans="1:15" x14ac:dyDescent="0.25">
      <c r="A59" s="15">
        <v>30</v>
      </c>
      <c r="B59" s="15">
        <v>-1</v>
      </c>
      <c r="C59" s="15"/>
      <c r="D59" s="15">
        <v>60</v>
      </c>
      <c r="E59" s="15">
        <v>-0.9</v>
      </c>
      <c r="F59" s="3"/>
      <c r="G59" s="946" t="s">
        <v>232</v>
      </c>
      <c r="H59" s="947"/>
      <c r="I59" s="947"/>
      <c r="J59" s="948"/>
      <c r="K59" s="3"/>
    </row>
    <row r="60" spans="1:15" x14ac:dyDescent="0.25">
      <c r="A60" s="15">
        <v>35</v>
      </c>
      <c r="B60" s="15">
        <v>-1.5</v>
      </c>
      <c r="C60" s="15"/>
      <c r="D60" s="15">
        <v>70</v>
      </c>
      <c r="E60" s="15">
        <v>-7.0000000000000007E-2</v>
      </c>
      <c r="F60" s="3"/>
      <c r="G60" s="12"/>
      <c r="H60" s="12" t="str">
        <f>IF(G61&lt;=40,"30",IF(G61&lt;=50,"40",IF(G61&lt;=60,"50",IF(G61&lt;=70,"60",IF(G61&lt;=80,"70",IF(G61&lt;=90,"80",IF(G61&lt;=90,"90")))))))</f>
        <v>50</v>
      </c>
      <c r="I60" s="12"/>
      <c r="J60" s="12" t="str">
        <f>IF(G61&lt;=40,"-0.8",IF(G61&lt;=50,"-0.9",IF(G61&lt;=60,"-1.0",IF(G61&lt;70,"-0.9",IF(G61&lt;=80,"-0.1",IF(G61&lt;=90,"-0.4"))))))</f>
        <v>-1.0</v>
      </c>
      <c r="K60" s="3"/>
    </row>
    <row r="61" spans="1:15" x14ac:dyDescent="0.25">
      <c r="A61" s="15">
        <v>37</v>
      </c>
      <c r="B61" s="15">
        <v>-1.8</v>
      </c>
      <c r="C61" s="15"/>
      <c r="D61" s="15">
        <v>80</v>
      </c>
      <c r="E61" s="15">
        <v>-0.4</v>
      </c>
      <c r="F61" s="3"/>
      <c r="G61" s="14">
        <f>ID!O16</f>
        <v>59.5</v>
      </c>
      <c r="H61" s="12"/>
      <c r="I61" s="14">
        <f>((G61-H60)/(H62-H60)*(J62-J60)+J60)</f>
        <v>-0.90500000000000003</v>
      </c>
      <c r="J61" s="14"/>
      <c r="K61" s="3"/>
    </row>
    <row r="62" spans="1:15" x14ac:dyDescent="0.25">
      <c r="A62" s="15">
        <v>40</v>
      </c>
      <c r="B62" s="15">
        <v>-2.1</v>
      </c>
      <c r="C62" s="4"/>
      <c r="D62" s="15">
        <v>90</v>
      </c>
      <c r="E62" s="15">
        <v>0.2</v>
      </c>
      <c r="F62" s="3"/>
      <c r="G62" s="12"/>
      <c r="H62" s="12" t="str">
        <f>IF(G61&lt;=40,"40",IF(G61&lt;=50,"50",IF(G61&lt;=60,"60",IF(G61&lt;=70,"70",IF(G61&lt;=80,"80",IF(G61&lt;=90,"90",))))))</f>
        <v>60</v>
      </c>
      <c r="I62" s="12"/>
      <c r="J62" s="12" t="str">
        <f>IF(G61&lt;=40,"-0.9",IF(G61&lt;=50,"-1.0",IF(G61&lt;=60,"-0.9",IF(G61&lt;=70,"-0.1",IF(G61&lt;=80,"-0.4",IF(G61&lt;=90,"0.2"))))))</f>
        <v>-0.9</v>
      </c>
      <c r="K62" s="3"/>
    </row>
    <row r="63" spans="1:15" x14ac:dyDescent="0.25">
      <c r="A63" s="23"/>
      <c r="B63" s="23"/>
      <c r="C63" s="3"/>
      <c r="D63" s="23"/>
      <c r="E63" s="23"/>
      <c r="F63" s="3"/>
      <c r="G63" s="17"/>
      <c r="H63" s="17"/>
      <c r="I63" s="17"/>
      <c r="J63" s="17"/>
      <c r="K63" s="3"/>
    </row>
    <row r="64" spans="1:15" ht="48" customHeight="1" x14ac:dyDescent="0.25">
      <c r="A64" s="941" t="str">
        <f>ID!B58</f>
        <v>SPO₂ Simulator, Merek : Fluke, Model : SPOT LIGHT, SN : 4404040</v>
      </c>
      <c r="B64" s="941"/>
      <c r="C64" s="941"/>
      <c r="D64" s="941"/>
      <c r="E64" s="941"/>
      <c r="F64" s="941"/>
      <c r="G64" s="941"/>
      <c r="H64" s="941"/>
      <c r="I64" s="941"/>
      <c r="J64" s="941"/>
      <c r="K64" s="941"/>
      <c r="L64" s="941"/>
      <c r="M64" s="941"/>
      <c r="N64" s="941"/>
      <c r="O64" s="941"/>
    </row>
    <row r="65" spans="1:15" ht="18.75" customHeight="1" x14ac:dyDescent="0.25">
      <c r="A65" s="51"/>
      <c r="B65" s="51"/>
      <c r="C65" s="51"/>
      <c r="D65" s="51"/>
      <c r="E65" s="51"/>
      <c r="F65" s="68"/>
      <c r="G65" s="69"/>
      <c r="H65" s="69"/>
      <c r="I65" s="51"/>
      <c r="J65" s="51"/>
      <c r="K65" s="51"/>
      <c r="L65" s="51"/>
      <c r="M65" s="51"/>
      <c r="N65" s="51"/>
      <c r="O65" s="51"/>
    </row>
    <row r="66" spans="1:15" x14ac:dyDescent="0.25">
      <c r="A66" s="939" t="s">
        <v>9</v>
      </c>
      <c r="B66" s="942" t="s">
        <v>167</v>
      </c>
      <c r="C66" s="943"/>
      <c r="D66" s="944"/>
      <c r="F66" s="69"/>
      <c r="G66" s="945" t="s">
        <v>233</v>
      </c>
      <c r="H66" s="945"/>
      <c r="I66" s="2"/>
      <c r="J66" s="43"/>
      <c r="K66" s="44"/>
    </row>
    <row r="67" spans="1:15" x14ac:dyDescent="0.25">
      <c r="A67" s="939"/>
      <c r="B67" s="24">
        <v>2018</v>
      </c>
      <c r="C67" s="24">
        <v>2019</v>
      </c>
      <c r="D67" s="25" t="s">
        <v>234</v>
      </c>
      <c r="F67" s="69"/>
      <c r="G67" s="55" t="s">
        <v>9</v>
      </c>
      <c r="H67" s="55" t="s">
        <v>167</v>
      </c>
      <c r="I67" s="22"/>
      <c r="J67" s="21"/>
      <c r="K67" s="21"/>
    </row>
    <row r="68" spans="1:15" x14ac:dyDescent="0.25">
      <c r="A68" s="52">
        <v>0</v>
      </c>
      <c r="B68" s="62" t="s">
        <v>100</v>
      </c>
      <c r="C68" s="56">
        <f>H68</f>
        <v>0</v>
      </c>
      <c r="D68" s="57">
        <f>0.5*((MAX(B68:C68))-(MIN(B68:C68)))</f>
        <v>0</v>
      </c>
      <c r="F68" s="69"/>
      <c r="G68" s="80">
        <v>0</v>
      </c>
      <c r="H68" s="90">
        <v>0</v>
      </c>
      <c r="I68" s="22"/>
      <c r="J68" s="21"/>
      <c r="K68" s="21"/>
    </row>
    <row r="69" spans="1:15" x14ac:dyDescent="0.25">
      <c r="A69" s="52">
        <v>30</v>
      </c>
      <c r="B69" s="62" t="s">
        <v>100</v>
      </c>
      <c r="C69" s="56">
        <f>H69</f>
        <v>1E-3</v>
      </c>
      <c r="D69" s="57">
        <f>0.5*((MAX(B69:C69))-(MIN(B69:C69)))</f>
        <v>0</v>
      </c>
      <c r="F69" s="69"/>
      <c r="G69" s="80">
        <v>30</v>
      </c>
      <c r="H69" s="90">
        <f>'DATA SERTIFIKAT(BPM)'!B96</f>
        <v>1E-3</v>
      </c>
      <c r="I69" s="22"/>
      <c r="J69" s="21"/>
      <c r="K69" s="21"/>
    </row>
    <row r="70" spans="1:15" x14ac:dyDescent="0.25">
      <c r="A70" s="16">
        <v>60</v>
      </c>
      <c r="B70" s="54" t="s">
        <v>100</v>
      </c>
      <c r="C70" s="70">
        <f>H68</f>
        <v>0</v>
      </c>
      <c r="D70" s="57">
        <f>0.5*((MAX(B70:C70))-(MIN(B70:C70)))</f>
        <v>0</v>
      </c>
      <c r="F70" s="69"/>
      <c r="G70" s="80">
        <v>60</v>
      </c>
      <c r="H70" s="90">
        <f>'DATA SERTIFIKAT(BPM)'!B97</f>
        <v>1E-3</v>
      </c>
      <c r="I70" s="22"/>
      <c r="J70" s="21"/>
      <c r="K70" s="21"/>
    </row>
    <row r="71" spans="1:15" x14ac:dyDescent="0.25">
      <c r="A71" s="16">
        <v>120</v>
      </c>
      <c r="B71" s="54" t="s">
        <v>100</v>
      </c>
      <c r="C71" s="70">
        <f>H71</f>
        <v>1E-3</v>
      </c>
      <c r="D71" s="57">
        <f t="shared" ref="D71:D72" si="0">0.5*((MAX(B71:C71))-(MIN(B71:C71)))</f>
        <v>0</v>
      </c>
      <c r="F71" s="69"/>
      <c r="G71" s="80">
        <v>120</v>
      </c>
      <c r="H71" s="90">
        <f>'DATA SERTIFIKAT(BPM)'!B98</f>
        <v>1E-3</v>
      </c>
      <c r="I71" s="22"/>
      <c r="J71" s="22"/>
      <c r="L71" s="21"/>
    </row>
    <row r="72" spans="1:15" x14ac:dyDescent="0.25">
      <c r="A72" s="16">
        <v>240</v>
      </c>
      <c r="B72" s="54" t="s">
        <v>100</v>
      </c>
      <c r="C72" s="70">
        <f>H72</f>
        <v>1E-3</v>
      </c>
      <c r="D72" s="57">
        <f t="shared" si="0"/>
        <v>0</v>
      </c>
      <c r="F72" s="69"/>
      <c r="G72" s="80">
        <v>240</v>
      </c>
      <c r="H72" s="90">
        <f>'DATA SERTIFIKAT(BPM)'!B99</f>
        <v>1E-3</v>
      </c>
    </row>
    <row r="73" spans="1:15" x14ac:dyDescent="0.25">
      <c r="G73" s="80">
        <v>250</v>
      </c>
      <c r="H73" s="224">
        <v>0</v>
      </c>
    </row>
    <row r="74" spans="1:15" ht="16.2" x14ac:dyDescent="0.35">
      <c r="A74" s="95" t="s">
        <v>170</v>
      </c>
      <c r="B74" s="71"/>
      <c r="C74" s="98"/>
      <c r="G74" s="223" t="s">
        <v>235</v>
      </c>
      <c r="H74" s="225"/>
      <c r="I74" s="63"/>
    </row>
    <row r="75" spans="1:15" ht="15.6" x14ac:dyDescent="0.3">
      <c r="A75" s="934" t="s">
        <v>9</v>
      </c>
      <c r="B75" s="935" t="s">
        <v>170</v>
      </c>
      <c r="C75" s="98"/>
      <c r="F75" s="63"/>
      <c r="G75" s="59" t="s">
        <v>9</v>
      </c>
      <c r="H75" s="924" t="s">
        <v>167</v>
      </c>
      <c r="I75" s="924"/>
      <c r="J75" s="924"/>
      <c r="K75" s="924"/>
      <c r="L75" s="924"/>
      <c r="M75" s="924"/>
      <c r="N75" s="935" t="s">
        <v>236</v>
      </c>
    </row>
    <row r="76" spans="1:15" x14ac:dyDescent="0.25">
      <c r="A76" s="934"/>
      <c r="B76" s="935"/>
      <c r="C76" s="98"/>
      <c r="F76" s="64"/>
      <c r="G76" s="60"/>
      <c r="H76" s="55" t="s">
        <v>54</v>
      </c>
      <c r="I76" s="14" t="s">
        <v>55</v>
      </c>
      <c r="J76" s="55" t="s">
        <v>56</v>
      </c>
      <c r="K76" s="25" t="s">
        <v>57</v>
      </c>
      <c r="L76" s="55" t="s">
        <v>58</v>
      </c>
      <c r="M76" s="80" t="s">
        <v>59</v>
      </c>
      <c r="N76" s="935"/>
    </row>
    <row r="77" spans="1:15" x14ac:dyDescent="0.25">
      <c r="A77" s="96">
        <v>30</v>
      </c>
      <c r="B77" s="97">
        <f>'DATA SERTIFIKAT(BPM)'!E96</f>
        <v>1E-3</v>
      </c>
      <c r="C77" s="98"/>
      <c r="F77" s="64"/>
      <c r="G77" s="60">
        <v>30</v>
      </c>
      <c r="H77" s="91">
        <f>AB86</f>
        <v>1E-3</v>
      </c>
      <c r="I77" s="92">
        <f>AB91</f>
        <v>1E-3</v>
      </c>
      <c r="J77" s="91">
        <f>AB96</f>
        <v>1E-3</v>
      </c>
      <c r="K77" s="93">
        <f>AB101</f>
        <v>1E-3</v>
      </c>
      <c r="L77" s="91">
        <f>AB106</f>
        <v>1E-3</v>
      </c>
      <c r="M77" s="226">
        <f>AB111</f>
        <v>1E-3</v>
      </c>
      <c r="N77" s="83">
        <f>AB119</f>
        <v>0</v>
      </c>
    </row>
    <row r="78" spans="1:15" x14ac:dyDescent="0.25">
      <c r="A78" s="96">
        <v>60</v>
      </c>
      <c r="B78" s="97">
        <f>'DATA SERTIFIKAT(BPM)'!E97</f>
        <v>1E-3</v>
      </c>
      <c r="C78" s="98"/>
      <c r="F78" s="65"/>
      <c r="G78" s="41">
        <v>60</v>
      </c>
      <c r="H78" s="94">
        <f>C86</f>
        <v>1E-3</v>
      </c>
      <c r="I78" s="94">
        <f>C91</f>
        <v>1E-3</v>
      </c>
      <c r="J78" s="91">
        <f>C96</f>
        <v>1E-3</v>
      </c>
      <c r="K78" s="93">
        <f>C101</f>
        <v>1E-3</v>
      </c>
      <c r="L78" s="91">
        <f>C106</f>
        <v>1E-3</v>
      </c>
      <c r="M78" s="226">
        <f>C111</f>
        <v>1E-3</v>
      </c>
      <c r="N78" s="58">
        <f>B119</f>
        <v>0</v>
      </c>
    </row>
    <row r="79" spans="1:15" ht="15.6" x14ac:dyDescent="0.3">
      <c r="A79" s="96">
        <v>120</v>
      </c>
      <c r="B79" s="97">
        <f>'DATA SERTIFIKAT(BPM)'!E99</f>
        <v>1E-3</v>
      </c>
      <c r="C79" s="98"/>
      <c r="F79" s="63"/>
      <c r="G79" s="42">
        <v>120</v>
      </c>
      <c r="H79" s="93">
        <f>M86</f>
        <v>1E-3</v>
      </c>
      <c r="I79" s="94">
        <f>M91</f>
        <v>1E-3</v>
      </c>
      <c r="J79" s="91">
        <f>M96</f>
        <v>1E-3</v>
      </c>
      <c r="K79" s="93">
        <f>M101</f>
        <v>1E-3</v>
      </c>
      <c r="L79" s="91">
        <f>M106</f>
        <v>1E-3</v>
      </c>
      <c r="M79" s="226">
        <f>M111</f>
        <v>1E-3</v>
      </c>
      <c r="N79" s="58">
        <f>L119</f>
        <v>0</v>
      </c>
    </row>
    <row r="80" spans="1:15" x14ac:dyDescent="0.25">
      <c r="A80" s="96">
        <v>240</v>
      </c>
      <c r="B80" s="97">
        <f>'DATA SERTIFIKAT(BPM)'!E100</f>
        <v>0</v>
      </c>
      <c r="C80" s="98"/>
      <c r="F80" s="64"/>
      <c r="G80" s="41">
        <v>240</v>
      </c>
      <c r="H80" s="94">
        <f>W86</f>
        <v>1E-3</v>
      </c>
      <c r="I80" s="91">
        <f>W91</f>
        <v>1E-3</v>
      </c>
      <c r="J80" s="91">
        <f>W96</f>
        <v>1E-3</v>
      </c>
      <c r="K80" s="93">
        <f>W101</f>
        <v>1E-3</v>
      </c>
      <c r="L80" s="91">
        <f>W106</f>
        <v>1E-3</v>
      </c>
      <c r="M80" s="226">
        <f>W111</f>
        <v>1E-3</v>
      </c>
      <c r="N80" s="58">
        <f>V119</f>
        <v>0</v>
      </c>
    </row>
    <row r="81" spans="1:34" x14ac:dyDescent="0.25">
      <c r="A81" s="98"/>
      <c r="B81" s="98"/>
      <c r="C81" s="98"/>
      <c r="D81" s="3"/>
      <c r="E81" s="3"/>
      <c r="F81" s="3"/>
    </row>
    <row r="82" spans="1:34" ht="41.25" customHeight="1" x14ac:dyDescent="0.25">
      <c r="A82" s="952" t="s">
        <v>237</v>
      </c>
      <c r="B82" s="952"/>
      <c r="C82" s="952"/>
      <c r="D82" s="952"/>
      <c r="E82" s="952"/>
      <c r="F82" s="952"/>
      <c r="G82" s="952"/>
      <c r="H82" s="952"/>
      <c r="I82" s="952"/>
      <c r="J82" s="952"/>
      <c r="K82" s="952"/>
      <c r="L82" s="952"/>
      <c r="M82" s="952"/>
      <c r="N82" s="952"/>
      <c r="O82" s="952"/>
      <c r="P82" s="952"/>
      <c r="Q82" s="952"/>
      <c r="R82" s="952"/>
      <c r="S82" s="952"/>
      <c r="T82" s="952"/>
      <c r="U82" s="952"/>
      <c r="V82" s="952"/>
      <c r="W82" s="952"/>
      <c r="X82" s="952"/>
      <c r="Y82" s="952"/>
      <c r="Z82" s="952"/>
      <c r="AA82" s="952"/>
      <c r="AB82" s="952"/>
      <c r="AC82" s="952"/>
      <c r="AD82" s="67"/>
      <c r="AE82" s="67"/>
      <c r="AF82" s="67"/>
      <c r="AG82" s="67"/>
      <c r="AH82" s="67"/>
    </row>
    <row r="83" spans="1:34" ht="21" customHeight="1" thickBot="1" x14ac:dyDescent="0.3">
      <c r="A83" s="940" t="s">
        <v>222</v>
      </c>
      <c r="B83" s="940"/>
      <c r="C83" s="940"/>
      <c r="D83" s="940"/>
      <c r="E83" s="53"/>
      <c r="F83" s="926" t="s">
        <v>238</v>
      </c>
      <c r="G83" s="926"/>
      <c r="H83" s="926"/>
      <c r="I83" s="926"/>
      <c r="J83" s="53"/>
      <c r="K83" s="940" t="s">
        <v>223</v>
      </c>
      <c r="L83" s="940"/>
      <c r="M83" s="940"/>
      <c r="N83" s="940"/>
      <c r="O83" s="67"/>
      <c r="P83" s="926" t="s">
        <v>239</v>
      </c>
      <c r="Q83" s="926"/>
      <c r="R83" s="926"/>
      <c r="S83" s="926"/>
      <c r="T83" s="67"/>
      <c r="U83" s="940" t="s">
        <v>224</v>
      </c>
      <c r="V83" s="940"/>
      <c r="W83" s="940"/>
      <c r="X83" s="940"/>
      <c r="Y83" s="67"/>
      <c r="Z83" s="940" t="s">
        <v>195</v>
      </c>
      <c r="AA83" s="940"/>
      <c r="AB83" s="940"/>
      <c r="AC83" s="940"/>
      <c r="AD83" s="67"/>
      <c r="AE83" s="926">
        <v>150</v>
      </c>
      <c r="AF83" s="926"/>
      <c r="AG83" s="926"/>
      <c r="AH83" s="926"/>
    </row>
    <row r="84" spans="1:34" ht="15.6" x14ac:dyDescent="0.3">
      <c r="A84" s="921" t="s">
        <v>240</v>
      </c>
      <c r="B84" s="922"/>
      <c r="C84" s="922"/>
      <c r="D84" s="923"/>
      <c r="F84" s="927" t="s">
        <v>240</v>
      </c>
      <c r="G84" s="928"/>
      <c r="H84" s="928"/>
      <c r="I84" s="929"/>
      <c r="J84" s="30"/>
      <c r="K84" s="921" t="s">
        <v>240</v>
      </c>
      <c r="L84" s="922"/>
      <c r="M84" s="922"/>
      <c r="N84" s="923"/>
      <c r="P84" s="927" t="s">
        <v>240</v>
      </c>
      <c r="Q84" s="928"/>
      <c r="R84" s="928"/>
      <c r="S84" s="929"/>
      <c r="U84" s="921" t="s">
        <v>240</v>
      </c>
      <c r="V84" s="922"/>
      <c r="W84" s="922"/>
      <c r="X84" s="923"/>
      <c r="Z84" s="921" t="s">
        <v>240</v>
      </c>
      <c r="AA84" s="922"/>
      <c r="AB84" s="922"/>
      <c r="AC84" s="923"/>
      <c r="AE84" s="927" t="s">
        <v>240</v>
      </c>
      <c r="AF84" s="928"/>
      <c r="AG84" s="928"/>
      <c r="AH84" s="929"/>
    </row>
    <row r="85" spans="1:34" x14ac:dyDescent="0.25">
      <c r="A85" s="31"/>
      <c r="B85" s="32">
        <f>IF(A86&lt;=$G$69,$G$68,IF(A86&lt;=$G$70,$G$695,IF(A86&lt;=$G$71,$G$70,IF(A86&lt;=$G$72,$G$71))))</f>
        <v>0</v>
      </c>
      <c r="C85" s="32"/>
      <c r="D85" s="33">
        <f>IF(A86&lt;=$G$69,$H$68,IF(A86&lt;=$G$70,$H$69,IF(A86&lt;=$G$71,$H$70,IF(A86&lt;=$G$72,$H$71))))</f>
        <v>1E-3</v>
      </c>
      <c r="F85" s="99"/>
      <c r="G85" s="100" t="e">
        <f>IF(F86&lt;=$G$70,$G$68,IF(F86&lt;=#REF!,$G$70,IF(F86&lt;=$G$71,#REF!,IF(F86&lt;=#REF!,$G$71,IF(F86&lt;=#REF!,#REF!,IF(F86&lt;=#REF!,#REF!,IF(F86&lt;=$G$72,#REF!)))))))</f>
        <v>#REF!</v>
      </c>
      <c r="H85" s="100"/>
      <c r="I85" s="101" t="e">
        <f>IF(F86&lt;=$G$70,$H$68,IF(F86&lt;=#REF!,$H$70,IF(F86&lt;=$G$71,#REF!,IF(F86&lt;=#REF!,$H$71,IF(F86&lt;=#REF!,#REF!,IF(F86&lt;=#REF!,#REF!,IF(F86&lt;=$G$72,#REF!)))))))</f>
        <v>#REF!</v>
      </c>
      <c r="J85" s="17"/>
      <c r="K85" s="31"/>
      <c r="L85" s="32">
        <f>IF(K86&lt;=$G$69,$G$68,IF(K86&lt;=$G$70,$G$695,IF(K86&lt;=$G$71,$G$70,IF(K86&lt;=$G$72,$G$71))))</f>
        <v>60</v>
      </c>
      <c r="M85" s="32"/>
      <c r="N85" s="33">
        <f>IF(K86&lt;=$G$69,$H$68,IF(K86&lt;=$G$70,$H$69,IF(K86&lt;=$G$71,$H$70,IF(K86&lt;=$G$72,$H$71))))</f>
        <v>1E-3</v>
      </c>
      <c r="P85" s="99"/>
      <c r="Q85" s="100" t="e">
        <f>IF(P86&lt;=$G$70,$G$68,IF(P86&lt;=#REF!,$G$70,IF(P86&lt;=$G$71,#REF!,IF(P86&lt;=#REF!,$G$71,IF(P86&lt;=#REF!,#REF!,IF(P86&lt;=#REF!,#REF!,IF(P86&lt;=$G$72,#REF!)))))))</f>
        <v>#REF!</v>
      </c>
      <c r="R85" s="100"/>
      <c r="S85" s="101" t="e">
        <f>IF(P86&lt;=$G$70,$H$68,IF(P86&lt;=#REF!,$H$70,IF(P86&lt;=$G$71,#REF!,IF(P86&lt;=#REF!,$H$71,IF(P86&lt;=#REF!,#REF!,IF(P86&lt;=#REF!,#REF!,IF(P86&lt;=$G$72,#REF!)))))))</f>
        <v>#REF!</v>
      </c>
      <c r="U85" s="31"/>
      <c r="V85" s="32">
        <f>IF(U86&lt;=$G$69,$G$68,IF(U86&lt;=$G$70,$G$695,IF(U86&lt;=$G$71,$G$70,IF(U86&lt;=$G$72,$G$71,IF(U86&lt;=$G$73,$G$72)))))</f>
        <v>120</v>
      </c>
      <c r="W85" s="32"/>
      <c r="X85" s="33">
        <f>IF(U86&lt;=$G$69,$H$68,IF(U86&lt;=$G$70,$H$69,IF(U86&lt;=$G$71,$H$70,IF(U86&lt;=$G$72,$H$71,IF(U86&lt;=$G$73,$H$72)))))</f>
        <v>1E-3</v>
      </c>
      <c r="Z85" s="31"/>
      <c r="AA85" s="32">
        <f>IF(Z86&lt;=$G$69,$G$68,IF(Z86&lt;=$G$70,$G$695,IF(Z86&lt;=$G$71,$G$70,IF(Z86&lt;=$G$72,$G$71))))</f>
        <v>0</v>
      </c>
      <c r="AB85" s="32"/>
      <c r="AC85" s="33">
        <f>IF(Z86&lt;=$G$69,$H$68,IF(Z86&lt;=$G$70,$H$69,IF(Z86&lt;=$G$71,$H$70,IF(Z86&lt;=$G$72,$H$71))))</f>
        <v>0</v>
      </c>
      <c r="AE85" s="99"/>
      <c r="AF85" s="100" t="e">
        <f>IF(AE86&lt;=$G$70,$G$68,IF(AE86&lt;=#REF!,$G$70,IF(AE86&lt;=$G$71,#REF!,IF(AE86&lt;=#REF!,$G$71,IF(AE86&lt;=#REF!,#REF!,IF(AE86&lt;=#REF!,#REF!,IF(AE86&lt;=$G$72,#REF!)))))))</f>
        <v>#REF!</v>
      </c>
      <c r="AG85" s="100"/>
      <c r="AH85" s="101" t="e">
        <f>IF(AE86&lt;=$G$70,$H$68,IF(AE86&lt;=#REF!,$H$70,IF(AE86&lt;=$G$71,#REF!,IF(AE86&lt;=#REF!,$H$71,IF(AE86&lt;=#REF!,#REF!,IF(AE86&lt;=#REF!,#REF!,IF(AE86&lt;=$G$72,#REF!)))))))</f>
        <v>#REF!</v>
      </c>
    </row>
    <row r="86" spans="1:34" x14ac:dyDescent="0.25">
      <c r="A86" s="34">
        <f>ID!E46</f>
        <v>60</v>
      </c>
      <c r="B86" s="32"/>
      <c r="C86" s="35">
        <f>((A86-B85)/(B87-B85)*(D87-D85)+D85)</f>
        <v>1E-3</v>
      </c>
      <c r="D86" s="33"/>
      <c r="F86" s="102">
        <f>ID!E36</f>
        <v>98</v>
      </c>
      <c r="G86" s="100"/>
      <c r="H86" s="103" t="e">
        <f>((F86-G85)/(G87-G85)*(I87-I85)+I85)</f>
        <v>#REF!</v>
      </c>
      <c r="I86" s="101"/>
      <c r="J86" s="17"/>
      <c r="K86" s="34">
        <f>ID!E47</f>
        <v>120</v>
      </c>
      <c r="L86" s="32"/>
      <c r="M86" s="35">
        <f>((K86-L85)/(L87-L85)*(N87-N85)+N85)</f>
        <v>1E-3</v>
      </c>
      <c r="N86" s="33"/>
      <c r="P86" s="102">
        <f>ID!E39</f>
        <v>90</v>
      </c>
      <c r="Q86" s="100"/>
      <c r="R86" s="103" t="e">
        <f>((P86-Q85)/(Q87-Q85)*(S87-S85)+S85)</f>
        <v>#REF!</v>
      </c>
      <c r="S86" s="101"/>
      <c r="U86" s="34">
        <f>ID!E48</f>
        <v>240</v>
      </c>
      <c r="V86" s="32"/>
      <c r="W86" s="35">
        <f>((U86-V85)/(V87-V85)*(X87-X85)+X85)</f>
        <v>1E-3</v>
      </c>
      <c r="X86" s="33"/>
      <c r="Z86" s="34">
        <f>ID!E45</f>
        <v>30</v>
      </c>
      <c r="AA86" s="32"/>
      <c r="AB86" s="35">
        <f>((Z86-AA85)/(AA87-AA85)*(AC87-AC85)+AC85)</f>
        <v>1E-3</v>
      </c>
      <c r="AC86" s="33"/>
      <c r="AE86" s="102">
        <f>ID!E37</f>
        <v>97</v>
      </c>
      <c r="AF86" s="100"/>
      <c r="AG86" s="103" t="e">
        <f>((AE86-AF85)/(AF87-AF85)*(AH87-AH85)+AH85)</f>
        <v>#REF!</v>
      </c>
      <c r="AH86" s="101"/>
    </row>
    <row r="87" spans="1:34" ht="13.8" thickBot="1" x14ac:dyDescent="0.3">
      <c r="A87" s="38"/>
      <c r="B87" s="39">
        <f>IF(A86&lt;=$G$68,$G$68,IF(A86&lt;=$G$69,$G$69,IF(A86&lt;=$G$70,$G$70,IF(A86&lt;=$G$71,$G$71,IF(A86&lt;=$G$72,$G$72)))))</f>
        <v>60</v>
      </c>
      <c r="C87" s="39"/>
      <c r="D87" s="40">
        <f>IF(A86&lt;=$G$68,$H$68,IF(A86&lt;=$G$69,$H$69,IF(A86&lt;=$G$70,$H$70,IF(A86&lt;=$G$71,$H$71,IF(A86&lt;=$G$72,$H$72)))))</f>
        <v>1E-3</v>
      </c>
      <c r="F87" s="104"/>
      <c r="G87" s="105" t="e">
        <f>IF(F86&lt;=$G$70,$G$70,IF(F86&lt;=#REF!,#REF!,IF(F86&lt;=$G$71,$G$71,IF(F86&lt;=#REF!,#REF!,IF(F86&lt;=#REF!,#REF!,IF(F86&lt;=#REF!,#REF!,IF(F86&lt;=$G$72,$G$72)))))))</f>
        <v>#REF!</v>
      </c>
      <c r="H87" s="105"/>
      <c r="I87" s="106" t="e">
        <f>IF(F86&lt;=$G$70,$H$70,IF(F86&lt;=#REF!,#REF!,IF(F86&lt;=$G$71,$H$71,IF(F86&lt;=#REF!,#REF!,IF(F86&lt;=#REF!,#REF!,IF(F86&lt;=#REF!,#REF!,IF(F86&lt;=$G$72,$H$72)))))))</f>
        <v>#REF!</v>
      </c>
      <c r="J87" s="17"/>
      <c r="K87" s="38"/>
      <c r="L87" s="39">
        <f>IF(K86&lt;=$G$68,$G$68,IF(K86&lt;=$G$69,$G$69,IF(K86&lt;=$G$70,$G$70,IF(K86&lt;=$G$71,$G$71,IF(K86&lt;=$G$72,$G$72)))))</f>
        <v>120</v>
      </c>
      <c r="M87" s="39"/>
      <c r="N87" s="40">
        <f>IF(K86&lt;=$G$68,$H$68,IF(K86&lt;=$G$69,$H$69,IF(K86&lt;=$G$70,$H$70,IF(K86&lt;=$G$71,$H$71,IF(K86&lt;=$G$72,$H$72)))))</f>
        <v>1E-3</v>
      </c>
      <c r="P87" s="104"/>
      <c r="Q87" s="105" t="e">
        <f>IF(P86&lt;=$G$70,$G$70,IF(P86&lt;=#REF!,#REF!,IF(P86&lt;=$G$71,$G$71,IF(P86&lt;=#REF!,#REF!,IF(P86&lt;=#REF!,#REF!,IF(P86&lt;=#REF!,#REF!,IF(P86&lt;=$G$72,$G$72)))))))</f>
        <v>#REF!</v>
      </c>
      <c r="R87" s="105"/>
      <c r="S87" s="106" t="e">
        <f>IF(P86&lt;=$G$70,$H$70,IF(P86&lt;=#REF!,#REF!,IF(P86&lt;=$G$71,$H$71,IF(P86&lt;=#REF!,#REF!,IF(P86&lt;=#REF!,#REF!,IF(P86&lt;=#REF!,#REF!,IF(P86&lt;=$G$72,$H$72)))))))</f>
        <v>#REF!</v>
      </c>
      <c r="U87" s="38"/>
      <c r="V87" s="39">
        <f>IF(U86&lt;=$G$68,$G$68,IF(U86&lt;=$G$69,$G$69,IF(U86&lt;=$G$70,$G$70,IF(U86&lt;=$G$71,$G$71,IF(U86&lt;=$G$72,$G$72,IF(U86&lt;=$G$73,$G$73))))))</f>
        <v>240</v>
      </c>
      <c r="W87" s="39"/>
      <c r="X87" s="40">
        <f>IF(U86&lt;=$G$68,$H$68,IF(U86&lt;=$G$69,$H$69,IF(U86&lt;=$G$70,$H$70,IF(U86&lt;=$G$71,$H$71,IF(U86&lt;=$G$72,$H$72,IF(U86&lt;=$G$73,$H$73))))))</f>
        <v>1E-3</v>
      </c>
      <c r="Z87" s="38"/>
      <c r="AA87" s="39">
        <f>IF(Z86&lt;=$G$68,$G$68,IF(Z86&lt;=$G$69,$G$69,IF(Z86&lt;=$G$70,$G$70,IF(Z86&lt;=$G$71,$G$71,IF(Z86&lt;=$G$72,$G$72)))))</f>
        <v>30</v>
      </c>
      <c r="AB87" s="39"/>
      <c r="AC87" s="40">
        <f>IF(Z86&lt;=$G$68,$H$68,IF(Z86&lt;=$G$69,$H$69,IF(Z86&lt;=$G$70,$H$70,IF(Z86&lt;=$G$71,$H$71,IF(Z86&lt;=$G$72,$H$72)))))</f>
        <v>1E-3</v>
      </c>
      <c r="AE87" s="104"/>
      <c r="AF87" s="105" t="e">
        <f>IF(AE86&lt;=$G$70,$G$70,IF(AE86&lt;=#REF!,#REF!,IF(AE86&lt;=$G$71,$G$71,IF(AE86&lt;=#REF!,#REF!,IF(AE86&lt;=#REF!,#REF!,IF(AE86&lt;=#REF!,#REF!,IF(AE86&lt;=$G$72,$G$72)))))))</f>
        <v>#REF!</v>
      </c>
      <c r="AG87" s="105"/>
      <c r="AH87" s="106" t="e">
        <f>IF(AE86&lt;=$G$70,$H$70,IF(AE86&lt;=#REF!,#REF!,IF(AE86&lt;=$G$71,$H$71,IF(AE86&lt;=#REF!,#REF!,IF(AE86&lt;=#REF!,#REF!,IF(AE86&lt;=#REF!,#REF!,IF(AE86&lt;=$G$72,$H$72)))))))</f>
        <v>#REF!</v>
      </c>
    </row>
    <row r="88" spans="1:34" ht="16.2" thickBot="1" x14ac:dyDescent="0.35">
      <c r="A88" s="17"/>
      <c r="B88" s="36"/>
      <c r="C88" s="36"/>
      <c r="D88" s="37"/>
      <c r="F88" s="107"/>
      <c r="G88" s="108"/>
      <c r="H88" s="108"/>
      <c r="I88" s="109"/>
      <c r="J88" s="30"/>
      <c r="K88" s="17"/>
      <c r="L88" s="36"/>
      <c r="M88" s="36"/>
      <c r="N88" s="37"/>
      <c r="P88" s="107"/>
      <c r="Q88" s="108"/>
      <c r="R88" s="108"/>
      <c r="S88" s="109"/>
      <c r="U88" s="17"/>
      <c r="V88" s="36"/>
      <c r="W88" s="36"/>
      <c r="X88" s="37"/>
      <c r="Z88" s="17"/>
      <c r="AA88" s="36"/>
      <c r="AB88" s="36"/>
      <c r="AC88" s="37"/>
      <c r="AE88" s="107"/>
      <c r="AF88" s="108"/>
      <c r="AG88" s="108"/>
      <c r="AH88" s="109"/>
    </row>
    <row r="89" spans="1:34" ht="15.6" x14ac:dyDescent="0.3">
      <c r="A89" s="921" t="s">
        <v>241</v>
      </c>
      <c r="B89" s="922"/>
      <c r="C89" s="922"/>
      <c r="D89" s="923"/>
      <c r="F89" s="927" t="s">
        <v>241</v>
      </c>
      <c r="G89" s="928"/>
      <c r="H89" s="928"/>
      <c r="I89" s="929"/>
      <c r="J89" s="17"/>
      <c r="K89" s="921" t="s">
        <v>241</v>
      </c>
      <c r="L89" s="922"/>
      <c r="M89" s="922"/>
      <c r="N89" s="923"/>
      <c r="P89" s="927" t="s">
        <v>241</v>
      </c>
      <c r="Q89" s="928"/>
      <c r="R89" s="928"/>
      <c r="S89" s="929"/>
      <c r="U89" s="921" t="s">
        <v>241</v>
      </c>
      <c r="V89" s="922"/>
      <c r="W89" s="922"/>
      <c r="X89" s="923"/>
      <c r="Z89" s="921" t="s">
        <v>241</v>
      </c>
      <c r="AA89" s="922"/>
      <c r="AB89" s="922"/>
      <c r="AC89" s="923"/>
      <c r="AE89" s="927" t="s">
        <v>241</v>
      </c>
      <c r="AF89" s="928"/>
      <c r="AG89" s="928"/>
      <c r="AH89" s="929"/>
    </row>
    <row r="90" spans="1:34" x14ac:dyDescent="0.25">
      <c r="A90" s="31"/>
      <c r="B90" s="32">
        <f>IF(A91&lt;=$G$69,$G$68,IF(A91&lt;=$G$70,$G$695,IF(A91&lt;=$G$71,$G$70,IF(A91&lt;=$G$72,$G$71))))</f>
        <v>0</v>
      </c>
      <c r="C90" s="32"/>
      <c r="D90" s="33">
        <f>IF(A91&lt;=$G$69,$H$68,IF(A91&lt;=$G$70,$H$69,IF(A91&lt;=$G$71,$H$70,IF(A91&lt;=$G$72,$H$71))))</f>
        <v>1E-3</v>
      </c>
      <c r="E90" s="18"/>
      <c r="F90" s="99"/>
      <c r="G90" s="100" t="e">
        <f>IF(F91&lt;=$G$70,$G$68,IF(F91&lt;=#REF!,$G$70,IF(F91&lt;=$G$71,#REF!,IF(F91&lt;=#REF!,$G$71,IF(F91&lt;=#REF!,#REF!,IF(F91&lt;=#REF!,#REF!,IF(F91&lt;=$G$72,#REF!)))))))</f>
        <v>#REF!</v>
      </c>
      <c r="H90" s="100"/>
      <c r="I90" s="101" t="e">
        <f>IF(F91&lt;=$G$70,$H$68,IF(F91&lt;=#REF!,$H$70,IF(F91&lt;=$G$71,#REF!,IF(F91&lt;=#REF!,$H$71,IF(F91&lt;=#REF!,#REF!,IF(F91&lt;=#REF!,#REF!,IF(F91&lt;=$G$72,#REF!)))))))</f>
        <v>#REF!</v>
      </c>
      <c r="J90" s="17"/>
      <c r="K90" s="31"/>
      <c r="L90" s="32">
        <f>IF(K91&lt;=$G$69,$G$68,IF(K91&lt;=$G$70,$G$695,IF(K91&lt;=$G$71,$G$70,IF(K91&lt;=$G$72,$G$71))))</f>
        <v>60</v>
      </c>
      <c r="M90" s="32"/>
      <c r="N90" s="33">
        <f>IF(K91&lt;=$G$69,$H$68,IF(K91&lt;=$G$70,$H$69,IF(K91&lt;=$G$71,$H$70,IF(K91&lt;=$G$72,$H$71))))</f>
        <v>1E-3</v>
      </c>
      <c r="P90" s="99"/>
      <c r="Q90" s="100" t="e">
        <f>IF(P91&lt;=$G$70,$G$68,IF(P91&lt;=#REF!,$G$70,IF(P91&lt;=$G$71,#REF!,IF(P91&lt;=#REF!,$G$71,IF(P91&lt;=#REF!,#REF!,IF(P91&lt;=#REF!,#REF!,IF(P91&lt;=$G$72,#REF!)))))))</f>
        <v>#REF!</v>
      </c>
      <c r="R90" s="100"/>
      <c r="S90" s="101" t="e">
        <f>IF(P91&lt;=$G$70,$H$68,IF(P91&lt;=#REF!,$H$70,IF(P91&lt;=$G$71,#REF!,IF(P91&lt;=#REF!,$H$71,IF(P91&lt;=#REF!,#REF!,IF(P91&lt;=#REF!,#REF!,IF(P91&lt;=$G$72,#REF!)))))))</f>
        <v>#REF!</v>
      </c>
      <c r="U90" s="31"/>
      <c r="V90" s="32">
        <f>IF(U91&lt;=$G$69,$G$68,IF(U91&lt;=$G$70,$G$695,IF(U91&lt;=$G$71,$G$70,IF(U91&lt;=$G$72,$G$71,IF(U91&lt;=$G$73,$G$72)))))</f>
        <v>120</v>
      </c>
      <c r="W90" s="32"/>
      <c r="X90" s="33">
        <f>IF(U91&lt;=$G$69,$H$68,IF(U91&lt;=$G$70,$H$69,IF(U91&lt;=$G$71,$H$70,IF(U91&lt;=$G$72,$H$71,IF(U91&lt;=$G$73,$H$72)))))</f>
        <v>1E-3</v>
      </c>
      <c r="Z90" s="31"/>
      <c r="AA90" s="32">
        <f>IF(Z91&lt;=$G$69,$G$68,IF(Z91&lt;=$G$70,$G$695,IF(Z91&lt;=$G$71,$G$70,IF(Z91&lt;=$G$72,$G$71))))</f>
        <v>0</v>
      </c>
      <c r="AB90" s="32"/>
      <c r="AC90" s="33">
        <f>IF(Z91&lt;=$G$69,$H$68,IF(Z91&lt;=$G$70,$H$69,IF(Z91&lt;=$G$71,$H$70,IF(Z91&lt;=$G$72,$H$71))))</f>
        <v>0</v>
      </c>
      <c r="AE90" s="99"/>
      <c r="AF90" s="100" t="e">
        <f>IF(AE91&lt;=$G$70,$G$68,IF(AE91&lt;=#REF!,$G$70,IF(AE91&lt;=$G$71,#REF!,IF(AE91&lt;=#REF!,$G$71,IF(AE91&lt;=#REF!,#REF!,IF(AE91&lt;=#REF!,#REF!,IF(AE91&lt;=$G$72,#REF!)))))))</f>
        <v>#REF!</v>
      </c>
      <c r="AG90" s="100"/>
      <c r="AH90" s="101" t="e">
        <f>IF(AE91&lt;=$G$70,$H$68,IF(AE91&lt;=#REF!,$H$70,IF(AE91&lt;=$G$71,#REF!,IF(AE91&lt;=#REF!,$H$71,IF(AE91&lt;=#REF!,#REF!,IF(AE91&lt;=#REF!,#REF!,IF(AE91&lt;=$G$72,#REF!)))))))</f>
        <v>#REF!</v>
      </c>
    </row>
    <row r="91" spans="1:34" x14ac:dyDescent="0.25">
      <c r="A91" s="34">
        <f>ID!F46</f>
        <v>60</v>
      </c>
      <c r="B91" s="32"/>
      <c r="C91" s="35">
        <f>((A91-B90)/(B92-B90)*(D92-D90)+D90)</f>
        <v>1E-3</v>
      </c>
      <c r="D91" s="33"/>
      <c r="E91" s="17"/>
      <c r="F91" s="102">
        <f>ID!F36</f>
        <v>98</v>
      </c>
      <c r="G91" s="100"/>
      <c r="H91" s="103" t="e">
        <f>((F91-G90)/(G92-G90)*(I92-I90)+I90)</f>
        <v>#REF!</v>
      </c>
      <c r="I91" s="101"/>
      <c r="J91" s="17"/>
      <c r="K91" s="34">
        <f>ID!F47</f>
        <v>120</v>
      </c>
      <c r="L91" s="32"/>
      <c r="M91" s="35">
        <f>((K91-L90)/(L92-L90)*(N92-N90)+N90)</f>
        <v>1E-3</v>
      </c>
      <c r="N91" s="33"/>
      <c r="P91" s="102">
        <f>ID!F39</f>
        <v>90</v>
      </c>
      <c r="Q91" s="100"/>
      <c r="R91" s="103" t="e">
        <f>((P91-Q90)/(Q92-Q90)*(S92-S90)+S90)</f>
        <v>#REF!</v>
      </c>
      <c r="S91" s="101"/>
      <c r="U91" s="34">
        <f>ID!F48</f>
        <v>240</v>
      </c>
      <c r="V91" s="32"/>
      <c r="W91" s="35">
        <f>((U91-V90)/(V92-V90)*(X92-X90)+X90)</f>
        <v>1E-3</v>
      </c>
      <c r="X91" s="33"/>
      <c r="Z91" s="34">
        <f>ID!F45</f>
        <v>30</v>
      </c>
      <c r="AA91" s="32"/>
      <c r="AB91" s="35">
        <f>((Z91-AA90)/(AA92-AA90)*(AC92-AC90)+AC90)</f>
        <v>1E-3</v>
      </c>
      <c r="AC91" s="33"/>
      <c r="AE91" s="102">
        <f>ID!F37</f>
        <v>97</v>
      </c>
      <c r="AF91" s="100"/>
      <c r="AG91" s="103" t="e">
        <f>((AE91-AF90)/(AF92-AF90)*(AH92-AH90)+AH90)</f>
        <v>#REF!</v>
      </c>
      <c r="AH91" s="101"/>
    </row>
    <row r="92" spans="1:34" ht="13.8" thickBot="1" x14ac:dyDescent="0.3">
      <c r="A92" s="38"/>
      <c r="B92" s="39">
        <f>IF(A91&lt;=$G$68,$G$68,IF(A91&lt;=$G$69,$G$69,IF(A91&lt;=$G$70,$G$70,IF(A91&lt;=$G$71,$G$71,IF(A91&lt;=$G$72,$G$72)))))</f>
        <v>60</v>
      </c>
      <c r="C92" s="39"/>
      <c r="D92" s="40">
        <f>IF(A91&lt;=$G$68,$H$68,IF(A91&lt;=$G$69,$H$69,IF(A91&lt;=$G$70,$H$70,IF(A91&lt;=$G$71,$H$71,IF(A91&lt;=$G$72,$H$72)))))</f>
        <v>1E-3</v>
      </c>
      <c r="E92" s="3"/>
      <c r="F92" s="104"/>
      <c r="G92" s="105" t="e">
        <f>IF(F91&lt;=$G$70,$G$70,IF(F91&lt;=#REF!,#REF!,IF(F91&lt;=$G$71,$G$71,IF(F91&lt;=#REF!,#REF!,IF(F91&lt;=#REF!,#REF!,IF(F91&lt;=#REF!,#REF!,IF(F91&lt;=$G$72,$G$72)))))))</f>
        <v>#REF!</v>
      </c>
      <c r="H92" s="105"/>
      <c r="I92" s="106" t="e">
        <f>IF(F91&lt;=$G$70,$H$70,IF(F91&lt;=#REF!,#REF!,IF(F91&lt;=$G$71,$H$71,IF(F91&lt;=#REF!,#REF!,IF(F91&lt;=#REF!,#REF!,IF(F91&lt;=#REF!,#REF!,IF(F91&lt;=$G$72,$H$72)))))))</f>
        <v>#REF!</v>
      </c>
      <c r="J92" s="3"/>
      <c r="K92" s="38"/>
      <c r="L92" s="39">
        <f>IF(K91&lt;=$G$68,$G$68,IF(K91&lt;=$G$69,$G$69,IF(K91&lt;=$G$70,$G$70,IF(K91&lt;=$G$71,$G$71,IF(K91&lt;=$G$72,$G$72)))))</f>
        <v>120</v>
      </c>
      <c r="M92" s="39"/>
      <c r="N92" s="40">
        <f>IF(K91&lt;=$G$68,$H$68,IF(K91&lt;=$G$69,$H$69,IF(K91&lt;=$G$70,$H$70,IF(K91&lt;=$G$71,$H$71,IF(K91&lt;=$G$72,$H$72)))))</f>
        <v>1E-3</v>
      </c>
      <c r="P92" s="104"/>
      <c r="Q92" s="105" t="e">
        <f>IF(P91&lt;=$G$70,$G$70,IF(P91&lt;=#REF!,#REF!,IF(P91&lt;=$G$71,$G$71,IF(P91&lt;=#REF!,#REF!,IF(P91&lt;=#REF!,#REF!,IF(P91&lt;=#REF!,#REF!,IF(P91&lt;=$G$72,$G$72)))))))</f>
        <v>#REF!</v>
      </c>
      <c r="R92" s="105"/>
      <c r="S92" s="106" t="e">
        <f>IF(P91&lt;=$G$70,$H$70,IF(P91&lt;=#REF!,#REF!,IF(P91&lt;=$G$71,$H$71,IF(P91&lt;=#REF!,#REF!,IF(P91&lt;=#REF!,#REF!,IF(P91&lt;=#REF!,#REF!,IF(P91&lt;=$G$72,$H$72)))))))</f>
        <v>#REF!</v>
      </c>
      <c r="U92" s="38"/>
      <c r="V92" s="39">
        <f>IF(U91&lt;=$G$68,$G$68,IF(U91&lt;=$G$69,$G$69,IF(U91&lt;=$G$70,$G$70,IF(U91&lt;=$G$71,$G$71,IF(U91&lt;=$G$72,$G$72,IF(U91&lt;=$G$73,$G$73))))))</f>
        <v>240</v>
      </c>
      <c r="W92" s="39"/>
      <c r="X92" s="40">
        <f>IF(U91&lt;=$G$68,$H$68,IF(U91&lt;=$G$69,$H$69,IF(U91&lt;=$G$70,$H$70,IF(U91&lt;=$G$71,$H$71,IF(U91&lt;=$G$72,$H$72,IF(U91&lt;=$G$73,$H$73))))))</f>
        <v>1E-3</v>
      </c>
      <c r="Z92" s="38"/>
      <c r="AA92" s="39">
        <f>IF(Z91&lt;=$G$68,$G$68,IF(Z91&lt;=$G$69,$G$69,IF(Z91&lt;=$G$70,$G$70,IF(Z91&lt;=$G$71,$G$71,IF(Z91&lt;=$G$72,$G$72)))))</f>
        <v>30</v>
      </c>
      <c r="AB92" s="39"/>
      <c r="AC92" s="40">
        <f>IF(Z91&lt;=$G$68,$H$68,IF(Z91&lt;=$G$69,$H$69,IF(Z91&lt;=$G$70,$H$70,IF(Z91&lt;=$G$71,$H$71,IF(Z91&lt;=$G$72,$H$72)))))</f>
        <v>1E-3</v>
      </c>
      <c r="AE92" s="104"/>
      <c r="AF92" s="105" t="e">
        <f>IF(AE91&lt;=$G$70,$G$70,IF(AE91&lt;=#REF!,#REF!,IF(AE91&lt;=$G$71,$G$71,IF(AE91&lt;=#REF!,#REF!,IF(AE91&lt;=#REF!,#REF!,IF(AE91&lt;=#REF!,#REF!,IF(AE91&lt;=$G$72,$G$72)))))))</f>
        <v>#REF!</v>
      </c>
      <c r="AG92" s="105"/>
      <c r="AH92" s="106" t="e">
        <f>IF(AE91&lt;=$G$70,$H$70,IF(AE91&lt;=#REF!,#REF!,IF(AE91&lt;=$G$71,$H$71,IF(AE91&lt;=#REF!,#REF!,IF(AE91&lt;=#REF!,#REF!,IF(AE91&lt;=#REF!,#REF!,IF(AE91&lt;=$G$72,$H$72)))))))</f>
        <v>#REF!</v>
      </c>
    </row>
    <row r="93" spans="1:34" ht="13.8" thickBot="1" x14ac:dyDescent="0.3">
      <c r="A93" s="17"/>
      <c r="B93" s="17"/>
      <c r="C93" s="17"/>
      <c r="D93" s="17"/>
      <c r="E93" s="3"/>
      <c r="F93" s="107"/>
      <c r="G93" s="107"/>
      <c r="H93" s="107"/>
      <c r="I93" s="107"/>
      <c r="J93" s="3"/>
      <c r="K93" s="17"/>
      <c r="L93" s="17"/>
      <c r="M93" s="17"/>
      <c r="N93" s="17"/>
      <c r="P93" s="107"/>
      <c r="Q93" s="107"/>
      <c r="R93" s="107"/>
      <c r="S93" s="107"/>
      <c r="U93" s="17"/>
      <c r="V93" s="17"/>
      <c r="W93" s="17"/>
      <c r="X93" s="17"/>
      <c r="Z93" s="17"/>
      <c r="AA93" s="17"/>
      <c r="AB93" s="17"/>
      <c r="AC93" s="17"/>
      <c r="AE93" s="107"/>
      <c r="AF93" s="107"/>
      <c r="AG93" s="107"/>
      <c r="AH93" s="107"/>
    </row>
    <row r="94" spans="1:34" ht="15.6" x14ac:dyDescent="0.3">
      <c r="A94" s="921" t="s">
        <v>242</v>
      </c>
      <c r="B94" s="922"/>
      <c r="C94" s="922"/>
      <c r="D94" s="923"/>
      <c r="E94" s="3"/>
      <c r="F94" s="927" t="s">
        <v>242</v>
      </c>
      <c r="G94" s="928"/>
      <c r="H94" s="928"/>
      <c r="I94" s="929"/>
      <c r="J94" s="3"/>
      <c r="K94" s="921" t="s">
        <v>242</v>
      </c>
      <c r="L94" s="922"/>
      <c r="M94" s="922"/>
      <c r="N94" s="923"/>
      <c r="P94" s="927" t="s">
        <v>242</v>
      </c>
      <c r="Q94" s="928"/>
      <c r="R94" s="928"/>
      <c r="S94" s="929"/>
      <c r="U94" s="921" t="s">
        <v>242</v>
      </c>
      <c r="V94" s="922"/>
      <c r="W94" s="922"/>
      <c r="X94" s="923"/>
      <c r="Z94" s="921" t="s">
        <v>242</v>
      </c>
      <c r="AA94" s="922"/>
      <c r="AB94" s="922"/>
      <c r="AC94" s="923"/>
      <c r="AE94" s="927" t="s">
        <v>242</v>
      </c>
      <c r="AF94" s="928"/>
      <c r="AG94" s="928"/>
      <c r="AH94" s="929"/>
    </row>
    <row r="95" spans="1:34" x14ac:dyDescent="0.25">
      <c r="A95" s="31"/>
      <c r="B95" s="32">
        <f>IF(A96&lt;=$G$69,$G$68,IF(A96&lt;=$G$70,$G$695,IF(A96&lt;=$G$71,$G$70,IF(A96&lt;=$G$72,$G$71))))</f>
        <v>0</v>
      </c>
      <c r="C95" s="32"/>
      <c r="D95" s="33">
        <f>IF(A96&lt;=$G$69,$H$68,IF(A96&lt;=$G$70,$H$69,IF(A96&lt;=$G$71,$H$70,IF(A96&lt;=$G$72,$H$71))))</f>
        <v>1E-3</v>
      </c>
      <c r="E95" s="3"/>
      <c r="F95" s="99"/>
      <c r="G95" s="100" t="e">
        <f>IF(F96&lt;=$G$70,$G$68,IF(F96&lt;=#REF!,$G$70,IF(F96&lt;=$G$71,#REF!,IF(F96&lt;=#REF!,$G$71,IF(F96&lt;=#REF!,#REF!,IF(F96&lt;=#REF!,#REF!,IF(F96&lt;=$G$72,#REF!)))))))</f>
        <v>#REF!</v>
      </c>
      <c r="H95" s="100"/>
      <c r="I95" s="101" t="e">
        <f>IF(F96&lt;=$G$70,$H$68,IF(F96&lt;=#REF!,$H$70,IF(F96&lt;=$G$71,#REF!,IF(F96&lt;=#REF!,$H$71,IF(F96&lt;=#REF!,#REF!,IF(F96&lt;=#REF!,#REF!,IF(F96&lt;=$G$72,#REF!)))))))</f>
        <v>#REF!</v>
      </c>
      <c r="J95" s="3"/>
      <c r="K95" s="31"/>
      <c r="L95" s="32">
        <f>IF(K96&lt;=$G$69,$G$68,IF(K96&lt;=$G$70,$G$695,IF(K96&lt;=$G$71,$G$70,IF(K96&lt;=$G$72,$G$71))))</f>
        <v>60</v>
      </c>
      <c r="M95" s="32"/>
      <c r="N95" s="33">
        <f>IF(K96&lt;=$G$69,$H$68,IF(K96&lt;=$G$70,$H$69,IF(K96&lt;=$G$71,$H$70,IF(K96&lt;=$G$72,$H$71))))</f>
        <v>1E-3</v>
      </c>
      <c r="P95" s="99"/>
      <c r="Q95" s="100" t="e">
        <f>IF(P96&lt;=$G$70,$G$68,IF(P96&lt;=#REF!,$G$70,IF(P96&lt;=$G$71,#REF!,IF(P96&lt;=#REF!,$G$71,IF(P96&lt;=#REF!,#REF!,IF(P96&lt;=#REF!,#REF!,IF(P96&lt;=$G$72,#REF!)))))))</f>
        <v>#REF!</v>
      </c>
      <c r="R95" s="100"/>
      <c r="S95" s="101" t="e">
        <f>IF(P96&lt;=$G$70,$H$68,IF(P96&lt;=#REF!,$H$70,IF(P96&lt;=$G$71,#REF!,IF(P96&lt;=#REF!,$H$71,IF(P96&lt;=#REF!,#REF!,IF(P96&lt;=#REF!,#REF!,IF(P96&lt;=$G$72,#REF!)))))))</f>
        <v>#REF!</v>
      </c>
      <c r="U95" s="31"/>
      <c r="V95" s="32">
        <f>IF(U96&lt;=$G$69,$G$68,IF(U96&lt;=$G$70,$G$695,IF(U96&lt;=$G$71,$G$70,IF(U96&lt;=$G$72,$G$71,IF(U96&lt;=$G$73,$G$72)))))</f>
        <v>120</v>
      </c>
      <c r="W95" s="32"/>
      <c r="X95" s="33">
        <f>IF(U96&lt;=$G$69,$H$68,IF(U96&lt;=$G$70,$H$69,IF(U96&lt;=$G$71,$H$70,IF(U96&lt;=$G$72,$H$71,IF(U96&lt;=$G$73,$H$72)))))</f>
        <v>1E-3</v>
      </c>
      <c r="Z95" s="31"/>
      <c r="AA95" s="32">
        <f>IF(Z96&lt;=$G$69,$G$68,IF(Z96&lt;=$G$70,$G$695,IF(Z96&lt;=$G$71,$G$70,IF(Z96&lt;=$G$72,$G$71))))</f>
        <v>0</v>
      </c>
      <c r="AB95" s="32"/>
      <c r="AC95" s="33">
        <f>IF(Z96&lt;=$G$69,$H$68,IF(Z96&lt;=$G$70,$H$69,IF(Z96&lt;=$G$71,$H$70,IF(Z96&lt;=$G$72,$H$71))))</f>
        <v>0</v>
      </c>
      <c r="AE95" s="99"/>
      <c r="AF95" s="100" t="e">
        <f>IF(AE96&lt;=$G$70,$G$68,IF(AE96&lt;=#REF!,$G$70,IF(AE96&lt;=$G$71,#REF!,IF(AE96&lt;=#REF!,$G$71,IF(AE96&lt;=#REF!,#REF!,IF(AE96&lt;=#REF!,#REF!,IF(AE96&lt;=$G$72,#REF!)))))))</f>
        <v>#REF!</v>
      </c>
      <c r="AG95" s="100"/>
      <c r="AH95" s="101" t="e">
        <f>IF(AE96&lt;=$G$70,$H$68,IF(AE96&lt;=#REF!,$H$70,IF(AE96&lt;=$G$71,#REF!,IF(AE96&lt;=#REF!,$H$71,IF(AE96&lt;=#REF!,#REF!,IF(AE96&lt;=#REF!,#REF!,IF(AE96&lt;=$G$72,#REF!)))))))</f>
        <v>#REF!</v>
      </c>
    </row>
    <row r="96" spans="1:34" x14ac:dyDescent="0.25">
      <c r="A96" s="34">
        <f>ID!G46</f>
        <v>60</v>
      </c>
      <c r="B96" s="32"/>
      <c r="C96" s="35">
        <f>((A96-B95)/(B97-B95)*(D97-D95)+D95)</f>
        <v>1E-3</v>
      </c>
      <c r="D96" s="33"/>
      <c r="F96" s="102">
        <f>ID!G36</f>
        <v>98</v>
      </c>
      <c r="G96" s="100"/>
      <c r="H96" s="103" t="e">
        <f>((F96-G95)/(G97-G95)*(I97-I95)+I95)</f>
        <v>#REF!</v>
      </c>
      <c r="I96" s="101"/>
      <c r="K96" s="34">
        <f>ID!G47</f>
        <v>120</v>
      </c>
      <c r="L96" s="32"/>
      <c r="M96" s="35">
        <f>((K96-L95)/(L97-L95)*(N97-N95)+N95)</f>
        <v>1E-3</v>
      </c>
      <c r="N96" s="33"/>
      <c r="P96" s="102">
        <f>ID!G39</f>
        <v>90</v>
      </c>
      <c r="Q96" s="100"/>
      <c r="R96" s="103" t="e">
        <f>((P96-Q95)/(Q97-Q95)*(S97-S95)+S95)</f>
        <v>#REF!</v>
      </c>
      <c r="S96" s="101"/>
      <c r="U96" s="34">
        <f>ID!G48</f>
        <v>240</v>
      </c>
      <c r="V96" s="32"/>
      <c r="W96" s="35">
        <f>((U96-V95)/(V97-V95)*(X97-X95)+X95)</f>
        <v>1E-3</v>
      </c>
      <c r="X96" s="33"/>
      <c r="Z96" s="34">
        <f>ID!G45</f>
        <v>30</v>
      </c>
      <c r="AA96" s="32"/>
      <c r="AB96" s="35">
        <f>((Z96-AA95)/(AA97-AA95)*(AC97-AC95)+AC95)</f>
        <v>1E-3</v>
      </c>
      <c r="AC96" s="33"/>
      <c r="AE96" s="102">
        <f>ID!G37</f>
        <v>98</v>
      </c>
      <c r="AF96" s="100"/>
      <c r="AG96" s="103" t="e">
        <f>((AE96-AF95)/(AF97-AF95)*(AH97-AH95)+AH95)</f>
        <v>#REF!</v>
      </c>
      <c r="AH96" s="101"/>
    </row>
    <row r="97" spans="1:34" ht="13.8" thickBot="1" x14ac:dyDescent="0.3">
      <c r="A97" s="38"/>
      <c r="B97" s="39">
        <f>IF(A96&lt;=$G$68,$G$68,IF(A96&lt;=$G$69,$G$69,IF(A96&lt;=$G$70,$G$70,IF(A96&lt;=$G$71,$G$71,IF(A96&lt;=$G$72,$G$72)))))</f>
        <v>60</v>
      </c>
      <c r="C97" s="39"/>
      <c r="D97" s="40">
        <f>IF(A96&lt;=$G$68,$H$68,IF(A96&lt;=$G$69,$H$69,IF(A96&lt;=$G$70,$H$70,IF(A96&lt;=$G$71,$H$71,IF(A96&lt;=$G$72,$H$72)))))</f>
        <v>1E-3</v>
      </c>
      <c r="F97" s="104"/>
      <c r="G97" s="105" t="e">
        <f>IF(F96&lt;=$G$70,$G$70,IF(F96&lt;=#REF!,#REF!,IF(F96&lt;=$G$71,$G$71,IF(F96&lt;=#REF!,#REF!,IF(F96&lt;=#REF!,#REF!,IF(F96&lt;=#REF!,#REF!,IF(F96&lt;=$G$72,$G$72)))))))</f>
        <v>#REF!</v>
      </c>
      <c r="H97" s="105"/>
      <c r="I97" s="106" t="e">
        <f>IF(F96&lt;=$G$70,$H$70,IF(F96&lt;=#REF!,#REF!,IF(F96&lt;=$G$71,$H$71,IF(F96&lt;=#REF!,#REF!,IF(F96&lt;=#REF!,#REF!,IF(F96&lt;=#REF!,#REF!,IF(F96&lt;=$G$72,$H$72)))))))</f>
        <v>#REF!</v>
      </c>
      <c r="K97" s="38"/>
      <c r="L97" s="39">
        <f>IF(K96&lt;=$G$68,$G$68,IF(K96&lt;=$G$69,$G$69,IF(K96&lt;=$G$70,$G$70,IF(K96&lt;=$G$71,$G$71,IF(K96&lt;=$G$72,$G$72)))))</f>
        <v>120</v>
      </c>
      <c r="M97" s="39"/>
      <c r="N97" s="40">
        <f>IF(K96&lt;=$G$68,$H$68,IF(K96&lt;=$G$69,$H$69,IF(K96&lt;=$G$70,$H$70,IF(K96&lt;=$G$71,$H$71,IF(K96&lt;=$G$72,$H$72)))))</f>
        <v>1E-3</v>
      </c>
      <c r="P97" s="104"/>
      <c r="Q97" s="105" t="e">
        <f>IF(P96&lt;=$G$70,$G$70,IF(P96&lt;=#REF!,#REF!,IF(P96&lt;=$G$71,$G$71,IF(P96&lt;=#REF!,#REF!,IF(P96&lt;=#REF!,#REF!,IF(P96&lt;=#REF!,#REF!,IF(P96&lt;=$G$72,$G$72)))))))</f>
        <v>#REF!</v>
      </c>
      <c r="R97" s="105"/>
      <c r="S97" s="106" t="e">
        <f>IF(P96&lt;=$G$70,$H$70,IF(P96&lt;=#REF!,#REF!,IF(P96&lt;=$G$71,$H$71,IF(P96&lt;=#REF!,#REF!,IF(P96&lt;=#REF!,#REF!,IF(P96&lt;=#REF!,#REF!,IF(P96&lt;=$G$72,$H$72)))))))</f>
        <v>#REF!</v>
      </c>
      <c r="U97" s="38"/>
      <c r="V97" s="39">
        <f>IF(U96&lt;=$G$68,$G$68,IF(U96&lt;=$G$69,$G$69,IF(U96&lt;=$G$70,$G$70,IF(U96&lt;=$G$71,$G$71,IF(U96&lt;=$G$72,$G$72,IF(U96&lt;=$G$73,$G$73))))))</f>
        <v>240</v>
      </c>
      <c r="W97" s="39"/>
      <c r="X97" s="40">
        <f>IF(U96&lt;=$G$68,$H$68,IF(U96&lt;=$G$69,$H$69,IF(U96&lt;=$G$70,$H$70,IF(U96&lt;=$G$71,$H$71,IF(U96&lt;=$G$72,$H$72,IF(U96&lt;=$G$73,$H$73))))))</f>
        <v>1E-3</v>
      </c>
      <c r="Z97" s="38"/>
      <c r="AA97" s="39">
        <f>IF(Z96&lt;=$G$68,$G$68,IF(Z96&lt;=$G$69,$G$69,IF(Z96&lt;=$G$70,$G$70,IF(Z96&lt;=$G$71,$G$71,IF(Z96&lt;=$G$72,$G$72)))))</f>
        <v>30</v>
      </c>
      <c r="AB97" s="39"/>
      <c r="AC97" s="40">
        <f>IF(Z96&lt;=$G$68,$H$68,IF(Z96&lt;=$G$69,$H$69,IF(Z96&lt;=$G$70,$H$70,IF(Z96&lt;=$G$71,$H$71,IF(Z96&lt;=$G$72,$H$72)))))</f>
        <v>1E-3</v>
      </c>
      <c r="AE97" s="104"/>
      <c r="AF97" s="105" t="e">
        <f>IF(AE96&lt;=$G$70,$G$70,IF(AE96&lt;=#REF!,#REF!,IF(AE96&lt;=$G$71,$G$71,IF(AE96&lt;=#REF!,#REF!,IF(AE96&lt;=#REF!,#REF!,IF(AE96&lt;=#REF!,#REF!,IF(AE96&lt;=$G$72,$G$72)))))))</f>
        <v>#REF!</v>
      </c>
      <c r="AG97" s="105"/>
      <c r="AH97" s="106" t="e">
        <f>IF(AE96&lt;=$G$70,$H$70,IF(AE96&lt;=#REF!,#REF!,IF(AE96&lt;=$G$71,$H$71,IF(AE96&lt;=#REF!,#REF!,IF(AE96&lt;=#REF!,#REF!,IF(AE96&lt;=#REF!,#REF!,IF(AE96&lt;=$G$72,$H$72)))))))</f>
        <v>#REF!</v>
      </c>
    </row>
    <row r="98" spans="1:34" ht="13.8" thickBot="1" x14ac:dyDescent="0.3">
      <c r="F98" s="98"/>
      <c r="G98" s="98"/>
      <c r="H98" s="98"/>
      <c r="I98" s="98"/>
      <c r="P98" s="98"/>
      <c r="Q98" s="98"/>
      <c r="R98" s="98"/>
      <c r="S98" s="98"/>
      <c r="AE98" s="98"/>
      <c r="AF98" s="98"/>
      <c r="AG98" s="98"/>
      <c r="AH98" s="98"/>
    </row>
    <row r="99" spans="1:34" ht="15.6" x14ac:dyDescent="0.3">
      <c r="A99" s="921" t="s">
        <v>243</v>
      </c>
      <c r="B99" s="922"/>
      <c r="C99" s="922"/>
      <c r="D99" s="923"/>
      <c r="F99" s="927" t="s">
        <v>243</v>
      </c>
      <c r="G99" s="928"/>
      <c r="H99" s="928"/>
      <c r="I99" s="929"/>
      <c r="K99" s="921" t="s">
        <v>243</v>
      </c>
      <c r="L99" s="922"/>
      <c r="M99" s="922"/>
      <c r="N99" s="923"/>
      <c r="P99" s="927" t="s">
        <v>243</v>
      </c>
      <c r="Q99" s="928"/>
      <c r="R99" s="928"/>
      <c r="S99" s="929"/>
      <c r="U99" s="921" t="s">
        <v>243</v>
      </c>
      <c r="V99" s="922"/>
      <c r="W99" s="922"/>
      <c r="X99" s="923"/>
      <c r="Z99" s="921" t="s">
        <v>243</v>
      </c>
      <c r="AA99" s="922"/>
      <c r="AB99" s="922"/>
      <c r="AC99" s="923"/>
      <c r="AE99" s="927" t="s">
        <v>243</v>
      </c>
      <c r="AF99" s="928"/>
      <c r="AG99" s="928"/>
      <c r="AH99" s="929"/>
    </row>
    <row r="100" spans="1:34" x14ac:dyDescent="0.25">
      <c r="A100" s="31"/>
      <c r="B100" s="32">
        <f>IF(A101&lt;=$G$69,$G$68,IF(A101&lt;=$G$70,$G$695,IF(A101&lt;=$G$71,$G$70,IF(A101&lt;=$G$72,$G$71))))</f>
        <v>0</v>
      </c>
      <c r="C100" s="32"/>
      <c r="D100" s="33">
        <f>IF(A101&lt;=$G$69,$H$68,IF(A101&lt;=$G$70,$H$69,IF(A101&lt;=$G$71,$H$70,IF(A101&lt;=$G$72,$H$71))))</f>
        <v>1E-3</v>
      </c>
      <c r="F100" s="99"/>
      <c r="G100" s="100" t="e">
        <f>IF(F101&lt;=$G$70,$G$68,IF(F101&lt;=#REF!,$G$70,IF(F101&lt;=$G$71,#REF!,IF(F101&lt;=#REF!,$G$71,IF(F101&lt;=#REF!,#REF!,IF(F101&lt;=#REF!,#REF!,IF(F101&lt;=$G$72,#REF!)))))))</f>
        <v>#REF!</v>
      </c>
      <c r="H100" s="100"/>
      <c r="I100" s="101" t="e">
        <f>IF(F101&lt;=$G$70,$H$68,IF(F101&lt;=#REF!,$H$70,IF(F101&lt;=$G$71,#REF!,IF(F101&lt;=#REF!,$H$71,IF(F101&lt;=#REF!,#REF!,IF(F101&lt;=#REF!,#REF!,IF(F101&lt;=$G$72,#REF!)))))))</f>
        <v>#REF!</v>
      </c>
      <c r="K100" s="31"/>
      <c r="L100" s="32">
        <f>IF(K101&lt;=$G$69,$G$68,IF(K101&lt;=$G$70,$G$695,IF(K101&lt;=$G$71,$G$70,IF(K101&lt;=$G$72,$G$71))))</f>
        <v>60</v>
      </c>
      <c r="M100" s="32"/>
      <c r="N100" s="33">
        <f>IF(K101&lt;=$G$69,$H$68,IF(K101&lt;=$G$70,$H$69,IF(K101&lt;=$G$71,$H$70,IF(K101&lt;=$G$72,$H$71))))</f>
        <v>1E-3</v>
      </c>
      <c r="P100" s="99"/>
      <c r="Q100" s="100" t="e">
        <f>IF(P101&lt;=$G$70,$G$68,IF(P101&lt;=#REF!,$G$70,IF(P101&lt;=$G$71,#REF!,IF(P101&lt;=#REF!,$G$71,IF(P101&lt;=#REF!,#REF!,IF(P101&lt;=#REF!,#REF!,IF(P101&lt;=$G$72,#REF!)))))))</f>
        <v>#REF!</v>
      </c>
      <c r="R100" s="100"/>
      <c r="S100" s="101" t="e">
        <f>IF(P101&lt;=$G$70,$H$68,IF(P101&lt;=#REF!,$H$70,IF(P101&lt;=$G$71,#REF!,IF(P101&lt;=#REF!,$H$71,IF(P101&lt;=#REF!,#REF!,IF(P101&lt;=#REF!,#REF!,IF(P101&lt;=$G$72,#REF!)))))))</f>
        <v>#REF!</v>
      </c>
      <c r="U100" s="31"/>
      <c r="V100" s="32">
        <f>IF(U101&lt;=$G$69,$G$68,IF(U101&lt;=$G$70,$G$695,IF(U101&lt;=$G$71,$G$70,IF(U101&lt;=$G$72,$G$71,IF(U101&lt;=$G$73,$G$72)))))</f>
        <v>120</v>
      </c>
      <c r="W100" s="32"/>
      <c r="X100" s="33">
        <f>IF(U101&lt;=$G$69,$H$68,IF(U101&lt;=$G$70,$H$69,IF(U101&lt;=$G$71,$H$70,IF(U101&lt;=$G$72,$H$71,IF(U101&lt;=$G$73,$H$72)))))</f>
        <v>1E-3</v>
      </c>
      <c r="Z100" s="31"/>
      <c r="AA100" s="32">
        <f>IF(Z101&lt;=$G$69,$G$68,IF(Z101&lt;=$G$70,$G$695,IF(Z101&lt;=$G$71,$G$70,IF(Z101&lt;=$G$72,$G$71))))</f>
        <v>0</v>
      </c>
      <c r="AB100" s="32"/>
      <c r="AC100" s="33">
        <f>IF(Z101&lt;=$G$69,$H$68,IF(Z101&lt;=$G$70,$H$69,IF(Z101&lt;=$G$71,$H$70,IF(Z101&lt;=$G$72,$H$71))))</f>
        <v>0</v>
      </c>
      <c r="AE100" s="99"/>
      <c r="AF100" s="100" t="e">
        <f>IF(AE101&lt;=$G$70,$G$68,IF(AE101&lt;=#REF!,$G$70,IF(AE101&lt;=$G$71,#REF!,IF(AE101&lt;=#REF!,$G$71,IF(AE101&lt;=#REF!,#REF!,IF(AE101&lt;=#REF!,#REF!,IF(AE101&lt;=$G$72,#REF!)))))))</f>
        <v>#REF!</v>
      </c>
      <c r="AG100" s="100"/>
      <c r="AH100" s="101" t="e">
        <f>IF(AE101&lt;=$G$70,$H$68,IF(AE101&lt;=#REF!,$H$70,IF(AE101&lt;=$G$71,#REF!,IF(AE101&lt;=#REF!,$H$71,IF(AE101&lt;=#REF!,#REF!,IF(AE101&lt;=#REF!,#REF!,IF(AE101&lt;=$G$72,#REF!)))))))</f>
        <v>#REF!</v>
      </c>
    </row>
    <row r="101" spans="1:34" x14ac:dyDescent="0.25">
      <c r="A101" s="34">
        <f>ID!H46</f>
        <v>60</v>
      </c>
      <c r="B101" s="32"/>
      <c r="C101" s="35">
        <f>((A101-B100)/(B102-B100)*(D102-D100)+D100)</f>
        <v>1E-3</v>
      </c>
      <c r="D101" s="33"/>
      <c r="F101" s="102">
        <f>ID!H36</f>
        <v>98</v>
      </c>
      <c r="G101" s="100"/>
      <c r="H101" s="103" t="e">
        <f>((F101-G100)/(G102-G100)*(I102-I100)+I100)</f>
        <v>#REF!</v>
      </c>
      <c r="I101" s="101"/>
      <c r="K101" s="34">
        <f>ID!H47</f>
        <v>120</v>
      </c>
      <c r="L101" s="32"/>
      <c r="M101" s="35">
        <f>((K101-L100)/(L102-L100)*(N102-N100)+N100)</f>
        <v>1E-3</v>
      </c>
      <c r="N101" s="33"/>
      <c r="P101" s="102">
        <f>ID!H39</f>
        <v>90</v>
      </c>
      <c r="Q101" s="100"/>
      <c r="R101" s="103" t="e">
        <f>((P101-Q100)/(Q102-Q100)*(S102-S100)+S100)</f>
        <v>#REF!</v>
      </c>
      <c r="S101" s="101"/>
      <c r="U101" s="34">
        <f>ID!H48</f>
        <v>240</v>
      </c>
      <c r="V101" s="32"/>
      <c r="W101" s="35">
        <f>((U101-V100)/(V102-V100)*(X102-X100)+X100)</f>
        <v>1E-3</v>
      </c>
      <c r="X101" s="33"/>
      <c r="Z101" s="34">
        <f>ID!H45</f>
        <v>30</v>
      </c>
      <c r="AA101" s="32"/>
      <c r="AB101" s="35">
        <f>((Z101-AA100)/(AA102-AA100)*(AC102-AC100)+AC100)</f>
        <v>1E-3</v>
      </c>
      <c r="AC101" s="33"/>
      <c r="AE101" s="102">
        <f>ID!H37</f>
        <v>97</v>
      </c>
      <c r="AF101" s="100"/>
      <c r="AG101" s="103" t="e">
        <f>((AE101-AF100)/(AF102-AF100)*(AH102-AH100)+AH100)</f>
        <v>#REF!</v>
      </c>
      <c r="AH101" s="101"/>
    </row>
    <row r="102" spans="1:34" ht="13.8" thickBot="1" x14ac:dyDescent="0.3">
      <c r="A102" s="38"/>
      <c r="B102" s="39">
        <f>IF(A101&lt;=$G$68,$G$68,IF(A101&lt;=$G$69,$G$69,IF(A101&lt;=$G$70,$G$70,IF(A101&lt;=$G$71,$G$71,IF(A101&lt;=$G$72,$G$72)))))</f>
        <v>60</v>
      </c>
      <c r="C102" s="39"/>
      <c r="D102" s="40">
        <f>IF(A101&lt;=$G$68,$H$68,IF(A101&lt;=$G$69,$H$69,IF(A101&lt;=$G$70,$H$70,IF(A101&lt;=$G$71,$H$71,IF(A101&lt;=$G$72,$H$72)))))</f>
        <v>1E-3</v>
      </c>
      <c r="F102" s="104"/>
      <c r="G102" s="105" t="e">
        <f>IF(F101&lt;=$G$70,$G$70,IF(F101&lt;=#REF!,#REF!,IF(F101&lt;=$G$71,$G$71,IF(F101&lt;=#REF!,#REF!,IF(F101&lt;=#REF!,#REF!,IF(F101&lt;=#REF!,#REF!,IF(F101&lt;=$G$72,$G$72)))))))</f>
        <v>#REF!</v>
      </c>
      <c r="H102" s="105"/>
      <c r="I102" s="106" t="e">
        <f>IF(F101&lt;=$G$70,$H$70,IF(F101&lt;=#REF!,#REF!,IF(F101&lt;=$G$71,$H$71,IF(F101&lt;=#REF!,#REF!,IF(F101&lt;=#REF!,#REF!,IF(F101&lt;=#REF!,#REF!,IF(F101&lt;=$G$72,$H$72)))))))</f>
        <v>#REF!</v>
      </c>
      <c r="K102" s="38"/>
      <c r="L102" s="39">
        <f>IF(K101&lt;=$G$68,$G$68,IF(K101&lt;=$G$69,$G$69,IF(K101&lt;=$G$70,$G$70,IF(K101&lt;=$G$71,$G$71,IF(K101&lt;=$G$72,$G$72)))))</f>
        <v>120</v>
      </c>
      <c r="M102" s="39"/>
      <c r="N102" s="40">
        <f>IF(K101&lt;=$G$68,$H$68,IF(K101&lt;=$G$69,$H$69,IF(K101&lt;=$G$70,$H$70,IF(K101&lt;=$G$71,$H$71,IF(K101&lt;=$G$72,$H$72)))))</f>
        <v>1E-3</v>
      </c>
      <c r="P102" s="104"/>
      <c r="Q102" s="105" t="e">
        <f>IF(P101&lt;=$G$70,$G$70,IF(P101&lt;=#REF!,#REF!,IF(P101&lt;=$G$71,$G$71,IF(P101&lt;=#REF!,#REF!,IF(P101&lt;=#REF!,#REF!,IF(P101&lt;=#REF!,#REF!,IF(P101&lt;=$G$72,$G$72)))))))</f>
        <v>#REF!</v>
      </c>
      <c r="R102" s="105"/>
      <c r="S102" s="106" t="e">
        <f>IF(P101&lt;=$G$70,$H$70,IF(P101&lt;=#REF!,#REF!,IF(P101&lt;=$G$71,$H$71,IF(P101&lt;=#REF!,#REF!,IF(P101&lt;=#REF!,#REF!,IF(P101&lt;=#REF!,#REF!,IF(P101&lt;=$G$72,$H$72)))))))</f>
        <v>#REF!</v>
      </c>
      <c r="U102" s="38"/>
      <c r="V102" s="39">
        <f>IF(U101&lt;=$G$68,$G$68,IF(U101&lt;=$G$69,$G$69,IF(U101&lt;=$G$70,$G$70,IF(U101&lt;=$G$71,$G$71,IF(U101&lt;=$G$72,$G$72,IF(U101&lt;=$G$73,$G$73))))))</f>
        <v>240</v>
      </c>
      <c r="W102" s="39"/>
      <c r="X102" s="40">
        <f>IF(U101&lt;=$G$68,$H$68,IF(U101&lt;=$G$69,$H$69,IF(U101&lt;=$G$70,$H$70,IF(U101&lt;=$G$71,$H$71,IF(U101&lt;=$G$72,$H$72,IF(U101&lt;=$G$73,$H$73))))))</f>
        <v>1E-3</v>
      </c>
      <c r="Z102" s="38"/>
      <c r="AA102" s="39">
        <f>IF(Z101&lt;=$G$68,$G$68,IF(Z101&lt;=$G$69,$G$69,IF(Z101&lt;=$G$70,$G$70,IF(Z101&lt;=$G$71,$G$71,IF(Z101&lt;=$G$72,$G$72)))))</f>
        <v>30</v>
      </c>
      <c r="AB102" s="39"/>
      <c r="AC102" s="40">
        <f>IF(Z101&lt;=$G$68,$H$68,IF(Z101&lt;=$G$69,$H$69,IF(Z101&lt;=$G$70,$H$70,IF(Z101&lt;=$G$71,$H$71,IF(Z101&lt;=$G$72,$H$72)))))</f>
        <v>1E-3</v>
      </c>
      <c r="AE102" s="104"/>
      <c r="AF102" s="105" t="e">
        <f>IF(AE101&lt;=$G$70,$G$70,IF(AE101&lt;=#REF!,#REF!,IF(AE101&lt;=$G$71,$G$71,IF(AE101&lt;=#REF!,#REF!,IF(AE101&lt;=#REF!,#REF!,IF(AE101&lt;=#REF!,#REF!,IF(AE101&lt;=$G$72,$G$72)))))))</f>
        <v>#REF!</v>
      </c>
      <c r="AG102" s="105"/>
      <c r="AH102" s="106" t="e">
        <f>IF(AE101&lt;=$G$70,$H$70,IF(AE101&lt;=#REF!,#REF!,IF(AE101&lt;=$G$71,$H$71,IF(AE101&lt;=#REF!,#REF!,IF(AE101&lt;=#REF!,#REF!,IF(AE101&lt;=#REF!,#REF!,IF(AE101&lt;=$G$72,$H$72)))))))</f>
        <v>#REF!</v>
      </c>
    </row>
    <row r="103" spans="1:34" ht="13.8" thickBot="1" x14ac:dyDescent="0.3">
      <c r="F103" s="98"/>
      <c r="G103" s="98"/>
      <c r="H103" s="98"/>
      <c r="I103" s="98"/>
      <c r="P103" s="98"/>
      <c r="Q103" s="98"/>
      <c r="R103" s="98"/>
      <c r="S103" s="98"/>
      <c r="AE103" s="98"/>
      <c r="AF103" s="98"/>
      <c r="AG103" s="98"/>
      <c r="AH103" s="98"/>
    </row>
    <row r="104" spans="1:34" ht="15.6" x14ac:dyDescent="0.3">
      <c r="A104" s="921" t="s">
        <v>244</v>
      </c>
      <c r="B104" s="922"/>
      <c r="C104" s="922"/>
      <c r="D104" s="923"/>
      <c r="F104" s="927" t="s">
        <v>244</v>
      </c>
      <c r="G104" s="928"/>
      <c r="H104" s="928"/>
      <c r="I104" s="929"/>
      <c r="K104" s="921" t="s">
        <v>244</v>
      </c>
      <c r="L104" s="922"/>
      <c r="M104" s="922"/>
      <c r="N104" s="923"/>
      <c r="P104" s="927" t="s">
        <v>244</v>
      </c>
      <c r="Q104" s="928"/>
      <c r="R104" s="928"/>
      <c r="S104" s="929"/>
      <c r="U104" s="921" t="s">
        <v>244</v>
      </c>
      <c r="V104" s="922"/>
      <c r="W104" s="922"/>
      <c r="X104" s="923"/>
      <c r="Z104" s="921" t="s">
        <v>244</v>
      </c>
      <c r="AA104" s="922"/>
      <c r="AB104" s="922"/>
      <c r="AC104" s="923"/>
      <c r="AE104" s="927" t="s">
        <v>244</v>
      </c>
      <c r="AF104" s="928"/>
      <c r="AG104" s="928"/>
      <c r="AH104" s="929"/>
    </row>
    <row r="105" spans="1:34" x14ac:dyDescent="0.25">
      <c r="A105" s="31"/>
      <c r="B105" s="32">
        <f>IF(A106&lt;=$G$69,$G$68,IF(A106&lt;=$G$70,$G$695,IF(A106&lt;=$G$71,$G$70,IF(A106&lt;=$G$72,$G$71))))</f>
        <v>0</v>
      </c>
      <c r="C105" s="32"/>
      <c r="D105" s="33">
        <f>IF(A106&lt;=$G$69,$H$68,IF(A106&lt;=$G$70,$H$69,IF(A106&lt;=$G$71,$H$70,IF(A106&lt;=$G$72,$H$71))))</f>
        <v>1E-3</v>
      </c>
      <c r="F105" s="99"/>
      <c r="G105" s="100" t="e">
        <f>IF(F106&lt;=$G$70,$G$68,IF(F106&lt;=#REF!,$G$70,IF(F106&lt;=$G$71,#REF!,IF(F106&lt;=#REF!,$G$71,IF(F106&lt;=#REF!,#REF!,IF(F106&lt;=#REF!,#REF!,IF(F106&lt;=$G$72,#REF!)))))))</f>
        <v>#REF!</v>
      </c>
      <c r="H105" s="100"/>
      <c r="I105" s="101" t="e">
        <f>IF(F106&lt;=$G$70,$H$68,IF(F106&lt;=#REF!,$H$70,IF(F106&lt;=$G$71,#REF!,IF(F106&lt;=#REF!,$H$71,IF(F106&lt;=#REF!,#REF!,IF(F106&lt;=#REF!,#REF!,IF(F106&lt;=$G$72,#REF!)))))))</f>
        <v>#REF!</v>
      </c>
      <c r="K105" s="31"/>
      <c r="L105" s="32">
        <f>IF(K106&lt;=$G$69,$G$68,IF(K106&lt;=$G$70,$G$695,IF(K106&lt;=$G$71,$G$70,IF(K106&lt;=$G$72,$G$71))))</f>
        <v>60</v>
      </c>
      <c r="M105" s="32"/>
      <c r="N105" s="33">
        <f>IF(K106&lt;=$G$69,$H$68,IF(K106&lt;=$G$70,$H$69,IF(K106&lt;=$G$71,$H$70,IF(K106&lt;=$G$72,$H$71))))</f>
        <v>1E-3</v>
      </c>
      <c r="P105" s="99"/>
      <c r="Q105" s="100" t="e">
        <f>IF(P106&lt;=$G$70,$G$68,IF(P106&lt;=#REF!,$G$70,IF(P106&lt;=$G$71,#REF!,IF(P106&lt;=#REF!,$G$71,IF(P106&lt;=#REF!,#REF!,IF(P106&lt;=#REF!,#REF!,IF(P106&lt;=$G$72,#REF!)))))))</f>
        <v>#REF!</v>
      </c>
      <c r="R105" s="100"/>
      <c r="S105" s="101" t="e">
        <f>IF(P106&lt;=$G$70,$H$68,IF(P106&lt;=#REF!,$H$70,IF(P106&lt;=$G$71,#REF!,IF(P106&lt;=#REF!,$H$71,IF(P106&lt;=#REF!,#REF!,IF(P106&lt;=#REF!,#REF!,IF(P106&lt;=$G$72,#REF!)))))))</f>
        <v>#REF!</v>
      </c>
      <c r="U105" s="31"/>
      <c r="V105" s="32">
        <f>IF(U106&lt;=$G$69,$G$68,IF(U106&lt;=$G$70,$G$695,IF(U106&lt;=$G$71,$G$70,IF(U106&lt;=$G$72,$G$71,IF(U106&lt;=$G$73,$G$72)))))</f>
        <v>120</v>
      </c>
      <c r="W105" s="32"/>
      <c r="X105" s="33">
        <f>IF(U106&lt;=$G$69,$H$68,IF(U106&lt;=$G$70,$H$69,IF(U106&lt;=$G$71,$H$70,IF(U106&lt;=$G$72,$H$71,IF(U106&lt;=$G$73,$H$72)))))</f>
        <v>1E-3</v>
      </c>
      <c r="Z105" s="31"/>
      <c r="AA105" s="32">
        <f>IF(Z106&lt;=$G$69,$G$68,IF(Z106&lt;=$G$70,$G$695,IF(Z106&lt;=$G$71,$G$70,IF(Z106&lt;=$G$72,$G$71))))</f>
        <v>0</v>
      </c>
      <c r="AB105" s="32"/>
      <c r="AC105" s="33">
        <f>IF(Z106&lt;=$G$69,$H$68,IF(Z106&lt;=$G$70,$H$69,IF(Z106&lt;=$G$71,$H$70,IF(Z106&lt;=$G$72,$H$71))))</f>
        <v>0</v>
      </c>
      <c r="AE105" s="99"/>
      <c r="AF105" s="100" t="e">
        <f>IF(AE106&lt;=$G$70,$G$68,IF(AE106&lt;=#REF!,$G$70,IF(AE106&lt;=$G$71,#REF!,IF(AE106&lt;=#REF!,$G$71,IF(AE106&lt;=#REF!,#REF!,IF(AE106&lt;=#REF!,#REF!,IF(AE106&lt;=$G$72,#REF!)))))))</f>
        <v>#REF!</v>
      </c>
      <c r="AG105" s="100"/>
      <c r="AH105" s="101" t="e">
        <f>IF(AE106&lt;=$G$70,$H$68,IF(AE106&lt;=#REF!,$H$70,IF(AE106&lt;=$G$71,#REF!,IF(AE106&lt;=#REF!,$H$71,IF(AE106&lt;=#REF!,#REF!,IF(AE106&lt;=#REF!,#REF!,IF(AE106&lt;=$G$72,#REF!)))))))</f>
        <v>#REF!</v>
      </c>
    </row>
    <row r="106" spans="1:34" x14ac:dyDescent="0.25">
      <c r="A106" s="34">
        <f>ID!I46</f>
        <v>60</v>
      </c>
      <c r="B106" s="32"/>
      <c r="C106" s="35">
        <f>((A106-B105)/(B107-B105)*(D107-D105)+D105)</f>
        <v>1E-3</v>
      </c>
      <c r="D106" s="33"/>
      <c r="F106" s="102">
        <f>ID!J36</f>
        <v>98</v>
      </c>
      <c r="G106" s="100"/>
      <c r="H106" s="103" t="e">
        <f>((F106-G105)/(G107-G105)*(I107-I105)+I105)</f>
        <v>#REF!</v>
      </c>
      <c r="I106" s="101"/>
      <c r="K106" s="34">
        <f>ID!I47</f>
        <v>120</v>
      </c>
      <c r="L106" s="32"/>
      <c r="M106" s="35">
        <f>((K106-L105)/(L107-L105)*(N107-N105)+N105)</f>
        <v>1E-3</v>
      </c>
      <c r="N106" s="33"/>
      <c r="P106" s="102">
        <f>ID!J39</f>
        <v>90</v>
      </c>
      <c r="Q106" s="100"/>
      <c r="R106" s="103" t="e">
        <f>((P106-Q105)/(Q107-Q105)*(S107-S105)+S105)</f>
        <v>#REF!</v>
      </c>
      <c r="S106" s="101"/>
      <c r="U106" s="34">
        <f>ID!I48</f>
        <v>240</v>
      </c>
      <c r="V106" s="32"/>
      <c r="W106" s="35">
        <f>((U106-V105)/(V107-V105)*(X107-X105)+X105)</f>
        <v>1E-3</v>
      </c>
      <c r="X106" s="33"/>
      <c r="Z106" s="34">
        <f>ID!I45</f>
        <v>30</v>
      </c>
      <c r="AA106" s="32"/>
      <c r="AB106" s="35">
        <f>((Z106-AA105)/(AA107-AA105)*(AC107-AC105)+AC105)</f>
        <v>1E-3</v>
      </c>
      <c r="AC106" s="33"/>
      <c r="AE106" s="102">
        <f>ID!J37</f>
        <v>97</v>
      </c>
      <c r="AF106" s="100"/>
      <c r="AG106" s="103" t="e">
        <f>((AE106-AF105)/(AF107-AF105)*(AH107-AH105)+AH105)</f>
        <v>#REF!</v>
      </c>
      <c r="AH106" s="101"/>
    </row>
    <row r="107" spans="1:34" ht="13.8" thickBot="1" x14ac:dyDescent="0.3">
      <c r="A107" s="38"/>
      <c r="B107" s="39">
        <f>IF(A106&lt;=$G$68,$G$68,IF(A106&lt;=$G$69,$G$69,IF(A106&lt;=$G$70,$G$70,IF(A106&lt;=$G$71,$G$71,IF(A106&lt;=$G$72,$G$72)))))</f>
        <v>60</v>
      </c>
      <c r="C107" s="39"/>
      <c r="D107" s="40">
        <f>IF(A106&lt;=$G$68,$H$68,IF(A106&lt;=$G$69,$H$69,IF(A106&lt;=$G$70,$H$70,IF(A106&lt;=$G$71,$H$71,IF(A106&lt;=$G$72,$H$72)))))</f>
        <v>1E-3</v>
      </c>
      <c r="F107" s="104"/>
      <c r="G107" s="105" t="e">
        <f>IF(F106&lt;=$G$70,$G$70,IF(F106&lt;=#REF!,#REF!,IF(F106&lt;=$G$71,$G$71,IF(F106&lt;=#REF!,#REF!,IF(F106&lt;=#REF!,#REF!,IF(F106&lt;=#REF!,#REF!,IF(F106&lt;=$G$72,$G$72)))))))</f>
        <v>#REF!</v>
      </c>
      <c r="H107" s="105"/>
      <c r="I107" s="106" t="e">
        <f>IF(F106&lt;=$G$70,$H$70,IF(F106&lt;=#REF!,#REF!,IF(F106&lt;=$G$71,$H$71,IF(F106&lt;=#REF!,#REF!,IF(F106&lt;=#REF!,#REF!,IF(F106&lt;=#REF!,#REF!,IF(F106&lt;=$G$72,$H$72)))))))</f>
        <v>#REF!</v>
      </c>
      <c r="K107" s="38"/>
      <c r="L107" s="39">
        <f>IF(K106&lt;=$G$68,$G$68,IF(K106&lt;=$G$69,$G$69,IF(K106&lt;=$G$70,$G$70,IF(K106&lt;=$G$71,$G$71,IF(K106&lt;=$G$72,$G$72)))))</f>
        <v>120</v>
      </c>
      <c r="M107" s="39"/>
      <c r="N107" s="40">
        <f>IF(K106&lt;=$G$68,$H$68,IF(K106&lt;=$G$69,$H$69,IF(K106&lt;=$G$70,$H$70,IF(K106&lt;=$G$71,$H$71,IF(K106&lt;=$G$72,$H$72)))))</f>
        <v>1E-3</v>
      </c>
      <c r="P107" s="104"/>
      <c r="Q107" s="105" t="e">
        <f>IF(P106&lt;=$G$70,$G$70,IF(P106&lt;=#REF!,#REF!,IF(P106&lt;=$G$71,$G$71,IF(P106&lt;=#REF!,#REF!,IF(P106&lt;=#REF!,#REF!,IF(P106&lt;=#REF!,#REF!,IF(P106&lt;=$G$72,$G$72)))))))</f>
        <v>#REF!</v>
      </c>
      <c r="R107" s="105"/>
      <c r="S107" s="106" t="e">
        <f>IF(P106&lt;=$G$70,$H$70,IF(P106&lt;=#REF!,#REF!,IF(P106&lt;=$G$71,$H$71,IF(P106&lt;=#REF!,#REF!,IF(P106&lt;=#REF!,#REF!,IF(P106&lt;=#REF!,#REF!,IF(P106&lt;=$G$72,$H$72)))))))</f>
        <v>#REF!</v>
      </c>
      <c r="U107" s="38"/>
      <c r="V107" s="39">
        <f>IF(U106&lt;=$G$68,$G$68,IF(U106&lt;=$G$69,$G$69,IF(U106&lt;=$G$70,$G$70,IF(U106&lt;=$G$71,$G$71,IF(U106&lt;=$G$72,$G$72,IF(U106&lt;=$G$73,$G$73))))))</f>
        <v>240</v>
      </c>
      <c r="W107" s="39"/>
      <c r="X107" s="40">
        <f>IF(U106&lt;=$G$68,$H$68,IF(U106&lt;=$G$69,$H$69,IF(U106&lt;=$G$70,$H$70,IF(U106&lt;=$G$71,$H$71,IF(U106&lt;=$G$72,$H$72,IF(U106&lt;=$G$73,$H$73))))))</f>
        <v>1E-3</v>
      </c>
      <c r="Z107" s="38"/>
      <c r="AA107" s="39">
        <f>IF(Z106&lt;=$G$68,$G$68,IF(Z106&lt;=$G$69,$G$69,IF(Z106&lt;=$G$70,$G$70,IF(Z106&lt;=$G$71,$G$71,IF(Z106&lt;=$G$72,$G$72)))))</f>
        <v>30</v>
      </c>
      <c r="AB107" s="39"/>
      <c r="AC107" s="40">
        <f>IF(Z106&lt;=$G$68,$H$68,IF(Z106&lt;=$G$69,$H$69,IF(Z106&lt;=$G$70,$H$70,IF(Z106&lt;=$G$71,$H$71,IF(Z106&lt;=$G$72,$H$72)))))</f>
        <v>1E-3</v>
      </c>
      <c r="AE107" s="104"/>
      <c r="AF107" s="105" t="e">
        <f>IF(AE106&lt;=$G$70,$G$70,IF(AE106&lt;=#REF!,#REF!,IF(AE106&lt;=$G$71,$G$71,IF(AE106&lt;=#REF!,#REF!,IF(AE106&lt;=#REF!,#REF!,IF(AE106&lt;=#REF!,#REF!,IF(AE106&lt;=$G$72,$G$72)))))))</f>
        <v>#REF!</v>
      </c>
      <c r="AG107" s="105"/>
      <c r="AH107" s="106" t="e">
        <f>IF(AE106&lt;=$G$70,$H$70,IF(AE106&lt;=#REF!,#REF!,IF(AE106&lt;=$G$71,$H$71,IF(AE106&lt;=#REF!,#REF!,IF(AE106&lt;=#REF!,#REF!,IF(AE106&lt;=#REF!,#REF!,IF(AE106&lt;=$G$72,$H$72)))))))</f>
        <v>#REF!</v>
      </c>
    </row>
    <row r="108" spans="1:34" ht="13.8" thickBot="1" x14ac:dyDescent="0.3">
      <c r="AE108" s="98"/>
      <c r="AF108" s="98"/>
      <c r="AG108" s="98"/>
      <c r="AH108" s="98"/>
    </row>
    <row r="109" spans="1:34" ht="15.6" x14ac:dyDescent="0.3">
      <c r="A109" s="921" t="s">
        <v>245</v>
      </c>
      <c r="B109" s="922"/>
      <c r="C109" s="922"/>
      <c r="D109" s="923"/>
      <c r="K109" s="921" t="s">
        <v>245</v>
      </c>
      <c r="L109" s="922"/>
      <c r="M109" s="922"/>
      <c r="N109" s="923"/>
      <c r="U109" s="921" t="s">
        <v>245</v>
      </c>
      <c r="V109" s="922"/>
      <c r="W109" s="922"/>
      <c r="X109" s="923"/>
      <c r="Z109" s="921" t="s">
        <v>245</v>
      </c>
      <c r="AA109" s="922"/>
      <c r="AB109" s="922"/>
      <c r="AC109" s="923"/>
      <c r="AE109" s="98"/>
      <c r="AF109" s="98"/>
      <c r="AG109" s="98"/>
      <c r="AH109" s="98"/>
    </row>
    <row r="110" spans="1:34" x14ac:dyDescent="0.25">
      <c r="A110" s="31"/>
      <c r="B110" s="32">
        <f>IF(A111&lt;=$G$69,$G$68,IF(A111&lt;=$G$70,$G$695,IF(A111&lt;=$G$71,$G$70,IF(A111&lt;=$G$72,$G$71))))</f>
        <v>0</v>
      </c>
      <c r="C110" s="32"/>
      <c r="D110" s="33">
        <f>IF(A111&lt;=$G$69,$H$68,IF(A111&lt;=$G$70,$H$69,IF(A111&lt;=$G$71,$H$70,IF(A111&lt;=$G$72,$H$71))))</f>
        <v>1E-3</v>
      </c>
      <c r="K110" s="31"/>
      <c r="L110" s="32">
        <f>IF(K111&lt;=$G$69,$G$68,IF(K111&lt;=$G$70,$G$695,IF(K111&lt;=$G$71,$G$70,IF(K111&lt;=$G$72,$G$71))))</f>
        <v>60</v>
      </c>
      <c r="M110" s="32"/>
      <c r="N110" s="33">
        <f>IF(K111&lt;=$G$69,$H$68,IF(K111&lt;=$G$70,$H$69,IF(K111&lt;=$G$71,$H$70,IF(K111&lt;=$G$72,$H$71))))</f>
        <v>1E-3</v>
      </c>
      <c r="U110" s="31"/>
      <c r="V110" s="32">
        <f>IF(U111&lt;=$G$69,$G$68,IF(U111&lt;=$G$70,$G$695,IF(U111&lt;=$G$71,$G$70,IF(U111&lt;=$G$72,$G$71,IF(U111&lt;=$G$73,$G$72)))))</f>
        <v>120</v>
      </c>
      <c r="W110" s="32"/>
      <c r="X110" s="33">
        <f>IF(U111&lt;=$G$69,$H$68,IF(U111&lt;=$G$70,$H$69,IF(U111&lt;=$G$71,$H$70,IF(U111&lt;=$G$72,$H$71,IF(U111&lt;=$G$73,$H$72)))))</f>
        <v>1E-3</v>
      </c>
      <c r="Z110" s="31"/>
      <c r="AA110" s="32">
        <f>IF(Z111&lt;=$G$69,$G$68,IF(Z111&lt;=$G$70,$G$695,IF(Z111&lt;=$G$71,$G$70,IF(Z111&lt;=$G$72,$G$71))))</f>
        <v>0</v>
      </c>
      <c r="AB110" s="32"/>
      <c r="AC110" s="33">
        <f>IF(Z111&lt;=$G$69,$H$68,IF(Z111&lt;=$G$70,$H$69,IF(Z111&lt;=$G$71,$H$70,IF(Z111&lt;=$G$72,$H$71))))</f>
        <v>0</v>
      </c>
      <c r="AE110" s="98"/>
      <c r="AF110" s="98"/>
      <c r="AG110" s="98"/>
      <c r="AH110" s="98"/>
    </row>
    <row r="111" spans="1:34" x14ac:dyDescent="0.25">
      <c r="A111" s="34">
        <f>ID!J46</f>
        <v>60</v>
      </c>
      <c r="B111" s="32"/>
      <c r="C111" s="35">
        <f>((A111-B110)/(B112-B110)*(D112-D110)+D110)</f>
        <v>1E-3</v>
      </c>
      <c r="D111" s="33"/>
      <c r="K111" s="34">
        <f>ID!J47</f>
        <v>120</v>
      </c>
      <c r="L111" s="32"/>
      <c r="M111" s="35">
        <f>((K111-L110)/(L112-L110)*(N112-N110)+N110)</f>
        <v>1E-3</v>
      </c>
      <c r="N111" s="33"/>
      <c r="U111" s="34">
        <f>ID!J48</f>
        <v>240</v>
      </c>
      <c r="V111" s="32"/>
      <c r="W111" s="35">
        <f>((U111-V110)/(V112-V110)*(X112-X110)+X110)</f>
        <v>1E-3</v>
      </c>
      <c r="X111" s="33"/>
      <c r="Z111" s="34">
        <f>ID!J45</f>
        <v>30</v>
      </c>
      <c r="AA111" s="32"/>
      <c r="AB111" s="35">
        <f>((Z111-AA110)/(AA112-AA110)*(AC112-AC110)+AC110)</f>
        <v>1E-3</v>
      </c>
      <c r="AC111" s="33"/>
      <c r="AE111" s="98"/>
      <c r="AF111" s="98"/>
      <c r="AG111" s="98"/>
      <c r="AH111" s="98"/>
    </row>
    <row r="112" spans="1:34" ht="13.8" thickBot="1" x14ac:dyDescent="0.3">
      <c r="A112" s="38"/>
      <c r="B112" s="39">
        <f>IF(A111&lt;=$G$68,$G$68,IF(A111&lt;=$G$69,$G$69,IF(A111&lt;=$G$70,$G$70,IF(A111&lt;=$G$71,$G$71,IF(A111&lt;=$G$72,$G$72)))))</f>
        <v>60</v>
      </c>
      <c r="C112" s="39"/>
      <c r="D112" s="40">
        <f>IF(A111&lt;=$G$68,$H$68,IF(A111&lt;=$G$69,$H$69,IF(A111&lt;=$G$70,$H$70,IF(A111&lt;=$G$71,$H$71,IF(A111&lt;=$G$72,$H$72)))))</f>
        <v>1E-3</v>
      </c>
      <c r="K112" s="38"/>
      <c r="L112" s="39">
        <f>IF(K111&lt;=$G$68,$G$68,IF(K111&lt;=$G$69,$G$69,IF(K111&lt;=$G$70,$G$70,IF(K111&lt;=$G$71,$G$71,IF(K111&lt;=$G$72,$G$72)))))</f>
        <v>120</v>
      </c>
      <c r="M112" s="39"/>
      <c r="N112" s="40">
        <f>IF(K111&lt;=$G$68,$H$68,IF(K111&lt;=$G$69,$H$69,IF(K111&lt;=$G$70,$H$70,IF(K111&lt;=$G$71,$H$71,IF(K111&lt;=$G$72,$H$72)))))</f>
        <v>1E-3</v>
      </c>
      <c r="U112" s="38"/>
      <c r="V112" s="39">
        <f>IF(U111&lt;=$G$68,$G$68,IF(U111&lt;=$G$69,$G$69,IF(U111&lt;=$G$70,$G$70,IF(U111&lt;=$G$71,$G$71,IF(U111&lt;=$G$72,$G$72,IF(U111&lt;=$G$73,$G$73))))))</f>
        <v>240</v>
      </c>
      <c r="W112" s="39"/>
      <c r="X112" s="40">
        <f>IF(U111&lt;=$G$68,$H$68,IF(U111&lt;=$G$69,$H$69,IF(U111&lt;=$G$70,$H$70,IF(U111&lt;=$G$71,$H$71,IF(U111&lt;=$G$72,$H$72,IF(U111&lt;=$G$73,$H$73))))))</f>
        <v>1E-3</v>
      </c>
      <c r="Z112" s="38"/>
      <c r="AA112" s="39">
        <f>IF(Z111&lt;=$G$68,$G$68,IF(Z111&lt;=$G$69,$G$69,IF(Z111&lt;=$G$70,$G$70,IF(Z111&lt;=$G$71,$G$71,IF(Z111&lt;=$G$72,$G$72)))))</f>
        <v>30</v>
      </c>
      <c r="AB112" s="39"/>
      <c r="AC112" s="40">
        <f>IF(Z111&lt;=$G$68,$H$68,IF(Z111&lt;=$G$69,$H$69,IF(Z111&lt;=$G$70,$H$70,IF(Z111&lt;=$G$71,$H$71,IF(Z111&lt;=$G$72,$H$72)))))</f>
        <v>1E-3</v>
      </c>
      <c r="AE112" s="98"/>
      <c r="AF112" s="98"/>
      <c r="AG112" s="98"/>
      <c r="AH112" s="98"/>
    </row>
    <row r="113" spans="1:34" x14ac:dyDescent="0.25">
      <c r="AE113" s="98"/>
      <c r="AF113" s="98"/>
      <c r="AG113" s="98"/>
      <c r="AH113" s="98"/>
    </row>
    <row r="114" spans="1:34" x14ac:dyDescent="0.25">
      <c r="AE114" s="98"/>
      <c r="AF114" s="98"/>
      <c r="AG114" s="98"/>
      <c r="AH114" s="98"/>
    </row>
    <row r="115" spans="1:34" ht="34.799999999999997" x14ac:dyDescent="0.25">
      <c r="A115" s="952" t="s">
        <v>246</v>
      </c>
      <c r="B115" s="952"/>
      <c r="C115" s="952"/>
      <c r="D115" s="952"/>
      <c r="E115" s="952"/>
      <c r="F115" s="952"/>
      <c r="G115" s="952"/>
      <c r="H115" s="952"/>
      <c r="I115" s="952"/>
      <c r="J115" s="952"/>
      <c r="K115" s="952"/>
      <c r="L115" s="952"/>
      <c r="M115" s="952"/>
      <c r="N115" s="952"/>
      <c r="O115" s="952"/>
      <c r="P115" s="952"/>
      <c r="Q115" s="952"/>
      <c r="R115" s="952"/>
      <c r="S115" s="952"/>
      <c r="T115" s="952"/>
      <c r="U115" s="952"/>
      <c r="V115" s="952"/>
      <c r="W115" s="952"/>
      <c r="X115" s="952"/>
      <c r="Y115" s="952"/>
      <c r="Z115" s="952"/>
      <c r="AA115" s="952"/>
      <c r="AB115" s="952"/>
      <c r="AC115" s="952"/>
      <c r="AD115" s="67"/>
      <c r="AE115" s="110"/>
      <c r="AF115" s="110"/>
      <c r="AG115" s="110"/>
      <c r="AH115" s="110"/>
    </row>
    <row r="116" spans="1:34" ht="21" customHeight="1" thickBot="1" x14ac:dyDescent="0.3">
      <c r="A116" s="940" t="s">
        <v>222</v>
      </c>
      <c r="B116" s="940"/>
      <c r="C116" s="940"/>
      <c r="D116" s="940"/>
      <c r="E116" s="53"/>
      <c r="F116" s="926" t="s">
        <v>238</v>
      </c>
      <c r="G116" s="926"/>
      <c r="H116" s="926"/>
      <c r="I116" s="926"/>
      <c r="J116" s="53"/>
      <c r="K116" s="940" t="s">
        <v>223</v>
      </c>
      <c r="L116" s="940"/>
      <c r="M116" s="940"/>
      <c r="N116" s="940"/>
      <c r="O116" s="67"/>
      <c r="P116" s="926" t="s">
        <v>239</v>
      </c>
      <c r="Q116" s="926"/>
      <c r="R116" s="926"/>
      <c r="S116" s="926"/>
      <c r="T116" s="67"/>
      <c r="U116" s="940" t="s">
        <v>224</v>
      </c>
      <c r="V116" s="940"/>
      <c r="W116" s="940"/>
      <c r="X116" s="940"/>
      <c r="Y116" s="67"/>
      <c r="Z116" s="940" t="s">
        <v>195</v>
      </c>
      <c r="AA116" s="940"/>
      <c r="AB116" s="940"/>
      <c r="AC116" s="940"/>
      <c r="AD116" s="67"/>
      <c r="AE116" s="926">
        <v>150</v>
      </c>
      <c r="AF116" s="926"/>
      <c r="AG116" s="926"/>
      <c r="AH116" s="926"/>
    </row>
    <row r="117" spans="1:34" ht="15.6" x14ac:dyDescent="0.3">
      <c r="A117" s="921" t="s">
        <v>240</v>
      </c>
      <c r="B117" s="922"/>
      <c r="C117" s="922"/>
      <c r="D117" s="923"/>
      <c r="F117" s="927" t="s">
        <v>240</v>
      </c>
      <c r="G117" s="928"/>
      <c r="H117" s="928"/>
      <c r="I117" s="929"/>
      <c r="J117" s="30"/>
      <c r="K117" s="921" t="s">
        <v>240</v>
      </c>
      <c r="L117" s="922"/>
      <c r="M117" s="922"/>
      <c r="N117" s="923"/>
      <c r="P117" s="927" t="s">
        <v>240</v>
      </c>
      <c r="Q117" s="928"/>
      <c r="R117" s="928"/>
      <c r="S117" s="929"/>
      <c r="U117" s="921" t="s">
        <v>240</v>
      </c>
      <c r="V117" s="922"/>
      <c r="W117" s="922"/>
      <c r="X117" s="923"/>
      <c r="Z117" s="921" t="s">
        <v>240</v>
      </c>
      <c r="AA117" s="922"/>
      <c r="AB117" s="922"/>
      <c r="AC117" s="923"/>
      <c r="AE117" s="927" t="s">
        <v>240</v>
      </c>
      <c r="AF117" s="928"/>
      <c r="AG117" s="928"/>
      <c r="AH117" s="929"/>
    </row>
    <row r="118" spans="1:34" x14ac:dyDescent="0.25">
      <c r="A118" s="31"/>
      <c r="B118" s="32">
        <f>IF(A119&lt;=$A$69,$A$68,IF(A119&lt;=$A$70,$G$695,IF(A119&lt;=$A$71,$A$70,IF(A119&lt;=$A$72,$A$71))))</f>
        <v>0</v>
      </c>
      <c r="C118" s="32"/>
      <c r="D118" s="33">
        <f>IF(A119&lt;=$A$69,$D$68,IF(A119&lt;=$A$70,$D$69,IF(A119&lt;=$A$71,$D$70,IF(A119&lt;=$A$72,$D$71))))</f>
        <v>0</v>
      </c>
      <c r="F118" s="99"/>
      <c r="G118" s="100" t="e">
        <f>IF(F119&lt;=$A$70,$A$68,IF(F119&lt;=#REF!,$A$70,IF(F119&lt;=$A$71,#REF!,IF(F119&lt;=#REF!,$A$71,IF(F119&lt;=#REF!,#REF!,IF(F119&lt;=#REF!,#REF!,IF(F119&lt;=$A$72,#REF!)))))))</f>
        <v>#REF!</v>
      </c>
      <c r="H118" s="100"/>
      <c r="I118" s="101" t="e">
        <f>IF(F119&lt;=$A$70,$D$68,IF(F119&lt;=#REF!,$D$70,IF(F119&lt;=$A$71,#REF!,IF(F119&lt;=#REF!,$D$71,IF(F119&lt;=#REF!,#REF!,IF(F119&lt;=#REF!,#REF!,IF(F119&lt;=$A$72,#REF!)))))))</f>
        <v>#REF!</v>
      </c>
      <c r="J118" s="17"/>
      <c r="K118" s="31"/>
      <c r="L118" s="32">
        <f>IF(K119&lt;=$A$69,$A$68,IF(K119&lt;=$A$70,$G$695,IF(K119&lt;=$A$71,$A$70,IF(K119&lt;=$A$72,$A$71))))</f>
        <v>60</v>
      </c>
      <c r="M118" s="32"/>
      <c r="N118" s="33">
        <f>IF(K119&lt;=$A$69,$D$68,IF(K119&lt;=$A$70,$D$69,IF(K119&lt;=$A$71,$D$70,IF(K119&lt;=$A$72,$D$71))))</f>
        <v>0</v>
      </c>
      <c r="P118" s="99"/>
      <c r="Q118" s="100" t="e">
        <f>IF(P119&lt;=$A$70,$A$68,IF(P119&lt;=#REF!,$A$70,IF(P119&lt;=$A$71,#REF!,IF(P119&lt;=#REF!,$A$71,IF(P119&lt;=#REF!,#REF!,IF(P119&lt;=#REF!,#REF!,IF(P119&lt;=$A$72,#REF!)))))))</f>
        <v>#REF!</v>
      </c>
      <c r="R118" s="100"/>
      <c r="S118" s="101" t="e">
        <f>IF(P119&lt;=$A$70,$D$68,IF(P119&lt;=#REF!,$D$70,IF(P119&lt;=$A$71,#REF!,IF(P119&lt;=#REF!,$D$71,IF(P119&lt;=#REF!,#REF!,IF(P119&lt;=#REF!,#REF!,IF(P119&lt;=$A$72,#REF!)))))))</f>
        <v>#REF!</v>
      </c>
      <c r="U118" s="31"/>
      <c r="V118" s="32">
        <f>IF(U119&lt;=$G$69,$G$68,IF(U119&lt;=$G$70,$G$695,IF(U119&lt;=$G$71,$G$70,IF(U119&lt;=$G$72,$G$71,IF(U119&lt;=$G$73,$G$72)))))</f>
        <v>120</v>
      </c>
      <c r="W118" s="32"/>
      <c r="X118" s="33">
        <f>IF(U119&lt;=$G$69,$H$68,IF(U119&lt;=$G$70,$H$69,IF(U119&lt;=$G$71,$H$70,IF(U119&lt;=$G$72,$H$71,IF(U119&lt;=$G$73,$H$72)))))</f>
        <v>1E-3</v>
      </c>
      <c r="Z118" s="31"/>
      <c r="AA118" s="32">
        <f>IF(Z119&lt;=$A$69,$A$68,IF(Z119&lt;=$A$70,$G$695,IF(Z119&lt;=$A$71,$A$70,IF(Z119&lt;=$A$72,$A$71))))</f>
        <v>0</v>
      </c>
      <c r="AB118" s="32"/>
      <c r="AC118" s="33">
        <f>IF(Z119&lt;=$A$69,$D$68,IF(Z119&lt;=$A$70,$D$69,IF(Z119&lt;=$A$71,$D$70,IF(Z119&lt;=$A$72,$D$71))))</f>
        <v>0</v>
      </c>
      <c r="AE118" s="99"/>
      <c r="AF118" s="100" t="e">
        <f>IF(AE119&lt;=$A$70,$A$68,IF(AE119&lt;=#REF!,$A$70,IF(AE119&lt;=$A$71,#REF!,IF(AE119&lt;=#REF!,$A$71,IF(AE119&lt;=#REF!,#REF!,IF(AE119&lt;=#REF!,#REF!,IF(AE119&lt;=$A$72,#REF!)))))))</f>
        <v>#REF!</v>
      </c>
      <c r="AG118" s="100"/>
      <c r="AH118" s="101" t="e">
        <f>IF(AE119&lt;=$A$70,$D$68,IF(AE119&lt;=#REF!,$D$70,IF(AE119&lt;=$A$71,#REF!,IF(AE119&lt;=#REF!,$D$71,IF(AE119&lt;=#REF!,#REF!,IF(AE119&lt;=#REF!,#REF!,IF(AE119&lt;=$A$72,#REF!)))))))</f>
        <v>#REF!</v>
      </c>
    </row>
    <row r="119" spans="1:34" x14ac:dyDescent="0.25">
      <c r="A119" s="34">
        <f>ID!K83</f>
        <v>60</v>
      </c>
      <c r="B119" s="32"/>
      <c r="C119" s="35">
        <f>((A119-B118)/(B120-B118)*(D120-D118)+D118)</f>
        <v>0</v>
      </c>
      <c r="D119" s="33"/>
      <c r="F119" s="102" t="e">
        <f>ID!#REF!</f>
        <v>#REF!</v>
      </c>
      <c r="G119" s="100"/>
      <c r="H119" s="103" t="e">
        <f>((F119-G118)/(G120-G118)*(I120-I118)+I118)</f>
        <v>#REF!</v>
      </c>
      <c r="I119" s="101"/>
      <c r="J119" s="17"/>
      <c r="K119" s="34">
        <f>ID!K84</f>
        <v>120</v>
      </c>
      <c r="L119" s="32"/>
      <c r="M119" s="35">
        <f>((K119-L118)/(L120-L118)*(N120-N118)+N118)</f>
        <v>0</v>
      </c>
      <c r="N119" s="33"/>
      <c r="P119" s="102" t="e">
        <f>ID!#REF!</f>
        <v>#REF!</v>
      </c>
      <c r="Q119" s="100"/>
      <c r="R119" s="103" t="e">
        <f>((P119-Q118)/(Q120-Q118)*(S120-S118)+S118)</f>
        <v>#REF!</v>
      </c>
      <c r="S119" s="101"/>
      <c r="U119" s="34">
        <f>ID!K85</f>
        <v>240</v>
      </c>
      <c r="V119" s="32"/>
      <c r="W119" s="35">
        <f>((U119-V118)/(V120-V118)*(X120-X118)+X118)</f>
        <v>1E-3</v>
      </c>
      <c r="X119" s="33"/>
      <c r="Z119" s="34">
        <f>ID!K82</f>
        <v>30</v>
      </c>
      <c r="AA119" s="32"/>
      <c r="AB119" s="35">
        <f>((Z119-AA118)/(AA120-AA118)*(AC120-AC118)+AC118)</f>
        <v>0</v>
      </c>
      <c r="AC119" s="33"/>
      <c r="AE119" s="102" t="e">
        <f>ID!#REF!</f>
        <v>#REF!</v>
      </c>
      <c r="AF119" s="100"/>
      <c r="AG119" s="103" t="e">
        <f>((AE119-AF118)/(AF120-AF118)*(AH120-AH118)+AH118)</f>
        <v>#REF!</v>
      </c>
      <c r="AH119" s="101"/>
    </row>
    <row r="120" spans="1:34" ht="13.8" thickBot="1" x14ac:dyDescent="0.3">
      <c r="A120" s="38"/>
      <c r="B120" s="39">
        <f>IF(A119&lt;=$A$68,$A$68,IF(A119&lt;=$A$69,$A$69,IF(A119&lt;=$A$70,$A$70,IF(A119&lt;=$A$71,$A$71,IF(A119&lt;=$A$72,$A$72)))))</f>
        <v>60</v>
      </c>
      <c r="C120" s="39"/>
      <c r="D120" s="40">
        <f>IF(A119&lt;=$A$68,$D$68,IF(A119&lt;=$A$69,$D$69,IF(A119&lt;=$A$70,$D$70,IF(A119&lt;=$A$71,$D$71,IF(A119&lt;=$A$72,$D$72)))))</f>
        <v>0</v>
      </c>
      <c r="F120" s="104"/>
      <c r="G120" s="105" t="e">
        <f>IF(F119&lt;=$A$70,$A$70,IF(F119&lt;=#REF!,#REF!,IF(F119&lt;=$A$71,$A$71,IF(F119&lt;=#REF!,#REF!,IF(F119&lt;=#REF!,#REF!,IF(F119&lt;=#REF!,#REF!,IF(F119&lt;=$A$72,$A$72)))))))</f>
        <v>#REF!</v>
      </c>
      <c r="H120" s="105"/>
      <c r="I120" s="106" t="e">
        <f>IF(F119&lt;=$A$70,$D$70,IF(F119&lt;=#REF!,#REF!,IF(F119&lt;=$A$71,$D$71,IF(F119&lt;=#REF!,#REF!,IF(F119&lt;=#REF!,#REF!,IF(F119&lt;=#REF!,#REF!,IF(F119&lt;=$A$72,$D$72)))))))</f>
        <v>#REF!</v>
      </c>
      <c r="J120" s="17"/>
      <c r="K120" s="38"/>
      <c r="L120" s="39">
        <f>IF(K119&lt;=$A$68,$A$68,IF(K119&lt;=$A$69,$A$69,IF(K119&lt;=$A$70,$A$70,IF(K119&lt;=$A$71,$A$71,IF(K119&lt;=$A$72,$A$72)))))</f>
        <v>120</v>
      </c>
      <c r="M120" s="39"/>
      <c r="N120" s="40">
        <f>IF(K119&lt;=$A$68,$D$68,IF(K119&lt;=$A$69,$D$69,IF(K119&lt;=$A$70,$D$70,IF(K119&lt;=$A$71,$D$71,IF(K119&lt;=$A$72,$D$72)))))</f>
        <v>0</v>
      </c>
      <c r="P120" s="104"/>
      <c r="Q120" s="105" t="e">
        <f>IF(P119&lt;=$A$70,$A$70,IF(P119&lt;=#REF!,#REF!,IF(P119&lt;=$A$71,$A$71,IF(P119&lt;=#REF!,#REF!,IF(P119&lt;=#REF!,#REF!,IF(P119&lt;=#REF!,#REF!,IF(P119&lt;=$A$72,$A$72)))))))</f>
        <v>#REF!</v>
      </c>
      <c r="R120" s="105"/>
      <c r="S120" s="106" t="e">
        <f>IF(P119&lt;=$A$70,$D$70,IF(P119&lt;=#REF!,#REF!,IF(P119&lt;=$A$71,$D$71,IF(P119&lt;=#REF!,#REF!,IF(P119&lt;=#REF!,#REF!,IF(P119&lt;=#REF!,#REF!,IF(P119&lt;=$A$72,$D$72)))))))</f>
        <v>#REF!</v>
      </c>
      <c r="U120" s="38"/>
      <c r="V120" s="39">
        <f>IF(U119&lt;=$G$68,$G$68,IF(U119&lt;=$G$69,$G$69,IF(U119&lt;=$G$70,$G$70,IF(U119&lt;=$G$71,$G$71,IF(U119&lt;=$G$72,$G$72,IF(U119&lt;=$G$73,$G$73))))))</f>
        <v>240</v>
      </c>
      <c r="W120" s="39"/>
      <c r="X120" s="40">
        <f>IF(U119&lt;=$G$68,$H$68,IF(U119&lt;=$G$69,$H$69,IF(U119&lt;=$G$70,$H$70,IF(U119&lt;=$G$71,$H$71,IF(U119&lt;=$G$72,$H$72,IF(U119&lt;=$G$73,$H$73))))))</f>
        <v>1E-3</v>
      </c>
      <c r="Z120" s="38"/>
      <c r="AA120" s="39">
        <f>IF(Z119&lt;=$A$68,$A$68,IF(Z119&lt;=$A$69,$A$69,IF(Z119&lt;=$A$70,$A$70,IF(Z119&lt;=$A$71,$A$71,IF(Z119&lt;=$A$72,$A$72)))))</f>
        <v>30</v>
      </c>
      <c r="AB120" s="39"/>
      <c r="AC120" s="40">
        <f>IF(Z119&lt;=$A$68,$D$68,IF(Z119&lt;=$A$69,$D$69,IF(Z119&lt;=$A$70,$D$70,IF(Z119&lt;=$A$71,$D$71,IF(Z119&lt;=$A$72,$D$72)))))</f>
        <v>0</v>
      </c>
      <c r="AE120" s="104"/>
      <c r="AF120" s="105" t="e">
        <f>IF(AE119&lt;=$A$70,$A$70,IF(AE119&lt;=#REF!,#REF!,IF(AE119&lt;=$A$71,$A$71,IF(AE119&lt;=#REF!,#REF!,IF(AE119&lt;=#REF!,#REF!,IF(AE119&lt;=#REF!,#REF!,IF(AE119&lt;=$A$72,$A$72)))))))</f>
        <v>#REF!</v>
      </c>
      <c r="AG120" s="105"/>
      <c r="AH120" s="106" t="e">
        <f>IF(AE119&lt;=$A$70,$D$70,IF(AE119&lt;=#REF!,#REF!,IF(AE119&lt;=$A$71,$D$71,IF(AE119&lt;=#REF!,#REF!,IF(AE119&lt;=#REF!,#REF!,IF(AE119&lt;=#REF!,#REF!,IF(AE119&lt;=$A$72,$D$72)))))))</f>
        <v>#REF!</v>
      </c>
    </row>
  </sheetData>
  <mergeCells count="110">
    <mergeCell ref="A13:F13"/>
    <mergeCell ref="G13:I13"/>
    <mergeCell ref="A10:F10"/>
    <mergeCell ref="G10:I10"/>
    <mergeCell ref="A11:F11"/>
    <mergeCell ref="G11:I11"/>
    <mergeCell ref="A12:F12"/>
    <mergeCell ref="G12:I12"/>
    <mergeCell ref="A9:I9"/>
    <mergeCell ref="A115:AC115"/>
    <mergeCell ref="A82:AC82"/>
    <mergeCell ref="Z83:AC83"/>
    <mergeCell ref="Z84:AC84"/>
    <mergeCell ref="Z89:AC89"/>
    <mergeCell ref="Z94:AC94"/>
    <mergeCell ref="Z99:AC99"/>
    <mergeCell ref="Z104:AC104"/>
    <mergeCell ref="Z116:AC116"/>
    <mergeCell ref="U116:X116"/>
    <mergeCell ref="U84:X84"/>
    <mergeCell ref="U89:X89"/>
    <mergeCell ref="U94:X94"/>
    <mergeCell ref="U99:X99"/>
    <mergeCell ref="U104:X104"/>
    <mergeCell ref="P84:S84"/>
    <mergeCell ref="P89:S89"/>
    <mergeCell ref="P94:S94"/>
    <mergeCell ref="P99:S99"/>
    <mergeCell ref="P104:S104"/>
    <mergeCell ref="K89:N89"/>
    <mergeCell ref="P116:S116"/>
    <mergeCell ref="A109:D109"/>
    <mergeCell ref="K109:N109"/>
    <mergeCell ref="U109:X109"/>
    <mergeCell ref="A64:O64"/>
    <mergeCell ref="B66:D66"/>
    <mergeCell ref="G66:H66"/>
    <mergeCell ref="G59:J59"/>
    <mergeCell ref="N75:N76"/>
    <mergeCell ref="B53:E53"/>
    <mergeCell ref="U83:X83"/>
    <mergeCell ref="P83:S83"/>
    <mergeCell ref="K104:N104"/>
    <mergeCell ref="K83:N83"/>
    <mergeCell ref="K84:N84"/>
    <mergeCell ref="F89:I89"/>
    <mergeCell ref="F94:I94"/>
    <mergeCell ref="F99:I99"/>
    <mergeCell ref="F104:I104"/>
    <mergeCell ref="A94:D94"/>
    <mergeCell ref="A99:D99"/>
    <mergeCell ref="A84:D84"/>
    <mergeCell ref="A89:D89"/>
    <mergeCell ref="A116:D116"/>
    <mergeCell ref="F116:I116"/>
    <mergeCell ref="K116:N116"/>
    <mergeCell ref="AE116:AH116"/>
    <mergeCell ref="AE117:AH117"/>
    <mergeCell ref="A117:D117"/>
    <mergeCell ref="F117:I117"/>
    <mergeCell ref="K117:N117"/>
    <mergeCell ref="P117:S117"/>
    <mergeCell ref="Z117:AC117"/>
    <mergeCell ref="U117:X117"/>
    <mergeCell ref="A21:I21"/>
    <mergeCell ref="A22:F22"/>
    <mergeCell ref="G22:I22"/>
    <mergeCell ref="A23:F23"/>
    <mergeCell ref="G23:I23"/>
    <mergeCell ref="K94:N94"/>
    <mergeCell ref="K99:N99"/>
    <mergeCell ref="A83:D83"/>
    <mergeCell ref="A104:D104"/>
    <mergeCell ref="F83:I83"/>
    <mergeCell ref="F84:I84"/>
    <mergeCell ref="G38:I38"/>
    <mergeCell ref="A38:F38"/>
    <mergeCell ref="A24:F24"/>
    <mergeCell ref="G24:I24"/>
    <mergeCell ref="A25:F25"/>
    <mergeCell ref="G25:I25"/>
    <mergeCell ref="A35:F35"/>
    <mergeCell ref="A49:F49"/>
    <mergeCell ref="G49:I49"/>
    <mergeCell ref="A50:F50"/>
    <mergeCell ref="G50:I50"/>
    <mergeCell ref="Z109:AC109"/>
    <mergeCell ref="H75:M75"/>
    <mergeCell ref="A1:L1"/>
    <mergeCell ref="AE83:AH83"/>
    <mergeCell ref="AE84:AH84"/>
    <mergeCell ref="AE89:AH89"/>
    <mergeCell ref="AE94:AH94"/>
    <mergeCell ref="AE99:AH99"/>
    <mergeCell ref="AE104:AH104"/>
    <mergeCell ref="A34:I34"/>
    <mergeCell ref="G37:I37"/>
    <mergeCell ref="A37:F37"/>
    <mergeCell ref="G36:I36"/>
    <mergeCell ref="A36:F36"/>
    <mergeCell ref="G35:I35"/>
    <mergeCell ref="A46:I46"/>
    <mergeCell ref="A47:F47"/>
    <mergeCell ref="G47:I47"/>
    <mergeCell ref="A48:F48"/>
    <mergeCell ref="G48:I48"/>
    <mergeCell ref="A75:A76"/>
    <mergeCell ref="B75:B76"/>
    <mergeCell ref="G55:J55"/>
    <mergeCell ref="A66:A67"/>
  </mergeCells>
  <pageMargins left="0.7" right="0.7" top="0.75" bottom="0.75" header="0.3" footer="0.3"/>
  <pageSetup paperSize="9" scale="79" orientation="portrait" horizontalDpi="4294967293" verticalDpi="200" r:id="rId1"/>
  <headerFooter>
    <oddHeader>&amp;R&amp;"Times New Roman,Regular"&amp;9OA.UB - 041-18 / REV : 0</oddHeader>
  </headerFooter>
  <rowBreaks count="3" manualBreakCount="3">
    <brk id="27" max="11" man="1"/>
    <brk id="51" max="33" man="1"/>
    <brk id="114" max="3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56"/>
  <sheetViews>
    <sheetView view="pageBreakPreview" topLeftCell="A49" zoomScale="112" zoomScaleNormal="100" zoomScaleSheetLayoutView="112" workbookViewId="0">
      <selection activeCell="B55" sqref="B55"/>
    </sheetView>
  </sheetViews>
  <sheetFormatPr defaultRowHeight="13.2" x14ac:dyDescent="0.25"/>
  <cols>
    <col min="1" max="1" width="15.6640625" customWidth="1"/>
    <col min="3" max="3" width="6.5546875" customWidth="1"/>
    <col min="4" max="4" width="8.109375" customWidth="1"/>
    <col min="5" max="5" width="7.44140625" customWidth="1"/>
    <col min="6" max="6" width="6.88671875" customWidth="1"/>
    <col min="7" max="7" width="7.109375" customWidth="1"/>
    <col min="8" max="8" width="7" customWidth="1"/>
    <col min="9" max="9" width="6.5546875" customWidth="1"/>
    <col min="10" max="10" width="10.5546875" customWidth="1"/>
    <col min="11" max="11" width="13.44140625" customWidth="1"/>
    <col min="12" max="12" width="5.6640625" customWidth="1"/>
    <col min="13" max="13" width="5.109375" customWidth="1"/>
    <col min="14" max="14" width="6.5546875" customWidth="1"/>
    <col min="15" max="15" width="7" customWidth="1"/>
    <col min="16" max="16" width="7.6640625" customWidth="1"/>
    <col min="17" max="17" width="8.109375" customWidth="1"/>
    <col min="18" max="18" width="7" customWidth="1"/>
    <col min="19" max="19" width="7.5546875" customWidth="1"/>
    <col min="21" max="21" width="8" customWidth="1"/>
    <col min="22" max="23" width="7.33203125" customWidth="1"/>
    <col min="24" max="24" width="6.109375" customWidth="1"/>
    <col min="26" max="26" width="6.5546875" customWidth="1"/>
    <col min="27" max="27" width="6.88671875" customWidth="1"/>
    <col min="28" max="28" width="7.33203125" customWidth="1"/>
    <col min="29" max="29" width="7" customWidth="1"/>
    <col min="31" max="31" width="7" customWidth="1"/>
    <col min="32" max="32" width="6.44140625" customWidth="1"/>
    <col min="33" max="33" width="7" customWidth="1"/>
    <col min="34" max="34" width="7.44140625" customWidth="1"/>
  </cols>
  <sheetData>
    <row r="1" spans="1:13" ht="17.399999999999999" x14ac:dyDescent="0.3">
      <c r="A1" s="925" t="s">
        <v>194</v>
      </c>
      <c r="B1" s="925"/>
      <c r="C1" s="925"/>
      <c r="D1" s="925"/>
      <c r="E1" s="925"/>
      <c r="F1" s="925"/>
      <c r="G1" s="925"/>
      <c r="H1" s="925"/>
      <c r="I1" s="925"/>
      <c r="J1" s="925"/>
      <c r="K1" s="925"/>
      <c r="L1" s="925"/>
      <c r="M1" s="5"/>
    </row>
    <row r="2" spans="1:13" ht="17.399999999999999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5"/>
      <c r="M2" s="5"/>
    </row>
    <row r="3" spans="1:13" ht="17.399999999999999" x14ac:dyDescent="0.3">
      <c r="A3" s="111" t="s">
        <v>247</v>
      </c>
      <c r="B3" s="87"/>
      <c r="C3" s="3"/>
      <c r="D3" s="3"/>
      <c r="E3" s="3"/>
      <c r="F3" s="3"/>
      <c r="G3" s="3"/>
      <c r="H3" s="3"/>
      <c r="I3" s="3"/>
      <c r="J3" s="3"/>
      <c r="K3" s="3"/>
      <c r="L3" s="5"/>
      <c r="M3" s="5"/>
    </row>
    <row r="4" spans="1:13" ht="17.399999999999999" x14ac:dyDescent="0.3">
      <c r="A4" s="8" t="s">
        <v>196</v>
      </c>
      <c r="B4" s="8" t="s">
        <v>197</v>
      </c>
      <c r="C4" s="8" t="s">
        <v>198</v>
      </c>
      <c r="D4" s="8" t="s">
        <v>199</v>
      </c>
      <c r="E4" s="8" t="s">
        <v>200</v>
      </c>
      <c r="F4" s="8" t="s">
        <v>201</v>
      </c>
      <c r="G4" s="8" t="s">
        <v>202</v>
      </c>
      <c r="H4" s="8" t="s">
        <v>203</v>
      </c>
      <c r="I4" s="8" t="s">
        <v>204</v>
      </c>
      <c r="J4" s="8" t="s">
        <v>205</v>
      </c>
      <c r="K4" s="8" t="s">
        <v>206</v>
      </c>
      <c r="L4" s="5"/>
      <c r="M4" s="5"/>
    </row>
    <row r="5" spans="1:13" ht="17.399999999999999" x14ac:dyDescent="0.3">
      <c r="A5" s="6" t="s">
        <v>207</v>
      </c>
      <c r="B5" s="20">
        <f>ID!N89</f>
        <v>0</v>
      </c>
      <c r="C5" s="25" t="s">
        <v>248</v>
      </c>
      <c r="D5" s="6" t="s">
        <v>209</v>
      </c>
      <c r="E5" s="46">
        <f>SQRT(6)</f>
        <v>2.4494897427831779</v>
      </c>
      <c r="F5" s="46">
        <f>B5/E5</f>
        <v>0</v>
      </c>
      <c r="G5" s="24">
        <f>6-1</f>
        <v>5</v>
      </c>
      <c r="H5" s="24">
        <v>1</v>
      </c>
      <c r="I5" s="46">
        <f>F5*H5</f>
        <v>0</v>
      </c>
      <c r="J5" s="46">
        <f>I5^2</f>
        <v>0</v>
      </c>
      <c r="K5" s="46">
        <f>(J5^2)/G5</f>
        <v>0</v>
      </c>
      <c r="L5" s="5"/>
      <c r="M5" s="5"/>
    </row>
    <row r="6" spans="1:13" ht="17.399999999999999" x14ac:dyDescent="0.3">
      <c r="A6" s="6" t="s">
        <v>210</v>
      </c>
      <c r="B6" s="19">
        <f>M121</f>
        <v>0</v>
      </c>
      <c r="C6" s="25" t="s">
        <v>248</v>
      </c>
      <c r="D6" s="6" t="s">
        <v>211</v>
      </c>
      <c r="E6" s="46">
        <f>SQRT(3)</f>
        <v>1.7320508075688772</v>
      </c>
      <c r="F6" s="46">
        <f>B6/E6</f>
        <v>0</v>
      </c>
      <c r="G6" s="24">
        <v>50</v>
      </c>
      <c r="H6" s="24">
        <v>1</v>
      </c>
      <c r="I6" s="46">
        <f>F6*H6</f>
        <v>0</v>
      </c>
      <c r="J6" s="46">
        <f>I6^2</f>
        <v>0</v>
      </c>
      <c r="K6" s="46">
        <f>(J6^2)/G6</f>
        <v>0</v>
      </c>
      <c r="L6" s="5"/>
      <c r="M6" s="5"/>
    </row>
    <row r="7" spans="1:13" ht="17.399999999999999" x14ac:dyDescent="0.3">
      <c r="A7" s="6" t="s">
        <v>6</v>
      </c>
      <c r="B7" s="4">
        <f>1*0.5</f>
        <v>0.5</v>
      </c>
      <c r="C7" s="25" t="s">
        <v>248</v>
      </c>
      <c r="D7" s="6" t="s">
        <v>211</v>
      </c>
      <c r="E7" s="46">
        <f>SQRT(3)</f>
        <v>1.7320508075688772</v>
      </c>
      <c r="F7" s="46">
        <f>B7/E7</f>
        <v>0.28867513459481292</v>
      </c>
      <c r="G7" s="24">
        <v>50</v>
      </c>
      <c r="H7" s="24">
        <v>1</v>
      </c>
      <c r="I7" s="46">
        <f>F7*H7</f>
        <v>0.28867513459481292</v>
      </c>
      <c r="J7" s="46">
        <f>I7^2</f>
        <v>8.3333333333333356E-2</v>
      </c>
      <c r="K7" s="46">
        <f>(J7^2)/G7</f>
        <v>1.3888888888888897E-4</v>
      </c>
      <c r="L7" s="5"/>
      <c r="M7" s="5"/>
    </row>
    <row r="8" spans="1:13" ht="17.399999999999999" x14ac:dyDescent="0.3">
      <c r="A8" s="6" t="s">
        <v>212</v>
      </c>
      <c r="B8" s="19">
        <f>B121</f>
        <v>1E-4</v>
      </c>
      <c r="C8" s="25" t="s">
        <v>248</v>
      </c>
      <c r="D8" s="6" t="s">
        <v>209</v>
      </c>
      <c r="E8" s="46">
        <v>2</v>
      </c>
      <c r="F8" s="46">
        <f>B8/E8</f>
        <v>5.0000000000000002E-5</v>
      </c>
      <c r="G8" s="24">
        <v>50</v>
      </c>
      <c r="H8" s="24">
        <v>1</v>
      </c>
      <c r="I8" s="46">
        <f>F8*H8</f>
        <v>5.0000000000000002E-5</v>
      </c>
      <c r="J8" s="46">
        <f>I8^2</f>
        <v>2.5000000000000001E-9</v>
      </c>
      <c r="K8" s="46">
        <f>(J8^2)/G8</f>
        <v>1.2500000000000001E-19</v>
      </c>
      <c r="L8" s="5"/>
      <c r="M8" s="5"/>
    </row>
    <row r="9" spans="1:13" ht="17.399999999999999" x14ac:dyDescent="0.3">
      <c r="A9" s="930" t="s">
        <v>213</v>
      </c>
      <c r="B9" s="930"/>
      <c r="C9" s="930"/>
      <c r="D9" s="930"/>
      <c r="E9" s="930"/>
      <c r="F9" s="930"/>
      <c r="G9" s="930"/>
      <c r="H9" s="930"/>
      <c r="I9" s="930"/>
      <c r="J9" s="46">
        <f>SUM(J5:J8)</f>
        <v>8.3333335833333355E-2</v>
      </c>
      <c r="K9" s="46">
        <f>SUM(K5:K8)</f>
        <v>1.3888888888888911E-4</v>
      </c>
      <c r="L9" s="5"/>
      <c r="M9" s="5"/>
    </row>
    <row r="10" spans="1:13" ht="18" x14ac:dyDescent="0.35">
      <c r="A10" s="930" t="s">
        <v>214</v>
      </c>
      <c r="B10" s="930"/>
      <c r="C10" s="930"/>
      <c r="D10" s="930"/>
      <c r="E10" s="930"/>
      <c r="F10" s="930"/>
      <c r="G10" s="933" t="s">
        <v>215</v>
      </c>
      <c r="H10" s="933"/>
      <c r="I10" s="933"/>
      <c r="J10" s="46">
        <f>SQRT(J9)</f>
        <v>0.2886751389249399</v>
      </c>
      <c r="K10" s="46"/>
      <c r="L10" s="5"/>
      <c r="M10" s="5"/>
    </row>
    <row r="11" spans="1:13" ht="18" x14ac:dyDescent="0.35">
      <c r="A11" s="930" t="s">
        <v>216</v>
      </c>
      <c r="B11" s="930"/>
      <c r="C11" s="930"/>
      <c r="D11" s="930"/>
      <c r="E11" s="930"/>
      <c r="F11" s="930"/>
      <c r="G11" s="932" t="s">
        <v>217</v>
      </c>
      <c r="H11" s="932"/>
      <c r="I11" s="932"/>
      <c r="J11" s="46">
        <f>J10^4/(K9)</f>
        <v>50.000002999999992</v>
      </c>
      <c r="K11" s="46"/>
      <c r="L11" s="5"/>
      <c r="M11" s="5"/>
    </row>
    <row r="12" spans="1:13" ht="17.399999999999999" x14ac:dyDescent="0.3">
      <c r="A12" s="930" t="s">
        <v>218</v>
      </c>
      <c r="B12" s="930"/>
      <c r="C12" s="930"/>
      <c r="D12" s="930"/>
      <c r="E12" s="930"/>
      <c r="F12" s="930"/>
      <c r="G12" s="931" t="s">
        <v>219</v>
      </c>
      <c r="H12" s="931"/>
      <c r="I12" s="931"/>
      <c r="J12" s="46">
        <f>1.95996+(2.37356/J11)+(2.818745/J11^2)+(2.546662/J11^3)+(1.761829/J11^4)+(0.245458/J11^5)+(1.000764/J11^6)</f>
        <v>2.0085793510508481</v>
      </c>
      <c r="K12" s="46"/>
      <c r="L12" s="5"/>
      <c r="M12" s="5"/>
    </row>
    <row r="13" spans="1:13" ht="17.399999999999999" x14ac:dyDescent="0.3">
      <c r="A13" s="930" t="s">
        <v>220</v>
      </c>
      <c r="B13" s="930"/>
      <c r="C13" s="930"/>
      <c r="D13" s="930"/>
      <c r="E13" s="930"/>
      <c r="F13" s="930"/>
      <c r="G13" s="931" t="s">
        <v>221</v>
      </c>
      <c r="H13" s="931"/>
      <c r="I13" s="931"/>
      <c r="J13" s="46">
        <f>J12*J10</f>
        <v>0.57982692320636919</v>
      </c>
      <c r="K13" s="47" t="s">
        <v>248</v>
      </c>
      <c r="L13" s="5"/>
      <c r="M13" s="5"/>
    </row>
    <row r="14" spans="1:13" ht="17.399999999999999" x14ac:dyDescent="0.3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5"/>
      <c r="M14" s="5"/>
    </row>
    <row r="15" spans="1:13" ht="17.399999999999999" x14ac:dyDescent="0.3">
      <c r="A15" s="88" t="s">
        <v>249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5"/>
      <c r="M15" s="5"/>
    </row>
    <row r="16" spans="1:13" ht="17.399999999999999" x14ac:dyDescent="0.3">
      <c r="A16" s="8" t="s">
        <v>196</v>
      </c>
      <c r="B16" s="8" t="s">
        <v>197</v>
      </c>
      <c r="C16" s="8" t="s">
        <v>198</v>
      </c>
      <c r="D16" s="8" t="s">
        <v>199</v>
      </c>
      <c r="E16" s="8" t="s">
        <v>200</v>
      </c>
      <c r="F16" s="8" t="s">
        <v>201</v>
      </c>
      <c r="G16" s="8" t="s">
        <v>202</v>
      </c>
      <c r="H16" s="8" t="s">
        <v>203</v>
      </c>
      <c r="I16" s="8" t="s">
        <v>204</v>
      </c>
      <c r="J16" s="8" t="s">
        <v>205</v>
      </c>
      <c r="K16" s="8" t="s">
        <v>206</v>
      </c>
      <c r="L16" s="5"/>
      <c r="M16" s="5"/>
    </row>
    <row r="17" spans="1:23" ht="17.399999999999999" x14ac:dyDescent="0.3">
      <c r="A17" s="6" t="s">
        <v>207</v>
      </c>
      <c r="B17" s="20">
        <f>ID!N90</f>
        <v>0</v>
      </c>
      <c r="C17" s="25" t="s">
        <v>248</v>
      </c>
      <c r="D17" s="6" t="s">
        <v>209</v>
      </c>
      <c r="E17" s="46">
        <f>SQRT(6)</f>
        <v>2.4494897427831779</v>
      </c>
      <c r="F17" s="46">
        <f>B17/E17</f>
        <v>0</v>
      </c>
      <c r="G17" s="24">
        <f>6-1</f>
        <v>5</v>
      </c>
      <c r="H17" s="24">
        <v>1</v>
      </c>
      <c r="I17" s="46">
        <f>F17*H17</f>
        <v>0</v>
      </c>
      <c r="J17" s="46">
        <f>I17^2</f>
        <v>0</v>
      </c>
      <c r="K17" s="46">
        <f>(J17^2)/G17</f>
        <v>0</v>
      </c>
      <c r="L17" s="5"/>
      <c r="M17" s="5"/>
    </row>
    <row r="18" spans="1:23" ht="17.399999999999999" x14ac:dyDescent="0.3">
      <c r="A18" s="6" t="s">
        <v>210</v>
      </c>
      <c r="B18" s="19">
        <f>M120</f>
        <v>0</v>
      </c>
      <c r="C18" s="25" t="s">
        <v>248</v>
      </c>
      <c r="D18" s="6" t="s">
        <v>211</v>
      </c>
      <c r="E18" s="46">
        <f>SQRT(3)</f>
        <v>1.7320508075688772</v>
      </c>
      <c r="F18" s="46">
        <f>B18/E18</f>
        <v>0</v>
      </c>
      <c r="G18" s="24">
        <v>50</v>
      </c>
      <c r="H18" s="24">
        <v>1</v>
      </c>
      <c r="I18" s="46">
        <f>F18*H18</f>
        <v>0</v>
      </c>
      <c r="J18" s="46">
        <f>I18^2</f>
        <v>0</v>
      </c>
      <c r="K18" s="46">
        <f>(J18^2)/G18</f>
        <v>0</v>
      </c>
      <c r="L18" s="5"/>
      <c r="M18" s="5"/>
    </row>
    <row r="19" spans="1:23" ht="17.399999999999999" x14ac:dyDescent="0.3">
      <c r="A19" s="6" t="s">
        <v>6</v>
      </c>
      <c r="B19" s="4">
        <f>1*0.5</f>
        <v>0.5</v>
      </c>
      <c r="C19" s="25" t="s">
        <v>248</v>
      </c>
      <c r="D19" s="6" t="s">
        <v>211</v>
      </c>
      <c r="E19" s="46">
        <f>SQRT(3)</f>
        <v>1.7320508075688772</v>
      </c>
      <c r="F19" s="46">
        <f>B19/E19</f>
        <v>0.28867513459481292</v>
      </c>
      <c r="G19" s="24">
        <v>50</v>
      </c>
      <c r="H19" s="24">
        <v>1</v>
      </c>
      <c r="I19" s="46">
        <f>F19*H19</f>
        <v>0.28867513459481292</v>
      </c>
      <c r="J19" s="46">
        <f>I19^2</f>
        <v>8.3333333333333356E-2</v>
      </c>
      <c r="K19" s="46">
        <f>(J19^2)/G19</f>
        <v>1.3888888888888897E-4</v>
      </c>
      <c r="L19" s="5"/>
      <c r="M19" s="5"/>
    </row>
    <row r="20" spans="1:23" ht="17.399999999999999" x14ac:dyDescent="0.3">
      <c r="A20" s="6" t="s">
        <v>212</v>
      </c>
      <c r="B20" s="19">
        <f>B120</f>
        <v>1E-4</v>
      </c>
      <c r="C20" s="25" t="s">
        <v>248</v>
      </c>
      <c r="D20" s="6" t="s">
        <v>209</v>
      </c>
      <c r="E20" s="46">
        <v>2</v>
      </c>
      <c r="F20" s="46">
        <f>B20/E20</f>
        <v>5.0000000000000002E-5</v>
      </c>
      <c r="G20" s="24">
        <v>50</v>
      </c>
      <c r="H20" s="24">
        <v>1</v>
      </c>
      <c r="I20" s="46">
        <f>F20*H20</f>
        <v>5.0000000000000002E-5</v>
      </c>
      <c r="J20" s="46">
        <f>I20^2</f>
        <v>2.5000000000000001E-9</v>
      </c>
      <c r="K20" s="46">
        <f>(J20^2)/G20</f>
        <v>1.2500000000000001E-19</v>
      </c>
      <c r="L20" s="5"/>
      <c r="M20" s="5"/>
    </row>
    <row r="21" spans="1:23" ht="17.399999999999999" x14ac:dyDescent="0.3">
      <c r="A21" s="930" t="s">
        <v>213</v>
      </c>
      <c r="B21" s="930"/>
      <c r="C21" s="930"/>
      <c r="D21" s="930"/>
      <c r="E21" s="930"/>
      <c r="F21" s="930"/>
      <c r="G21" s="930"/>
      <c r="H21" s="930"/>
      <c r="I21" s="930"/>
      <c r="J21" s="46">
        <f>SUM(J17:J20)</f>
        <v>8.3333335833333355E-2</v>
      </c>
      <c r="K21" s="46">
        <f>SUM(K17:K20)</f>
        <v>1.3888888888888911E-4</v>
      </c>
      <c r="L21" s="5"/>
      <c r="M21" s="5"/>
    </row>
    <row r="22" spans="1:23" ht="18" x14ac:dyDescent="0.35">
      <c r="A22" s="930" t="s">
        <v>214</v>
      </c>
      <c r="B22" s="930"/>
      <c r="C22" s="930"/>
      <c r="D22" s="930"/>
      <c r="E22" s="930"/>
      <c r="F22" s="930"/>
      <c r="G22" s="933" t="s">
        <v>215</v>
      </c>
      <c r="H22" s="933"/>
      <c r="I22" s="933"/>
      <c r="J22" s="46">
        <f>SQRT(J21)</f>
        <v>0.2886751389249399</v>
      </c>
      <c r="K22" s="46"/>
      <c r="L22" s="5"/>
      <c r="M22" s="5"/>
    </row>
    <row r="23" spans="1:23" ht="18" x14ac:dyDescent="0.35">
      <c r="A23" s="930" t="s">
        <v>216</v>
      </c>
      <c r="B23" s="930"/>
      <c r="C23" s="930"/>
      <c r="D23" s="930"/>
      <c r="E23" s="930"/>
      <c r="F23" s="930"/>
      <c r="G23" s="932" t="s">
        <v>217</v>
      </c>
      <c r="H23" s="932"/>
      <c r="I23" s="932"/>
      <c r="J23" s="46">
        <f>J22^4/(K21)</f>
        <v>50.000002999999992</v>
      </c>
      <c r="K23" s="46"/>
      <c r="L23" s="5"/>
      <c r="M23" s="5"/>
    </row>
    <row r="24" spans="1:23" ht="17.399999999999999" x14ac:dyDescent="0.3">
      <c r="A24" s="930" t="s">
        <v>218</v>
      </c>
      <c r="B24" s="930"/>
      <c r="C24" s="930"/>
      <c r="D24" s="930"/>
      <c r="E24" s="930"/>
      <c r="F24" s="930"/>
      <c r="G24" s="931" t="s">
        <v>219</v>
      </c>
      <c r="H24" s="931"/>
      <c r="I24" s="931"/>
      <c r="J24" s="46">
        <f>1.95996+(2.37356/J23)+(2.818745/J23^2)+(2.546662/J23^3)+(1.761829/J23^4)+(0.245458/J23^5)+(1.000764/J23^6)</f>
        <v>2.0085793510508481</v>
      </c>
      <c r="K24" s="46"/>
      <c r="L24" s="5"/>
      <c r="M24" s="5"/>
    </row>
    <row r="25" spans="1:23" ht="17.399999999999999" x14ac:dyDescent="0.3">
      <c r="A25" s="930" t="s">
        <v>220</v>
      </c>
      <c r="B25" s="930"/>
      <c r="C25" s="930"/>
      <c r="D25" s="930"/>
      <c r="E25" s="930"/>
      <c r="F25" s="930"/>
      <c r="G25" s="931" t="s">
        <v>221</v>
      </c>
      <c r="H25" s="931"/>
      <c r="I25" s="931"/>
      <c r="J25" s="46">
        <f>J24*J22</f>
        <v>0.57982692320636919</v>
      </c>
      <c r="K25" s="47" t="s">
        <v>248</v>
      </c>
      <c r="L25" s="5"/>
      <c r="M25" s="5"/>
    </row>
    <row r="26" spans="1:23" ht="17.399999999999999" x14ac:dyDescent="0.3">
      <c r="A26" s="27"/>
      <c r="B26" s="27"/>
      <c r="C26" s="27"/>
      <c r="D26" s="27"/>
      <c r="E26" s="27"/>
      <c r="F26" s="27"/>
      <c r="G26" s="28"/>
      <c r="H26" s="28"/>
      <c r="I26" s="28"/>
      <c r="J26" s="49"/>
      <c r="K26" s="50"/>
      <c r="L26" s="5"/>
      <c r="M26" s="5"/>
    </row>
    <row r="27" spans="1:23" x14ac:dyDescent="0.25">
      <c r="A27" s="88" t="s">
        <v>250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23" ht="21" customHeight="1" x14ac:dyDescent="0.25">
      <c r="A28" s="8" t="s">
        <v>196</v>
      </c>
      <c r="B28" s="8" t="s">
        <v>197</v>
      </c>
      <c r="C28" s="8" t="s">
        <v>198</v>
      </c>
      <c r="D28" s="8" t="s">
        <v>199</v>
      </c>
      <c r="E28" s="8" t="s">
        <v>200</v>
      </c>
      <c r="F28" s="8" t="s">
        <v>201</v>
      </c>
      <c r="G28" s="8" t="s">
        <v>202</v>
      </c>
      <c r="H28" s="8" t="s">
        <v>203</v>
      </c>
      <c r="I28" s="8" t="s">
        <v>204</v>
      </c>
      <c r="J28" s="8" t="s">
        <v>205</v>
      </c>
      <c r="K28" s="8" t="s">
        <v>206</v>
      </c>
    </row>
    <row r="29" spans="1:23" ht="21" customHeight="1" x14ac:dyDescent="0.3">
      <c r="A29" s="6" t="s">
        <v>207</v>
      </c>
      <c r="B29" s="20">
        <f>ID!N91</f>
        <v>0</v>
      </c>
      <c r="C29" s="25" t="s">
        <v>248</v>
      </c>
      <c r="D29" s="6" t="s">
        <v>209</v>
      </c>
      <c r="E29" s="46">
        <f>SQRT(6)</f>
        <v>2.4494897427831779</v>
      </c>
      <c r="F29" s="46">
        <f>B29/E29</f>
        <v>0</v>
      </c>
      <c r="G29" s="72">
        <f>6-1</f>
        <v>5</v>
      </c>
      <c r="H29" s="72">
        <v>1</v>
      </c>
      <c r="I29" s="46">
        <f>F29*H29</f>
        <v>0</v>
      </c>
      <c r="J29" s="46">
        <f>I29^2</f>
        <v>0</v>
      </c>
      <c r="K29" s="46">
        <f>(J29^2)/G29</f>
        <v>0</v>
      </c>
      <c r="T29" s="956"/>
      <c r="U29" s="956"/>
      <c r="V29" s="956"/>
      <c r="W29" s="956"/>
    </row>
    <row r="30" spans="1:23" ht="21" customHeight="1" x14ac:dyDescent="0.25">
      <c r="A30" s="6" t="s">
        <v>210</v>
      </c>
      <c r="B30" s="19">
        <f>M119</f>
        <v>0</v>
      </c>
      <c r="C30" s="25" t="s">
        <v>248</v>
      </c>
      <c r="D30" s="6" t="s">
        <v>211</v>
      </c>
      <c r="E30" s="46">
        <f>SQRT(3)</f>
        <v>1.7320508075688772</v>
      </c>
      <c r="F30" s="46">
        <f>B30/E30</f>
        <v>0</v>
      </c>
      <c r="G30" s="72">
        <v>50</v>
      </c>
      <c r="H30" s="72">
        <v>1</v>
      </c>
      <c r="I30" s="46">
        <f>F30*H30</f>
        <v>0</v>
      </c>
      <c r="J30" s="46">
        <f>I30^2</f>
        <v>0</v>
      </c>
      <c r="K30" s="46">
        <f>(J30^2)/G30</f>
        <v>0</v>
      </c>
      <c r="W30" s="17"/>
    </row>
    <row r="31" spans="1:23" ht="21" customHeight="1" x14ac:dyDescent="0.25">
      <c r="A31" s="6" t="s">
        <v>6</v>
      </c>
      <c r="B31" s="20">
        <f>1*0.5</f>
        <v>0.5</v>
      </c>
      <c r="C31" s="25" t="s">
        <v>248</v>
      </c>
      <c r="D31" s="6" t="s">
        <v>211</v>
      </c>
      <c r="E31" s="46">
        <f>SQRT(3)</f>
        <v>1.7320508075688772</v>
      </c>
      <c r="F31" s="46">
        <f>B31/E31</f>
        <v>0.28867513459481292</v>
      </c>
      <c r="G31" s="72">
        <v>50</v>
      </c>
      <c r="H31" s="72">
        <v>1</v>
      </c>
      <c r="I31" s="46">
        <f>F31*H31</f>
        <v>0.28867513459481292</v>
      </c>
      <c r="J31" s="46">
        <f>I31^2</f>
        <v>8.3333333333333356E-2</v>
      </c>
      <c r="K31" s="46">
        <f>(J31^2)/G31</f>
        <v>1.3888888888888897E-4</v>
      </c>
      <c r="T31" s="17"/>
      <c r="U31" s="17"/>
      <c r="V31" s="17"/>
      <c r="W31" s="17"/>
    </row>
    <row r="32" spans="1:23" ht="21" customHeight="1" x14ac:dyDescent="0.25">
      <c r="A32" s="6" t="s">
        <v>212</v>
      </c>
      <c r="B32" s="19">
        <f>B119</f>
        <v>1E-4</v>
      </c>
      <c r="C32" s="25" t="s">
        <v>248</v>
      </c>
      <c r="D32" s="6" t="s">
        <v>209</v>
      </c>
      <c r="E32" s="46">
        <v>2</v>
      </c>
      <c r="F32" s="46">
        <f>B32/E32</f>
        <v>5.0000000000000002E-5</v>
      </c>
      <c r="G32" s="72">
        <v>50</v>
      </c>
      <c r="H32" s="72">
        <v>1</v>
      </c>
      <c r="I32" s="46">
        <f>F32*H32</f>
        <v>5.0000000000000002E-5</v>
      </c>
      <c r="J32" s="46">
        <f>I32^2</f>
        <v>2.5000000000000001E-9</v>
      </c>
      <c r="K32" s="46">
        <f>(J32^2)/G32</f>
        <v>1.2500000000000001E-19</v>
      </c>
      <c r="T32" s="18"/>
      <c r="U32" s="17"/>
      <c r="V32" s="18"/>
      <c r="W32" s="18"/>
    </row>
    <row r="33" spans="1:23" ht="21" customHeight="1" x14ac:dyDescent="0.3">
      <c r="A33" s="930" t="s">
        <v>213</v>
      </c>
      <c r="B33" s="930"/>
      <c r="C33" s="930"/>
      <c r="D33" s="930"/>
      <c r="E33" s="930"/>
      <c r="F33" s="930"/>
      <c r="G33" s="930"/>
      <c r="H33" s="930"/>
      <c r="I33" s="930"/>
      <c r="J33" s="46">
        <f>SUM(J29:J32)</f>
        <v>8.3333335833333355E-2</v>
      </c>
      <c r="K33" s="46">
        <f>SUM(K29:K32)</f>
        <v>1.3888888888888911E-4</v>
      </c>
      <c r="T33" s="17"/>
      <c r="U33" s="17"/>
      <c r="V33" s="17"/>
      <c r="W33" s="17"/>
    </row>
    <row r="34" spans="1:23" ht="21" customHeight="1" x14ac:dyDescent="0.35">
      <c r="A34" s="930" t="s">
        <v>214</v>
      </c>
      <c r="B34" s="930"/>
      <c r="C34" s="930"/>
      <c r="D34" s="930"/>
      <c r="E34" s="930"/>
      <c r="F34" s="930"/>
      <c r="G34" s="933" t="s">
        <v>215</v>
      </c>
      <c r="H34" s="933"/>
      <c r="I34" s="933"/>
      <c r="J34" s="46">
        <f>SQRT(J33)</f>
        <v>0.2886751389249399</v>
      </c>
      <c r="K34" s="46"/>
    </row>
    <row r="35" spans="1:23" ht="21" customHeight="1" x14ac:dyDescent="0.35">
      <c r="A35" s="930" t="s">
        <v>216</v>
      </c>
      <c r="B35" s="930"/>
      <c r="C35" s="930"/>
      <c r="D35" s="930"/>
      <c r="E35" s="930"/>
      <c r="F35" s="930"/>
      <c r="G35" s="932" t="s">
        <v>217</v>
      </c>
      <c r="H35" s="932"/>
      <c r="I35" s="932"/>
      <c r="J35" s="46">
        <f>J34^4/(K33)</f>
        <v>50.000002999999992</v>
      </c>
      <c r="K35" s="46"/>
    </row>
    <row r="36" spans="1:23" ht="21" customHeight="1" x14ac:dyDescent="0.3">
      <c r="A36" s="930" t="s">
        <v>218</v>
      </c>
      <c r="B36" s="930"/>
      <c r="C36" s="930"/>
      <c r="D36" s="930"/>
      <c r="E36" s="930"/>
      <c r="F36" s="930"/>
      <c r="G36" s="931" t="s">
        <v>219</v>
      </c>
      <c r="H36" s="931"/>
      <c r="I36" s="931"/>
      <c r="J36" s="46">
        <f>1.95996+(2.37356/J35)+(2.818745/J35^2)+(2.546662/J35^3)+(1.761829/J35^4)+(0.245458/J35^5)+(1.000764/J35^6)</f>
        <v>2.0085793510508481</v>
      </c>
      <c r="K36" s="46"/>
    </row>
    <row r="37" spans="1:23" ht="21" customHeight="1" x14ac:dyDescent="0.3">
      <c r="A37" s="930" t="s">
        <v>220</v>
      </c>
      <c r="B37" s="930"/>
      <c r="C37" s="930"/>
      <c r="D37" s="930"/>
      <c r="E37" s="930"/>
      <c r="F37" s="930"/>
      <c r="G37" s="931" t="s">
        <v>221</v>
      </c>
      <c r="H37" s="931"/>
      <c r="I37" s="931"/>
      <c r="J37" s="46">
        <f>J36*J34</f>
        <v>0.57982692320636919</v>
      </c>
      <c r="K37" s="47" t="s">
        <v>248</v>
      </c>
    </row>
    <row r="38" spans="1:23" ht="14.4" x14ac:dyDescent="0.3">
      <c r="A38" s="27"/>
      <c r="B38" s="27"/>
      <c r="C38" s="27"/>
      <c r="D38" s="27"/>
      <c r="E38" s="27"/>
      <c r="F38" s="27"/>
      <c r="G38" s="28"/>
      <c r="H38" s="28"/>
      <c r="I38" s="28"/>
      <c r="J38" s="3"/>
      <c r="K38" s="29"/>
    </row>
    <row r="39" spans="1:23" x14ac:dyDescent="0.25">
      <c r="A39" s="88" t="s">
        <v>251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23" ht="21.75" customHeight="1" x14ac:dyDescent="0.25">
      <c r="A40" s="8" t="s">
        <v>196</v>
      </c>
      <c r="B40" s="8" t="s">
        <v>197</v>
      </c>
      <c r="C40" s="8" t="s">
        <v>198</v>
      </c>
      <c r="D40" s="8" t="s">
        <v>199</v>
      </c>
      <c r="E40" s="8" t="s">
        <v>200</v>
      </c>
      <c r="F40" s="8" t="s">
        <v>201</v>
      </c>
      <c r="G40" s="8" t="s">
        <v>202</v>
      </c>
      <c r="H40" s="8" t="s">
        <v>203</v>
      </c>
      <c r="I40" s="8" t="s">
        <v>204</v>
      </c>
      <c r="J40" s="8" t="s">
        <v>205</v>
      </c>
      <c r="K40" s="8" t="s">
        <v>206</v>
      </c>
    </row>
    <row r="41" spans="1:23" ht="21.75" customHeight="1" x14ac:dyDescent="0.25">
      <c r="A41" s="6" t="s">
        <v>207</v>
      </c>
      <c r="B41" s="48">
        <f>ID!N92</f>
        <v>0.40824829046386302</v>
      </c>
      <c r="C41" s="25" t="s">
        <v>248</v>
      </c>
      <c r="D41" s="6" t="s">
        <v>209</v>
      </c>
      <c r="E41" s="46">
        <f>SQRT(6)</f>
        <v>2.4494897427831779</v>
      </c>
      <c r="F41" s="46">
        <f>B41/E41</f>
        <v>0.16666666666666669</v>
      </c>
      <c r="G41" s="72">
        <f>6-1</f>
        <v>5</v>
      </c>
      <c r="H41" s="72">
        <v>1</v>
      </c>
      <c r="I41" s="46">
        <f>F41*H41</f>
        <v>0.16666666666666669</v>
      </c>
      <c r="J41" s="46">
        <f>I41^2</f>
        <v>2.7777777777777783E-2</v>
      </c>
      <c r="K41" s="46">
        <f>(J41^2)/G41</f>
        <v>1.5432098765432104E-4</v>
      </c>
    </row>
    <row r="42" spans="1:23" ht="21.75" customHeight="1" x14ac:dyDescent="0.25">
      <c r="A42" s="6" t="s">
        <v>210</v>
      </c>
      <c r="B42" s="48">
        <f>M118</f>
        <v>0</v>
      </c>
      <c r="C42" s="25" t="s">
        <v>248</v>
      </c>
      <c r="D42" s="6" t="s">
        <v>211</v>
      </c>
      <c r="E42" s="46">
        <f>SQRT(3)</f>
        <v>1.7320508075688772</v>
      </c>
      <c r="F42" s="46">
        <f>B42/E42</f>
        <v>0</v>
      </c>
      <c r="G42" s="72">
        <v>50</v>
      </c>
      <c r="H42" s="72">
        <v>1</v>
      </c>
      <c r="I42" s="46">
        <f>F42*H42</f>
        <v>0</v>
      </c>
      <c r="J42" s="46">
        <f>I42^2</f>
        <v>0</v>
      </c>
      <c r="K42" s="46">
        <f>(J42^2)/G42</f>
        <v>0</v>
      </c>
    </row>
    <row r="43" spans="1:23" ht="21.75" customHeight="1" x14ac:dyDescent="0.25">
      <c r="A43" s="6" t="s">
        <v>6</v>
      </c>
      <c r="B43" s="48">
        <f>1*0.5</f>
        <v>0.5</v>
      </c>
      <c r="C43" s="25" t="s">
        <v>248</v>
      </c>
      <c r="D43" s="6" t="s">
        <v>211</v>
      </c>
      <c r="E43" s="46">
        <f>SQRT(3)</f>
        <v>1.7320508075688772</v>
      </c>
      <c r="F43" s="46">
        <f>B43/E43</f>
        <v>0.28867513459481292</v>
      </c>
      <c r="G43" s="72">
        <v>50</v>
      </c>
      <c r="H43" s="72">
        <v>1</v>
      </c>
      <c r="I43" s="46">
        <f>F43*H43</f>
        <v>0.28867513459481292</v>
      </c>
      <c r="J43" s="46">
        <f>I43^2</f>
        <v>8.3333333333333356E-2</v>
      </c>
      <c r="K43" s="46">
        <f>(J43^2)/G43</f>
        <v>1.3888888888888897E-4</v>
      </c>
    </row>
    <row r="44" spans="1:23" ht="21.75" customHeight="1" x14ac:dyDescent="0.25">
      <c r="A44" s="6" t="s">
        <v>212</v>
      </c>
      <c r="B44" s="48">
        <f>B118</f>
        <v>1E-4</v>
      </c>
      <c r="C44" s="25" t="s">
        <v>248</v>
      </c>
      <c r="D44" s="6" t="s">
        <v>209</v>
      </c>
      <c r="E44" s="46">
        <v>2</v>
      </c>
      <c r="F44" s="46">
        <f>B44/E44</f>
        <v>5.0000000000000002E-5</v>
      </c>
      <c r="G44" s="72">
        <v>50</v>
      </c>
      <c r="H44" s="72">
        <v>1</v>
      </c>
      <c r="I44" s="46">
        <f>F44*H44</f>
        <v>5.0000000000000002E-5</v>
      </c>
      <c r="J44" s="46">
        <f>I44^2</f>
        <v>2.5000000000000001E-9</v>
      </c>
      <c r="K44" s="46">
        <f>(J44^2)/G44</f>
        <v>1.2500000000000001E-19</v>
      </c>
    </row>
    <row r="45" spans="1:23" ht="21.75" customHeight="1" x14ac:dyDescent="0.3">
      <c r="A45" s="930" t="s">
        <v>213</v>
      </c>
      <c r="B45" s="930"/>
      <c r="C45" s="930"/>
      <c r="D45" s="930"/>
      <c r="E45" s="930"/>
      <c r="F45" s="930"/>
      <c r="G45" s="930"/>
      <c r="H45" s="930"/>
      <c r="I45" s="930"/>
      <c r="J45" s="46">
        <f>SUM(J41:J44)</f>
        <v>0.11111111361111113</v>
      </c>
      <c r="K45" s="46">
        <f>SUM(K41:K44)</f>
        <v>2.9320987654321009E-4</v>
      </c>
    </row>
    <row r="46" spans="1:23" ht="21.75" customHeight="1" x14ac:dyDescent="0.35">
      <c r="A46" s="930" t="s">
        <v>214</v>
      </c>
      <c r="B46" s="930"/>
      <c r="C46" s="930"/>
      <c r="D46" s="930"/>
      <c r="E46" s="930"/>
      <c r="F46" s="930"/>
      <c r="G46" s="933" t="s">
        <v>215</v>
      </c>
      <c r="H46" s="933"/>
      <c r="I46" s="933"/>
      <c r="J46" s="46">
        <f>SQRT(J45)</f>
        <v>0.33333333708333335</v>
      </c>
      <c r="K46" s="46"/>
    </row>
    <row r="47" spans="1:23" ht="21.75" customHeight="1" x14ac:dyDescent="0.35">
      <c r="A47" s="930" t="s">
        <v>216</v>
      </c>
      <c r="B47" s="930"/>
      <c r="C47" s="930"/>
      <c r="D47" s="930"/>
      <c r="E47" s="930"/>
      <c r="F47" s="930"/>
      <c r="G47" s="932" t="s">
        <v>217</v>
      </c>
      <c r="H47" s="932"/>
      <c r="I47" s="932"/>
      <c r="J47" s="46">
        <f>J46^4/(K45)</f>
        <v>42.105265052631587</v>
      </c>
      <c r="K47" s="46"/>
    </row>
    <row r="48" spans="1:23" ht="21.75" customHeight="1" x14ac:dyDescent="0.3">
      <c r="A48" s="930" t="s">
        <v>218</v>
      </c>
      <c r="B48" s="930"/>
      <c r="C48" s="930"/>
      <c r="D48" s="930"/>
      <c r="E48" s="930"/>
      <c r="F48" s="930"/>
      <c r="G48" s="931" t="s">
        <v>219</v>
      </c>
      <c r="H48" s="931"/>
      <c r="I48" s="931"/>
      <c r="J48" s="46">
        <f>1.95996+(2.37356/J47)+(2.818745/J47^2)+(2.546662/J47^3)+(1.761829/J47^4)+(0.245458/J47^5)+(1.000764/J47^6)</f>
        <v>2.0179566745740778</v>
      </c>
      <c r="K48" s="46"/>
    </row>
    <row r="49" spans="1:11" ht="21.75" customHeight="1" x14ac:dyDescent="0.3">
      <c r="A49" s="930" t="s">
        <v>220</v>
      </c>
      <c r="B49" s="930"/>
      <c r="C49" s="930"/>
      <c r="D49" s="930"/>
      <c r="E49" s="930"/>
      <c r="F49" s="930"/>
      <c r="G49" s="931" t="s">
        <v>221</v>
      </c>
      <c r="H49" s="931"/>
      <c r="I49" s="931"/>
      <c r="J49" s="46">
        <f>J48*J46</f>
        <v>0.67265223242536354</v>
      </c>
      <c r="K49" s="47" t="s">
        <v>248</v>
      </c>
    </row>
    <row r="50" spans="1:11" ht="21.75" customHeight="1" x14ac:dyDescent="0.3">
      <c r="A50" s="27"/>
      <c r="B50" s="27"/>
      <c r="C50" s="27"/>
      <c r="D50" s="27"/>
      <c r="E50" s="27"/>
      <c r="F50" s="27"/>
      <c r="G50" s="28"/>
      <c r="H50" s="28"/>
      <c r="I50" s="28"/>
      <c r="J50" s="49"/>
      <c r="K50" s="50"/>
    </row>
    <row r="51" spans="1:11" ht="21.75" customHeight="1" x14ac:dyDescent="0.25">
      <c r="A51" s="88" t="s">
        <v>252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21.75" customHeight="1" x14ac:dyDescent="0.25">
      <c r="A52" s="8" t="s">
        <v>196</v>
      </c>
      <c r="B52" s="8" t="s">
        <v>197</v>
      </c>
      <c r="C52" s="8" t="s">
        <v>198</v>
      </c>
      <c r="D52" s="8" t="s">
        <v>199</v>
      </c>
      <c r="E52" s="8" t="s">
        <v>200</v>
      </c>
      <c r="F52" s="8" t="s">
        <v>201</v>
      </c>
      <c r="G52" s="8" t="s">
        <v>202</v>
      </c>
      <c r="H52" s="8" t="s">
        <v>203</v>
      </c>
      <c r="I52" s="8" t="s">
        <v>204</v>
      </c>
      <c r="J52" s="8" t="s">
        <v>205</v>
      </c>
      <c r="K52" s="8" t="s">
        <v>206</v>
      </c>
    </row>
    <row r="53" spans="1:11" ht="21.75" customHeight="1" x14ac:dyDescent="0.25">
      <c r="A53" s="6" t="s">
        <v>207</v>
      </c>
      <c r="B53" s="20">
        <f>ID!N93</f>
        <v>0</v>
      </c>
      <c r="C53" s="25" t="s">
        <v>248</v>
      </c>
      <c r="D53" s="6" t="s">
        <v>209</v>
      </c>
      <c r="E53" s="46">
        <f>SQRT(6)</f>
        <v>2.4494897427831779</v>
      </c>
      <c r="F53" s="46">
        <f>B53/E53</f>
        <v>0</v>
      </c>
      <c r="G53" s="72">
        <f>6-1</f>
        <v>5</v>
      </c>
      <c r="H53" s="72">
        <v>1</v>
      </c>
      <c r="I53" s="46">
        <f>F53*H53</f>
        <v>0</v>
      </c>
      <c r="J53" s="46">
        <f>I53^2</f>
        <v>0</v>
      </c>
      <c r="K53" s="46">
        <f>(J53^2)/G53</f>
        <v>0</v>
      </c>
    </row>
    <row r="54" spans="1:11" ht="21.75" customHeight="1" x14ac:dyDescent="0.25">
      <c r="A54" s="6" t="s">
        <v>225</v>
      </c>
      <c r="B54" s="20">
        <f>M117</f>
        <v>0</v>
      </c>
      <c r="C54" s="25" t="s">
        <v>248</v>
      </c>
      <c r="D54" s="6" t="s">
        <v>211</v>
      </c>
      <c r="E54" s="46">
        <f>SQRT(3)</f>
        <v>1.7320508075688772</v>
      </c>
      <c r="F54" s="46">
        <f>B54/E54</f>
        <v>0</v>
      </c>
      <c r="G54" s="72">
        <v>50</v>
      </c>
      <c r="H54" s="72">
        <v>1</v>
      </c>
      <c r="I54" s="46">
        <f>F54*H54</f>
        <v>0</v>
      </c>
      <c r="J54" s="46">
        <f>I54^2</f>
        <v>0</v>
      </c>
      <c r="K54" s="46">
        <f>(J54^2)/G54</f>
        <v>0</v>
      </c>
    </row>
    <row r="55" spans="1:11" ht="21.75" customHeight="1" x14ac:dyDescent="0.25">
      <c r="A55" s="6" t="s">
        <v>6</v>
      </c>
      <c r="B55" s="20">
        <f>1*0.5</f>
        <v>0.5</v>
      </c>
      <c r="C55" s="25" t="s">
        <v>248</v>
      </c>
      <c r="D55" s="6" t="s">
        <v>211</v>
      </c>
      <c r="E55" s="46">
        <f>SQRT(3)</f>
        <v>1.7320508075688772</v>
      </c>
      <c r="F55" s="46">
        <f>B55/E55</f>
        <v>0.28867513459481292</v>
      </c>
      <c r="G55" s="72">
        <v>50</v>
      </c>
      <c r="H55" s="72">
        <v>1</v>
      </c>
      <c r="I55" s="46">
        <f>F55*H55</f>
        <v>0.28867513459481292</v>
      </c>
      <c r="J55" s="46">
        <f>I55^2</f>
        <v>8.3333333333333356E-2</v>
      </c>
      <c r="K55" s="46">
        <f>(J55^2)/G55</f>
        <v>1.3888888888888897E-4</v>
      </c>
    </row>
    <row r="56" spans="1:11" ht="21.75" customHeight="1" x14ac:dyDescent="0.25">
      <c r="A56" s="6" t="s">
        <v>212</v>
      </c>
      <c r="B56" s="20">
        <f>B117</f>
        <v>1E-4</v>
      </c>
      <c r="C56" s="25" t="s">
        <v>248</v>
      </c>
      <c r="D56" s="6" t="s">
        <v>209</v>
      </c>
      <c r="E56" s="46">
        <v>2</v>
      </c>
      <c r="F56" s="46">
        <f>B56/E56</f>
        <v>5.0000000000000002E-5</v>
      </c>
      <c r="G56" s="72">
        <v>50</v>
      </c>
      <c r="H56" s="72">
        <v>1</v>
      </c>
      <c r="I56" s="46">
        <f>F56*H56</f>
        <v>5.0000000000000002E-5</v>
      </c>
      <c r="J56" s="46">
        <f>I56^2</f>
        <v>2.5000000000000001E-9</v>
      </c>
      <c r="K56" s="46">
        <f>(J56^2)/G56</f>
        <v>1.2500000000000001E-19</v>
      </c>
    </row>
    <row r="57" spans="1:11" ht="21.75" customHeight="1" x14ac:dyDescent="0.3">
      <c r="A57" s="930" t="s">
        <v>213</v>
      </c>
      <c r="B57" s="930"/>
      <c r="C57" s="930"/>
      <c r="D57" s="930"/>
      <c r="E57" s="930"/>
      <c r="F57" s="930"/>
      <c r="G57" s="930"/>
      <c r="H57" s="930"/>
      <c r="I57" s="930"/>
      <c r="J57" s="46">
        <f>SUM(J53:J56)</f>
        <v>8.3333335833333355E-2</v>
      </c>
      <c r="K57" s="46">
        <f>SUM(K53:K56)</f>
        <v>1.3888888888888911E-4</v>
      </c>
    </row>
    <row r="58" spans="1:11" ht="21.75" customHeight="1" x14ac:dyDescent="0.35">
      <c r="A58" s="930" t="s">
        <v>214</v>
      </c>
      <c r="B58" s="930"/>
      <c r="C58" s="930"/>
      <c r="D58" s="930"/>
      <c r="E58" s="930"/>
      <c r="F58" s="930"/>
      <c r="G58" s="933" t="s">
        <v>215</v>
      </c>
      <c r="H58" s="933"/>
      <c r="I58" s="933"/>
      <c r="J58" s="46">
        <f>SQRT(J57)</f>
        <v>0.2886751389249399</v>
      </c>
      <c r="K58" s="46"/>
    </row>
    <row r="59" spans="1:11" ht="21.75" customHeight="1" x14ac:dyDescent="0.35">
      <c r="A59" s="930" t="s">
        <v>216</v>
      </c>
      <c r="B59" s="930"/>
      <c r="C59" s="930"/>
      <c r="D59" s="930"/>
      <c r="E59" s="930"/>
      <c r="F59" s="930"/>
      <c r="G59" s="932" t="s">
        <v>217</v>
      </c>
      <c r="H59" s="932"/>
      <c r="I59" s="932"/>
      <c r="J59" s="46">
        <f>J58^4/(K57)</f>
        <v>50.000002999999992</v>
      </c>
      <c r="K59" s="46"/>
    </row>
    <row r="60" spans="1:11" ht="21.75" customHeight="1" x14ac:dyDescent="0.3">
      <c r="A60" s="930" t="s">
        <v>218</v>
      </c>
      <c r="B60" s="930"/>
      <c r="C60" s="930"/>
      <c r="D60" s="930"/>
      <c r="E60" s="930"/>
      <c r="F60" s="930"/>
      <c r="G60" s="931" t="s">
        <v>219</v>
      </c>
      <c r="H60" s="931"/>
      <c r="I60" s="931"/>
      <c r="J60" s="46">
        <f>1.95996+(2.37356/J59)+(2.818745/J59^2)+(2.546662/J59^3)+(1.761829/J59^4)+(0.245458/J59^5)+(1.000764/J59^6)</f>
        <v>2.0085793510508481</v>
      </c>
      <c r="K60" s="46"/>
    </row>
    <row r="61" spans="1:11" ht="21.75" customHeight="1" x14ac:dyDescent="0.3">
      <c r="A61" s="930" t="s">
        <v>220</v>
      </c>
      <c r="B61" s="930"/>
      <c r="C61" s="930"/>
      <c r="D61" s="930"/>
      <c r="E61" s="930"/>
      <c r="F61" s="930"/>
      <c r="G61" s="931" t="s">
        <v>221</v>
      </c>
      <c r="H61" s="931"/>
      <c r="I61" s="931"/>
      <c r="J61" s="46">
        <f>J60*J58</f>
        <v>0.57982692320636919</v>
      </c>
      <c r="K61" s="47" t="s">
        <v>248</v>
      </c>
    </row>
    <row r="62" spans="1:11" ht="14.4" x14ac:dyDescent="0.3">
      <c r="A62" s="27"/>
      <c r="B62" s="27"/>
      <c r="C62" s="27"/>
      <c r="D62" s="27"/>
      <c r="E62" s="27"/>
      <c r="F62" s="27"/>
      <c r="G62" s="28"/>
      <c r="H62" s="28"/>
      <c r="I62" s="28"/>
      <c r="J62" s="3"/>
      <c r="K62" s="29"/>
    </row>
    <row r="63" spans="1:11" x14ac:dyDescent="0.25">
      <c r="A63" s="88" t="s">
        <v>253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8.75" customHeight="1" x14ac:dyDescent="0.25">
      <c r="A64" s="8" t="s">
        <v>196</v>
      </c>
      <c r="B64" s="8" t="s">
        <v>197</v>
      </c>
      <c r="C64" s="8" t="s">
        <v>198</v>
      </c>
      <c r="D64" s="8" t="s">
        <v>199</v>
      </c>
      <c r="E64" s="8" t="s">
        <v>200</v>
      </c>
      <c r="F64" s="8" t="s">
        <v>201</v>
      </c>
      <c r="G64" s="8" t="s">
        <v>202</v>
      </c>
      <c r="H64" s="8" t="s">
        <v>203</v>
      </c>
      <c r="I64" s="8" t="s">
        <v>204</v>
      </c>
      <c r="J64" s="8" t="s">
        <v>205</v>
      </c>
      <c r="K64" s="8" t="s">
        <v>206</v>
      </c>
    </row>
    <row r="65" spans="1:11" ht="18.75" customHeight="1" x14ac:dyDescent="0.25">
      <c r="A65" s="6" t="s">
        <v>207</v>
      </c>
      <c r="B65" s="20">
        <f>ID!N94</f>
        <v>0</v>
      </c>
      <c r="C65" s="25" t="s">
        <v>248</v>
      </c>
      <c r="D65" s="6" t="s">
        <v>209</v>
      </c>
      <c r="E65" s="46">
        <f>SQRT(6)</f>
        <v>2.4494897427831779</v>
      </c>
      <c r="F65" s="46">
        <f>B65/E65</f>
        <v>0</v>
      </c>
      <c r="G65" s="72">
        <f>6-1</f>
        <v>5</v>
      </c>
      <c r="H65" s="72">
        <v>1</v>
      </c>
      <c r="I65" s="46">
        <f>F65*H65</f>
        <v>0</v>
      </c>
      <c r="J65" s="46">
        <f>I65^2</f>
        <v>0</v>
      </c>
      <c r="K65" s="46">
        <f>(J65^2)/G65</f>
        <v>0</v>
      </c>
    </row>
    <row r="66" spans="1:11" ht="18.75" customHeight="1" x14ac:dyDescent="0.25">
      <c r="A66" s="6" t="s">
        <v>225</v>
      </c>
      <c r="B66" s="20">
        <f>M116</f>
        <v>0</v>
      </c>
      <c r="C66" s="25" t="s">
        <v>248</v>
      </c>
      <c r="D66" s="6" t="s">
        <v>211</v>
      </c>
      <c r="E66" s="46">
        <f>SQRT(3)</f>
        <v>1.7320508075688772</v>
      </c>
      <c r="F66" s="46">
        <f>B66/E66</f>
        <v>0</v>
      </c>
      <c r="G66" s="72">
        <v>50</v>
      </c>
      <c r="H66" s="72">
        <v>1</v>
      </c>
      <c r="I66" s="46">
        <f>F66*H66</f>
        <v>0</v>
      </c>
      <c r="J66" s="46">
        <f>I66^2</f>
        <v>0</v>
      </c>
      <c r="K66" s="46">
        <f>(J66^2)/G66</f>
        <v>0</v>
      </c>
    </row>
    <row r="67" spans="1:11" ht="18.75" customHeight="1" x14ac:dyDescent="0.25">
      <c r="A67" s="6" t="s">
        <v>6</v>
      </c>
      <c r="B67" s="20">
        <f>1*0.5</f>
        <v>0.5</v>
      </c>
      <c r="C67" s="25" t="s">
        <v>248</v>
      </c>
      <c r="D67" s="6" t="s">
        <v>211</v>
      </c>
      <c r="E67" s="46">
        <f>SQRT(3)</f>
        <v>1.7320508075688772</v>
      </c>
      <c r="F67" s="46">
        <f>B67/E67</f>
        <v>0.28867513459481292</v>
      </c>
      <c r="G67" s="72">
        <v>50</v>
      </c>
      <c r="H67" s="72">
        <v>1</v>
      </c>
      <c r="I67" s="46">
        <f>F67*H67</f>
        <v>0.28867513459481292</v>
      </c>
      <c r="J67" s="46">
        <f>I67^2</f>
        <v>8.3333333333333356E-2</v>
      </c>
      <c r="K67" s="46">
        <f>(J67^2)/G67</f>
        <v>1.3888888888888897E-4</v>
      </c>
    </row>
    <row r="68" spans="1:11" ht="18.75" customHeight="1" x14ac:dyDescent="0.25">
      <c r="A68" s="6" t="s">
        <v>212</v>
      </c>
      <c r="B68" s="20">
        <f>B116</f>
        <v>1E-4</v>
      </c>
      <c r="C68" s="25" t="s">
        <v>248</v>
      </c>
      <c r="D68" s="6" t="s">
        <v>209</v>
      </c>
      <c r="E68" s="46">
        <v>2</v>
      </c>
      <c r="F68" s="46">
        <f>B68/E68</f>
        <v>5.0000000000000002E-5</v>
      </c>
      <c r="G68" s="72">
        <v>50</v>
      </c>
      <c r="H68" s="72">
        <v>1</v>
      </c>
      <c r="I68" s="46">
        <f>F68*H68</f>
        <v>5.0000000000000002E-5</v>
      </c>
      <c r="J68" s="46">
        <f>I68^2</f>
        <v>2.5000000000000001E-9</v>
      </c>
      <c r="K68" s="46">
        <f>(J68^2)/G68</f>
        <v>1.2500000000000001E-19</v>
      </c>
    </row>
    <row r="69" spans="1:11" ht="18.75" customHeight="1" x14ac:dyDescent="0.3">
      <c r="A69" s="930" t="s">
        <v>213</v>
      </c>
      <c r="B69" s="930"/>
      <c r="C69" s="930"/>
      <c r="D69" s="930"/>
      <c r="E69" s="930"/>
      <c r="F69" s="930"/>
      <c r="G69" s="930"/>
      <c r="H69" s="930"/>
      <c r="I69" s="930"/>
      <c r="J69" s="46">
        <f>SUM(J65:J68)</f>
        <v>8.3333335833333355E-2</v>
      </c>
      <c r="K69" s="46">
        <f>SUM(K65:K68)</f>
        <v>1.3888888888888911E-4</v>
      </c>
    </row>
    <row r="70" spans="1:11" ht="18.75" customHeight="1" x14ac:dyDescent="0.35">
      <c r="A70" s="930" t="s">
        <v>214</v>
      </c>
      <c r="B70" s="930"/>
      <c r="C70" s="930"/>
      <c r="D70" s="930"/>
      <c r="E70" s="930"/>
      <c r="F70" s="930"/>
      <c r="G70" s="933" t="s">
        <v>215</v>
      </c>
      <c r="H70" s="933"/>
      <c r="I70" s="933"/>
      <c r="J70" s="46">
        <f>SQRT(J69)</f>
        <v>0.2886751389249399</v>
      </c>
      <c r="K70" s="46"/>
    </row>
    <row r="71" spans="1:11" ht="18.75" customHeight="1" x14ac:dyDescent="0.35">
      <c r="A71" s="930" t="s">
        <v>216</v>
      </c>
      <c r="B71" s="930"/>
      <c r="C71" s="930"/>
      <c r="D71" s="930"/>
      <c r="E71" s="930"/>
      <c r="F71" s="930"/>
      <c r="G71" s="932" t="s">
        <v>217</v>
      </c>
      <c r="H71" s="932"/>
      <c r="I71" s="932"/>
      <c r="J71" s="46">
        <f>J70^4/(K69)</f>
        <v>50.000002999999992</v>
      </c>
      <c r="K71" s="46"/>
    </row>
    <row r="72" spans="1:11" ht="18.75" customHeight="1" x14ac:dyDescent="0.3">
      <c r="A72" s="930" t="s">
        <v>218</v>
      </c>
      <c r="B72" s="930"/>
      <c r="C72" s="930"/>
      <c r="D72" s="930"/>
      <c r="E72" s="930"/>
      <c r="F72" s="930"/>
      <c r="G72" s="931" t="s">
        <v>219</v>
      </c>
      <c r="H72" s="931"/>
      <c r="I72" s="931"/>
      <c r="J72" s="46">
        <f>1.95996+(2.37356/J71)+(2.818745/J71^2)+(2.546662/J71^3)+(1.761829/J71^4)+(0.245458/J71^5)+(1.000764/J71^6)</f>
        <v>2.0085793510508481</v>
      </c>
      <c r="K72" s="46"/>
    </row>
    <row r="73" spans="1:11" ht="18.75" customHeight="1" x14ac:dyDescent="0.3">
      <c r="A73" s="930" t="s">
        <v>220</v>
      </c>
      <c r="B73" s="930"/>
      <c r="C73" s="930"/>
      <c r="D73" s="930"/>
      <c r="E73" s="930"/>
      <c r="F73" s="930"/>
      <c r="G73" s="931" t="s">
        <v>221</v>
      </c>
      <c r="H73" s="931"/>
      <c r="I73" s="931"/>
      <c r="J73" s="46">
        <f>J72*J70</f>
        <v>0.57982692320636919</v>
      </c>
      <c r="K73" s="47" t="s">
        <v>248</v>
      </c>
    </row>
    <row r="74" spans="1:11" ht="18.75" customHeight="1" x14ac:dyDescent="0.3">
      <c r="A74" s="27"/>
      <c r="B74" s="27"/>
      <c r="C74" s="27"/>
      <c r="D74" s="27"/>
      <c r="E74" s="27"/>
      <c r="F74" s="27"/>
      <c r="G74" s="28"/>
      <c r="H74" s="28"/>
      <c r="I74" s="28"/>
      <c r="J74" s="49"/>
      <c r="K74" s="50"/>
    </row>
    <row r="75" spans="1:11" ht="18.75" customHeight="1" x14ac:dyDescent="0.25">
      <c r="A75" s="88" t="s">
        <v>254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8.75" customHeight="1" x14ac:dyDescent="0.25">
      <c r="A76" s="8" t="s">
        <v>196</v>
      </c>
      <c r="B76" s="8" t="s">
        <v>197</v>
      </c>
      <c r="C76" s="8" t="s">
        <v>198</v>
      </c>
      <c r="D76" s="8" t="s">
        <v>199</v>
      </c>
      <c r="E76" s="8" t="s">
        <v>200</v>
      </c>
      <c r="F76" s="8" t="s">
        <v>201</v>
      </c>
      <c r="G76" s="8" t="s">
        <v>202</v>
      </c>
      <c r="H76" s="8" t="s">
        <v>203</v>
      </c>
      <c r="I76" s="8" t="s">
        <v>204</v>
      </c>
      <c r="J76" s="8" t="s">
        <v>205</v>
      </c>
      <c r="K76" s="8" t="s">
        <v>206</v>
      </c>
    </row>
    <row r="77" spans="1:11" ht="18.75" customHeight="1" x14ac:dyDescent="0.25">
      <c r="A77" s="6" t="s">
        <v>207</v>
      </c>
      <c r="B77" s="20">
        <f>ID!N95</f>
        <v>0</v>
      </c>
      <c r="C77" s="25" t="s">
        <v>248</v>
      </c>
      <c r="D77" s="6" t="s">
        <v>209</v>
      </c>
      <c r="E77" s="46">
        <f>SQRT(6)</f>
        <v>2.4494897427831779</v>
      </c>
      <c r="F77" s="46">
        <f>B77/E77</f>
        <v>0</v>
      </c>
      <c r="G77" s="72">
        <f>6-1</f>
        <v>5</v>
      </c>
      <c r="H77" s="72">
        <v>1</v>
      </c>
      <c r="I77" s="46">
        <f>F77*H77</f>
        <v>0</v>
      </c>
      <c r="J77" s="46">
        <f>I77^2</f>
        <v>0</v>
      </c>
      <c r="K77" s="46">
        <f>(J77^2)/G77</f>
        <v>0</v>
      </c>
    </row>
    <row r="78" spans="1:11" ht="18.75" customHeight="1" x14ac:dyDescent="0.25">
      <c r="A78" s="6" t="s">
        <v>225</v>
      </c>
      <c r="B78" s="20">
        <f>M115</f>
        <v>0</v>
      </c>
      <c r="C78" s="25" t="s">
        <v>248</v>
      </c>
      <c r="D78" s="6" t="s">
        <v>211</v>
      </c>
      <c r="E78" s="46">
        <f>SQRT(3)</f>
        <v>1.7320508075688772</v>
      </c>
      <c r="F78" s="46">
        <f>B78/E78</f>
        <v>0</v>
      </c>
      <c r="G78" s="72">
        <v>50</v>
      </c>
      <c r="H78" s="72">
        <v>1</v>
      </c>
      <c r="I78" s="46">
        <f>F78*H78</f>
        <v>0</v>
      </c>
      <c r="J78" s="46">
        <f>I78^2</f>
        <v>0</v>
      </c>
      <c r="K78" s="46">
        <f>(J78^2)/G78</f>
        <v>0</v>
      </c>
    </row>
    <row r="79" spans="1:11" ht="18.75" customHeight="1" x14ac:dyDescent="0.25">
      <c r="A79" s="6" t="s">
        <v>6</v>
      </c>
      <c r="B79" s="20">
        <f>1*0.5</f>
        <v>0.5</v>
      </c>
      <c r="C79" s="25" t="s">
        <v>248</v>
      </c>
      <c r="D79" s="6" t="s">
        <v>211</v>
      </c>
      <c r="E79" s="46">
        <f>SQRT(3)</f>
        <v>1.7320508075688772</v>
      </c>
      <c r="F79" s="46">
        <f>B79/E79</f>
        <v>0.28867513459481292</v>
      </c>
      <c r="G79" s="72">
        <v>50</v>
      </c>
      <c r="H79" s="72">
        <v>1</v>
      </c>
      <c r="I79" s="46">
        <f>F79*H79</f>
        <v>0.28867513459481292</v>
      </c>
      <c r="J79" s="46">
        <f>I79^2</f>
        <v>8.3333333333333356E-2</v>
      </c>
      <c r="K79" s="46">
        <f>(J79^2)/G79</f>
        <v>1.3888888888888897E-4</v>
      </c>
    </row>
    <row r="80" spans="1:11" ht="18.75" customHeight="1" x14ac:dyDescent="0.25">
      <c r="A80" s="6" t="s">
        <v>212</v>
      </c>
      <c r="B80" s="20">
        <f>B121</f>
        <v>1E-4</v>
      </c>
      <c r="C80" s="25" t="s">
        <v>248</v>
      </c>
      <c r="D80" s="6" t="s">
        <v>209</v>
      </c>
      <c r="E80" s="46">
        <v>2</v>
      </c>
      <c r="F80" s="46">
        <f>B80/E80</f>
        <v>5.0000000000000002E-5</v>
      </c>
      <c r="G80" s="72">
        <v>50</v>
      </c>
      <c r="H80" s="72">
        <v>1</v>
      </c>
      <c r="I80" s="46">
        <f>F80*H80</f>
        <v>5.0000000000000002E-5</v>
      </c>
      <c r="J80" s="46">
        <f>I80^2</f>
        <v>2.5000000000000001E-9</v>
      </c>
      <c r="K80" s="46">
        <f>(J80^2)/G80</f>
        <v>1.2500000000000001E-19</v>
      </c>
    </row>
    <row r="81" spans="1:12" ht="18.75" customHeight="1" x14ac:dyDescent="0.3">
      <c r="A81" s="930" t="s">
        <v>213</v>
      </c>
      <c r="B81" s="930"/>
      <c r="C81" s="930"/>
      <c r="D81" s="930"/>
      <c r="E81" s="930"/>
      <c r="F81" s="930"/>
      <c r="G81" s="930"/>
      <c r="H81" s="930"/>
      <c r="I81" s="930"/>
      <c r="J81" s="46">
        <f>SUM(J77:J80)</f>
        <v>8.3333335833333355E-2</v>
      </c>
      <c r="K81" s="46">
        <f>SUM(K77:K80)</f>
        <v>1.3888888888888911E-4</v>
      </c>
    </row>
    <row r="82" spans="1:12" ht="18.75" customHeight="1" x14ac:dyDescent="0.35">
      <c r="A82" s="930" t="s">
        <v>214</v>
      </c>
      <c r="B82" s="930"/>
      <c r="C82" s="930"/>
      <c r="D82" s="930"/>
      <c r="E82" s="930"/>
      <c r="F82" s="930"/>
      <c r="G82" s="933" t="s">
        <v>215</v>
      </c>
      <c r="H82" s="933"/>
      <c r="I82" s="933"/>
      <c r="J82" s="46">
        <f>SQRT(J81)</f>
        <v>0.2886751389249399</v>
      </c>
      <c r="K82" s="46"/>
    </row>
    <row r="83" spans="1:12" ht="18.75" customHeight="1" x14ac:dyDescent="0.35">
      <c r="A83" s="930" t="s">
        <v>216</v>
      </c>
      <c r="B83" s="930"/>
      <c r="C83" s="930"/>
      <c r="D83" s="930"/>
      <c r="E83" s="930"/>
      <c r="F83" s="930"/>
      <c r="G83" s="932" t="s">
        <v>217</v>
      </c>
      <c r="H83" s="932"/>
      <c r="I83" s="932"/>
      <c r="J83" s="46">
        <f>J82^4/(K81)</f>
        <v>50.000002999999992</v>
      </c>
      <c r="K83" s="46"/>
    </row>
    <row r="84" spans="1:12" ht="18.75" customHeight="1" x14ac:dyDescent="0.3">
      <c r="A84" s="930" t="s">
        <v>218</v>
      </c>
      <c r="B84" s="930"/>
      <c r="C84" s="930"/>
      <c r="D84" s="930"/>
      <c r="E84" s="930"/>
      <c r="F84" s="930"/>
      <c r="G84" s="931" t="s">
        <v>219</v>
      </c>
      <c r="H84" s="931"/>
      <c r="I84" s="931"/>
      <c r="J84" s="46">
        <f>1.95996+(2.37356/J83)+(2.818745/J83^2)+(2.546662/J83^3)+(1.761829/J83^4)+(0.245458/J83^5)+(1.000764/J83^6)</f>
        <v>2.0085793510508481</v>
      </c>
      <c r="K84" s="46"/>
    </row>
    <row r="85" spans="1:12" ht="18.75" customHeight="1" x14ac:dyDescent="0.3">
      <c r="A85" s="930" t="s">
        <v>220</v>
      </c>
      <c r="B85" s="930"/>
      <c r="C85" s="930"/>
      <c r="D85" s="930"/>
      <c r="E85" s="930"/>
      <c r="F85" s="930"/>
      <c r="G85" s="931" t="s">
        <v>221</v>
      </c>
      <c r="H85" s="931"/>
      <c r="I85" s="931"/>
      <c r="J85" s="46">
        <f>J84*J82</f>
        <v>0.57982692320636919</v>
      </c>
      <c r="K85" s="47" t="s">
        <v>248</v>
      </c>
    </row>
    <row r="86" spans="1:12" ht="18.75" customHeight="1" x14ac:dyDescent="0.3">
      <c r="A86" s="27"/>
      <c r="B86" s="27"/>
      <c r="C86" s="27"/>
      <c r="D86" s="27"/>
      <c r="E86" s="27"/>
      <c r="F86" s="27"/>
      <c r="G86" s="28"/>
      <c r="H86" s="28"/>
      <c r="I86" s="28"/>
      <c r="J86" s="49"/>
      <c r="K86" s="50"/>
    </row>
    <row r="87" spans="1:1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2" ht="37.5" customHeight="1" x14ac:dyDescent="0.25">
      <c r="A88" s="85" t="s">
        <v>226</v>
      </c>
      <c r="B88" s="949" t="str">
        <f>ID!B60</f>
        <v>Digital Thermohygro Barometer : EXTECH, SD700, SN : A.100616</v>
      </c>
      <c r="C88" s="950"/>
      <c r="D88" s="950"/>
      <c r="E88" s="951"/>
      <c r="F88" s="3"/>
      <c r="G88" s="3"/>
      <c r="H88" s="3"/>
      <c r="I88" s="3"/>
      <c r="J88" s="3"/>
      <c r="K88" s="3"/>
    </row>
    <row r="89" spans="1:12" x14ac:dyDescent="0.25">
      <c r="A89" s="9" t="s">
        <v>227</v>
      </c>
      <c r="B89" s="9"/>
      <c r="C89" s="4"/>
      <c r="D89" s="6" t="s">
        <v>228</v>
      </c>
      <c r="E89" s="4"/>
      <c r="F89" s="3"/>
      <c r="G89" s="3"/>
      <c r="H89" s="3"/>
      <c r="I89" s="3"/>
      <c r="J89" s="3"/>
      <c r="K89" s="3"/>
    </row>
    <row r="90" spans="1:12" x14ac:dyDescent="0.25">
      <c r="A90" s="10" t="s">
        <v>229</v>
      </c>
      <c r="B90" s="10" t="s">
        <v>167</v>
      </c>
      <c r="C90" s="4"/>
      <c r="D90" s="6" t="s">
        <v>229</v>
      </c>
      <c r="E90" s="6" t="s">
        <v>167</v>
      </c>
      <c r="F90" s="3"/>
      <c r="G90" s="936" t="s">
        <v>230</v>
      </c>
      <c r="H90" s="937"/>
      <c r="I90" s="937"/>
      <c r="J90" s="938"/>
      <c r="K90" s="6" t="s">
        <v>231</v>
      </c>
      <c r="L90" s="3"/>
    </row>
    <row r="91" spans="1:12" x14ac:dyDescent="0.25">
      <c r="A91" s="11">
        <v>15</v>
      </c>
      <c r="B91" s="11">
        <v>0.4</v>
      </c>
      <c r="C91" s="11"/>
      <c r="D91" s="11">
        <v>35</v>
      </c>
      <c r="E91" s="11">
        <v>-0.8</v>
      </c>
      <c r="F91" s="3"/>
      <c r="G91" s="12"/>
      <c r="H91" s="12" t="str">
        <f>IF(G92&lt;=20,"15",IF(G92&lt;=25,"20",IF(G92&lt;=30,"25",IF(G92&lt;=35,"30",IF(G92&lt;=37,"35",IF(G92&lt;=40,"37",IF(G92&lt;=40,"40",)))))))</f>
        <v>35</v>
      </c>
      <c r="I91" s="12"/>
      <c r="J91" s="12" t="str">
        <f>IF(G92&lt;=20,"0.4",IF(G92&lt;=25,"0.0",IF(G92&lt;=30,"-0.5",IF(G92&lt;35,"-1.0",IF(G92&lt;=37,"-1.5",IF(G92&lt;=40,"-1.8"))))))</f>
        <v>-1.5</v>
      </c>
      <c r="K91" s="6" t="s">
        <v>227</v>
      </c>
      <c r="L91" s="4">
        <v>0.4</v>
      </c>
    </row>
    <row r="92" spans="1:12" x14ac:dyDescent="0.25">
      <c r="A92" s="13">
        <v>20</v>
      </c>
      <c r="B92" s="13">
        <v>0</v>
      </c>
      <c r="C92" s="13"/>
      <c r="D92" s="13">
        <v>40</v>
      </c>
      <c r="E92" s="13">
        <v>-0.9</v>
      </c>
      <c r="F92" s="3"/>
      <c r="G92" s="14">
        <f>ID!O15</f>
        <v>36.650000000000006</v>
      </c>
      <c r="H92" s="12"/>
      <c r="I92" s="14">
        <f>((G92-H91)/(H93-H91)*(J93-J91)+J91)</f>
        <v>-1.7475000000000009</v>
      </c>
      <c r="J92" s="14"/>
      <c r="K92" s="6" t="s">
        <v>228</v>
      </c>
      <c r="L92" s="4">
        <v>1.6</v>
      </c>
    </row>
    <row r="93" spans="1:12" x14ac:dyDescent="0.25">
      <c r="A93" s="15">
        <v>25</v>
      </c>
      <c r="B93" s="15">
        <v>-0.5</v>
      </c>
      <c r="C93" s="15"/>
      <c r="D93" s="15">
        <v>50</v>
      </c>
      <c r="E93" s="15">
        <v>-1</v>
      </c>
      <c r="F93" s="3"/>
      <c r="G93" s="12"/>
      <c r="H93" s="12" t="str">
        <f>IF(G92&lt;=20,"20",IF(G92&lt;=25,"25",IF(G92&lt;=30,"30",IF(G92&lt;=35,"35",IF(G92&lt;=37,"37",IF(G92&lt;=40,"40",))))))</f>
        <v>37</v>
      </c>
      <c r="I93" s="12"/>
      <c r="J93" s="12" t="str">
        <f>IF(G92&lt;=20,"0.0",IF(G92&lt;=25,"-0.5",IF(G92&lt;=30,"-1.0",IF(G92&lt;=35,"-1.5",IF(G92&lt;=37,"-1.8",IF(G92&lt;=40,"-2.1"))))))</f>
        <v>-1.8</v>
      </c>
      <c r="K93" s="3"/>
    </row>
    <row r="94" spans="1:12" x14ac:dyDescent="0.25">
      <c r="A94" s="15">
        <v>30</v>
      </c>
      <c r="B94" s="15">
        <v>-1</v>
      </c>
      <c r="C94" s="15"/>
      <c r="D94" s="15">
        <v>60</v>
      </c>
      <c r="E94" s="15">
        <v>-0.9</v>
      </c>
      <c r="F94" s="3"/>
      <c r="G94" s="946" t="s">
        <v>232</v>
      </c>
      <c r="H94" s="947"/>
      <c r="I94" s="947"/>
      <c r="J94" s="948"/>
      <c r="K94" s="3"/>
    </row>
    <row r="95" spans="1:12" x14ac:dyDescent="0.25">
      <c r="A95" s="15">
        <v>35</v>
      </c>
      <c r="B95" s="15">
        <v>-1.5</v>
      </c>
      <c r="C95" s="15"/>
      <c r="D95" s="15">
        <v>70</v>
      </c>
      <c r="E95" s="15">
        <v>-7.0000000000000007E-2</v>
      </c>
      <c r="F95" s="3"/>
      <c r="G95" s="12"/>
      <c r="H95" s="12" t="str">
        <f>IF(G96&lt;=40,"30",IF(G96&lt;=50,"40",IF(G96&lt;=60,"50",IF(G96&lt;=70,"60",IF(G96&lt;=80,"70",IF(G96&lt;=90,"80",IF(G96&lt;=90,"90")))))))</f>
        <v>50</v>
      </c>
      <c r="I95" s="12"/>
      <c r="J95" s="12" t="str">
        <f>IF(G96&lt;=40,"-0.8",IF(G96&lt;=50,"-0.9",IF(G96&lt;=60,"-1.0",IF(G96&lt;70,"-0.9",IF(G96&lt;=80,"-0.1",IF(G96&lt;=90,"-0.4"))))))</f>
        <v>-1.0</v>
      </c>
      <c r="K95" s="3"/>
    </row>
    <row r="96" spans="1:12" x14ac:dyDescent="0.25">
      <c r="A96" s="15">
        <v>37</v>
      </c>
      <c r="B96" s="15">
        <v>-1.8</v>
      </c>
      <c r="C96" s="15"/>
      <c r="D96" s="15">
        <v>80</v>
      </c>
      <c r="E96" s="15">
        <v>-0.4</v>
      </c>
      <c r="F96" s="3"/>
      <c r="G96" s="14">
        <f>ID!O16</f>
        <v>59.5</v>
      </c>
      <c r="H96" s="12"/>
      <c r="I96" s="14">
        <f>((G96-H95)/(H97-H95)*(J97-J95)+J95)</f>
        <v>-0.90500000000000003</v>
      </c>
      <c r="J96" s="14"/>
      <c r="K96" s="3"/>
    </row>
    <row r="97" spans="1:15" x14ac:dyDescent="0.25">
      <c r="A97" s="15">
        <v>40</v>
      </c>
      <c r="B97" s="15">
        <v>-2.1</v>
      </c>
      <c r="C97" s="4"/>
      <c r="D97" s="15">
        <v>90</v>
      </c>
      <c r="E97" s="15">
        <v>0.2</v>
      </c>
      <c r="F97" s="3"/>
      <c r="G97" s="12"/>
      <c r="H97" s="12" t="str">
        <f>IF(G96&lt;=40,"40",IF(G96&lt;=50,"50",IF(G96&lt;=60,"60",IF(G96&lt;=70,"70",IF(G96&lt;=80,"80",IF(G96&lt;=90,"90",))))))</f>
        <v>60</v>
      </c>
      <c r="I97" s="12"/>
      <c r="J97" s="12" t="str">
        <f>IF(G96&lt;=40,"-0.9",IF(G96&lt;=50,"-1.0",IF(G96&lt;=60,"-0.9",IF(G96&lt;=70,"-0.1",IF(G96&lt;=80,"-0.4",IF(G96&lt;=90,"0.2"))))))</f>
        <v>-0.9</v>
      </c>
      <c r="K97" s="3"/>
    </row>
    <row r="98" spans="1:15" x14ac:dyDescent="0.25">
      <c r="A98" s="23"/>
      <c r="B98" s="23"/>
      <c r="C98" s="3"/>
      <c r="D98" s="23"/>
      <c r="E98" s="23"/>
      <c r="F98" s="3"/>
      <c r="G98" s="17"/>
      <c r="H98" s="17"/>
      <c r="I98" s="17"/>
      <c r="J98" s="17"/>
      <c r="K98" s="3"/>
    </row>
    <row r="99" spans="1:15" ht="48" customHeight="1" x14ac:dyDescent="0.25">
      <c r="A99" s="941" t="str">
        <f>ID!B58</f>
        <v>SPO₂ Simulator, Merek : Fluke, Model : SPOT LIGHT, SN : 4404040</v>
      </c>
      <c r="B99" s="941"/>
      <c r="C99" s="941"/>
      <c r="D99" s="941"/>
      <c r="E99" s="941"/>
      <c r="F99" s="941"/>
      <c r="G99" s="941"/>
      <c r="H99" s="941"/>
      <c r="I99" s="941"/>
      <c r="J99" s="941"/>
      <c r="K99" s="941"/>
      <c r="L99" s="941"/>
      <c r="M99" s="941"/>
      <c r="N99" s="941"/>
      <c r="O99" s="941"/>
    </row>
    <row r="100" spans="1:15" ht="18.75" customHeight="1" x14ac:dyDescent="0.25">
      <c r="A100" s="51"/>
      <c r="B100" s="51"/>
      <c r="C100" s="51"/>
      <c r="D100" s="51"/>
      <c r="E100" s="51"/>
      <c r="F100" s="68"/>
      <c r="G100" s="69"/>
      <c r="H100" s="69"/>
      <c r="I100" s="51"/>
      <c r="J100" s="51"/>
      <c r="K100" s="51"/>
      <c r="L100" s="51"/>
      <c r="M100" s="51"/>
      <c r="N100" s="51"/>
      <c r="O100" s="51"/>
    </row>
    <row r="101" spans="1:15" x14ac:dyDescent="0.25">
      <c r="A101" s="953" t="s">
        <v>248</v>
      </c>
      <c r="B101" s="942" t="s">
        <v>167</v>
      </c>
      <c r="C101" s="943"/>
      <c r="D101" s="944"/>
      <c r="F101" s="69"/>
      <c r="G101" s="945" t="s">
        <v>233</v>
      </c>
      <c r="H101" s="945"/>
      <c r="I101" s="2"/>
      <c r="J101" s="43"/>
      <c r="K101" s="44"/>
    </row>
    <row r="102" spans="1:15" x14ac:dyDescent="0.25">
      <c r="A102" s="954"/>
      <c r="B102" s="24">
        <v>2018</v>
      </c>
      <c r="C102" s="24">
        <v>2019</v>
      </c>
      <c r="D102" s="25" t="s">
        <v>234</v>
      </c>
      <c r="F102" s="69"/>
      <c r="G102" s="55" t="s">
        <v>248</v>
      </c>
      <c r="H102" s="55" t="s">
        <v>167</v>
      </c>
      <c r="I102" s="22"/>
      <c r="J102" s="21"/>
      <c r="K102" s="21"/>
    </row>
    <row r="103" spans="1:15" x14ac:dyDescent="0.25">
      <c r="A103" s="52">
        <v>0</v>
      </c>
      <c r="B103" s="62" t="s">
        <v>100</v>
      </c>
      <c r="C103" s="56">
        <f>H103</f>
        <v>0</v>
      </c>
      <c r="D103" s="57">
        <f>0.5*((MAX(B103:C103))-(MIN(B103:C103)))</f>
        <v>0</v>
      </c>
      <c r="F103" s="69"/>
      <c r="G103" s="55">
        <v>0</v>
      </c>
      <c r="H103" s="90">
        <v>0</v>
      </c>
      <c r="I103" s="22"/>
      <c r="J103" s="21"/>
      <c r="K103" s="21"/>
    </row>
    <row r="104" spans="1:15" x14ac:dyDescent="0.25">
      <c r="A104" s="52">
        <v>85</v>
      </c>
      <c r="B104" s="62" t="s">
        <v>100</v>
      </c>
      <c r="C104" s="56">
        <f>H104</f>
        <v>9.9999999999999995E-7</v>
      </c>
      <c r="D104" s="57">
        <f>0.5*((MAX(B104:C104))-(MIN(B104:C104)))</f>
        <v>0</v>
      </c>
      <c r="F104" s="69"/>
      <c r="G104" s="52">
        <v>85</v>
      </c>
      <c r="H104" s="112">
        <f>'DATA SERTIFIKAT(O2)'!B138</f>
        <v>9.9999999999999995E-7</v>
      </c>
      <c r="I104" s="22"/>
      <c r="J104" s="21"/>
      <c r="K104" s="21"/>
    </row>
    <row r="105" spans="1:15" x14ac:dyDescent="0.25">
      <c r="A105" s="16">
        <v>90</v>
      </c>
      <c r="B105" s="54" t="s">
        <v>100</v>
      </c>
      <c r="C105" s="70">
        <f>H103</f>
        <v>0</v>
      </c>
      <c r="D105" s="57">
        <f>0.5*((MAX(B105:C105))-(MIN(B105:C105)))</f>
        <v>0</v>
      </c>
      <c r="F105" s="69"/>
      <c r="G105" s="16">
        <v>90</v>
      </c>
      <c r="H105" s="112">
        <f>'DATA SERTIFIKAT(O2)'!B139</f>
        <v>9.9999999999999995E-7</v>
      </c>
      <c r="I105" s="22"/>
      <c r="J105" s="21"/>
      <c r="K105" s="21"/>
    </row>
    <row r="106" spans="1:15" x14ac:dyDescent="0.25">
      <c r="A106" s="16">
        <v>95</v>
      </c>
      <c r="B106" s="54" t="s">
        <v>100</v>
      </c>
      <c r="C106" s="70">
        <f t="shared" ref="C106:C110" si="0">H105</f>
        <v>9.9999999999999995E-7</v>
      </c>
      <c r="D106" s="57">
        <f t="shared" ref="D106:D110" si="1">0.5*((MAX(B106:C106))-(MIN(B106:C106)))</f>
        <v>0</v>
      </c>
      <c r="F106" s="69"/>
      <c r="G106" s="16">
        <v>95</v>
      </c>
      <c r="H106" s="112">
        <f>'DATA SERTIFIKAT(O2)'!B140</f>
        <v>9.9999999999999995E-7</v>
      </c>
      <c r="I106" s="22"/>
      <c r="J106" s="21"/>
      <c r="K106" s="21"/>
    </row>
    <row r="107" spans="1:15" x14ac:dyDescent="0.25">
      <c r="A107" s="16">
        <v>97</v>
      </c>
      <c r="B107" s="54" t="s">
        <v>100</v>
      </c>
      <c r="C107" s="70">
        <f t="shared" si="0"/>
        <v>9.9999999999999995E-7</v>
      </c>
      <c r="D107" s="57">
        <f t="shared" si="1"/>
        <v>0</v>
      </c>
      <c r="F107" s="69"/>
      <c r="G107" s="16">
        <v>97</v>
      </c>
      <c r="H107" s="112">
        <f>'DATA SERTIFIKAT(O2)'!B141</f>
        <v>9.9999999999999995E-7</v>
      </c>
      <c r="I107" s="22"/>
      <c r="J107" s="22"/>
      <c r="L107" s="21"/>
    </row>
    <row r="108" spans="1:15" x14ac:dyDescent="0.25">
      <c r="A108" s="16">
        <v>98</v>
      </c>
      <c r="B108" s="54" t="s">
        <v>100</v>
      </c>
      <c r="C108" s="70">
        <f t="shared" si="0"/>
        <v>9.9999999999999995E-7</v>
      </c>
      <c r="D108" s="57">
        <f t="shared" si="1"/>
        <v>0</v>
      </c>
      <c r="F108" s="69"/>
      <c r="G108" s="16">
        <v>98</v>
      </c>
      <c r="H108" s="112">
        <f>'DATA SERTIFIKAT(O2)'!B142</f>
        <v>9.9999999999999995E-7</v>
      </c>
      <c r="I108" s="22"/>
      <c r="J108" s="22"/>
    </row>
    <row r="109" spans="1:15" x14ac:dyDescent="0.25">
      <c r="A109" s="16">
        <v>99</v>
      </c>
      <c r="B109" s="54" t="s">
        <v>100</v>
      </c>
      <c r="C109" s="70">
        <f t="shared" si="0"/>
        <v>9.9999999999999995E-7</v>
      </c>
      <c r="D109" s="57">
        <f t="shared" si="1"/>
        <v>0</v>
      </c>
      <c r="F109" s="69"/>
      <c r="G109" s="16">
        <v>99</v>
      </c>
      <c r="H109" s="112">
        <f>'DATA SERTIFIKAT(O2)'!B143</f>
        <v>9.9999999999999995E-7</v>
      </c>
      <c r="I109" s="22"/>
      <c r="J109" s="22"/>
    </row>
    <row r="110" spans="1:15" x14ac:dyDescent="0.25">
      <c r="A110" s="16">
        <v>100</v>
      </c>
      <c r="B110" s="54" t="s">
        <v>100</v>
      </c>
      <c r="C110" s="70">
        <f t="shared" si="0"/>
        <v>9.9999999999999995E-7</v>
      </c>
      <c r="D110" s="57">
        <f t="shared" si="1"/>
        <v>0</v>
      </c>
      <c r="F110" s="69"/>
      <c r="G110" s="16">
        <v>100</v>
      </c>
      <c r="H110" s="112">
        <f>'DATA SERTIFIKAT(O2)'!B144</f>
        <v>9.9999999999999995E-7</v>
      </c>
      <c r="I110" s="22"/>
      <c r="J110" s="22"/>
    </row>
    <row r="111" spans="1:15" x14ac:dyDescent="0.25">
      <c r="H111" s="113"/>
    </row>
    <row r="112" spans="1:15" ht="16.2" x14ac:dyDescent="0.35">
      <c r="A112" s="26" t="s">
        <v>170</v>
      </c>
      <c r="G112" s="66" t="s">
        <v>235</v>
      </c>
      <c r="H112" s="63"/>
      <c r="I112" s="63"/>
    </row>
    <row r="113" spans="1:34" ht="15.6" x14ac:dyDescent="0.3">
      <c r="A113" s="953" t="s">
        <v>248</v>
      </c>
      <c r="B113" s="935" t="s">
        <v>170</v>
      </c>
      <c r="F113" s="63"/>
      <c r="G113" s="59" t="s">
        <v>248</v>
      </c>
      <c r="H113" s="936" t="s">
        <v>167</v>
      </c>
      <c r="I113" s="937"/>
      <c r="J113" s="937"/>
      <c r="K113" s="937"/>
      <c r="L113" s="938"/>
      <c r="M113" s="935" t="s">
        <v>236</v>
      </c>
    </row>
    <row r="114" spans="1:34" x14ac:dyDescent="0.25">
      <c r="A114" s="954"/>
      <c r="B114" s="955"/>
      <c r="F114" s="64"/>
      <c r="G114" s="60"/>
      <c r="H114" s="55" t="s">
        <v>54</v>
      </c>
      <c r="I114" s="14" t="s">
        <v>55</v>
      </c>
      <c r="J114" s="55" t="s">
        <v>56</v>
      </c>
      <c r="K114" s="25" t="s">
        <v>57</v>
      </c>
      <c r="L114" s="55" t="s">
        <v>58</v>
      </c>
      <c r="M114" s="935"/>
    </row>
    <row r="115" spans="1:34" x14ac:dyDescent="0.25">
      <c r="A115" s="52">
        <v>85</v>
      </c>
      <c r="B115" s="61">
        <f>'DATA SERTIFIKAT(O2)'!E138</f>
        <v>1E-4</v>
      </c>
      <c r="F115" s="64"/>
      <c r="G115" s="52">
        <v>85</v>
      </c>
      <c r="H115" s="91">
        <f>C127</f>
        <v>9.9999999999999995E-7</v>
      </c>
      <c r="I115" s="114">
        <f>AB132</f>
        <v>0</v>
      </c>
      <c r="J115" s="115">
        <f>AB137</f>
        <v>0</v>
      </c>
      <c r="K115" s="116">
        <f>AB142</f>
        <v>0</v>
      </c>
      <c r="L115" s="115">
        <f>AB147</f>
        <v>0</v>
      </c>
      <c r="M115" s="83">
        <f>C155</f>
        <v>0</v>
      </c>
    </row>
    <row r="116" spans="1:34" x14ac:dyDescent="0.25">
      <c r="A116" s="16">
        <v>90</v>
      </c>
      <c r="B116" s="61">
        <f>'DATA SERTIFIKAT(O2)'!E139</f>
        <v>1E-4</v>
      </c>
      <c r="F116" s="65"/>
      <c r="G116" s="16">
        <v>90</v>
      </c>
      <c r="H116" s="94">
        <f>H127</f>
        <v>9.9999999999999995E-7</v>
      </c>
      <c r="I116" s="117">
        <f>C132</f>
        <v>0</v>
      </c>
      <c r="J116" s="115">
        <f>C137</f>
        <v>9.4444444444444441E-7</v>
      </c>
      <c r="K116" s="116">
        <f>C142</f>
        <v>0</v>
      </c>
      <c r="L116" s="115">
        <f>C147</f>
        <v>0</v>
      </c>
      <c r="M116" s="58">
        <f>H155</f>
        <v>0</v>
      </c>
      <c r="N116" s="82"/>
    </row>
    <row r="117" spans="1:34" x14ac:dyDescent="0.25">
      <c r="A117" s="16">
        <v>95</v>
      </c>
      <c r="B117" s="61">
        <f>'DATA SERTIFIKAT(O2)'!E140</f>
        <v>1E-4</v>
      </c>
      <c r="F117" s="64"/>
      <c r="G117" s="16">
        <v>95</v>
      </c>
      <c r="H117" s="94">
        <f>M127</f>
        <v>9.9999999999999995E-7</v>
      </c>
      <c r="I117" s="117">
        <f>H132</f>
        <v>0</v>
      </c>
      <c r="J117" s="115">
        <f>H137</f>
        <v>0</v>
      </c>
      <c r="K117" s="116">
        <f>H142</f>
        <v>0</v>
      </c>
      <c r="L117" s="115">
        <f>H147</f>
        <v>0</v>
      </c>
      <c r="M117" s="58">
        <f>M155</f>
        <v>0</v>
      </c>
      <c r="N117" s="82"/>
    </row>
    <row r="118" spans="1:34" ht="15.6" x14ac:dyDescent="0.3">
      <c r="A118" s="16">
        <v>97</v>
      </c>
      <c r="B118" s="61">
        <f>'DATA SERTIFIKAT(O2)'!E141</f>
        <v>1E-4</v>
      </c>
      <c r="F118" s="63"/>
      <c r="G118" s="16">
        <v>97</v>
      </c>
      <c r="H118" s="93">
        <f>R127</f>
        <v>9.9999999999999995E-7</v>
      </c>
      <c r="I118" s="117">
        <f>M132</f>
        <v>0</v>
      </c>
      <c r="J118" s="115">
        <f>M137</f>
        <v>0</v>
      </c>
      <c r="K118" s="116">
        <f>M142</f>
        <v>0</v>
      </c>
      <c r="L118" s="115">
        <f>M147</f>
        <v>0</v>
      </c>
      <c r="M118" s="58">
        <f>R155</f>
        <v>0</v>
      </c>
      <c r="N118" s="82"/>
    </row>
    <row r="119" spans="1:34" ht="15.6" x14ac:dyDescent="0.3">
      <c r="A119" s="16">
        <v>98</v>
      </c>
      <c r="B119" s="61">
        <f>'DATA SERTIFIKAT(O2)'!E142</f>
        <v>1E-4</v>
      </c>
      <c r="F119" s="63"/>
      <c r="G119" s="16">
        <v>98</v>
      </c>
      <c r="H119" s="93">
        <f>W127</f>
        <v>9.9999999999999995E-7</v>
      </c>
      <c r="I119" s="117">
        <f>AG132</f>
        <v>0</v>
      </c>
      <c r="J119" s="115">
        <f>AG137</f>
        <v>0</v>
      </c>
      <c r="K119" s="116">
        <f>AG142</f>
        <v>0</v>
      </c>
      <c r="L119" s="115">
        <f>AG147</f>
        <v>0</v>
      </c>
      <c r="M119" s="58">
        <f>W155</f>
        <v>0</v>
      </c>
      <c r="N119" s="82"/>
    </row>
    <row r="120" spans="1:34" x14ac:dyDescent="0.25">
      <c r="A120" s="16">
        <v>99</v>
      </c>
      <c r="B120" s="61">
        <f>'DATA SERTIFIKAT(O2)'!E143</f>
        <v>1E-4</v>
      </c>
      <c r="F120" s="64"/>
      <c r="G120" s="16">
        <v>99</v>
      </c>
      <c r="H120" s="94">
        <f>AB127</f>
        <v>9.9999999999999995E-7</v>
      </c>
      <c r="I120" s="115">
        <f>R132</f>
        <v>0</v>
      </c>
      <c r="J120" s="115">
        <f>R137</f>
        <v>0</v>
      </c>
      <c r="K120" s="116">
        <f>R142</f>
        <v>0</v>
      </c>
      <c r="L120" s="115">
        <f>R147</f>
        <v>0</v>
      </c>
      <c r="M120" s="58">
        <f>AB155</f>
        <v>0</v>
      </c>
      <c r="N120" s="82"/>
    </row>
    <row r="121" spans="1:34" x14ac:dyDescent="0.25">
      <c r="A121" s="16">
        <v>100</v>
      </c>
      <c r="B121" s="61">
        <f>'DATA SERTIFIKAT(O2)'!E144</f>
        <v>1E-4</v>
      </c>
      <c r="F121" s="64"/>
      <c r="G121" s="16">
        <v>100</v>
      </c>
      <c r="H121" s="94">
        <f>AG127</f>
        <v>9.9999999999999995E-7</v>
      </c>
      <c r="I121" s="115">
        <f>W132</f>
        <v>0</v>
      </c>
      <c r="J121" s="115">
        <f>W137</f>
        <v>0</v>
      </c>
      <c r="K121" s="116">
        <f>W142</f>
        <v>0</v>
      </c>
      <c r="L121" s="115">
        <f>W147</f>
        <v>0</v>
      </c>
      <c r="M121" s="58">
        <f>AG155</f>
        <v>0</v>
      </c>
      <c r="N121" s="82"/>
    </row>
    <row r="122" spans="1:34" x14ac:dyDescent="0.25">
      <c r="D122" s="3"/>
      <c r="E122" s="3"/>
      <c r="F122" s="3"/>
    </row>
    <row r="123" spans="1:34" ht="41.25" customHeight="1" x14ac:dyDescent="0.25">
      <c r="A123" s="952" t="s">
        <v>237</v>
      </c>
      <c r="B123" s="952"/>
      <c r="C123" s="952"/>
      <c r="D123" s="952"/>
      <c r="E123" s="952"/>
      <c r="F123" s="952"/>
      <c r="G123" s="952"/>
      <c r="H123" s="952"/>
      <c r="I123" s="952"/>
      <c r="J123" s="952"/>
      <c r="K123" s="952"/>
      <c r="L123" s="952"/>
      <c r="M123" s="952"/>
      <c r="N123" s="952"/>
      <c r="O123" s="952"/>
      <c r="P123" s="952"/>
      <c r="Q123" s="952"/>
      <c r="R123" s="952"/>
      <c r="S123" s="952"/>
      <c r="T123" s="952"/>
      <c r="U123" s="952"/>
      <c r="V123" s="952"/>
      <c r="W123" s="952"/>
      <c r="X123" s="952"/>
      <c r="Y123" s="952"/>
      <c r="Z123" s="952"/>
      <c r="AA123" s="952"/>
      <c r="AB123" s="952"/>
      <c r="AC123" s="952"/>
      <c r="AD123" s="67"/>
      <c r="AE123" s="67"/>
      <c r="AF123" s="67"/>
      <c r="AG123" s="67"/>
      <c r="AH123" s="67"/>
    </row>
    <row r="124" spans="1:34" ht="21" customHeight="1" thickBot="1" x14ac:dyDescent="0.3">
      <c r="A124" s="940" t="s">
        <v>255</v>
      </c>
      <c r="B124" s="940"/>
      <c r="C124" s="940"/>
      <c r="D124" s="940"/>
      <c r="E124" s="53"/>
      <c r="F124" s="940" t="s">
        <v>256</v>
      </c>
      <c r="G124" s="940"/>
      <c r="H124" s="940"/>
      <c r="I124" s="940"/>
      <c r="J124" s="53"/>
      <c r="K124" s="940" t="s">
        <v>257</v>
      </c>
      <c r="L124" s="940"/>
      <c r="M124" s="940"/>
      <c r="N124" s="940"/>
      <c r="O124" s="67"/>
      <c r="P124" s="940" t="s">
        <v>258</v>
      </c>
      <c r="Q124" s="940"/>
      <c r="R124" s="940"/>
      <c r="S124" s="940"/>
      <c r="T124" s="67"/>
      <c r="U124" s="940" t="s">
        <v>259</v>
      </c>
      <c r="V124" s="940"/>
      <c r="W124" s="940"/>
      <c r="X124" s="940"/>
      <c r="Y124" s="67"/>
      <c r="Z124" s="940" t="s">
        <v>260</v>
      </c>
      <c r="AA124" s="940"/>
      <c r="AB124" s="940"/>
      <c r="AC124" s="940"/>
      <c r="AD124" s="67"/>
      <c r="AE124" s="940" t="s">
        <v>261</v>
      </c>
      <c r="AF124" s="940"/>
      <c r="AG124" s="940"/>
      <c r="AH124" s="940"/>
    </row>
    <row r="125" spans="1:34" ht="15.6" x14ac:dyDescent="0.3">
      <c r="A125" s="921" t="s">
        <v>240</v>
      </c>
      <c r="B125" s="922"/>
      <c r="C125" s="922"/>
      <c r="D125" s="923"/>
      <c r="F125" s="921" t="s">
        <v>240</v>
      </c>
      <c r="G125" s="922"/>
      <c r="H125" s="922"/>
      <c r="I125" s="923"/>
      <c r="J125" s="30"/>
      <c r="K125" s="921" t="s">
        <v>240</v>
      </c>
      <c r="L125" s="922"/>
      <c r="M125" s="922"/>
      <c r="N125" s="923"/>
      <c r="P125" s="921" t="s">
        <v>240</v>
      </c>
      <c r="Q125" s="922"/>
      <c r="R125" s="922"/>
      <c r="S125" s="923"/>
      <c r="U125" s="921" t="s">
        <v>240</v>
      </c>
      <c r="V125" s="922"/>
      <c r="W125" s="922"/>
      <c r="X125" s="923"/>
      <c r="Z125" s="921" t="s">
        <v>240</v>
      </c>
      <c r="AA125" s="922"/>
      <c r="AB125" s="922"/>
      <c r="AC125" s="923"/>
      <c r="AE125" s="921" t="s">
        <v>240</v>
      </c>
      <c r="AF125" s="922"/>
      <c r="AG125" s="922"/>
      <c r="AH125" s="923"/>
    </row>
    <row r="126" spans="1:34" x14ac:dyDescent="0.25">
      <c r="A126" s="31"/>
      <c r="B126" s="32">
        <f>IF(A127&lt;=$G$104,$G$103,IF(A127&lt;=$G$105,$G$104,IF(A127&lt;=$G$106,$G$105,IF(A127&lt;=$G$107,$G$106,IF(A127&lt;=$G$108,$G$107,IF(A127&lt;=$G$109,$G$108,IF(A127&lt;=$G$110,$G$109,IF)))))))</f>
        <v>0</v>
      </c>
      <c r="C126" s="32"/>
      <c r="D126" s="33">
        <f>IF(A127&lt;=$G$104,$H$103,IF(A127&lt;=$G$105,$H$104,IF(A127&lt;=$G$106,$H$105,IF(A127&lt;=$G$107,$H$106,IF(A127&lt;=$G$108,$H$107,IF(A127&lt;=$G$109,$H$108,IF(A127&lt;=$G$110,$H$109,IF(A127&lt;=$G$110,$H$110))))))))</f>
        <v>0</v>
      </c>
      <c r="F126" s="31"/>
      <c r="G126" s="32">
        <f>IF(F127&lt;=$G$104,$G$103,IF(F127&lt;=$G$105,$G$104,IF(F127&lt;=$G$106,$G$105,IF(F127&lt;=$G$107,$G$106,IF(F127&lt;=$G$108,$G$107,IF(F127&lt;=$G$109,$G$108,IF(F127&lt;=$G$110,$G$109,IF)))))))</f>
        <v>85</v>
      </c>
      <c r="H126" s="32"/>
      <c r="I126" s="33">
        <f>IF(F127&lt;=$G$104,$H$103,IF(F127&lt;=$G$105,$H$104,IF(F127&lt;=$G$106,$H$105,IF(F127&lt;=$G$107,$H$106,IF(F127&lt;=$G$108,$H$107,IF(F127&lt;=$G$109,$H$108,IF(F127&lt;=$G$110,$H$109,IF(F127&lt;=$G$110,$H$110))))))))</f>
        <v>9.9999999999999995E-7</v>
      </c>
      <c r="J126" s="17"/>
      <c r="K126" s="31"/>
      <c r="L126" s="32">
        <f>IF(K127&lt;=$G$104,$G$103,IF(K127&lt;=$G$105,$G$104,IF(K127&lt;=$G$106,$G$105,IF(K127&lt;=$G$107,$G$106,IF(K127&lt;=$G$108,$G$107,IF(K127&lt;=$G$109,$G$108,IF(K127&lt;=$G$110,$G$109,IF)))))))</f>
        <v>90</v>
      </c>
      <c r="M126" s="32"/>
      <c r="N126" s="33">
        <f>IF(K127&lt;=$G$104,$H$103,IF(K127&lt;=$G$105,$H$104,IF(K127&lt;=$G$106,$H$105,IF(K127&lt;=$G$107,$H$106,IF(K127&lt;=$G$108,$H$107,IF(K127&lt;=$G$109,$H$108,IF(K127&lt;=$G$110,$H$109,IF(K127&lt;=$G$110,$H$110))))))))</f>
        <v>9.9999999999999995E-7</v>
      </c>
      <c r="P126" s="31"/>
      <c r="Q126" s="32">
        <f>IF(P127&lt;=$G$104,$G$103,IF(P127&lt;=$G$105,$G$104,IF(P127&lt;=$G$106,$G$105,IF(P127&lt;=$G$107,$G$106,IF(P127&lt;=$G$108,$G$107,IF(P127&lt;=$G$109,$G$108,IF(P127&lt;=$G$110,$G$109,IF)))))))</f>
        <v>97</v>
      </c>
      <c r="R126" s="32"/>
      <c r="S126" s="33">
        <f>IF(P127&lt;=$G$104,$H$103,IF(P127&lt;=$G$105,$H$104,IF(P127&lt;=$G$106,$H$105,IF(P127&lt;=$G$107,$H$106,IF(P127&lt;=$G$108,$H$107,IF(P127&lt;=$G$109,$H$108,IF(P127&lt;=$G$110,$H$109,IF(P127&lt;=$G$110,$H$110))))))))</f>
        <v>9.9999999999999995E-7</v>
      </c>
      <c r="U126" s="31"/>
      <c r="V126" s="32">
        <f>IF(U127&lt;=$G$104,$G$103,IF(U127&lt;=$G$105,$G$104,IF(U127&lt;=$G$106,$G$105,IF(U127&lt;=$G$107,$G$106,IF(U127&lt;=$G$108,$G$107,IF(U127&lt;=$G$109,$G$108,IF(U127&lt;=$G$110,$G$109,IF)))))))</f>
        <v>97</v>
      </c>
      <c r="W126" s="32"/>
      <c r="X126" s="33">
        <f>IF(U127&lt;=$G$104,$H$103,IF(U127&lt;=$G$105,$H$104,IF(U127&lt;=$G$106,$H$105,IF(U127&lt;=$G$107,$H$106,IF(U127&lt;=$G$108,$H$107,IF(U127&lt;=$G$109,$H$108,IF(U127&lt;=$G$110,$H$109,IF(U127&lt;=$G$110,$H$110))))))))</f>
        <v>9.9999999999999995E-7</v>
      </c>
      <c r="Z126" s="31"/>
      <c r="AA126" s="32">
        <f>IF(Z127&lt;=$G$104,$G$103,IF(Z127&lt;=$G$105,$G$104,IF(Z127&lt;=$G$106,$G$105,IF(Z127&lt;=$G$107,$G$106,IF(Z127&lt;=$G$108,$G$107,IF(Z127&lt;=$G$109,$G$108,IF(Z127&lt;=$G$110,$G$109,IF)))))))</f>
        <v>98</v>
      </c>
      <c r="AB126" s="32"/>
      <c r="AC126" s="33">
        <f>IF(Z127&lt;=$G$104,$H$103,IF(Z127&lt;=$G$105,$H$104,IF(Z127&lt;=$G$106,$H$105,IF(Z127&lt;=$G$107,$H$106,IF(Z127&lt;=$G$108,$H$107,IF(Z127&lt;=$G$109,$H$108,IF(Z127&lt;=$G$110,$H$109,IF(Z127&lt;=$G$110,$H$110))))))))</f>
        <v>9.9999999999999995E-7</v>
      </c>
      <c r="AE126" s="31"/>
      <c r="AF126" s="32">
        <f>IF(AE127&lt;=$G$104,$G$103,IF(AE127&lt;=$G$105,$G$104,IF(AE127&lt;=$G$106,$G$105,IF(AE127&lt;=$G$107,$G$106,IF(AE127&lt;=$G$108,$G$107,IF(AE127&lt;=$G$109,$G$108,IF(AE127&lt;=$G$110,$G$109,IF)))))))</f>
        <v>99</v>
      </c>
      <c r="AG126" s="32"/>
      <c r="AH126" s="33">
        <f>IF(AE127&lt;=$G$104,$H$103,IF(AE127&lt;=$G$105,$H$104,IF(AE127&lt;=$G$106,$H$105,IF(AE127&lt;=$G$107,$H$106,IF(AE127&lt;=$G$108,$H$107,IF(AE127&lt;=$G$109,$H$108,IF(AE127&lt;=$G$110,$H$109,IF(AE127&lt;=$G$110,$H$110))))))))</f>
        <v>9.9999999999999995E-7</v>
      </c>
    </row>
    <row r="127" spans="1:34" x14ac:dyDescent="0.25">
      <c r="A127" s="34">
        <f>ID!K95</f>
        <v>85</v>
      </c>
      <c r="B127" s="32"/>
      <c r="C127" s="35">
        <f>((A127-B126)/(B128-B126)*(D128-D126)+D126)</f>
        <v>9.9999999999999995E-7</v>
      </c>
      <c r="D127" s="33"/>
      <c r="F127" s="34">
        <f>ID!K94</f>
        <v>90</v>
      </c>
      <c r="G127" s="32"/>
      <c r="H127" s="35">
        <f>((F127-G126)/(G128-G126)*(I128-I126)+I126)</f>
        <v>9.9999999999999995E-7</v>
      </c>
      <c r="I127" s="33"/>
      <c r="J127" s="17"/>
      <c r="K127" s="34">
        <f>ID!K93</f>
        <v>95</v>
      </c>
      <c r="L127" s="32"/>
      <c r="M127" s="35">
        <f>((K127-L126)/(L128-L126)*(N128-N126)+N126)</f>
        <v>9.9999999999999995E-7</v>
      </c>
      <c r="N127" s="33"/>
      <c r="P127" s="34">
        <f>ID!K92</f>
        <v>97.166666666666671</v>
      </c>
      <c r="Q127" s="32"/>
      <c r="R127" s="35">
        <f>((P127-Q126)/(Q128-Q126)*(S128-S126)+S126)</f>
        <v>9.9999999999999995E-7</v>
      </c>
      <c r="S127" s="33"/>
      <c r="U127" s="34">
        <f>ID!K91</f>
        <v>98</v>
      </c>
      <c r="V127" s="32"/>
      <c r="W127" s="35">
        <f>((U127-V126)/(V128-V126)*(X128-X126)+X126)</f>
        <v>9.9999999999999995E-7</v>
      </c>
      <c r="X127" s="33"/>
      <c r="Z127" s="34">
        <f>ID!K90</f>
        <v>99</v>
      </c>
      <c r="AA127" s="32"/>
      <c r="AB127" s="35">
        <f>((Z127-AA126)/(AA128-AA126)*(AC128-AC126)+AC126)</f>
        <v>9.9999999999999995E-7</v>
      </c>
      <c r="AC127" s="33"/>
      <c r="AE127" s="34">
        <f>ID!K89</f>
        <v>100</v>
      </c>
      <c r="AF127" s="32"/>
      <c r="AG127" s="35">
        <f>((AE127-AF126)/(AF128-AF126)*(AH128-AH126)+AH126)</f>
        <v>9.9999999999999995E-7</v>
      </c>
      <c r="AH127" s="33"/>
    </row>
    <row r="128" spans="1:34" ht="13.8" thickBot="1" x14ac:dyDescent="0.3">
      <c r="A128" s="38"/>
      <c r="B128" s="39">
        <f>IF(A127&lt;=$G$103,$G$103,IF(A127&lt;=$G$104,$G$104,IF(A127&lt;=$G$105,$G$105,IF(A127&lt;=$G$106,$G$106,IF(A127&lt;=$G$107,$G$107,IF(A127&lt;=$G$108,$G$108,IF(A127&lt;=$G$109,$G$109,$G$110)))))))</f>
        <v>85</v>
      </c>
      <c r="C128" s="39"/>
      <c r="D128" s="40">
        <f>IF(A127&lt;=$G$103,$H$103,IF(A127&lt;=$G$104,$H$104,IF(A127&lt;=$G$105,$H$105,IF(A127&lt;=$G$106,$H$106,IF(A127&lt;=$G$107,$H$107,IF(A127&lt;=$G$108,$H$108,IF(A127&lt;=$G$109,$H$109,IF(A127&lt;=$G$110,$H$110))))))))</f>
        <v>9.9999999999999995E-7</v>
      </c>
      <c r="F128" s="38"/>
      <c r="G128" s="39">
        <f>IF(F127&lt;=$G$103,$G$103,IF(F127&lt;=$G$104,$G$104,IF(F127&lt;=$G$105,$G$105,IF(F127&lt;=$G$106,$G$106,IF(F127&lt;=$G$107,$G$107,IF(F127&lt;=$G$108,$G$108,IF(F127&lt;=$G$109,$G$109,$G$110)))))))</f>
        <v>90</v>
      </c>
      <c r="H128" s="39"/>
      <c r="I128" s="40">
        <f>IF(F127&lt;=$G$103,$H$103,IF(F127&lt;=$G$104,$H$104,IF(F127&lt;=$G$105,$H$105,IF(F127&lt;=$G$106,$H$106,IF(F127&lt;=$G$107,$H$107,IF(F127&lt;=$G$108,$H$108,IF(F127&lt;=$G$109,$H$109,IF(F127&lt;=$G$110,$H$110))))))))</f>
        <v>9.9999999999999995E-7</v>
      </c>
      <c r="J128" s="17"/>
      <c r="K128" s="38"/>
      <c r="L128" s="39">
        <f>IF(K127&lt;=$G$103,$G$103,IF(K127&lt;=$G$104,$G$104,IF(K127&lt;=$G$105,$G$105,IF(K127&lt;=$G$106,$G$106,IF(K127&lt;=$G$107,$G$107,IF(K127&lt;=$G$108,$G$108,IF(K127&lt;=$G$109,$G$109,$G$110)))))))</f>
        <v>95</v>
      </c>
      <c r="M128" s="39"/>
      <c r="N128" s="40">
        <f>IF(K127&lt;=$G$103,$H$103,IF(K127&lt;=$G$104,$H$104,IF(K127&lt;=$G$105,$H$105,IF(K127&lt;=$G$106,$H$106,IF(K127&lt;=$G$107,$H$107,IF(K127&lt;=$G$108,$H$108,IF(K127&lt;=$G$109,$H$109,IF(K127&lt;=$G$110,$H$110))))))))</f>
        <v>9.9999999999999995E-7</v>
      </c>
      <c r="P128" s="38"/>
      <c r="Q128" s="39">
        <f>IF(P127&lt;=$G$103,$G$103,IF(P127&lt;=$G$104,$G$104,IF(P127&lt;=$G$105,$G$105,IF(P127&lt;=$G$106,$G$106,IF(P127&lt;=$G$107,$G$107,IF(P127&lt;=$G$108,$G$108,IF(P127&lt;=$G$109,$G$109,$G$110)))))))</f>
        <v>98</v>
      </c>
      <c r="R128" s="39"/>
      <c r="S128" s="40">
        <f>IF(P127&lt;=$G$103,$H$103,IF(P127&lt;=$G$104,$H$104,IF(P127&lt;=$G$105,$H$105,IF(P127&lt;=$G$106,$H$106,IF(P127&lt;=$G$107,$H$107,IF(P127&lt;=$G$108,$H$108,IF(P127&lt;=$G$109,$H$109,IF(P127&lt;=$G$110,$H$110))))))))</f>
        <v>9.9999999999999995E-7</v>
      </c>
      <c r="U128" s="38"/>
      <c r="V128" s="39">
        <f>IF(U127&lt;=$G$103,$G$103,IF(U127&lt;=$G$104,$G$104,IF(U127&lt;=$G$105,$G$105,IF(U127&lt;=$G$106,$G$106,IF(U127&lt;=$G$107,$G$107,IF(U127&lt;=$G$108,$G$108,IF(U127&lt;=$G$109,$G$109,$G$110)))))))</f>
        <v>98</v>
      </c>
      <c r="W128" s="39"/>
      <c r="X128" s="40">
        <f>IF(U127&lt;=$G$103,$H$103,IF(U127&lt;=$G$104,$H$104,IF(U127&lt;=$G$105,$H$105,IF(U127&lt;=$G$106,$H$106,IF(U127&lt;=$G$107,$H$107,IF(U127&lt;=$G$108,$H$108,IF(U127&lt;=$G$109,$H$109,IF(U127&lt;=$G$110,$H$110))))))))</f>
        <v>9.9999999999999995E-7</v>
      </c>
      <c r="Z128" s="38"/>
      <c r="AA128" s="39">
        <f>IF(Z127&lt;=$G$103,$G$103,IF(Z127&lt;=$G$104,$G$104,IF(Z127&lt;=$G$105,$G$105,IF(Z127&lt;=$G$106,$G$106,IF(Z127&lt;=$G$107,$G$107,IF(Z127&lt;=$G$108,$G$108,IF(Z127&lt;=$G$109,$G$109,$G$110)))))))</f>
        <v>99</v>
      </c>
      <c r="AB128" s="39"/>
      <c r="AC128" s="40">
        <f>IF(Z127&lt;=$G$103,$H$103,IF(Z127&lt;=$G$104,$H$104,IF(Z127&lt;=$G$105,$H$105,IF(Z127&lt;=$G$106,$H$106,IF(Z127&lt;=$G$107,$H$107,IF(Z127&lt;=$G$108,$H$108,IF(Z127&lt;=$G$109,$H$109,IF(Z127&lt;=$G$110,$H$110))))))))</f>
        <v>9.9999999999999995E-7</v>
      </c>
      <c r="AE128" s="38"/>
      <c r="AF128" s="39">
        <f>IF(AE127&lt;=$G$103,$G$103,IF(AE127&lt;=$G$104,$G$104,IF(AE127&lt;=$G$105,$G$105,IF(AE127&lt;=$G$106,$G$106,IF(AE127&lt;=$G$107,$G$107,IF(AE127&lt;=$G$108,$G$108,IF(AE127&lt;=$G$109,$G$109,IF(AE127&lt;=$G$110,$G$110,))))))))</f>
        <v>100</v>
      </c>
      <c r="AG128" s="39"/>
      <c r="AH128" s="40">
        <f>IF(AE127&lt;=$G$103,$H$103,IF(AE127&lt;=$G$104,$H$104,IF(AE127&lt;=$G$105,$H$105,IF(AE127&lt;=$G$106,$H$106,IF(AE127&lt;=$G$107,$H$107,IF(AE127&lt;=$G$108,$H$108,IF(AE127&lt;=$G$109,$H$109,IF(AE127&lt;=$G$110,$H$110))))))))</f>
        <v>9.9999999999999995E-7</v>
      </c>
    </row>
    <row r="129" spans="1:34" ht="16.2" thickBot="1" x14ac:dyDescent="0.35">
      <c r="A129" s="17"/>
      <c r="B129" s="36"/>
      <c r="C129" s="36"/>
      <c r="D129" s="37"/>
      <c r="F129" s="17"/>
      <c r="G129" s="36"/>
      <c r="H129" s="36"/>
      <c r="I129" s="37"/>
      <c r="J129" s="30"/>
      <c r="K129" s="17"/>
      <c r="L129" s="36"/>
      <c r="M129" s="36"/>
      <c r="N129" s="37"/>
      <c r="P129" s="17"/>
      <c r="Q129" s="36"/>
      <c r="R129" s="36"/>
      <c r="S129" s="37"/>
      <c r="U129" s="17"/>
      <c r="V129" s="36"/>
      <c r="W129" s="36"/>
      <c r="X129" s="37"/>
      <c r="Z129" s="17"/>
      <c r="AA129" s="36"/>
      <c r="AB129" s="36"/>
      <c r="AC129" s="37"/>
      <c r="AE129" s="17"/>
      <c r="AF129" s="36"/>
      <c r="AG129" s="36"/>
      <c r="AH129" s="37"/>
    </row>
    <row r="130" spans="1:34" ht="15.6" x14ac:dyDescent="0.3">
      <c r="A130" s="927" t="s">
        <v>241</v>
      </c>
      <c r="B130" s="928"/>
      <c r="C130" s="928"/>
      <c r="D130" s="929"/>
      <c r="E130" s="98"/>
      <c r="F130" s="927" t="s">
        <v>241</v>
      </c>
      <c r="G130" s="928"/>
      <c r="H130" s="928"/>
      <c r="I130" s="929"/>
      <c r="J130" s="107"/>
      <c r="K130" s="927" t="s">
        <v>241</v>
      </c>
      <c r="L130" s="928"/>
      <c r="M130" s="928"/>
      <c r="N130" s="929"/>
      <c r="O130" s="98"/>
      <c r="P130" s="927" t="s">
        <v>241</v>
      </c>
      <c r="Q130" s="928"/>
      <c r="R130" s="928"/>
      <c r="S130" s="929"/>
      <c r="T130" s="98"/>
      <c r="U130" s="927" t="s">
        <v>241</v>
      </c>
      <c r="V130" s="928"/>
      <c r="W130" s="928"/>
      <c r="X130" s="929"/>
      <c r="Y130" s="98"/>
      <c r="Z130" s="927" t="s">
        <v>241</v>
      </c>
      <c r="AA130" s="928"/>
      <c r="AB130" s="928"/>
      <c r="AC130" s="929"/>
      <c r="AD130" s="98"/>
      <c r="AE130" s="927" t="s">
        <v>241</v>
      </c>
      <c r="AF130" s="928"/>
      <c r="AG130" s="928"/>
      <c r="AH130" s="929"/>
    </row>
    <row r="131" spans="1:34" x14ac:dyDescent="0.25">
      <c r="A131" s="99"/>
      <c r="B131" s="100">
        <f>IF(A132&lt;=$G$105,$G$103,IF(A132&lt;=$G$106,$G$105,IF(A132&lt;=$G$107,$G$106,IF(A132&lt;=$G$108,$G$107,IF(A132&lt;=$G$109,$G$108,IF(A132&lt;=$G$110,$G$109,IF(A132&lt;=#REF!,$G$110)))))))</f>
        <v>0</v>
      </c>
      <c r="C131" s="100"/>
      <c r="D131" s="101">
        <f>IF(A132&lt;=$G$105,$H$103,IF(A132&lt;=$G$106,$H$105,IF(A132&lt;=$G$107,$H$106,IF(A132&lt;=$G$108,$H$107,IF(A132&lt;=$G$109,$H$108,IF(A132&lt;=$G$110,$H$109,IF(A132&lt;=#REF!,$H$110)))))))</f>
        <v>0</v>
      </c>
      <c r="E131" s="118"/>
      <c r="F131" s="99"/>
      <c r="G131" s="100">
        <f>IF(F132&lt;=$G$105,$G$103,IF(F132&lt;=$G$106,$G$105,IF(F132&lt;=$G$107,$G$106,IF(F132&lt;=$G$108,$G$107,IF(F132&lt;=$G$109,$G$108,IF(F132&lt;=$G$110,$G$109,IF(F132&lt;=#REF!,$G$110)))))))</f>
        <v>0</v>
      </c>
      <c r="H131" s="100"/>
      <c r="I131" s="101">
        <f>IF(F132&lt;=$G$105,$H$103,IF(F132&lt;=$G$106,$H$105,IF(F132&lt;=$G$107,$H$106,IF(F132&lt;=$G$108,$H$107,IF(F132&lt;=$G$109,$H$108,IF(F132&lt;=$G$110,$H$109,IF(F132&lt;=#REF!,$H$110)))))))</f>
        <v>0</v>
      </c>
      <c r="J131" s="107"/>
      <c r="K131" s="99"/>
      <c r="L131" s="100">
        <f>IF(K132&lt;=$G$105,$G$103,IF(K132&lt;=$G$106,$G$105,IF(K132&lt;=$G$107,$G$106,IF(K132&lt;=$G$108,$G$107,IF(K132&lt;=$G$109,$G$108,IF(K132&lt;=$G$110,$G$109,IF(K132&lt;=#REF!,$G$110)))))))</f>
        <v>0</v>
      </c>
      <c r="M131" s="100"/>
      <c r="N131" s="101">
        <f>IF(K132&lt;=$G$105,$H$103,IF(K132&lt;=$G$106,$H$105,IF(K132&lt;=$G$107,$H$106,IF(K132&lt;=$G$108,$H$107,IF(K132&lt;=$G$109,$H$108,IF(K132&lt;=$G$110,$H$109,IF(K132&lt;=#REF!,$H$110)))))))</f>
        <v>0</v>
      </c>
      <c r="O131" s="98"/>
      <c r="P131" s="99"/>
      <c r="Q131" s="100">
        <f>IF(P132&lt;=$G$105,$G$103,IF(P132&lt;=$G$106,$G$105,IF(P132&lt;=$G$107,$G$106,IF(P132&lt;=$G$108,$G$107,IF(P132&lt;=$G$109,$G$108,IF(P132&lt;=$G$110,$G$109,IF(P132&lt;=#REF!,$G$110)))))))</f>
        <v>0</v>
      </c>
      <c r="R131" s="100"/>
      <c r="S131" s="101">
        <f>IF(P132&lt;=$G$105,$H$103,IF(P132&lt;=$G$106,$H$105,IF(P132&lt;=$G$107,$H$106,IF(P132&lt;=$G$108,$H$107,IF(P132&lt;=$G$109,$H$108,IF(P132&lt;=$G$110,$H$109,IF(P132&lt;=#REF!,$H$110)))))))</f>
        <v>0</v>
      </c>
      <c r="T131" s="98"/>
      <c r="U131" s="99"/>
      <c r="V131" s="100">
        <f>IF(U132&lt;=$G$105,$G$103,IF(U132&lt;=$G$106,$G$105,IF(U132&lt;=$G$107,$G$106,IF(U132&lt;=$G$108,$G$107,IF(U132&lt;=$G$109,$G$108,IF(U132&lt;=$G$110,$G$109,IF(U132&lt;=#REF!,$G$110)))))))</f>
        <v>0</v>
      </c>
      <c r="W131" s="100"/>
      <c r="X131" s="101">
        <f>IF(U132&lt;=$G$105,$H$103,IF(U132&lt;=$G$106,$H$105,IF(U132&lt;=$G$107,$H$106,IF(U132&lt;=$G$108,$H$107,IF(U132&lt;=$G$109,$H$108,IF(U132&lt;=$G$110,$H$109,IF(U132&lt;=#REF!,$H$110)))))))</f>
        <v>0</v>
      </c>
      <c r="Y131" s="98"/>
      <c r="Z131" s="99"/>
      <c r="AA131" s="100">
        <f>IF(Z132&lt;=$G$105,$G$103,IF(Z132&lt;=$G$106,$G$105,IF(Z132&lt;=$G$107,$G$106,IF(Z132&lt;=$G$108,$G$107,IF(Z132&lt;=$G$109,$G$108,IF(Z132&lt;=$G$110,$G$109,IF(Z132&lt;=#REF!,$G$110)))))))</f>
        <v>0</v>
      </c>
      <c r="AB131" s="100"/>
      <c r="AC131" s="101">
        <f>IF(Z132&lt;=$G$105,$H$103,IF(Z132&lt;=$G$106,$H$105,IF(Z132&lt;=$G$107,$H$106,IF(Z132&lt;=$G$108,$H$107,IF(Z132&lt;=$G$109,$H$108,IF(Z132&lt;=$G$110,$H$109,IF(Z132&lt;=#REF!,$H$110)))))))</f>
        <v>0</v>
      </c>
      <c r="AD131" s="98"/>
      <c r="AE131" s="99"/>
      <c r="AF131" s="100">
        <f>IF(AE132&lt;=$G$105,$G$103,IF(AE132&lt;=$G$106,$G$105,IF(AE132&lt;=$G$107,$G$106,IF(AE132&lt;=$G$108,$G$107,IF(AE132&lt;=$G$109,$G$108,IF(AE132&lt;=$G$110,$G$109,IF(AE132&lt;=#REF!,$G$110)))))))</f>
        <v>0</v>
      </c>
      <c r="AG131" s="100"/>
      <c r="AH131" s="101">
        <f>IF(AE132&lt;=$G$105,$H$103,IF(AE132&lt;=$G$106,$H$105,IF(AE132&lt;=$G$107,$H$106,IF(AE132&lt;=$G$108,$H$107,IF(AE132&lt;=$G$109,$H$108,IF(AE132&lt;=$G$110,$H$109,IF(AE132&lt;=#REF!,$H$110)))))))</f>
        <v>0</v>
      </c>
    </row>
    <row r="132" spans="1:34" x14ac:dyDescent="0.25">
      <c r="A132" s="102">
        <v>0</v>
      </c>
      <c r="B132" s="100"/>
      <c r="C132" s="103">
        <f>((A132-B131)/(B133-B131)*(D133-D131)+D131)</f>
        <v>0</v>
      </c>
      <c r="D132" s="101"/>
      <c r="E132" s="107"/>
      <c r="F132" s="102">
        <v>0</v>
      </c>
      <c r="G132" s="100"/>
      <c r="H132" s="103">
        <f>((F132-G131)/(G133-G131)*(I133-I131)+I131)</f>
        <v>0</v>
      </c>
      <c r="I132" s="101"/>
      <c r="J132" s="107"/>
      <c r="K132" s="102">
        <v>0</v>
      </c>
      <c r="L132" s="100"/>
      <c r="M132" s="103">
        <f>((K132-L131)/(L133-L131)*(N133-N131)+N131)</f>
        <v>0</v>
      </c>
      <c r="N132" s="101"/>
      <c r="O132" s="98"/>
      <c r="P132" s="102">
        <v>0</v>
      </c>
      <c r="Q132" s="100"/>
      <c r="R132" s="103">
        <f>((P132-Q131)/(Q133-Q131)*(S133-S131)+S131)</f>
        <v>0</v>
      </c>
      <c r="S132" s="101"/>
      <c r="T132" s="98"/>
      <c r="U132" s="102">
        <v>0</v>
      </c>
      <c r="V132" s="100"/>
      <c r="W132" s="103">
        <f>((U132-V131)/(V133-V131)*(X133-X131)+X131)</f>
        <v>0</v>
      </c>
      <c r="X132" s="101"/>
      <c r="Y132" s="98"/>
      <c r="Z132" s="102">
        <v>0</v>
      </c>
      <c r="AA132" s="100"/>
      <c r="AB132" s="103">
        <f>((Z132-AA131)/(AA133-AA131)*(AC133-AC131)+AC131)</f>
        <v>0</v>
      </c>
      <c r="AC132" s="101"/>
      <c r="AD132" s="98"/>
      <c r="AE132" s="102">
        <v>0</v>
      </c>
      <c r="AF132" s="100"/>
      <c r="AG132" s="103">
        <f>((AE132-AF131)/(AF133-AF131)*(AH133-AH131)+AH131)</f>
        <v>0</v>
      </c>
      <c r="AH132" s="101"/>
    </row>
    <row r="133" spans="1:34" ht="13.8" thickBot="1" x14ac:dyDescent="0.3">
      <c r="A133" s="104"/>
      <c r="B133" s="105">
        <f>IF(A132&lt;=$G$105,$G$105,IF(A132&lt;=$G$106,$G$106,IF(A132&lt;=$G$107,$G$107,IF(A132&lt;=$G$108,$G$108,IF(A132&lt;=$G$109,$G$109,IF(A132&lt;=$G$110,$G$110,IF(A132&lt;=#REF!,#REF!)))))))</f>
        <v>90</v>
      </c>
      <c r="C133" s="105"/>
      <c r="D133" s="106">
        <f>IF(A132&lt;=$G$105,$H$105,IF(A132&lt;=$G$106,$H$106,IF(A132&lt;=$G$107,$H$107,IF(A132&lt;=$G$108,$H$108,IF(A132&lt;=$G$109,$H$109,IF(A132&lt;=$G$110,$H$110,IF(A132&lt;=#REF!,#REF!)))))))</f>
        <v>9.9999999999999995E-7</v>
      </c>
      <c r="E133" s="119"/>
      <c r="F133" s="104"/>
      <c r="G133" s="105">
        <f>IF(F132&lt;=$G$105,$G$105,IF(F132&lt;=$G$106,$G$106,IF(F132&lt;=$G$107,$G$107,IF(F132&lt;=$G$108,$G$108,IF(F132&lt;=$G$109,$G$109,IF(F132&lt;=$G$110,$G$110,IF(F132&lt;=#REF!,#REF!)))))))</f>
        <v>90</v>
      </c>
      <c r="H133" s="105"/>
      <c r="I133" s="106">
        <f>IF(F132&lt;=$G$105,$H$105,IF(F132&lt;=$G$106,$H$106,IF(F132&lt;=$G$107,$H$107,IF(F132&lt;=$G$108,$H$108,IF(F132&lt;=$G$109,$H$109,IF(F132&lt;=$G$110,$H$110,IF(F132&lt;=#REF!,#REF!)))))))</f>
        <v>9.9999999999999995E-7</v>
      </c>
      <c r="J133" s="119"/>
      <c r="K133" s="104"/>
      <c r="L133" s="105">
        <f>IF(K132&lt;=$G$105,$G$105,IF(K132&lt;=$G$106,$G$106,IF(K132&lt;=$G$107,$G$107,IF(K132&lt;=$G$108,$G$108,IF(K132&lt;=$G$109,$G$109,IF(K132&lt;=$G$110,$G$110,IF(K132&lt;=#REF!,#REF!)))))))</f>
        <v>90</v>
      </c>
      <c r="M133" s="105"/>
      <c r="N133" s="106">
        <f>IF(K132&lt;=$G$105,$H$105,IF(K132&lt;=$G$106,$H$106,IF(K132&lt;=$G$107,$H$107,IF(K132&lt;=$G$108,$H$108,IF(K132&lt;=$G$109,$H$109,IF(K132&lt;=$G$110,$H$110,IF(K132&lt;=#REF!,#REF!)))))))</f>
        <v>9.9999999999999995E-7</v>
      </c>
      <c r="O133" s="98"/>
      <c r="P133" s="104"/>
      <c r="Q133" s="105">
        <f>IF(P132&lt;=$G$105,$G$105,IF(P132&lt;=$G$106,$G$106,IF(P132&lt;=$G$107,$G$107,IF(P132&lt;=$G$108,$G$108,IF(P132&lt;=$G$109,$G$109,IF(P132&lt;=$G$110,$G$110,IF(P132&lt;=#REF!,#REF!)))))))</f>
        <v>90</v>
      </c>
      <c r="R133" s="105"/>
      <c r="S133" s="106">
        <f>IF(P132&lt;=$G$105,$H$105,IF(P132&lt;=$G$106,$H$106,IF(P132&lt;=$G$107,$H$107,IF(P132&lt;=$G$108,$H$108,IF(P132&lt;=$G$109,$H$109,IF(P132&lt;=$G$110,$H$110,IF(P132&lt;=#REF!,#REF!)))))))</f>
        <v>9.9999999999999995E-7</v>
      </c>
      <c r="T133" s="98"/>
      <c r="U133" s="104"/>
      <c r="V133" s="105">
        <f>IF(U132&lt;=$G$105,$G$105,IF(U132&lt;=$G$106,$G$106,IF(U132&lt;=$G$107,$G$107,IF(U132&lt;=$G$108,$G$108,IF(U132&lt;=$G$109,$G$109,IF(U132&lt;=$G$110,$G$110,IF(U132&lt;=#REF!,#REF!)))))))</f>
        <v>90</v>
      </c>
      <c r="W133" s="105"/>
      <c r="X133" s="106">
        <f>IF(U132&lt;=$G$105,$H$105,IF(U132&lt;=$G$106,$H$106,IF(U132&lt;=$G$107,$H$107,IF(U132&lt;=$G$108,$H$108,IF(U132&lt;=$G$109,$H$109,IF(U132&lt;=$G$110,$H$110,IF(U132&lt;=#REF!,#REF!)))))))</f>
        <v>9.9999999999999995E-7</v>
      </c>
      <c r="Y133" s="98"/>
      <c r="Z133" s="104"/>
      <c r="AA133" s="105">
        <f>IF(Z132&lt;=$G$105,$G$105,IF(Z132&lt;=$G$106,$G$106,IF(Z132&lt;=$G$107,$G$107,IF(Z132&lt;=$G$108,$G$108,IF(Z132&lt;=$G$109,$G$109,IF(Z132&lt;=$G$110,$G$110,IF(Z132&lt;=#REF!,#REF!)))))))</f>
        <v>90</v>
      </c>
      <c r="AB133" s="105"/>
      <c r="AC133" s="106">
        <f>IF(Z132&lt;=$G$105,$H$105,IF(Z132&lt;=$G$106,$H$106,IF(Z132&lt;=$G$107,$H$107,IF(Z132&lt;=$G$108,$H$108,IF(Z132&lt;=$G$109,$H$109,IF(Z132&lt;=$G$110,$H$110,IF(Z132&lt;=#REF!,#REF!)))))))</f>
        <v>9.9999999999999995E-7</v>
      </c>
      <c r="AD133" s="98"/>
      <c r="AE133" s="104"/>
      <c r="AF133" s="105">
        <f>IF(AE132&lt;=$G$105,$G$105,IF(AE132&lt;=$G$106,$G$106,IF(AE132&lt;=$G$107,$G$107,IF(AE132&lt;=$G$108,$G$108,IF(AE132&lt;=$G$109,$G$109,IF(AE132&lt;=$G$110,$G$110,IF(AE132&lt;=#REF!,#REF!)))))))</f>
        <v>90</v>
      </c>
      <c r="AG133" s="105"/>
      <c r="AH133" s="106">
        <f>IF(AE132&lt;=$G$105,$H$105,IF(AE132&lt;=$G$106,$H$106,IF(AE132&lt;=$G$107,$H$107,IF(AE132&lt;=$G$108,$H$108,IF(AE132&lt;=$G$109,$H$109,IF(AE132&lt;=$G$110,$H$110,IF(AE132&lt;=#REF!,#REF!)))))))</f>
        <v>9.9999999999999995E-7</v>
      </c>
    </row>
    <row r="134" spans="1:34" ht="13.8" thickBot="1" x14ac:dyDescent="0.3">
      <c r="A134" s="107"/>
      <c r="B134" s="107"/>
      <c r="C134" s="107"/>
      <c r="D134" s="107"/>
      <c r="E134" s="119"/>
      <c r="F134" s="107"/>
      <c r="G134" s="107"/>
      <c r="H134" s="107"/>
      <c r="I134" s="107"/>
      <c r="J134" s="119"/>
      <c r="K134" s="107"/>
      <c r="L134" s="107"/>
      <c r="M134" s="107"/>
      <c r="N134" s="107"/>
      <c r="O134" s="98"/>
      <c r="P134" s="107"/>
      <c r="Q134" s="107"/>
      <c r="R134" s="107"/>
      <c r="S134" s="107"/>
      <c r="T134" s="98"/>
      <c r="U134" s="107"/>
      <c r="V134" s="107"/>
      <c r="W134" s="107"/>
      <c r="X134" s="107"/>
      <c r="Y134" s="98"/>
      <c r="Z134" s="107"/>
      <c r="AA134" s="107"/>
      <c r="AB134" s="107"/>
      <c r="AC134" s="107"/>
      <c r="AD134" s="98"/>
      <c r="AE134" s="107"/>
      <c r="AF134" s="107"/>
      <c r="AG134" s="107"/>
      <c r="AH134" s="107"/>
    </row>
    <row r="135" spans="1:34" ht="15.6" x14ac:dyDescent="0.3">
      <c r="A135" s="927" t="s">
        <v>242</v>
      </c>
      <c r="B135" s="928"/>
      <c r="C135" s="928"/>
      <c r="D135" s="929"/>
      <c r="E135" s="119"/>
      <c r="F135" s="927" t="s">
        <v>242</v>
      </c>
      <c r="G135" s="928"/>
      <c r="H135" s="928"/>
      <c r="I135" s="929"/>
      <c r="J135" s="119"/>
      <c r="K135" s="927" t="s">
        <v>242</v>
      </c>
      <c r="L135" s="928"/>
      <c r="M135" s="928"/>
      <c r="N135" s="929"/>
      <c r="O135" s="98"/>
      <c r="P135" s="927" t="s">
        <v>242</v>
      </c>
      <c r="Q135" s="928"/>
      <c r="R135" s="928"/>
      <c r="S135" s="929"/>
      <c r="T135" s="98"/>
      <c r="U135" s="927" t="s">
        <v>242</v>
      </c>
      <c r="V135" s="928"/>
      <c r="W135" s="928"/>
      <c r="X135" s="929"/>
      <c r="Y135" s="98"/>
      <c r="Z135" s="927" t="s">
        <v>242</v>
      </c>
      <c r="AA135" s="928"/>
      <c r="AB135" s="928"/>
      <c r="AC135" s="929"/>
      <c r="AD135" s="98"/>
      <c r="AE135" s="927" t="s">
        <v>242</v>
      </c>
      <c r="AF135" s="928"/>
      <c r="AG135" s="928"/>
      <c r="AH135" s="929"/>
    </row>
    <row r="136" spans="1:34" x14ac:dyDescent="0.25">
      <c r="A136" s="99"/>
      <c r="B136" s="100">
        <f>IF(A137&lt;=$G$105,$G$103,IF(A137&lt;=$G$106,$G$105,IF(A137&lt;=$G$107,$G$106,IF(A137&lt;=$G$108,$G$107,IF(A137&lt;=$G$109,$G$108,IF(A137&lt;=$G$110,$G$109,IF(A137&lt;=#REF!,$G$110)))))))</f>
        <v>0</v>
      </c>
      <c r="C136" s="100"/>
      <c r="D136" s="101">
        <f>IF(A137&lt;=$G$105,$H$103,IF(A137&lt;=$G$106,$H$105,IF(A137&lt;=$G$107,$H$106,IF(A137&lt;=$G$108,$H$107,IF(A137&lt;=$G$109,$H$108,IF(A137&lt;=$G$110,$H$109,IF(A137&lt;=#REF!,$H$110)))))))</f>
        <v>0</v>
      </c>
      <c r="E136" s="119"/>
      <c r="F136" s="99"/>
      <c r="G136" s="100">
        <f>IF(F137&lt;=$G$105,$G$103,IF(F137&lt;=$G$106,$G$105,IF(F137&lt;=$G$107,$G$106,IF(F137&lt;=$G$108,$G$107,IF(F137&lt;=$G$109,$G$108,IF(F137&lt;=$G$110,$G$109,IF(F137&lt;=#REF!,$G$110)))))))</f>
        <v>0</v>
      </c>
      <c r="H136" s="100"/>
      <c r="I136" s="101">
        <f>IF(F137&lt;=$G$105,$H$103,IF(F137&lt;=$G$106,$H$105,IF(F137&lt;=$G$107,$H$106,IF(F137&lt;=$G$108,$H$107,IF(F137&lt;=$G$109,$H$108,IF(F137&lt;=$G$110,$H$109,IF(F137&lt;=#REF!,$H$110)))))))</f>
        <v>0</v>
      </c>
      <c r="J136" s="119"/>
      <c r="K136" s="99"/>
      <c r="L136" s="100">
        <f>IF(K137&lt;=$G$105,$G$103,IF(K137&lt;=$G$106,$G$105,IF(K137&lt;=$G$107,$G$106,IF(K137&lt;=$G$108,$G$107,IF(K137&lt;=$G$109,$G$108,IF(K137&lt;=$G$110,$G$109,IF(K137&lt;=#REF!,$G$110)))))))</f>
        <v>0</v>
      </c>
      <c r="M136" s="100"/>
      <c r="N136" s="101">
        <f>IF(K137&lt;=$G$105,$H$103,IF(K137&lt;=$G$106,$H$105,IF(K137&lt;=$G$107,$H$106,IF(K137&lt;=$G$108,$H$107,IF(K137&lt;=$G$109,$H$108,IF(K137&lt;=$G$110,$H$109,IF(K137&lt;=#REF!,$H$110)))))))</f>
        <v>0</v>
      </c>
      <c r="O136" s="98"/>
      <c r="P136" s="99"/>
      <c r="Q136" s="100">
        <f>IF(P137&lt;=$G$105,$G$103,IF(P137&lt;=$G$106,$G$105,IF(P137&lt;=$G$107,$G$106,IF(P137&lt;=$G$108,$G$107,IF(P137&lt;=$G$109,$G$108,IF(P137&lt;=$G$110,$G$109,IF(P137&lt;=#REF!,$G$110)))))))</f>
        <v>0</v>
      </c>
      <c r="R136" s="100"/>
      <c r="S136" s="101">
        <f>IF(P137&lt;=$G$105,$H$103,IF(P137&lt;=$G$106,$H$105,IF(P137&lt;=$G$107,$H$106,IF(P137&lt;=$G$108,$H$107,IF(P137&lt;=$G$109,$H$108,IF(P137&lt;=$G$110,$H$109,IF(P137&lt;=#REF!,$H$110)))))))</f>
        <v>0</v>
      </c>
      <c r="T136" s="98"/>
      <c r="U136" s="99"/>
      <c r="V136" s="100">
        <f>IF(U137&lt;=$G$105,$G$103,IF(U137&lt;=$G$106,$G$105,IF(U137&lt;=$G$107,$G$106,IF(U137&lt;=$G$108,$G$107,IF(U137&lt;=$G$109,$G$108,IF(U137&lt;=$G$110,$G$109,IF(U137&lt;=#REF!,$G$110)))))))</f>
        <v>0</v>
      </c>
      <c r="W136" s="100"/>
      <c r="X136" s="101">
        <f>IF(U137&lt;=$G$105,$H$103,IF(U137&lt;=$G$106,$H$105,IF(U137&lt;=$G$107,$H$106,IF(U137&lt;=$G$108,$H$107,IF(U137&lt;=$G$109,$H$108,IF(U137&lt;=$G$110,$H$109,IF(U137&lt;=#REF!,$H$110)))))))</f>
        <v>0</v>
      </c>
      <c r="Y136" s="98"/>
      <c r="Z136" s="99"/>
      <c r="AA136" s="100">
        <f>IF(Z137&lt;=$G$105,$G$103,IF(Z137&lt;=$G$106,$G$105,IF(Z137&lt;=$G$107,$G$106,IF(Z137&lt;=$G$108,$G$107,IF(Z137&lt;=$G$109,$G$108,IF(Z137&lt;=$G$110,$G$109,IF(Z137&lt;=#REF!,$G$110)))))))</f>
        <v>0</v>
      </c>
      <c r="AB136" s="100"/>
      <c r="AC136" s="101">
        <f>IF(Z137&lt;=$G$105,$H$103,IF(Z137&lt;=$G$106,$H$105,IF(Z137&lt;=$G$107,$H$106,IF(Z137&lt;=$G$108,$H$107,IF(Z137&lt;=$G$109,$H$108,IF(Z137&lt;=$G$110,$H$109,IF(Z137&lt;=#REF!,$H$110)))))))</f>
        <v>0</v>
      </c>
      <c r="AD136" s="98"/>
      <c r="AE136" s="99"/>
      <c r="AF136" s="100">
        <f>IF(AE137&lt;=$G$105,$G$103,IF(AE137&lt;=$G$106,$G$105,IF(AE137&lt;=$G$107,$G$106,IF(AE137&lt;=$G$108,$G$107,IF(AE137&lt;=$G$109,$G$108,IF(AE137&lt;=$G$110,$G$109,IF(AE137&lt;=#REF!,$G$110)))))))</f>
        <v>0</v>
      </c>
      <c r="AG136" s="100"/>
      <c r="AH136" s="101">
        <f>IF(AE137&lt;=$G$105,$H$103,IF(AE137&lt;=$G$106,$H$105,IF(AE137&lt;=$G$107,$H$106,IF(AE137&lt;=$G$108,$H$107,IF(AE137&lt;=$G$109,$H$108,IF(AE137&lt;=$G$110,$H$109,IF(AE137&lt;=#REF!,$H$110)))))))</f>
        <v>0</v>
      </c>
    </row>
    <row r="137" spans="1:34" x14ac:dyDescent="0.25">
      <c r="A137" s="102">
        <f>ID!G40</f>
        <v>85</v>
      </c>
      <c r="B137" s="100"/>
      <c r="C137" s="103">
        <f>((A137-B136)/(B138-B136)*(D138-D136)+D136)</f>
        <v>9.4444444444444441E-7</v>
      </c>
      <c r="D137" s="101"/>
      <c r="E137" s="98"/>
      <c r="F137" s="102">
        <v>0</v>
      </c>
      <c r="G137" s="100"/>
      <c r="H137" s="103">
        <f>((F137-G136)/(G138-G136)*(I138-I136)+I136)</f>
        <v>0</v>
      </c>
      <c r="I137" s="101"/>
      <c r="J137" s="98"/>
      <c r="K137" s="102">
        <v>0</v>
      </c>
      <c r="L137" s="100"/>
      <c r="M137" s="103">
        <f>((K137-L136)/(L138-L136)*(N138-N136)+N136)</f>
        <v>0</v>
      </c>
      <c r="N137" s="101"/>
      <c r="O137" s="98"/>
      <c r="P137" s="102">
        <v>0</v>
      </c>
      <c r="Q137" s="100"/>
      <c r="R137" s="103">
        <f>((P137-Q136)/(Q138-Q136)*(S138-S136)+S136)</f>
        <v>0</v>
      </c>
      <c r="S137" s="101"/>
      <c r="T137" s="98"/>
      <c r="U137" s="102">
        <v>0</v>
      </c>
      <c r="V137" s="100"/>
      <c r="W137" s="103">
        <f>((U137-V136)/(V138-V136)*(X138-X136)+X136)</f>
        <v>0</v>
      </c>
      <c r="X137" s="101"/>
      <c r="Y137" s="98"/>
      <c r="Z137" s="102">
        <v>0</v>
      </c>
      <c r="AA137" s="100"/>
      <c r="AB137" s="103">
        <f>((Z137-AA136)/(AA138-AA136)*(AC138-AC136)+AC136)</f>
        <v>0</v>
      </c>
      <c r="AC137" s="101"/>
      <c r="AD137" s="98"/>
      <c r="AE137" s="102">
        <v>0</v>
      </c>
      <c r="AF137" s="100"/>
      <c r="AG137" s="103">
        <f>((AE137-AF136)/(AF138-AF136)*(AH138-AH136)+AH136)</f>
        <v>0</v>
      </c>
      <c r="AH137" s="101"/>
    </row>
    <row r="138" spans="1:34" ht="13.8" thickBot="1" x14ac:dyDescent="0.3">
      <c r="A138" s="104"/>
      <c r="B138" s="105">
        <f>IF(A137&lt;=$G$105,$G$105,IF(A137&lt;=$G$106,$G$106,IF(A137&lt;=$G$107,$G$107,IF(A137&lt;=$G$108,$G$108,IF(A137&lt;=$G$109,$G$109,IF(A137&lt;=$G$110,$G$110,IF(A137&lt;=#REF!,#REF!)))))))</f>
        <v>90</v>
      </c>
      <c r="C138" s="105"/>
      <c r="D138" s="106">
        <f>IF(A137&lt;=$G$105,$H$105,IF(A137&lt;=$G$106,$H$106,IF(A137&lt;=$G$107,$H$107,IF(A137&lt;=$G$108,$H$108,IF(A137&lt;=$G$109,$H$109,IF(A137&lt;=$G$110,$H$110,IF(A137&lt;=#REF!,#REF!)))))))</f>
        <v>9.9999999999999995E-7</v>
      </c>
      <c r="E138" s="98"/>
      <c r="F138" s="104"/>
      <c r="G138" s="105">
        <f>IF(F137&lt;=$G$105,$G$105,IF(F137&lt;=$G$106,$G$106,IF(F137&lt;=$G$107,$G$107,IF(F137&lt;=$G$108,$G$108,IF(F137&lt;=$G$109,$G$109,IF(F137&lt;=$G$110,$G$110,IF(F137&lt;=#REF!,#REF!)))))))</f>
        <v>90</v>
      </c>
      <c r="H138" s="105"/>
      <c r="I138" s="106">
        <f>IF(F137&lt;=$G$105,$H$105,IF(F137&lt;=$G$106,$H$106,IF(F137&lt;=$G$107,$H$107,IF(F137&lt;=$G$108,$H$108,IF(F137&lt;=$G$109,$H$109,IF(F137&lt;=$G$110,$H$110,IF(F137&lt;=#REF!,#REF!)))))))</f>
        <v>9.9999999999999995E-7</v>
      </c>
      <c r="J138" s="98"/>
      <c r="K138" s="104"/>
      <c r="L138" s="105">
        <f>IF(K137&lt;=$G$105,$G$105,IF(K137&lt;=$G$106,$G$106,IF(K137&lt;=$G$107,$G$107,IF(K137&lt;=$G$108,$G$108,IF(K137&lt;=$G$109,$G$109,IF(K137&lt;=$G$110,$G$110,IF(K137&lt;=#REF!,#REF!)))))))</f>
        <v>90</v>
      </c>
      <c r="M138" s="105"/>
      <c r="N138" s="106">
        <f>IF(K137&lt;=$G$105,$H$105,IF(K137&lt;=$G$106,$H$106,IF(K137&lt;=$G$107,$H$107,IF(K137&lt;=$G$108,$H$108,IF(K137&lt;=$G$109,$H$109,IF(K137&lt;=$G$110,$H$110,IF(K137&lt;=#REF!,#REF!)))))))</f>
        <v>9.9999999999999995E-7</v>
      </c>
      <c r="O138" s="98"/>
      <c r="P138" s="104"/>
      <c r="Q138" s="105">
        <f>IF(P137&lt;=$G$105,$G$105,IF(P137&lt;=$G$106,$G$106,IF(P137&lt;=$G$107,$G$107,IF(P137&lt;=$G$108,$G$108,IF(P137&lt;=$G$109,$G$109,IF(P137&lt;=$G$110,$G$110,IF(P137&lt;=#REF!,#REF!)))))))</f>
        <v>90</v>
      </c>
      <c r="R138" s="105"/>
      <c r="S138" s="106">
        <f>IF(P137&lt;=$G$105,$H$105,IF(P137&lt;=$G$106,$H$106,IF(P137&lt;=$G$107,$H$107,IF(P137&lt;=$G$108,$H$108,IF(P137&lt;=$G$109,$H$109,IF(P137&lt;=$G$110,$H$110,IF(P137&lt;=#REF!,#REF!)))))))</f>
        <v>9.9999999999999995E-7</v>
      </c>
      <c r="T138" s="98"/>
      <c r="U138" s="104"/>
      <c r="V138" s="105">
        <f>IF(U137&lt;=$G$105,$G$105,IF(U137&lt;=$G$106,$G$106,IF(U137&lt;=$G$107,$G$107,IF(U137&lt;=$G$108,$G$108,IF(U137&lt;=$G$109,$G$109,IF(U137&lt;=$G$110,$G$110,IF(U137&lt;=#REF!,#REF!)))))))</f>
        <v>90</v>
      </c>
      <c r="W138" s="105"/>
      <c r="X138" s="106">
        <f>IF(U137&lt;=$G$105,$H$105,IF(U137&lt;=$G$106,$H$106,IF(U137&lt;=$G$107,$H$107,IF(U137&lt;=$G$108,$H$108,IF(U137&lt;=$G$109,$H$109,IF(U137&lt;=$G$110,$H$110,IF(U137&lt;=#REF!,#REF!)))))))</f>
        <v>9.9999999999999995E-7</v>
      </c>
      <c r="Y138" s="98"/>
      <c r="Z138" s="104"/>
      <c r="AA138" s="105">
        <f>IF(Z137&lt;=$G$105,$G$105,IF(Z137&lt;=$G$106,$G$106,IF(Z137&lt;=$G$107,$G$107,IF(Z137&lt;=$G$108,$G$108,IF(Z137&lt;=$G$109,$G$109,IF(Z137&lt;=$G$110,$G$110,IF(Z137&lt;=#REF!,#REF!)))))))</f>
        <v>90</v>
      </c>
      <c r="AB138" s="105"/>
      <c r="AC138" s="106">
        <f>IF(Z137&lt;=$G$105,$H$105,IF(Z137&lt;=$G$106,$H$106,IF(Z137&lt;=$G$107,$H$107,IF(Z137&lt;=$G$108,$H$108,IF(Z137&lt;=$G$109,$H$109,IF(Z137&lt;=$G$110,$H$110,IF(Z137&lt;=#REF!,#REF!)))))))</f>
        <v>9.9999999999999995E-7</v>
      </c>
      <c r="AD138" s="98"/>
      <c r="AE138" s="104"/>
      <c r="AF138" s="105">
        <f>IF(AE137&lt;=$G$105,$G$105,IF(AE137&lt;=$G$106,$G$106,IF(AE137&lt;=$G$107,$G$107,IF(AE137&lt;=$G$108,$G$108,IF(AE137&lt;=$G$109,$G$109,IF(AE137&lt;=$G$110,$G$110,IF(AE137&lt;=#REF!,#REF!)))))))</f>
        <v>90</v>
      </c>
      <c r="AG138" s="105"/>
      <c r="AH138" s="106">
        <f>IF(AE137&lt;=$G$105,$H$105,IF(AE137&lt;=$G$106,$H$106,IF(AE137&lt;=$G$107,$H$107,IF(AE137&lt;=$G$108,$H$108,IF(AE137&lt;=$G$109,$H$109,IF(AE137&lt;=$G$110,$H$110,IF(AE137&lt;=#REF!,#REF!)))))))</f>
        <v>9.9999999999999995E-7</v>
      </c>
    </row>
    <row r="139" spans="1:34" ht="13.8" thickBot="1" x14ac:dyDescent="0.3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</row>
    <row r="140" spans="1:34" ht="15.6" x14ac:dyDescent="0.3">
      <c r="A140" s="927" t="s">
        <v>243</v>
      </c>
      <c r="B140" s="928"/>
      <c r="C140" s="928"/>
      <c r="D140" s="929"/>
      <c r="E140" s="98"/>
      <c r="F140" s="927" t="s">
        <v>243</v>
      </c>
      <c r="G140" s="928"/>
      <c r="H140" s="928"/>
      <c r="I140" s="929"/>
      <c r="J140" s="98"/>
      <c r="K140" s="927" t="s">
        <v>243</v>
      </c>
      <c r="L140" s="928"/>
      <c r="M140" s="928"/>
      <c r="N140" s="929"/>
      <c r="O140" s="98"/>
      <c r="P140" s="927" t="s">
        <v>243</v>
      </c>
      <c r="Q140" s="928"/>
      <c r="R140" s="928"/>
      <c r="S140" s="929"/>
      <c r="T140" s="98"/>
      <c r="U140" s="927" t="s">
        <v>243</v>
      </c>
      <c r="V140" s="928"/>
      <c r="W140" s="928"/>
      <c r="X140" s="929"/>
      <c r="Y140" s="98"/>
      <c r="Z140" s="927" t="s">
        <v>243</v>
      </c>
      <c r="AA140" s="928"/>
      <c r="AB140" s="928"/>
      <c r="AC140" s="929"/>
      <c r="AD140" s="98"/>
      <c r="AE140" s="927" t="s">
        <v>243</v>
      </c>
      <c r="AF140" s="928"/>
      <c r="AG140" s="928"/>
      <c r="AH140" s="929"/>
    </row>
    <row r="141" spans="1:34" x14ac:dyDescent="0.25">
      <c r="A141" s="99"/>
      <c r="B141" s="100">
        <f>IF(A142&lt;=$G$105,$G$103,IF(A142&lt;=$G$106,$G$105,IF(A142&lt;=$G$107,$G$106,IF(A142&lt;=$G$108,$G$107,IF(A142&lt;=$G$109,$G$108,IF(A142&lt;=$G$110,$G$109,IF(A142&lt;=#REF!,$G$110)))))))</f>
        <v>0</v>
      </c>
      <c r="C141" s="100"/>
      <c r="D141" s="101">
        <f>IF(A142&lt;=$G$105,$H$103,IF(A142&lt;=$G$106,$H$105,IF(A142&lt;=$G$107,$H$106,IF(A142&lt;=$G$108,$H$107,IF(A142&lt;=$G$109,$H$108,IF(A142&lt;=$G$110,$H$109,IF(A142&lt;=#REF!,$H$110)))))))</f>
        <v>0</v>
      </c>
      <c r="E141" s="98"/>
      <c r="F141" s="99"/>
      <c r="G141" s="100">
        <f>IF(F142&lt;=$G$105,$G$103,IF(F142&lt;=$G$106,$G$105,IF(F142&lt;=$G$107,$G$106,IF(F142&lt;=$G$108,$G$107,IF(F142&lt;=$G$109,$G$108,IF(F142&lt;=$G$110,$G$109,IF(F142&lt;=#REF!,$G$110)))))))</f>
        <v>0</v>
      </c>
      <c r="H141" s="100"/>
      <c r="I141" s="101">
        <f>IF(F142&lt;=$G$105,$H$103,IF(F142&lt;=$G$106,$H$105,IF(F142&lt;=$G$107,$H$106,IF(F142&lt;=$G$108,$H$107,IF(F142&lt;=$G$109,$H$108,IF(F142&lt;=$G$110,$H$109,IF(F142&lt;=#REF!,$H$110)))))))</f>
        <v>0</v>
      </c>
      <c r="J141" s="98"/>
      <c r="K141" s="99"/>
      <c r="L141" s="100">
        <f>IF(K142&lt;=$G$105,$G$103,IF(K142&lt;=$G$106,$G$105,IF(K142&lt;=$G$107,$G$106,IF(K142&lt;=$G$108,$G$107,IF(K142&lt;=$G$109,$G$108,IF(K142&lt;=$G$110,$G$109,IF(K142&lt;=#REF!,$G$110)))))))</f>
        <v>0</v>
      </c>
      <c r="M141" s="100"/>
      <c r="N141" s="101">
        <f>IF(K142&lt;=$G$105,$H$103,IF(K142&lt;=$G$106,$H$105,IF(K142&lt;=$G$107,$H$106,IF(K142&lt;=$G$108,$H$107,IF(K142&lt;=$G$109,$H$108,IF(K142&lt;=$G$110,$H$109,IF(K142&lt;=#REF!,$H$110)))))))</f>
        <v>0</v>
      </c>
      <c r="O141" s="98"/>
      <c r="P141" s="99"/>
      <c r="Q141" s="100">
        <f>IF(P142&lt;=$G$105,$G$103,IF(P142&lt;=$G$106,$G$105,IF(P142&lt;=$G$107,$G$106,IF(P142&lt;=$G$108,$G$107,IF(P142&lt;=$G$109,$G$108,IF(P142&lt;=$G$110,$G$109,IF(P142&lt;=#REF!,$G$110)))))))</f>
        <v>0</v>
      </c>
      <c r="R141" s="100"/>
      <c r="S141" s="101">
        <f>IF(P142&lt;=$G$105,$H$103,IF(P142&lt;=$G$106,$H$105,IF(P142&lt;=$G$107,$H$106,IF(P142&lt;=$G$108,$H$107,IF(P142&lt;=$G$109,$H$108,IF(P142&lt;=$G$110,$H$109,IF(P142&lt;=#REF!,$H$110)))))))</f>
        <v>0</v>
      </c>
      <c r="T141" s="98"/>
      <c r="U141" s="99"/>
      <c r="V141" s="100">
        <f>IF(U142&lt;=$G$105,$G$103,IF(U142&lt;=$G$106,$G$105,IF(U142&lt;=$G$107,$G$106,IF(U142&lt;=$G$108,$G$107,IF(U142&lt;=$G$109,$G$108,IF(U142&lt;=$G$110,$G$109,IF(U142&lt;=#REF!,$G$110)))))))</f>
        <v>0</v>
      </c>
      <c r="W141" s="100"/>
      <c r="X141" s="101">
        <f>IF(U142&lt;=$G$105,$H$103,IF(U142&lt;=$G$106,$H$105,IF(U142&lt;=$G$107,$H$106,IF(U142&lt;=$G$108,$H$107,IF(U142&lt;=$G$109,$H$108,IF(U142&lt;=$G$110,$H$109,IF(U142&lt;=#REF!,$H$110)))))))</f>
        <v>0</v>
      </c>
      <c r="Y141" s="98"/>
      <c r="Z141" s="99"/>
      <c r="AA141" s="100">
        <f>IF(Z142&lt;=$G$105,$G$103,IF(Z142&lt;=$G$106,$G$105,IF(Z142&lt;=$G$107,$G$106,IF(Z142&lt;=$G$108,$G$107,IF(Z142&lt;=$G$109,$G$108,IF(Z142&lt;=$G$110,$G$109,IF(Z142&lt;=#REF!,$G$110)))))))</f>
        <v>0</v>
      </c>
      <c r="AB141" s="100"/>
      <c r="AC141" s="101">
        <f>IF(Z142&lt;=$G$105,$H$103,IF(Z142&lt;=$G$106,$H$105,IF(Z142&lt;=$G$107,$H$106,IF(Z142&lt;=$G$108,$H$107,IF(Z142&lt;=$G$109,$H$108,IF(Z142&lt;=$G$110,$H$109,IF(Z142&lt;=#REF!,$H$110)))))))</f>
        <v>0</v>
      </c>
      <c r="AD141" s="98"/>
      <c r="AE141" s="99"/>
      <c r="AF141" s="100">
        <f>IF(AE142&lt;=$G$105,$G$103,IF(AE142&lt;=$G$106,$G$105,IF(AE142&lt;=$G$107,$G$106,IF(AE142&lt;=$G$108,$G$107,IF(AE142&lt;=$G$109,$G$108,IF(AE142&lt;=$G$110,$G$109,IF(AE142&lt;=#REF!,$G$110)))))))</f>
        <v>0</v>
      </c>
      <c r="AG141" s="100"/>
      <c r="AH141" s="101">
        <f>IF(AE142&lt;=$G$105,$H$103,IF(AE142&lt;=$G$106,$H$105,IF(AE142&lt;=$G$107,$H$106,IF(AE142&lt;=$G$108,$H$107,IF(AE142&lt;=$G$109,$H$108,IF(AE142&lt;=$G$110,$H$109,IF(AE142&lt;=#REF!,$H$110)))))))</f>
        <v>0</v>
      </c>
    </row>
    <row r="142" spans="1:34" x14ac:dyDescent="0.25">
      <c r="A142" s="102">
        <v>0</v>
      </c>
      <c r="B142" s="100"/>
      <c r="C142" s="103">
        <f>((A142-B141)/(B143-B141)*(D143-D141)+D141)</f>
        <v>0</v>
      </c>
      <c r="D142" s="101"/>
      <c r="E142" s="98"/>
      <c r="F142" s="102">
        <v>0</v>
      </c>
      <c r="G142" s="100"/>
      <c r="H142" s="103">
        <f>((F142-G141)/(G143-G141)*(I143-I141)+I141)</f>
        <v>0</v>
      </c>
      <c r="I142" s="101"/>
      <c r="J142" s="98"/>
      <c r="K142" s="102">
        <v>0</v>
      </c>
      <c r="L142" s="100"/>
      <c r="M142" s="103">
        <f>((K142-L141)/(L143-L141)*(N143-N141)+N141)</f>
        <v>0</v>
      </c>
      <c r="N142" s="101"/>
      <c r="O142" s="98"/>
      <c r="P142" s="102">
        <v>0</v>
      </c>
      <c r="Q142" s="100"/>
      <c r="R142" s="103">
        <f>((P142-Q141)/(Q143-Q141)*(S143-S141)+S141)</f>
        <v>0</v>
      </c>
      <c r="S142" s="101"/>
      <c r="T142" s="98"/>
      <c r="U142" s="102">
        <v>0</v>
      </c>
      <c r="V142" s="100"/>
      <c r="W142" s="103">
        <f>((U142-V141)/(V143-V141)*(X143-X141)+X141)</f>
        <v>0</v>
      </c>
      <c r="X142" s="101"/>
      <c r="Y142" s="98"/>
      <c r="Z142" s="102">
        <v>0</v>
      </c>
      <c r="AA142" s="100"/>
      <c r="AB142" s="103">
        <f>((Z142-AA141)/(AA143-AA141)*(AC143-AC141)+AC141)</f>
        <v>0</v>
      </c>
      <c r="AC142" s="101"/>
      <c r="AD142" s="98"/>
      <c r="AE142" s="102">
        <v>0</v>
      </c>
      <c r="AF142" s="100"/>
      <c r="AG142" s="103">
        <f>((AE142-AF141)/(AF143-AF141)*(AH143-AH141)+AH141)</f>
        <v>0</v>
      </c>
      <c r="AH142" s="101"/>
    </row>
    <row r="143" spans="1:34" ht="13.8" thickBot="1" x14ac:dyDescent="0.3">
      <c r="A143" s="104"/>
      <c r="B143" s="105">
        <f>IF(A142&lt;=$G$105,$G$105,IF(A142&lt;=$G$106,$G$106,IF(A142&lt;=$G$107,$G$107,IF(A142&lt;=$G$108,$G$108,IF(A142&lt;=$G$109,$G$109,IF(A142&lt;=$G$110,$G$110,IF(A142&lt;=#REF!,#REF!)))))))</f>
        <v>90</v>
      </c>
      <c r="C143" s="105"/>
      <c r="D143" s="106">
        <f>IF(A142&lt;=$G$105,$H$105,IF(A142&lt;=$G$106,$H$106,IF(A142&lt;=$G$107,$H$107,IF(A142&lt;=$G$108,$H$108,IF(A142&lt;=$G$109,$H$109,IF(A142&lt;=$G$110,$H$110,IF(A142&lt;=#REF!,#REF!)))))))</f>
        <v>9.9999999999999995E-7</v>
      </c>
      <c r="E143" s="98"/>
      <c r="F143" s="104"/>
      <c r="G143" s="105">
        <f>IF(F142&lt;=$G$105,$G$105,IF(F142&lt;=$G$106,$G$106,IF(F142&lt;=$G$107,$G$107,IF(F142&lt;=$G$108,$G$108,IF(F142&lt;=$G$109,$G$109,IF(F142&lt;=$G$110,$G$110,IF(F142&lt;=#REF!,#REF!)))))))</f>
        <v>90</v>
      </c>
      <c r="H143" s="105"/>
      <c r="I143" s="106">
        <f>IF(F142&lt;=$G$105,$H$105,IF(F142&lt;=$G$106,$H$106,IF(F142&lt;=$G$107,$H$107,IF(F142&lt;=$G$108,$H$108,IF(F142&lt;=$G$109,$H$109,IF(F142&lt;=$G$110,$H$110,IF(F142&lt;=#REF!,#REF!)))))))</f>
        <v>9.9999999999999995E-7</v>
      </c>
      <c r="J143" s="98"/>
      <c r="K143" s="104"/>
      <c r="L143" s="105">
        <f>IF(K142&lt;=$G$105,$G$105,IF(K142&lt;=$G$106,$G$106,IF(K142&lt;=$G$107,$G$107,IF(K142&lt;=$G$108,$G$108,IF(K142&lt;=$G$109,$G$109,IF(K142&lt;=$G$110,$G$110,IF(K142&lt;=#REF!,#REF!)))))))</f>
        <v>90</v>
      </c>
      <c r="M143" s="105"/>
      <c r="N143" s="106">
        <f>IF(K142&lt;=$G$105,$H$105,IF(K142&lt;=$G$106,$H$106,IF(K142&lt;=$G$107,$H$107,IF(K142&lt;=$G$108,$H$108,IF(K142&lt;=$G$109,$H$109,IF(K142&lt;=$G$110,$H$110,IF(K142&lt;=#REF!,#REF!)))))))</f>
        <v>9.9999999999999995E-7</v>
      </c>
      <c r="O143" s="98"/>
      <c r="P143" s="104"/>
      <c r="Q143" s="105">
        <f>IF(P142&lt;=$G$105,$G$105,IF(P142&lt;=$G$106,$G$106,IF(P142&lt;=$G$107,$G$107,IF(P142&lt;=$G$108,$G$108,IF(P142&lt;=$G$109,$G$109,IF(P142&lt;=$G$110,$G$110,IF(P142&lt;=#REF!,#REF!)))))))</f>
        <v>90</v>
      </c>
      <c r="R143" s="105"/>
      <c r="S143" s="106">
        <f>IF(P142&lt;=$G$105,$H$105,IF(P142&lt;=$G$106,$H$106,IF(P142&lt;=$G$107,$H$107,IF(P142&lt;=$G$108,$H$108,IF(P142&lt;=$G$109,$H$109,IF(P142&lt;=$G$110,$H$110,IF(P142&lt;=#REF!,#REF!)))))))</f>
        <v>9.9999999999999995E-7</v>
      </c>
      <c r="T143" s="98"/>
      <c r="U143" s="104"/>
      <c r="V143" s="105">
        <f>IF(U142&lt;=$G$105,$G$105,IF(U142&lt;=$G$106,$G$106,IF(U142&lt;=$G$107,$G$107,IF(U142&lt;=$G$108,$G$108,IF(U142&lt;=$G$109,$G$109,IF(U142&lt;=$G$110,$G$110,IF(U142&lt;=#REF!,#REF!)))))))</f>
        <v>90</v>
      </c>
      <c r="W143" s="105"/>
      <c r="X143" s="106">
        <f>IF(U142&lt;=$G$105,$H$105,IF(U142&lt;=$G$106,$H$106,IF(U142&lt;=$G$107,$H$107,IF(U142&lt;=$G$108,$H$108,IF(U142&lt;=$G$109,$H$109,IF(U142&lt;=$G$110,$H$110,IF(U142&lt;=#REF!,#REF!)))))))</f>
        <v>9.9999999999999995E-7</v>
      </c>
      <c r="Y143" s="98"/>
      <c r="Z143" s="104"/>
      <c r="AA143" s="105">
        <f>IF(Z142&lt;=$G$105,$G$105,IF(Z142&lt;=$G$106,$G$106,IF(Z142&lt;=$G$107,$G$107,IF(Z142&lt;=$G$108,$G$108,IF(Z142&lt;=$G$109,$G$109,IF(Z142&lt;=$G$110,$G$110,IF(Z142&lt;=#REF!,#REF!)))))))</f>
        <v>90</v>
      </c>
      <c r="AB143" s="105"/>
      <c r="AC143" s="106">
        <f>IF(Z142&lt;=$G$105,$H$105,IF(Z142&lt;=$G$106,$H$106,IF(Z142&lt;=$G$107,$H$107,IF(Z142&lt;=$G$108,$H$108,IF(Z142&lt;=$G$109,$H$109,IF(Z142&lt;=$G$110,$H$110,IF(Z142&lt;=#REF!,#REF!)))))))</f>
        <v>9.9999999999999995E-7</v>
      </c>
      <c r="AD143" s="98"/>
      <c r="AE143" s="104"/>
      <c r="AF143" s="105">
        <f>IF(AE142&lt;=$G$105,$G$105,IF(AE142&lt;=$G$106,$G$106,IF(AE142&lt;=$G$107,$G$107,IF(AE142&lt;=$G$108,$G$108,IF(AE142&lt;=$G$109,$G$109,IF(AE142&lt;=$G$110,$G$110,IF(AE142&lt;=#REF!,#REF!)))))))</f>
        <v>90</v>
      </c>
      <c r="AG143" s="105"/>
      <c r="AH143" s="106">
        <f>IF(AE142&lt;=$G$105,$H$105,IF(AE142&lt;=$G$106,$H$106,IF(AE142&lt;=$G$107,$H$107,IF(AE142&lt;=$G$108,$H$108,IF(AE142&lt;=$G$109,$H$109,IF(AE142&lt;=$G$110,$H$110,IF(AE142&lt;=#REF!,#REF!)))))))</f>
        <v>9.9999999999999995E-7</v>
      </c>
    </row>
    <row r="144" spans="1:34" ht="13.8" thickBot="1" x14ac:dyDescent="0.3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</row>
    <row r="145" spans="1:34" ht="15.6" x14ac:dyDescent="0.3">
      <c r="A145" s="927" t="s">
        <v>244</v>
      </c>
      <c r="B145" s="928"/>
      <c r="C145" s="928"/>
      <c r="D145" s="929"/>
      <c r="E145" s="98"/>
      <c r="F145" s="927" t="s">
        <v>244</v>
      </c>
      <c r="G145" s="928"/>
      <c r="H145" s="928"/>
      <c r="I145" s="929"/>
      <c r="J145" s="98"/>
      <c r="K145" s="927" t="s">
        <v>244</v>
      </c>
      <c r="L145" s="928"/>
      <c r="M145" s="928"/>
      <c r="N145" s="929"/>
      <c r="O145" s="98"/>
      <c r="P145" s="927" t="s">
        <v>244</v>
      </c>
      <c r="Q145" s="928"/>
      <c r="R145" s="928"/>
      <c r="S145" s="929"/>
      <c r="T145" s="98"/>
      <c r="U145" s="927" t="s">
        <v>244</v>
      </c>
      <c r="V145" s="928"/>
      <c r="W145" s="928"/>
      <c r="X145" s="929"/>
      <c r="Y145" s="98"/>
      <c r="Z145" s="927" t="s">
        <v>244</v>
      </c>
      <c r="AA145" s="928"/>
      <c r="AB145" s="928"/>
      <c r="AC145" s="929"/>
      <c r="AD145" s="98"/>
      <c r="AE145" s="927" t="s">
        <v>244</v>
      </c>
      <c r="AF145" s="928"/>
      <c r="AG145" s="928"/>
      <c r="AH145" s="929"/>
    </row>
    <row r="146" spans="1:34" x14ac:dyDescent="0.25">
      <c r="A146" s="99"/>
      <c r="B146" s="100">
        <f>IF(A147&lt;=$G$105,$G$103,IF(A147&lt;=$G$106,$G$105,IF(A147&lt;=$G$107,$G$106,IF(A147&lt;=$G$108,$G$107,IF(A147&lt;=$G$109,$G$108,IF(A147&lt;=$G$110,$G$109,IF(A147&lt;=#REF!,$G$110)))))))</f>
        <v>0</v>
      </c>
      <c r="C146" s="100"/>
      <c r="D146" s="101">
        <f>IF(A147&lt;=$G$105,$H$103,IF(A147&lt;=$G$106,$H$105,IF(A147&lt;=$G$107,$H$106,IF(A147&lt;=$G$108,$H$107,IF(A147&lt;=$G$109,$H$108,IF(A147&lt;=$G$110,$H$109,IF(A147&lt;=#REF!,$H$110)))))))</f>
        <v>0</v>
      </c>
      <c r="E146" s="98"/>
      <c r="F146" s="99"/>
      <c r="G146" s="100">
        <f>IF(F147&lt;=$G$105,$G$103,IF(F147&lt;=$G$106,$G$105,IF(F147&lt;=$G$107,$G$106,IF(F147&lt;=$G$108,$G$107,IF(F147&lt;=$G$109,$G$108,IF(F147&lt;=$G$110,$G$109,IF(F147&lt;=#REF!,$G$110)))))))</f>
        <v>0</v>
      </c>
      <c r="H146" s="100"/>
      <c r="I146" s="101">
        <f>IF(F147&lt;=$G$105,$H$103,IF(F147&lt;=$G$106,$H$105,IF(F147&lt;=$G$107,$H$106,IF(F147&lt;=$G$108,$H$107,IF(F147&lt;=$G$109,$H$108,IF(F147&lt;=$G$110,$H$109,IF(F147&lt;=#REF!,$H$110)))))))</f>
        <v>0</v>
      </c>
      <c r="J146" s="98"/>
      <c r="K146" s="99"/>
      <c r="L146" s="100">
        <f>IF(K147&lt;=$G$105,$G$103,IF(K147&lt;=$G$106,$G$105,IF(K147&lt;=$G$107,$G$106,IF(K147&lt;=$G$108,$G$107,IF(K147&lt;=$G$109,$G$108,IF(K147&lt;=$G$110,$G$109,IF(K147&lt;=#REF!,$G$110)))))))</f>
        <v>0</v>
      </c>
      <c r="M146" s="100"/>
      <c r="N146" s="101">
        <f>IF(K147&lt;=$G$105,$H$103,IF(K147&lt;=$G$106,$H$105,IF(K147&lt;=$G$107,$H$106,IF(K147&lt;=$G$108,$H$107,IF(K147&lt;=$G$109,$H$108,IF(K147&lt;=$G$110,$H$109,IF(K147&lt;=#REF!,$H$110)))))))</f>
        <v>0</v>
      </c>
      <c r="O146" s="98"/>
      <c r="P146" s="99"/>
      <c r="Q146" s="100">
        <f>IF(P147&lt;=$G$105,$G$103,IF(P147&lt;=$G$106,$G$105,IF(P147&lt;=$G$107,$G$106,IF(P147&lt;=$G$108,$G$107,IF(P147&lt;=$G$109,$G$108,IF(P147&lt;=$G$110,$G$109,IF(P147&lt;=#REF!,$G$110)))))))</f>
        <v>0</v>
      </c>
      <c r="R146" s="100"/>
      <c r="S146" s="101">
        <f>IF(P147&lt;=$G$105,$H$103,IF(P147&lt;=$G$106,$H$105,IF(P147&lt;=$G$107,$H$106,IF(P147&lt;=$G$108,$H$107,IF(P147&lt;=$G$109,$H$108,IF(P147&lt;=$G$110,$H$109,IF(P147&lt;=#REF!,$H$110)))))))</f>
        <v>0</v>
      </c>
      <c r="T146" s="98"/>
      <c r="U146" s="99"/>
      <c r="V146" s="100">
        <f>IF(U147&lt;=$G$105,$G$103,IF(U147&lt;=$G$106,$G$105,IF(U147&lt;=$G$107,$G$106,IF(U147&lt;=$G$108,$G$107,IF(U147&lt;=$G$109,$G$108,IF(U147&lt;=$G$110,$G$109,IF(U147&lt;=#REF!,$G$110)))))))</f>
        <v>0</v>
      </c>
      <c r="W146" s="100"/>
      <c r="X146" s="101">
        <f>IF(U147&lt;=$G$105,$H$103,IF(U147&lt;=$G$106,$H$105,IF(U147&lt;=$G$107,$H$106,IF(U147&lt;=$G$108,$H$107,IF(U147&lt;=$G$109,$H$108,IF(U147&lt;=$G$110,$H$109,IF(U147&lt;=#REF!,$H$110)))))))</f>
        <v>0</v>
      </c>
      <c r="Y146" s="98"/>
      <c r="Z146" s="99"/>
      <c r="AA146" s="100">
        <f>IF(Z147&lt;=$G$105,$G$103,IF(Z147&lt;=$G$106,$G$105,IF(Z147&lt;=$G$107,$G$106,IF(Z147&lt;=$G$108,$G$107,IF(Z147&lt;=$G$109,$G$108,IF(Z147&lt;=$G$110,$G$109,IF(Z147&lt;=#REF!,$G$110)))))))</f>
        <v>0</v>
      </c>
      <c r="AB146" s="100"/>
      <c r="AC146" s="101">
        <f>IF(Z147&lt;=$G$105,$H$103,IF(Z147&lt;=$G$106,$H$105,IF(Z147&lt;=$G$107,$H$106,IF(Z147&lt;=$G$108,$H$107,IF(Z147&lt;=$G$109,$H$108,IF(Z147&lt;=$G$110,$H$109,IF(Z147&lt;=#REF!,$H$110)))))))</f>
        <v>0</v>
      </c>
      <c r="AD146" s="98"/>
      <c r="AE146" s="99"/>
      <c r="AF146" s="100">
        <f>IF(AE147&lt;=$G$105,$G$103,IF(AE147&lt;=$G$106,$G$105,IF(AE147&lt;=$G$107,$G$106,IF(AE147&lt;=$G$108,$G$107,IF(AE147&lt;=$G$109,$G$108,IF(AE147&lt;=$G$110,$G$109,IF(AE147&lt;=#REF!,$G$110)))))))</f>
        <v>0</v>
      </c>
      <c r="AG146" s="100"/>
      <c r="AH146" s="101">
        <f>IF(AE147&lt;=$G$105,$H$103,IF(AE147&lt;=$G$106,$H$105,IF(AE147&lt;=$G$107,$H$106,IF(AE147&lt;=$G$108,$H$107,IF(AE147&lt;=$G$109,$H$108,IF(AE147&lt;=$G$110,$H$109,IF(AE147&lt;=#REF!,$H$110)))))))</f>
        <v>0</v>
      </c>
    </row>
    <row r="147" spans="1:34" x14ac:dyDescent="0.25">
      <c r="A147" s="102">
        <v>0</v>
      </c>
      <c r="B147" s="100"/>
      <c r="C147" s="103">
        <f>((A147-B146)/(B148-B146)*(D148-D146)+D146)</f>
        <v>0</v>
      </c>
      <c r="D147" s="101"/>
      <c r="E147" s="98"/>
      <c r="F147" s="102">
        <v>0</v>
      </c>
      <c r="G147" s="100"/>
      <c r="H147" s="103">
        <f>((F147-G146)/(G148-G146)*(I148-I146)+I146)</f>
        <v>0</v>
      </c>
      <c r="I147" s="101"/>
      <c r="J147" s="98"/>
      <c r="K147" s="102">
        <v>0</v>
      </c>
      <c r="L147" s="100"/>
      <c r="M147" s="103">
        <f>((K147-L146)/(L148-L146)*(N148-N146)+N146)</f>
        <v>0</v>
      </c>
      <c r="N147" s="101"/>
      <c r="O147" s="98"/>
      <c r="P147" s="102">
        <v>0</v>
      </c>
      <c r="Q147" s="100"/>
      <c r="R147" s="103">
        <f>((P147-Q146)/(Q148-Q146)*(S148-S146)+S146)</f>
        <v>0</v>
      </c>
      <c r="S147" s="101"/>
      <c r="T147" s="98"/>
      <c r="U147" s="102">
        <v>0</v>
      </c>
      <c r="V147" s="100"/>
      <c r="W147" s="103">
        <f>((U147-V146)/(V148-V146)*(X148-X146)+X146)</f>
        <v>0</v>
      </c>
      <c r="X147" s="101"/>
      <c r="Y147" s="98"/>
      <c r="Z147" s="102">
        <v>0</v>
      </c>
      <c r="AA147" s="100"/>
      <c r="AB147" s="103">
        <f>((Z147-AA146)/(AA148-AA146)*(AC148-AC146)+AC146)</f>
        <v>0</v>
      </c>
      <c r="AC147" s="101"/>
      <c r="AD147" s="98"/>
      <c r="AE147" s="102">
        <v>0</v>
      </c>
      <c r="AF147" s="100"/>
      <c r="AG147" s="103">
        <f>((AE147-AF146)/(AF148-AF146)*(AH148-AH146)+AH146)</f>
        <v>0</v>
      </c>
      <c r="AH147" s="101"/>
    </row>
    <row r="148" spans="1:34" ht="13.8" thickBot="1" x14ac:dyDescent="0.3">
      <c r="A148" s="104"/>
      <c r="B148" s="105">
        <f>IF(A147&lt;=$G$105,$G$105,IF(A147&lt;=$G$106,$G$106,IF(A147&lt;=$G$107,$G$107,IF(A147&lt;=$G$108,$G$108,IF(A147&lt;=$G$109,$G$109,IF(A147&lt;=$G$110,$G$110,IF(A147&lt;=#REF!,#REF!)))))))</f>
        <v>90</v>
      </c>
      <c r="C148" s="105"/>
      <c r="D148" s="106">
        <f>IF(A147&lt;=$G$105,$H$105,IF(A147&lt;=$G$106,$H$106,IF(A147&lt;=$G$107,$H$107,IF(A147&lt;=$G$108,$H$108,IF(A147&lt;=$G$109,$H$109,IF(A147&lt;=$G$110,$H$110,IF(A147&lt;=#REF!,#REF!)))))))</f>
        <v>9.9999999999999995E-7</v>
      </c>
      <c r="E148" s="98"/>
      <c r="F148" s="104"/>
      <c r="G148" s="105">
        <f>IF(F147&lt;=$G$105,$G$105,IF(F147&lt;=$G$106,$G$106,IF(F147&lt;=$G$107,$G$107,IF(F147&lt;=$G$108,$G$108,IF(F147&lt;=$G$109,$G$109,IF(F147&lt;=$G$110,$G$110,IF(F147&lt;=#REF!,#REF!)))))))</f>
        <v>90</v>
      </c>
      <c r="H148" s="105"/>
      <c r="I148" s="106">
        <f>IF(F147&lt;=$G$105,$H$105,IF(F147&lt;=$G$106,$H$106,IF(F147&lt;=$G$107,$H$107,IF(F147&lt;=$G$108,$H$108,IF(F147&lt;=$G$109,$H$109,IF(F147&lt;=$G$110,$H$110,IF(F147&lt;=#REF!,#REF!)))))))</f>
        <v>9.9999999999999995E-7</v>
      </c>
      <c r="J148" s="98"/>
      <c r="K148" s="104"/>
      <c r="L148" s="105">
        <f>IF(K147&lt;=$G$105,$G$105,IF(K147&lt;=$G$106,$G$106,IF(K147&lt;=$G$107,$G$107,IF(K147&lt;=$G$108,$G$108,IF(K147&lt;=$G$109,$G$109,IF(K147&lt;=$G$110,$G$110,IF(K147&lt;=#REF!,#REF!)))))))</f>
        <v>90</v>
      </c>
      <c r="M148" s="105"/>
      <c r="N148" s="106">
        <f>IF(K147&lt;=$G$105,$H$105,IF(K147&lt;=$G$106,$H$106,IF(K147&lt;=$G$107,$H$107,IF(K147&lt;=$G$108,$H$108,IF(K147&lt;=$G$109,$H$109,IF(K147&lt;=$G$110,$H$110,IF(K147&lt;=#REF!,#REF!)))))))</f>
        <v>9.9999999999999995E-7</v>
      </c>
      <c r="O148" s="98"/>
      <c r="P148" s="104"/>
      <c r="Q148" s="105">
        <f>IF(P147&lt;=$G$105,$G$105,IF(P147&lt;=$G$106,$G$106,IF(P147&lt;=$G$107,$G$107,IF(P147&lt;=$G$108,$G$108,IF(P147&lt;=$G$109,$G$109,IF(P147&lt;=$G$110,$G$110,IF(P147&lt;=#REF!,#REF!)))))))</f>
        <v>90</v>
      </c>
      <c r="R148" s="105"/>
      <c r="S148" s="106">
        <f>IF(P147&lt;=$G$105,$H$105,IF(P147&lt;=$G$106,$H$106,IF(P147&lt;=$G$107,$H$107,IF(P147&lt;=$G$108,$H$108,IF(P147&lt;=$G$109,$H$109,IF(P147&lt;=$G$110,$H$110,IF(P147&lt;=#REF!,#REF!)))))))</f>
        <v>9.9999999999999995E-7</v>
      </c>
      <c r="T148" s="98"/>
      <c r="U148" s="104"/>
      <c r="V148" s="105">
        <f>IF(U147&lt;=$G$105,$G$105,IF(U147&lt;=$G$106,$G$106,IF(U147&lt;=$G$107,$G$107,IF(U147&lt;=$G$108,$G$108,IF(U147&lt;=$G$109,$G$109,IF(U147&lt;=$G$110,$G$110,IF(U147&lt;=#REF!,#REF!)))))))</f>
        <v>90</v>
      </c>
      <c r="W148" s="105"/>
      <c r="X148" s="106">
        <f>IF(U147&lt;=$G$105,$H$105,IF(U147&lt;=$G$106,$H$106,IF(U147&lt;=$G$107,$H$107,IF(U147&lt;=$G$108,$H$108,IF(U147&lt;=$G$109,$H$109,IF(U147&lt;=$G$110,$H$110,IF(U147&lt;=#REF!,#REF!)))))))</f>
        <v>9.9999999999999995E-7</v>
      </c>
      <c r="Y148" s="98"/>
      <c r="Z148" s="104"/>
      <c r="AA148" s="105">
        <f>IF(Z147&lt;=$G$105,$G$105,IF(Z147&lt;=$G$106,$G$106,IF(Z147&lt;=$G$107,$G$107,IF(Z147&lt;=$G$108,$G$108,IF(Z147&lt;=$G$109,$G$109,IF(Z147&lt;=$G$110,$G$110,IF(Z147&lt;=#REF!,#REF!)))))))</f>
        <v>90</v>
      </c>
      <c r="AB148" s="105"/>
      <c r="AC148" s="106">
        <f>IF(Z147&lt;=$G$105,$H$105,IF(Z147&lt;=$G$106,$H$106,IF(Z147&lt;=$G$107,$H$107,IF(Z147&lt;=$G$108,$H$108,IF(Z147&lt;=$G$109,$H$109,IF(Z147&lt;=$G$110,$H$110,IF(Z147&lt;=#REF!,#REF!)))))))</f>
        <v>9.9999999999999995E-7</v>
      </c>
      <c r="AD148" s="98"/>
      <c r="AE148" s="104"/>
      <c r="AF148" s="105">
        <f>IF(AE147&lt;=$G$105,$G$105,IF(AE147&lt;=$G$106,$G$106,IF(AE147&lt;=$G$107,$G$107,IF(AE147&lt;=$G$108,$G$108,IF(AE147&lt;=$G$109,$G$109,IF(AE147&lt;=$G$110,$G$110,IF(AE147&lt;=#REF!,#REF!)))))))</f>
        <v>90</v>
      </c>
      <c r="AG148" s="105"/>
      <c r="AH148" s="106">
        <f>IF(AE147&lt;=$G$105,$H$105,IF(AE147&lt;=$G$106,$H$106,IF(AE147&lt;=$G$107,$H$107,IF(AE147&lt;=$G$108,$H$108,IF(AE147&lt;=$G$109,$H$109,IF(AE147&lt;=$G$110,$H$110,IF(AE147&lt;=#REF!,#REF!)))))))</f>
        <v>9.9999999999999995E-7</v>
      </c>
    </row>
    <row r="151" spans="1:34" ht="34.799999999999997" x14ac:dyDescent="0.25">
      <c r="A151" s="952" t="s">
        <v>246</v>
      </c>
      <c r="B151" s="952"/>
      <c r="C151" s="952"/>
      <c r="D151" s="952"/>
      <c r="E151" s="952"/>
      <c r="F151" s="952"/>
      <c r="G151" s="952"/>
      <c r="H151" s="952"/>
      <c r="I151" s="952"/>
      <c r="J151" s="952"/>
      <c r="K151" s="952"/>
      <c r="L151" s="952"/>
      <c r="M151" s="952"/>
      <c r="N151" s="952"/>
      <c r="O151" s="952"/>
      <c r="P151" s="952"/>
      <c r="Q151" s="952"/>
      <c r="R151" s="952"/>
      <c r="S151" s="952"/>
      <c r="T151" s="952"/>
      <c r="U151" s="952"/>
      <c r="V151" s="952"/>
      <c r="W151" s="952"/>
      <c r="X151" s="952"/>
      <c r="Y151" s="952"/>
      <c r="Z151" s="952"/>
      <c r="AA151" s="952"/>
      <c r="AB151" s="952"/>
      <c r="AC151" s="952"/>
      <c r="AD151" s="67"/>
      <c r="AE151" s="67"/>
      <c r="AF151" s="67"/>
      <c r="AG151" s="67"/>
      <c r="AH151" s="67"/>
    </row>
    <row r="152" spans="1:34" ht="21" customHeight="1" thickBot="1" x14ac:dyDescent="0.3">
      <c r="A152" s="940" t="s">
        <v>255</v>
      </c>
      <c r="B152" s="940"/>
      <c r="C152" s="940"/>
      <c r="D152" s="940"/>
      <c r="E152" s="53"/>
      <c r="F152" s="940" t="s">
        <v>256</v>
      </c>
      <c r="G152" s="940"/>
      <c r="H152" s="940"/>
      <c r="I152" s="940"/>
      <c r="J152" s="53"/>
      <c r="K152" s="940" t="s">
        <v>257</v>
      </c>
      <c r="L152" s="940"/>
      <c r="M152" s="940"/>
      <c r="N152" s="940"/>
      <c r="O152" s="67"/>
      <c r="P152" s="940" t="s">
        <v>258</v>
      </c>
      <c r="Q152" s="940"/>
      <c r="R152" s="940"/>
      <c r="S152" s="940"/>
      <c r="T152" s="67"/>
      <c r="U152" s="940" t="s">
        <v>259</v>
      </c>
      <c r="V152" s="940"/>
      <c r="W152" s="940"/>
      <c r="X152" s="940"/>
      <c r="Y152" s="67"/>
      <c r="Z152" s="940" t="s">
        <v>260</v>
      </c>
      <c r="AA152" s="940"/>
      <c r="AB152" s="940"/>
      <c r="AC152" s="940"/>
      <c r="AD152" s="67"/>
      <c r="AE152" s="940" t="s">
        <v>261</v>
      </c>
      <c r="AF152" s="940"/>
      <c r="AG152" s="940"/>
      <c r="AH152" s="940"/>
    </row>
    <row r="153" spans="1:34" ht="15.6" x14ac:dyDescent="0.3">
      <c r="A153" s="921" t="s">
        <v>240</v>
      </c>
      <c r="B153" s="922"/>
      <c r="C153" s="922"/>
      <c r="D153" s="923"/>
      <c r="F153" s="921" t="s">
        <v>240</v>
      </c>
      <c r="G153" s="922"/>
      <c r="H153" s="922"/>
      <c r="I153" s="923"/>
      <c r="J153" s="30"/>
      <c r="K153" s="921" t="s">
        <v>240</v>
      </c>
      <c r="L153" s="922"/>
      <c r="M153" s="922"/>
      <c r="N153" s="923"/>
      <c r="P153" s="921" t="s">
        <v>240</v>
      </c>
      <c r="Q153" s="922"/>
      <c r="R153" s="922"/>
      <c r="S153" s="923"/>
      <c r="U153" s="921" t="s">
        <v>240</v>
      </c>
      <c r="V153" s="922"/>
      <c r="W153" s="922"/>
      <c r="X153" s="923"/>
      <c r="Z153" s="921" t="s">
        <v>240</v>
      </c>
      <c r="AA153" s="922"/>
      <c r="AB153" s="922"/>
      <c r="AC153" s="923"/>
      <c r="AE153" s="921" t="s">
        <v>240</v>
      </c>
      <c r="AF153" s="922"/>
      <c r="AG153" s="922"/>
      <c r="AH153" s="923"/>
    </row>
    <row r="154" spans="1:34" x14ac:dyDescent="0.25">
      <c r="A154" s="31"/>
      <c r="B154" s="32">
        <f>IF(A155&lt;=$A$104,$A$103,IF(A155&lt;=$A$105,$A$104,IF(A155&lt;=$A$106,$A$105,IF(A155&lt;=$A$107,$A$106,IF(A155&lt;=$A$108,$A$107,IF(A155&lt;=$A$109,$A$108,IF(A155&lt;=$A$110,$A$109)))))))</f>
        <v>0</v>
      </c>
      <c r="C154" s="32"/>
      <c r="D154" s="33">
        <f>IF(A155&lt;=$A$104,$D$103,IF(A155&lt;=$A$105,$D$104,IF(A155&lt;=$A$106,$D$105,IF(A155&lt;=$A$107,$D$106,IF(A155&lt;=$A$108,$D$107,IF(A155&lt;=$A$109,$D$108,IF(A155&lt;=$A$110,$D$109,IF(A155&lt;=$A$110,$D$110))))))))</f>
        <v>0</v>
      </c>
      <c r="F154" s="31"/>
      <c r="G154" s="32">
        <f>IF(F155&lt;=$A$104,$A$103,IF(F155&lt;=$A$105,$A$104,IF(F155&lt;=$A$106,$A$105,IF(F155&lt;=$A$107,$A$106,IF(F155&lt;=$A$108,$A$107,IF(F155&lt;=$A$109,$A$108,IF(F155&lt;=$A$110,$A$109)))))))</f>
        <v>85</v>
      </c>
      <c r="H154" s="32"/>
      <c r="I154" s="33">
        <f>IF(F155&lt;=$A$104,$D$103,IF(F155&lt;=$A$105,$D$104,IF(F155&lt;=$A$106,$D$105,IF(F155&lt;=$A$107,$D$106,IF(F155&lt;=$A$108,$D$107,IF(F155&lt;=$A$109,$D$108,IF(F155&lt;=$A$110,$D$109,IF(F155&lt;=$A$110,$D$110))))))))</f>
        <v>0</v>
      </c>
      <c r="J154" s="17"/>
      <c r="K154" s="31"/>
      <c r="L154" s="32">
        <f>IF(K155&lt;=$A$104,$A$103,IF(K155&lt;=$A$105,$A$104,IF(K155&lt;=$A$106,$A$105,IF(K155&lt;=$A$107,$A$106,IF(K155&lt;=$A$108,$A$107,IF(K155&lt;=$A$109,$A$108,IF(K155&lt;=$A$110,$A$109)))))))</f>
        <v>90</v>
      </c>
      <c r="M154" s="32"/>
      <c r="N154" s="33">
        <f>IF(K155&lt;=$A$104,$D$103,IF(K155&lt;=$A$105,$D$104,IF(K155&lt;=$A$106,$D$105,IF(K155&lt;=$A$107,$D$106,IF(K155&lt;=$A$108,$D$107,IF(K155&lt;=$A$109,$D$108,IF(K155&lt;=$A$110,$D$109,IF(K155&lt;=$A$110,$D$110))))))))</f>
        <v>0</v>
      </c>
      <c r="P154" s="31"/>
      <c r="Q154" s="32">
        <f>IF(P155&lt;=$A$104,$A$103,IF(P155&lt;=$A$105,$A$104,IF(P155&lt;=$A$106,$A$105,IF(P155&lt;=$A$107,$A$106,IF(P155&lt;=$A$108,$A$107,IF(P155&lt;=$A$109,$A$108,IF(P155&lt;=$A$110,$A$109)))))))</f>
        <v>97</v>
      </c>
      <c r="R154" s="32"/>
      <c r="S154" s="33">
        <f>IF(P155&lt;=$A$104,$D$103,IF(P155&lt;=$A$105,$D$104,IF(P155&lt;=$A$106,$D$105,IF(P155&lt;=$A$107,$D$106,IF(P155&lt;=$A$108,$D$107,IF(P155&lt;=$A$109,$D$108,IF(P155&lt;=$A$110,$D$109,IF(P155&lt;=$A$110,$D$110))))))))</f>
        <v>0</v>
      </c>
      <c r="U154" s="31"/>
      <c r="V154" s="32">
        <f>IF(U155&lt;=$A$104,$A$103,IF(U155&lt;=$A$105,$A$104,IF(U155&lt;=$A$106,$A$105,IF(U155&lt;=$A$107,$A$106,IF(U155&lt;=$A$108,$A$107,IF(U155&lt;=$A$109,$A$108,IF(U155&lt;=$A$110,$A$109)))))))</f>
        <v>97</v>
      </c>
      <c r="W154" s="32"/>
      <c r="X154" s="33">
        <f>IF(U155&lt;=$A$104,$D$103,IF(U155&lt;=$A$105,$D$104,IF(U155&lt;=$A$106,$D$105,IF(U155&lt;=$A$107,$D$106,IF(U155&lt;=$A$108,$D$107,IF(U155&lt;=$A$109,$D$108,IF(U155&lt;=$A$110,$D$109,IF(U155&lt;=$A$110,$D$110))))))))</f>
        <v>0</v>
      </c>
      <c r="Z154" s="31"/>
      <c r="AA154" s="32">
        <f>IF(Z155&lt;=$A$104,$A$103,IF(Z155&lt;=$A$105,$A$104,IF(Z155&lt;=$A$106,$A$105,IF(Z155&lt;=$A$107,$A$106,IF(Z155&lt;=$A$108,$A$107,IF(Z155&lt;=$A$109,$A$108,IF(Z155&lt;=$A$110,$A$109)))))))</f>
        <v>98</v>
      </c>
      <c r="AB154" s="32"/>
      <c r="AC154" s="33">
        <f>IF(Z155&lt;=$A$104,$D$103,IF(Z155&lt;=$A$105,$D$104,IF(Z155&lt;=$A$106,$D$105,IF(Z155&lt;=$A$107,$D$106,IF(Z155&lt;=$A$108,$D$107,IF(Z155&lt;=$A$109,$D$108,IF(Z155&lt;=$A$110,$D$109,IF(Z155&lt;=$A$110,$D$110))))))))</f>
        <v>0</v>
      </c>
      <c r="AE154" s="31"/>
      <c r="AF154" s="32">
        <f>IF(AE155&lt;=$A$104,$A$103,IF(AE155&lt;=$A$105,$A$104,IF(AE155&lt;=$A$106,$A$105,IF(AE155&lt;=$A$107,$A$106,IF(AE155&lt;=$A$108,$A$107,IF(AE155&lt;=$A$109,$A$108,IF(AE155&lt;=$A$110,$A$109)))))))</f>
        <v>99</v>
      </c>
      <c r="AG154" s="32"/>
      <c r="AH154" s="33">
        <f>IF(AE155&lt;=$A$104,$D$103,IF(AE155&lt;=$A$105,$D$104,IF(AE155&lt;=$A$106,$D$105,IF(AE155&lt;=$A$107,$D$106,IF(AE155&lt;=$A$108,$D$107,IF(AE155&lt;=$A$109,$D$108,IF(AE155&lt;=$A$110,$D$109,IF(AE155&lt;=$A$110,$D$110))))))))</f>
        <v>0</v>
      </c>
    </row>
    <row r="155" spans="1:34" x14ac:dyDescent="0.25">
      <c r="A155" s="34">
        <f>ID!K95</f>
        <v>85</v>
      </c>
      <c r="B155" s="32"/>
      <c r="C155" s="35">
        <f>((A155-B154)/(B156-B154)*(D156-D154)+D154)</f>
        <v>0</v>
      </c>
      <c r="D155" s="33"/>
      <c r="F155" s="34">
        <f>ID!K94</f>
        <v>90</v>
      </c>
      <c r="G155" s="32"/>
      <c r="H155" s="35">
        <f>((F155-G154)/(G156-G154)*(I156-I154)+I154)</f>
        <v>0</v>
      </c>
      <c r="I155" s="33"/>
      <c r="J155" s="17"/>
      <c r="K155" s="34">
        <f>ID!K93</f>
        <v>95</v>
      </c>
      <c r="L155" s="32"/>
      <c r="M155" s="35">
        <f>((K155-L154)/(L156-L154)*(N156-N154)+N154)</f>
        <v>0</v>
      </c>
      <c r="N155" s="33"/>
      <c r="P155" s="34">
        <f>ID!K92</f>
        <v>97.166666666666671</v>
      </c>
      <c r="Q155" s="32"/>
      <c r="R155" s="35">
        <f>((P155-Q154)/(Q156-Q154)*(S156-S154)+S154)</f>
        <v>0</v>
      </c>
      <c r="S155" s="33"/>
      <c r="U155" s="34">
        <f>ID!K91</f>
        <v>98</v>
      </c>
      <c r="V155" s="32"/>
      <c r="W155" s="35">
        <f>((U155-V154)/(V156-V154)*(X156-X154)+X154)</f>
        <v>0</v>
      </c>
      <c r="X155" s="33"/>
      <c r="Z155" s="34">
        <f>ID!K90</f>
        <v>99</v>
      </c>
      <c r="AA155" s="32"/>
      <c r="AB155" s="35">
        <f>((Z155-AA154)/(AA156-AA154)*(AC156-AC154)+AC154)</f>
        <v>0</v>
      </c>
      <c r="AC155" s="33"/>
      <c r="AE155" s="34">
        <f>ID!K89</f>
        <v>100</v>
      </c>
      <c r="AF155" s="32"/>
      <c r="AG155" s="35">
        <f>((AE155-AF154)/(AF156-AF154)*(AH156-AH154)+AH154)</f>
        <v>0</v>
      </c>
      <c r="AH155" s="33"/>
    </row>
    <row r="156" spans="1:34" ht="13.8" thickBot="1" x14ac:dyDescent="0.3">
      <c r="A156" s="38"/>
      <c r="B156" s="39">
        <f>IF(A155&lt;=$A$103,$A$103,IF(A155&lt;=$A$104,$A$104,IF(A155&lt;=$A$105,$A$105,IF(A155&lt;=$A$106,$A$106,IF(A155&lt;=$A$107,$A$107,IF(A155&lt;=$A$108,$A$108,IF(A155&lt;=$A$109,$A$109,IF(A155&lt;=$A$110,$A$110))))))))</f>
        <v>85</v>
      </c>
      <c r="C156" s="39"/>
      <c r="D156" s="40">
        <f>IF(A155&lt;=$A$103,$D$103,IF(A155&lt;=$A$104,$D$104,IF(A155&lt;=$A$105,$D$105,IF(A155&lt;=$A$106,$D$106,IF(A155&lt;=$A$107,$D$107,IF(A155&lt;=$A$108,$D$108,IF(A155&lt;=$A$109,$D$109,IF(A155&lt;=$A$110,$D$110))))))))</f>
        <v>0</v>
      </c>
      <c r="F156" s="38"/>
      <c r="G156" s="39">
        <f>IF(F155&lt;=$A$103,$A$103,IF(F155&lt;=$A$104,$A$104,IF(F155&lt;=$A$105,$A$105,IF(F155&lt;=$A$106,$A$106,IF(F155&lt;=$A$107,$A$107,IF(F155&lt;=$A$108,$A$108,IF(F155&lt;=$A$109,$A$109,IF(F155&lt;=$A$110,$A$110))))))))</f>
        <v>90</v>
      </c>
      <c r="H156" s="39"/>
      <c r="I156" s="40">
        <f>IF(F155&lt;=$A$103,$D$103,IF(F155&lt;=$A$104,$D$104,IF(F155&lt;=$A$105,$D$105,IF(F155&lt;=$A$106,$D$106,IF(F155&lt;=$A$107,$D$107,IF(F155&lt;=$A$108,$D$108,IF(F155&lt;=$A$109,$D$109,IF(F155&lt;=$A$110,$D$110))))))))</f>
        <v>0</v>
      </c>
      <c r="J156" s="17"/>
      <c r="K156" s="38"/>
      <c r="L156" s="39">
        <f>IF(K155&lt;=$A$103,$A$103,IF(K155&lt;=$A$104,$A$104,IF(K155&lt;=$A$105,$A$105,IF(K155&lt;=$A$106,$A$106,IF(K155&lt;=$A$107,$A$107,IF(K155&lt;=$A$108,$A$108,IF(K155&lt;=$A$109,$A$109,IF(K155&lt;=$A$110,$A$110))))))))</f>
        <v>95</v>
      </c>
      <c r="M156" s="39"/>
      <c r="N156" s="40">
        <f>IF(K155&lt;=$A$103,$D$103,IF(K155&lt;=$A$104,$D$104,IF(K155&lt;=$A$105,$D$105,IF(K155&lt;=$A$106,$D$106,IF(K155&lt;=$A$107,$D$107,IF(K155&lt;=$A$108,$D$108,IF(K155&lt;=$A$109,$D$109,IF(K155&lt;=$A$110,$D$110))))))))</f>
        <v>0</v>
      </c>
      <c r="P156" s="38"/>
      <c r="Q156" s="39">
        <f>IF(P155&lt;=$A$103,$A$103,IF(P155&lt;=$A$104,$A$104,IF(P155&lt;=$A$105,$A$105,IF(P155&lt;=$A$106,$A$106,IF(P155&lt;=$A$107,$A$107,IF(P155&lt;=$A$108,$A$108,IF(P155&lt;=$A$109,$A$109,IF(P155&lt;=$A$110,$A$110))))))))</f>
        <v>98</v>
      </c>
      <c r="R156" s="39"/>
      <c r="S156" s="40">
        <f>IF(P155&lt;=$A$103,$D$103,IF(P155&lt;=$A$104,$D$104,IF(P155&lt;=$A$105,$D$105,IF(P155&lt;=$A$106,$D$106,IF(P155&lt;=$A$107,$D$107,IF(P155&lt;=$A$108,$D$108,IF(P155&lt;=$A$109,$D$109,IF(P155&lt;=$A$110,$D$110))))))))</f>
        <v>0</v>
      </c>
      <c r="U156" s="38"/>
      <c r="V156" s="39">
        <f>IF(U155&lt;=$A$103,$A$103,IF(U155&lt;=$A$104,$A$104,IF(U155&lt;=$A$105,$A$105,IF(U155&lt;=$A$106,$A$106,IF(U155&lt;=$A$107,$A$107,IF(U155&lt;=$A$108,$A$108,IF(U155&lt;=$A$109,$A$109,IF(U155&lt;=$A$110,$A$110))))))))</f>
        <v>98</v>
      </c>
      <c r="W156" s="39"/>
      <c r="X156" s="40">
        <f>IF(U155&lt;=$A$103,$D$103,IF(U155&lt;=$A$104,$D$104,IF(U155&lt;=$A$105,$D$105,IF(U155&lt;=$A$106,$D$106,IF(U155&lt;=$A$107,$D$107,IF(U155&lt;=$A$108,$D$108,IF(U155&lt;=$A$109,$D$109,IF(U155&lt;=$A$110,$D$110))))))))</f>
        <v>0</v>
      </c>
      <c r="Z156" s="38"/>
      <c r="AA156" s="39">
        <f>IF(Z155&lt;=$A$103,$A$103,IF(Z155&lt;=$A$104,$A$104,IF(Z155&lt;=$A$105,$A$105,IF(Z155&lt;=$A$106,$A$106,IF(Z155&lt;=$A$107,$A$107,IF(Z155&lt;=$A$108,$A$108,IF(Z155&lt;=$A$109,$A$109,IF(Z155&lt;=$A$110,$A$110))))))))</f>
        <v>99</v>
      </c>
      <c r="AB156" s="39"/>
      <c r="AC156" s="40">
        <f>IF(Z155&lt;=$A$103,$D$103,IF(Z155&lt;=$A$104,$D$104,IF(Z155&lt;=$A$105,$D$105,IF(Z155&lt;=$A$106,$D$106,IF(Z155&lt;=$A$107,$D$107,IF(Z155&lt;=$A$108,$D$108,IF(Z155&lt;=$A$109,$D$109,IF(Z155&lt;=$A$110,$D$110))))))))</f>
        <v>0</v>
      </c>
      <c r="AE156" s="38"/>
      <c r="AF156" s="39">
        <f>IF(AE155&lt;=$A$103,$A$103,IF(AE155&lt;=$A$104,$A$104,IF(AE155&lt;=$A$105,$A$105,IF(AE155&lt;=$A$106,$A$106,IF(AE155&lt;=$A$107,$A$107,IF(AE155&lt;=$A$108,$A$108,IF(AE155&lt;=$A$109,$A$109,IF(AE155&lt;=$A$110,$A$110))))))))</f>
        <v>100</v>
      </c>
      <c r="AG156" s="39"/>
      <c r="AH156" s="40">
        <f>IF(AE155&lt;=$A$103,$D$103,IF(AE155&lt;=$A$104,$D$104,IF(AE155&lt;=$A$105,$D$105,IF(AE155&lt;=$A$106,$D$106,IF(AE155&lt;=$A$107,$D$107,IF(AE155&lt;=$A$108,$D$108,IF(AE155&lt;=$A$109,$D$109,IF(AE155&lt;=$A$110,$D$110))))))))</f>
        <v>0</v>
      </c>
    </row>
  </sheetData>
  <mergeCells count="134">
    <mergeCell ref="A1:L1"/>
    <mergeCell ref="A9:I9"/>
    <mergeCell ref="A10:F10"/>
    <mergeCell ref="G10:I10"/>
    <mergeCell ref="A11:F11"/>
    <mergeCell ref="G11:I11"/>
    <mergeCell ref="A23:F23"/>
    <mergeCell ref="G23:I23"/>
    <mergeCell ref="A24:F24"/>
    <mergeCell ref="G24:I24"/>
    <mergeCell ref="A25:F25"/>
    <mergeCell ref="G25:I25"/>
    <mergeCell ref="A12:F12"/>
    <mergeCell ref="G12:I12"/>
    <mergeCell ref="A13:F13"/>
    <mergeCell ref="G13:I13"/>
    <mergeCell ref="A21:I21"/>
    <mergeCell ref="A22:F22"/>
    <mergeCell ref="G22:I22"/>
    <mergeCell ref="A36:F36"/>
    <mergeCell ref="G36:I36"/>
    <mergeCell ref="A37:F37"/>
    <mergeCell ref="G37:I37"/>
    <mergeCell ref="A45:I45"/>
    <mergeCell ref="A46:F46"/>
    <mergeCell ref="G46:I46"/>
    <mergeCell ref="T29:W29"/>
    <mergeCell ref="A33:I33"/>
    <mergeCell ref="A34:F34"/>
    <mergeCell ref="G34:I34"/>
    <mergeCell ref="A35:F35"/>
    <mergeCell ref="G35:I35"/>
    <mergeCell ref="A57:I57"/>
    <mergeCell ref="A58:F58"/>
    <mergeCell ref="G58:I58"/>
    <mergeCell ref="A59:F59"/>
    <mergeCell ref="G59:I59"/>
    <mergeCell ref="A60:F60"/>
    <mergeCell ref="G60:I60"/>
    <mergeCell ref="A47:F47"/>
    <mergeCell ref="G47:I47"/>
    <mergeCell ref="A48:F48"/>
    <mergeCell ref="G48:I48"/>
    <mergeCell ref="A49:F49"/>
    <mergeCell ref="G49:I49"/>
    <mergeCell ref="A72:F72"/>
    <mergeCell ref="G72:I72"/>
    <mergeCell ref="A73:F73"/>
    <mergeCell ref="G73:I73"/>
    <mergeCell ref="A81:I81"/>
    <mergeCell ref="A82:F82"/>
    <mergeCell ref="G82:I82"/>
    <mergeCell ref="A61:F61"/>
    <mergeCell ref="G61:I61"/>
    <mergeCell ref="A69:I69"/>
    <mergeCell ref="A70:F70"/>
    <mergeCell ref="G70:I70"/>
    <mergeCell ref="A71:F71"/>
    <mergeCell ref="G71:I71"/>
    <mergeCell ref="B88:E88"/>
    <mergeCell ref="G90:J90"/>
    <mergeCell ref="G94:J94"/>
    <mergeCell ref="A99:O99"/>
    <mergeCell ref="A101:A102"/>
    <mergeCell ref="B101:D101"/>
    <mergeCell ref="G101:H101"/>
    <mergeCell ref="A83:F83"/>
    <mergeCell ref="G83:I83"/>
    <mergeCell ref="A84:F84"/>
    <mergeCell ref="G84:I84"/>
    <mergeCell ref="A85:F85"/>
    <mergeCell ref="G85:I85"/>
    <mergeCell ref="A113:A114"/>
    <mergeCell ref="B113:B114"/>
    <mergeCell ref="H113:L113"/>
    <mergeCell ref="M113:M114"/>
    <mergeCell ref="A123:AC123"/>
    <mergeCell ref="A124:D124"/>
    <mergeCell ref="F124:I124"/>
    <mergeCell ref="K124:N124"/>
    <mergeCell ref="P124:S124"/>
    <mergeCell ref="U124:X124"/>
    <mergeCell ref="Z124:AC124"/>
    <mergeCell ref="AE124:AH124"/>
    <mergeCell ref="A125:D125"/>
    <mergeCell ref="F125:I125"/>
    <mergeCell ref="K125:N125"/>
    <mergeCell ref="P125:S125"/>
    <mergeCell ref="U125:X125"/>
    <mergeCell ref="Z125:AC125"/>
    <mergeCell ref="AE125:AH125"/>
    <mergeCell ref="AE130:AH130"/>
    <mergeCell ref="A135:D135"/>
    <mergeCell ref="F135:I135"/>
    <mergeCell ref="K135:N135"/>
    <mergeCell ref="P135:S135"/>
    <mergeCell ref="U135:X135"/>
    <mergeCell ref="Z135:AC135"/>
    <mergeCell ref="AE135:AH135"/>
    <mergeCell ref="A130:D130"/>
    <mergeCell ref="F130:I130"/>
    <mergeCell ref="K130:N130"/>
    <mergeCell ref="P130:S130"/>
    <mergeCell ref="U130:X130"/>
    <mergeCell ref="Z130:AC130"/>
    <mergeCell ref="AE140:AH140"/>
    <mergeCell ref="A145:D145"/>
    <mergeCell ref="F145:I145"/>
    <mergeCell ref="K145:N145"/>
    <mergeCell ref="P145:S145"/>
    <mergeCell ref="U145:X145"/>
    <mergeCell ref="Z145:AC145"/>
    <mergeCell ref="AE145:AH145"/>
    <mergeCell ref="A140:D140"/>
    <mergeCell ref="F140:I140"/>
    <mergeCell ref="K140:N140"/>
    <mergeCell ref="P140:S140"/>
    <mergeCell ref="U140:X140"/>
    <mergeCell ref="Z140:AC140"/>
    <mergeCell ref="AE152:AH152"/>
    <mergeCell ref="A153:D153"/>
    <mergeCell ref="F153:I153"/>
    <mergeCell ref="K153:N153"/>
    <mergeCell ref="P153:S153"/>
    <mergeCell ref="U153:X153"/>
    <mergeCell ref="Z153:AC153"/>
    <mergeCell ref="AE153:AH153"/>
    <mergeCell ref="A151:AC151"/>
    <mergeCell ref="A152:D152"/>
    <mergeCell ref="F152:I152"/>
    <mergeCell ref="K152:N152"/>
    <mergeCell ref="P152:S152"/>
    <mergeCell ref="U152:X152"/>
    <mergeCell ref="Z152:AC152"/>
  </mergeCells>
  <pageMargins left="0.7" right="0.7" top="0.75" bottom="0.75" header="0.3" footer="0.3"/>
  <pageSetup paperSize="9" scale="79" orientation="portrait" horizontalDpi="4294967293" verticalDpi="200" r:id="rId1"/>
  <headerFooter>
    <oddHeader>&amp;R&amp;"Times New Roman,Regular"&amp;9OA.UB - 041-18 / REV : 0</oddHeader>
  </headerFooter>
  <rowBreaks count="3" manualBreakCount="3">
    <brk id="38" max="11" man="1"/>
    <brk id="86" max="33" man="1"/>
    <brk id="150" max="3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O76"/>
  <sheetViews>
    <sheetView showGridLines="0" view="pageBreakPreview" topLeftCell="A43" zoomScaleNormal="100" zoomScaleSheetLayoutView="100" workbookViewId="0">
      <selection activeCell="O85" sqref="O85"/>
    </sheetView>
  </sheetViews>
  <sheetFormatPr defaultColWidth="9.109375" defaultRowHeight="13.2" x14ac:dyDescent="0.25"/>
  <cols>
    <col min="1" max="1" width="4" style="89" customWidth="1"/>
    <col min="2" max="2" width="4.109375" style="89" customWidth="1"/>
    <col min="3" max="3" width="18.5546875" style="89" customWidth="1"/>
    <col min="4" max="4" width="7" style="89" customWidth="1"/>
    <col min="5" max="5" width="12.44140625" style="89" customWidth="1"/>
    <col min="6" max="6" width="12.109375" style="89" customWidth="1"/>
    <col min="7" max="7" width="14.33203125" style="89" customWidth="1"/>
    <col min="8" max="8" width="12.6640625" style="89" customWidth="1"/>
    <col min="9" max="9" width="16" style="89" customWidth="1"/>
    <col min="10" max="10" width="15.88671875" style="89" customWidth="1"/>
    <col min="11" max="11" width="10" style="89" customWidth="1"/>
    <col min="12" max="12" width="6.5546875" style="89" customWidth="1"/>
    <col min="13" max="13" width="9.109375" style="89"/>
    <col min="14" max="14" width="9.44140625" style="89" bestFit="1" customWidth="1"/>
    <col min="15" max="16384" width="9.109375" style="89"/>
  </cols>
  <sheetData>
    <row r="1" spans="1:12" ht="17.399999999999999" x14ac:dyDescent="0.25">
      <c r="A1" s="966" t="s">
        <v>262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</row>
    <row r="2" spans="1:12" ht="17.25" customHeight="1" x14ac:dyDescent="0.25">
      <c r="A2" s="967" t="str">
        <f>ID!H2&amp;" "&amp;ID!I2</f>
        <v>Nomor Sertifikat : 42 / 1 / IV - 21 / E - 050.000 DL</v>
      </c>
      <c r="B2" s="967"/>
      <c r="C2" s="967"/>
      <c r="D2" s="967"/>
      <c r="E2" s="967"/>
      <c r="F2" s="967"/>
      <c r="G2" s="967"/>
      <c r="H2" s="967"/>
      <c r="I2" s="967"/>
      <c r="J2" s="967"/>
      <c r="K2" s="967"/>
      <c r="L2" s="967"/>
    </row>
    <row r="3" spans="1:12" ht="14.25" customHeight="1" x14ac:dyDescent="0.25">
      <c r="B3" s="164"/>
      <c r="C3" s="164"/>
      <c r="D3" s="164"/>
      <c r="E3" s="164"/>
      <c r="F3" s="164"/>
      <c r="G3" s="164"/>
      <c r="H3" s="164"/>
      <c r="I3" s="164"/>
      <c r="J3" s="165"/>
      <c r="K3" s="165"/>
    </row>
    <row r="4" spans="1:12" ht="13.8" x14ac:dyDescent="0.25">
      <c r="A4" s="174" t="str">
        <f>ID!A4</f>
        <v>Merek</v>
      </c>
      <c r="B4" s="175"/>
      <c r="C4" s="174"/>
      <c r="D4" s="177" t="s">
        <v>23</v>
      </c>
      <c r="E4" s="178" t="str">
        <f>ID!E4</f>
        <v>Acare</v>
      </c>
      <c r="G4" s="174"/>
      <c r="H4" s="174"/>
      <c r="I4" s="174"/>
      <c r="J4" s="174"/>
      <c r="K4" s="176"/>
    </row>
    <row r="5" spans="1:12" ht="13.8" x14ac:dyDescent="0.25">
      <c r="A5" s="174" t="str">
        <f>ID!A5</f>
        <v>Model/Tipe</v>
      </c>
      <c r="B5" s="175"/>
      <c r="C5" s="174"/>
      <c r="D5" s="177" t="s">
        <v>23</v>
      </c>
      <c r="E5" s="178" t="str">
        <f>ID!E5</f>
        <v>-</v>
      </c>
      <c r="G5" s="174"/>
      <c r="H5" s="174"/>
      <c r="I5" s="174"/>
      <c r="J5" s="174"/>
      <c r="K5" s="176"/>
    </row>
    <row r="6" spans="1:12" ht="13.8" x14ac:dyDescent="0.25">
      <c r="A6" s="174" t="str">
        <f>ID!A6</f>
        <v>No. Seri</v>
      </c>
      <c r="B6" s="175"/>
      <c r="C6" s="174"/>
      <c r="D6" s="177" t="s">
        <v>23</v>
      </c>
      <c r="E6" s="178" t="str">
        <f>ID!E6</f>
        <v>-</v>
      </c>
      <c r="G6" s="174"/>
      <c r="H6" s="174"/>
      <c r="I6" s="174"/>
      <c r="J6" s="174"/>
      <c r="K6" s="176"/>
    </row>
    <row r="7" spans="1:12" ht="13.8" x14ac:dyDescent="0.25">
      <c r="A7" s="174" t="str">
        <f>ID!A7</f>
        <v>Tanggal Penerimaan Alat</v>
      </c>
      <c r="B7" s="175"/>
      <c r="C7" s="174"/>
      <c r="D7" s="177" t="s">
        <v>23</v>
      </c>
      <c r="E7" s="178">
        <f>ID!E7</f>
        <v>43630</v>
      </c>
      <c r="G7" s="174"/>
      <c r="H7" s="174"/>
      <c r="I7" s="174"/>
      <c r="J7" s="174"/>
      <c r="K7" s="176"/>
    </row>
    <row r="8" spans="1:12" ht="13.8" x14ac:dyDescent="0.25">
      <c r="A8" s="174" t="str">
        <f>ID!A8</f>
        <v>Tanggal Kalibrasi</v>
      </c>
      <c r="B8" s="175"/>
      <c r="C8" s="174"/>
      <c r="D8" s="177" t="s">
        <v>23</v>
      </c>
      <c r="E8" s="178">
        <f>ID!E8</f>
        <v>43888</v>
      </c>
      <c r="G8" s="174"/>
      <c r="H8" s="174"/>
      <c r="I8" s="174"/>
      <c r="J8" s="174"/>
      <c r="K8" s="176"/>
    </row>
    <row r="9" spans="1:12" ht="13.8" x14ac:dyDescent="0.25">
      <c r="A9" s="174" t="str">
        <f>ID!A9</f>
        <v>Tempat Kalibrasi</v>
      </c>
      <c r="B9" s="175"/>
      <c r="C9" s="174"/>
      <c r="D9" s="177" t="s">
        <v>23</v>
      </c>
      <c r="E9" s="178" t="str">
        <f>ID!E9</f>
        <v>UGD</v>
      </c>
      <c r="G9" s="174"/>
      <c r="H9" s="174"/>
      <c r="I9" s="174"/>
      <c r="J9" s="174"/>
      <c r="K9" s="176"/>
    </row>
    <row r="10" spans="1:12" ht="13.8" x14ac:dyDescent="0.25">
      <c r="A10" s="174" t="str">
        <f>ID!A10</f>
        <v>Nama Ruang</v>
      </c>
      <c r="B10" s="175"/>
      <c r="C10" s="174"/>
      <c r="D10" s="177" t="s">
        <v>23</v>
      </c>
      <c r="E10" s="178" t="str">
        <f>ID!E10</f>
        <v>UGD</v>
      </c>
      <c r="G10" s="174"/>
      <c r="H10" s="174"/>
      <c r="I10" s="174"/>
      <c r="J10" s="174"/>
      <c r="K10" s="176"/>
    </row>
    <row r="11" spans="1:12" ht="13.8" x14ac:dyDescent="0.25">
      <c r="A11" s="174" t="str">
        <f>ID!A11</f>
        <v>Metode Kerja</v>
      </c>
      <c r="B11" s="175"/>
      <c r="C11" s="174"/>
      <c r="D11" s="177" t="s">
        <v>23</v>
      </c>
      <c r="E11" s="178" t="str">
        <f>ID!E11</f>
        <v>MK 041 - 18</v>
      </c>
      <c r="G11" s="174"/>
      <c r="H11" s="174"/>
      <c r="I11" s="174"/>
      <c r="J11" s="174"/>
      <c r="K11" s="176"/>
    </row>
    <row r="12" spans="1:12" ht="6" customHeight="1" x14ac:dyDescent="0.25">
      <c r="A12" s="175"/>
      <c r="B12" s="174"/>
      <c r="C12" s="174"/>
      <c r="D12" s="176"/>
      <c r="E12" s="174"/>
      <c r="F12" s="174"/>
      <c r="G12" s="174"/>
      <c r="H12" s="174"/>
      <c r="I12" s="174"/>
      <c r="J12" s="174"/>
      <c r="K12" s="176"/>
    </row>
    <row r="13" spans="1:12" ht="13.8" x14ac:dyDescent="0.25">
      <c r="A13" s="179" t="s">
        <v>14</v>
      </c>
      <c r="B13" s="179" t="str">
        <f>ID!B13</f>
        <v>Kondisi Ruang</v>
      </c>
      <c r="C13" s="175"/>
      <c r="D13" s="176"/>
      <c r="E13" s="179"/>
      <c r="F13" s="179"/>
      <c r="G13" s="179"/>
      <c r="H13" s="179"/>
      <c r="I13" s="179"/>
      <c r="J13" s="179"/>
      <c r="K13" s="176"/>
    </row>
    <row r="14" spans="1:12" ht="16.2" x14ac:dyDescent="0.25">
      <c r="A14" s="175"/>
      <c r="B14" s="174" t="str">
        <f>ID!B15</f>
        <v xml:space="preserve">1. Suhu </v>
      </c>
      <c r="C14" s="175"/>
      <c r="D14" s="177" t="s">
        <v>23</v>
      </c>
      <c r="E14" s="369">
        <f>FORECAST!M46</f>
        <v>36.717581043770814</v>
      </c>
      <c r="F14" s="369" t="str">
        <f>FORECAST!N46</f>
        <v xml:space="preserve"> ± </v>
      </c>
      <c r="G14" s="369">
        <f>FORECAST!O46</f>
        <v>0.4</v>
      </c>
      <c r="H14" s="648" t="str">
        <f>FORECAST!P46</f>
        <v xml:space="preserve"> °C</v>
      </c>
      <c r="J14" s="425"/>
      <c r="K14" s="176"/>
    </row>
    <row r="15" spans="1:12" ht="13.8" x14ac:dyDescent="0.25">
      <c r="A15" s="175"/>
      <c r="B15" s="174" t="str">
        <f>ID!B16</f>
        <v>2. Kelembaban</v>
      </c>
      <c r="C15" s="175"/>
      <c r="D15" s="177" t="s">
        <v>23</v>
      </c>
      <c r="E15" s="369">
        <f>FORECAST!M47</f>
        <v>59.5</v>
      </c>
      <c r="F15" s="649" t="str">
        <f>FORECAST!N47</f>
        <v xml:space="preserve"> ± </v>
      </c>
      <c r="G15" s="649">
        <f>FORECAST!O47</f>
        <v>2.2000000000000002</v>
      </c>
      <c r="H15" s="428" t="str">
        <f>FORECAST!P47</f>
        <v xml:space="preserve"> %RH</v>
      </c>
      <c r="I15" s="174"/>
      <c r="J15" s="423"/>
      <c r="K15" s="176"/>
    </row>
    <row r="16" spans="1:12" ht="13.8" x14ac:dyDescent="0.25">
      <c r="A16" s="175"/>
      <c r="B16" s="174" t="str">
        <f>ID!B17</f>
        <v>3. Tegangan Jala - jala</v>
      </c>
      <c r="C16" s="175"/>
      <c r="D16" s="177" t="s">
        <v>23</v>
      </c>
      <c r="E16" s="649" t="str">
        <f>FORECAST!K56</f>
        <v>-</v>
      </c>
      <c r="F16" s="175" t="s">
        <v>24</v>
      </c>
      <c r="G16" s="422"/>
      <c r="H16" s="176"/>
      <c r="I16" s="176"/>
      <c r="J16" s="174"/>
      <c r="K16" s="176"/>
    </row>
    <row r="17" spans="1:15" ht="4.5" customHeight="1" x14ac:dyDescent="0.25">
      <c r="A17" s="175"/>
      <c r="B17" s="174"/>
      <c r="C17" s="180"/>
      <c r="D17" s="180"/>
      <c r="E17" s="177"/>
      <c r="F17" s="181"/>
      <c r="G17" s="181"/>
      <c r="H17" s="174"/>
      <c r="I17" s="174"/>
      <c r="J17" s="174"/>
      <c r="K17" s="176"/>
    </row>
    <row r="18" spans="1:15" ht="13.8" x14ac:dyDescent="0.25">
      <c r="A18" s="179" t="s">
        <v>25</v>
      </c>
      <c r="B18" s="179" t="str">
        <f>ID!B19</f>
        <v>Pemeriksaan Kondisi Fisik dan Fungsi Alat</v>
      </c>
      <c r="C18" s="175"/>
      <c r="D18" s="176"/>
      <c r="E18" s="179"/>
      <c r="F18" s="179"/>
      <c r="G18" s="179"/>
      <c r="H18" s="179"/>
      <c r="I18" s="179"/>
      <c r="J18" s="179"/>
      <c r="K18" s="176"/>
      <c r="L18" s="219" t="s">
        <v>27</v>
      </c>
    </row>
    <row r="19" spans="1:15" ht="13.8" x14ac:dyDescent="0.2">
      <c r="A19" s="175"/>
      <c r="B19" s="174" t="str">
        <f>ID!B20</f>
        <v>1. Fisik</v>
      </c>
      <c r="C19" s="175"/>
      <c r="D19" s="177" t="s">
        <v>23</v>
      </c>
      <c r="E19" s="174" t="str">
        <f>ID!E20</f>
        <v>Baik</v>
      </c>
      <c r="G19" s="174"/>
      <c r="H19" s="174"/>
      <c r="I19" s="174"/>
      <c r="J19" s="174"/>
      <c r="K19" s="176"/>
      <c r="L19" s="220">
        <f>IF(E19="baik",5,IF(E19="Tidak Baik",0))</f>
        <v>5</v>
      </c>
    </row>
    <row r="20" spans="1:15" ht="13.8" x14ac:dyDescent="0.2">
      <c r="A20" s="175"/>
      <c r="B20" s="174" t="str">
        <f>ID!B21</f>
        <v>2. Fungsi</v>
      </c>
      <c r="C20" s="175"/>
      <c r="D20" s="177" t="s">
        <v>23</v>
      </c>
      <c r="E20" s="174" t="str">
        <f>ID!E21</f>
        <v>Baik</v>
      </c>
      <c r="G20" s="174"/>
      <c r="H20" s="174"/>
      <c r="I20" s="174"/>
      <c r="J20" s="174"/>
      <c r="K20" s="176"/>
      <c r="L20" s="220">
        <f>IF(E20="baik",5,IF(E20="Tidak Baik",0))</f>
        <v>5</v>
      </c>
    </row>
    <row r="21" spans="1:15" ht="7.5" customHeight="1" x14ac:dyDescent="0.25">
      <c r="A21" s="175"/>
      <c r="B21" s="174"/>
      <c r="C21" s="174"/>
      <c r="D21" s="174"/>
      <c r="E21" s="174"/>
      <c r="F21" s="174"/>
      <c r="G21" s="174"/>
      <c r="H21" s="174"/>
      <c r="I21" s="174"/>
      <c r="J21" s="176"/>
      <c r="K21" s="176"/>
    </row>
    <row r="22" spans="1:15" ht="13.8" x14ac:dyDescent="0.25">
      <c r="A22" s="179" t="s">
        <v>31</v>
      </c>
      <c r="B22" s="179" t="str">
        <f>ID!B23</f>
        <v>Pengujian Keselamatan Listrik</v>
      </c>
      <c r="C22" s="175"/>
      <c r="D22" s="179"/>
      <c r="E22" s="179"/>
      <c r="F22" s="179"/>
      <c r="G22" s="182"/>
      <c r="H22" s="183"/>
      <c r="I22" s="183"/>
      <c r="J22" s="176"/>
      <c r="K22" s="176"/>
    </row>
    <row r="23" spans="1:15" ht="12" customHeight="1" x14ac:dyDescent="0.25">
      <c r="A23" s="175"/>
      <c r="B23" s="896" t="s">
        <v>33</v>
      </c>
      <c r="C23" s="908" t="s">
        <v>34</v>
      </c>
      <c r="D23" s="909"/>
      <c r="E23" s="909"/>
      <c r="F23" s="909"/>
      <c r="G23" s="909"/>
      <c r="H23" s="910"/>
      <c r="I23" s="983" t="s">
        <v>35</v>
      </c>
      <c r="J23" s="141" t="s">
        <v>36</v>
      </c>
      <c r="K23" s="175"/>
      <c r="L23" s="980" t="s">
        <v>27</v>
      </c>
    </row>
    <row r="24" spans="1:15" ht="19.5" customHeight="1" x14ac:dyDescent="0.25">
      <c r="A24" s="175"/>
      <c r="B24" s="896"/>
      <c r="C24" s="911"/>
      <c r="D24" s="912"/>
      <c r="E24" s="912"/>
      <c r="F24" s="912"/>
      <c r="G24" s="912"/>
      <c r="H24" s="913"/>
      <c r="I24" s="984"/>
      <c r="J24" s="142" t="s">
        <v>37</v>
      </c>
      <c r="K24" s="175"/>
      <c r="L24" s="980"/>
    </row>
    <row r="25" spans="1:15" ht="18" customHeight="1" x14ac:dyDescent="0.25">
      <c r="A25" s="175"/>
      <c r="B25" s="135">
        <v>1</v>
      </c>
      <c r="C25" s="124" t="str">
        <f>ID!C26</f>
        <v>Resistansi isolasi</v>
      </c>
      <c r="D25" s="137"/>
      <c r="E25" s="137"/>
      <c r="F25" s="137"/>
      <c r="G25" s="137"/>
      <c r="H25" s="184"/>
      <c r="I25" s="228" t="str">
        <f>FORECAST!K57</f>
        <v>-</v>
      </c>
      <c r="J25" s="185" t="str">
        <f>ID!M26</f>
        <v xml:space="preserve">&gt; 2 MΩ
</v>
      </c>
      <c r="K25" s="175"/>
      <c r="L25" s="229">
        <f>IF(I25="OL",10,IF(I25="-",0,IF(I25&gt;2,10,0)))</f>
        <v>0</v>
      </c>
      <c r="N25" t="s">
        <v>145</v>
      </c>
      <c r="O25" s="175">
        <v>500</v>
      </c>
    </row>
    <row r="26" spans="1:15" ht="18" customHeight="1" x14ac:dyDescent="0.25">
      <c r="A26" s="175"/>
      <c r="B26" s="135">
        <v>2</v>
      </c>
      <c r="C26" s="124" t="str">
        <f>ID!C27</f>
        <v>Resistansi Pembumian Protektif</v>
      </c>
      <c r="D26" s="137"/>
      <c r="E26" s="137"/>
      <c r="F26" s="137"/>
      <c r="G26" s="137"/>
      <c r="H26" s="184"/>
      <c r="I26" s="228" t="str">
        <f>FORECAST!K58</f>
        <v>-</v>
      </c>
      <c r="J26" s="185" t="str">
        <f>ID!M27</f>
        <v>≤ 0.2 Ω</v>
      </c>
      <c r="K26" s="175"/>
      <c r="L26" s="229">
        <f>IF(I26="OL",10,IF(I26="-",0,IF(I26&lt;=0.2,10,0)))</f>
        <v>0</v>
      </c>
      <c r="N26" t="s">
        <v>146</v>
      </c>
      <c r="O26" s="175">
        <v>100</v>
      </c>
    </row>
    <row r="27" spans="1:15" ht="18" customHeight="1" x14ac:dyDescent="0.25">
      <c r="A27" s="175"/>
      <c r="B27" s="135">
        <v>3</v>
      </c>
      <c r="C27" s="124" t="str">
        <f>ID!C28</f>
        <v>Arus bocor peralatan untuk peralatan elektromedik kelas II</v>
      </c>
      <c r="D27" s="137"/>
      <c r="E27" s="137"/>
      <c r="F27" s="137"/>
      <c r="G27" s="137"/>
      <c r="H27" s="184"/>
      <c r="I27" s="228" t="str">
        <f>FORECAST!K59</f>
        <v>-</v>
      </c>
      <c r="J27" s="185" t="str">
        <f>ID!M28</f>
        <v>≤ 100 µA</v>
      </c>
      <c r="K27" s="175"/>
      <c r="L27" s="229">
        <f>IF(I27="OL",20,IF(I27="-",0,IF(I27&lt;=O27,20,0)))</f>
        <v>0</v>
      </c>
      <c r="O27" s="89">
        <f>VLOOKUP(C27,N25:O26,2,FALSE)</f>
        <v>100</v>
      </c>
    </row>
    <row r="28" spans="1:15" ht="6.75" customHeight="1" x14ac:dyDescent="0.25">
      <c r="A28" s="175"/>
      <c r="B28" s="186"/>
      <c r="C28" s="178"/>
      <c r="D28" s="178"/>
      <c r="E28" s="178"/>
      <c r="F28" s="178"/>
      <c r="G28" s="178"/>
      <c r="H28" s="187"/>
      <c r="I28" s="187"/>
      <c r="J28" s="176"/>
      <c r="K28" s="176"/>
      <c r="L28" s="230"/>
    </row>
    <row r="29" spans="1:15" ht="13.8" x14ac:dyDescent="0.25">
      <c r="A29" s="179" t="s">
        <v>49</v>
      </c>
      <c r="B29" s="179" t="str">
        <f>ID!B30</f>
        <v>Pengujian Kinerja</v>
      </c>
      <c r="C29" s="175"/>
      <c r="D29" s="179"/>
      <c r="E29" s="179"/>
      <c r="F29" s="179"/>
      <c r="G29" s="179"/>
      <c r="H29" s="186"/>
      <c r="I29" s="186"/>
      <c r="J29" s="176"/>
      <c r="K29" s="176"/>
    </row>
    <row r="30" spans="1:15" ht="13.8" x14ac:dyDescent="0.25">
      <c r="A30" s="179"/>
      <c r="B30" s="179" t="s">
        <v>148</v>
      </c>
      <c r="C30" s="175"/>
      <c r="D30" s="179"/>
      <c r="E30" s="179"/>
      <c r="F30" s="179"/>
      <c r="G30" s="179"/>
      <c r="H30" s="186"/>
      <c r="I30" s="186"/>
      <c r="J30" s="176"/>
      <c r="K30" s="176"/>
    </row>
    <row r="31" spans="1:15" ht="36.75" customHeight="1" x14ac:dyDescent="0.25">
      <c r="A31" s="175"/>
      <c r="B31" s="166" t="s">
        <v>96</v>
      </c>
      <c r="C31" s="167" t="s">
        <v>34</v>
      </c>
      <c r="D31" s="959" t="s">
        <v>263</v>
      </c>
      <c r="E31" s="959"/>
      <c r="F31" s="168" t="s">
        <v>264</v>
      </c>
      <c r="G31" s="169" t="s">
        <v>167</v>
      </c>
      <c r="H31" s="217" t="s">
        <v>53</v>
      </c>
      <c r="I31" s="166" t="s">
        <v>265</v>
      </c>
      <c r="K31" s="176"/>
      <c r="L31" s="231" t="s">
        <v>266</v>
      </c>
      <c r="O31" s="218"/>
    </row>
    <row r="32" spans="1:15" ht="15.75" customHeight="1" x14ac:dyDescent="0.25">
      <c r="A32" s="175"/>
      <c r="B32" s="188" t="s">
        <v>151</v>
      </c>
      <c r="C32" s="960" t="s">
        <v>61</v>
      </c>
      <c r="D32" s="963">
        <f>ID!D34</f>
        <v>100</v>
      </c>
      <c r="E32" s="963"/>
      <c r="F32" s="189">
        <f>IFERROR(FORECAST!L20,"-")</f>
        <v>100.000001</v>
      </c>
      <c r="G32" s="190">
        <f>IFERROR(FORECAST!M20,"-")</f>
        <v>9.9999999747524271E-7</v>
      </c>
      <c r="H32" s="985" t="s">
        <v>62</v>
      </c>
      <c r="I32" s="221">
        <f>IFERROR(ID!P89,"-")</f>
        <v>0.57982692320636919</v>
      </c>
      <c r="K32" s="176"/>
      <c r="L32" s="968">
        <f>IF(M32&gt;=70,35,0)</f>
        <v>35</v>
      </c>
      <c r="M32" s="978">
        <f>SUM(N32:N38)</f>
        <v>100.00000009999999</v>
      </c>
      <c r="N32" s="237">
        <f>IF(O32&lt;=1,14.2857143,IF(O32="-",14.2857143,IF(O32&gt;1,0)))</f>
        <v>14.2857143</v>
      </c>
      <c r="O32" s="194">
        <f>ABS(G32)</f>
        <v>9.9999999747524271E-7</v>
      </c>
    </row>
    <row r="33" spans="1:15" ht="13.8" x14ac:dyDescent="0.25">
      <c r="A33" s="175"/>
      <c r="B33" s="188" t="s">
        <v>64</v>
      </c>
      <c r="C33" s="961"/>
      <c r="D33" s="963">
        <f>ID!D35</f>
        <v>99</v>
      </c>
      <c r="E33" s="963"/>
      <c r="F33" s="189">
        <f>IFERROR(FORECAST!L21,"-")</f>
        <v>99.000000999999997</v>
      </c>
      <c r="G33" s="190">
        <f>IFERROR(FORECAST!M21,"-")</f>
        <v>9.9999999747524271E-7</v>
      </c>
      <c r="H33" s="986"/>
      <c r="I33" s="221">
        <f>IFERROR(ID!P90,"-")</f>
        <v>0.57982692320636919</v>
      </c>
      <c r="K33" s="176"/>
      <c r="L33" s="968"/>
      <c r="M33" s="979"/>
      <c r="N33" s="237">
        <f t="shared" ref="N33:N38" si="0">IF(O33&lt;=1,14.2857143,IF(O33="-",14.2857143,IF(O33&gt;1,0)))</f>
        <v>14.2857143</v>
      </c>
      <c r="O33" s="194">
        <f t="shared" ref="O33:O38" si="1">ABS(G33)</f>
        <v>9.9999999747524271E-7</v>
      </c>
    </row>
    <row r="34" spans="1:15" ht="13.8" x14ac:dyDescent="0.25">
      <c r="A34" s="175"/>
      <c r="B34" s="188" t="s">
        <v>65</v>
      </c>
      <c r="C34" s="961"/>
      <c r="D34" s="963">
        <f>ID!D36</f>
        <v>98</v>
      </c>
      <c r="E34" s="963"/>
      <c r="F34" s="189">
        <f>IFERROR(FORECAST!L22,"-")</f>
        <v>98.000000999999997</v>
      </c>
      <c r="G34" s="190">
        <f>IFERROR(FORECAST!M22,"-")</f>
        <v>9.9999999747524271E-7</v>
      </c>
      <c r="H34" s="986"/>
      <c r="I34" s="221">
        <f>IFERROR(ID!P91,"-")</f>
        <v>0.57982692320636919</v>
      </c>
      <c r="K34" s="176"/>
      <c r="L34" s="968"/>
      <c r="M34" s="979"/>
      <c r="N34" s="237">
        <f t="shared" si="0"/>
        <v>14.2857143</v>
      </c>
      <c r="O34" s="194">
        <f t="shared" si="1"/>
        <v>9.9999999747524271E-7</v>
      </c>
    </row>
    <row r="35" spans="1:15" ht="15.75" customHeight="1" x14ac:dyDescent="0.25">
      <c r="A35" s="175"/>
      <c r="B35" s="188" t="s">
        <v>66</v>
      </c>
      <c r="C35" s="961"/>
      <c r="D35" s="963">
        <f>ID!D37</f>
        <v>97</v>
      </c>
      <c r="E35" s="963"/>
      <c r="F35" s="189">
        <f>IFERROR(FORECAST!L23,"-")</f>
        <v>97.166667666666669</v>
      </c>
      <c r="G35" s="190">
        <f>IFERROR(FORECAST!M23,"-")</f>
        <v>0.16666766666666888</v>
      </c>
      <c r="H35" s="986"/>
      <c r="I35" s="221">
        <f>IFERROR(ID!P92,"-")</f>
        <v>0.67265223242536354</v>
      </c>
      <c r="K35" s="176"/>
      <c r="L35" s="968"/>
      <c r="M35" s="979"/>
      <c r="N35" s="237">
        <f t="shared" si="0"/>
        <v>14.2857143</v>
      </c>
      <c r="O35" s="194">
        <f t="shared" si="1"/>
        <v>0.16666766666666888</v>
      </c>
    </row>
    <row r="36" spans="1:15" ht="13.8" x14ac:dyDescent="0.25">
      <c r="A36" s="175"/>
      <c r="B36" s="188" t="s">
        <v>67</v>
      </c>
      <c r="C36" s="961"/>
      <c r="D36" s="963">
        <f>ID!D38</f>
        <v>95</v>
      </c>
      <c r="E36" s="963"/>
      <c r="F36" s="189">
        <f>IFERROR(FORECAST!L24,"-")</f>
        <v>95.000000999999997</v>
      </c>
      <c r="G36" s="190">
        <f>IFERROR(FORECAST!M24,"-")</f>
        <v>9.9999999747524271E-7</v>
      </c>
      <c r="H36" s="986"/>
      <c r="I36" s="221">
        <f>IFERROR(ID!P93,"-")</f>
        <v>0.57982692320636919</v>
      </c>
      <c r="K36" s="176"/>
      <c r="L36" s="968"/>
      <c r="M36" s="979"/>
      <c r="N36" s="237">
        <f t="shared" si="0"/>
        <v>14.2857143</v>
      </c>
      <c r="O36" s="194">
        <f t="shared" si="1"/>
        <v>9.9999999747524271E-7</v>
      </c>
    </row>
    <row r="37" spans="1:15" ht="13.8" x14ac:dyDescent="0.25">
      <c r="A37" s="175"/>
      <c r="B37" s="188" t="s">
        <v>68</v>
      </c>
      <c r="C37" s="961"/>
      <c r="D37" s="963">
        <f>ID!D39</f>
        <v>90</v>
      </c>
      <c r="E37" s="963"/>
      <c r="F37" s="189">
        <f>IFERROR(FORECAST!L25,"-")</f>
        <v>90.000000999999997</v>
      </c>
      <c r="G37" s="190">
        <f>IFERROR(FORECAST!M25,"-")</f>
        <v>9.9999999747524271E-7</v>
      </c>
      <c r="H37" s="986"/>
      <c r="I37" s="221">
        <f>IFERROR(ID!P94,"-")</f>
        <v>0.57982692320636919</v>
      </c>
      <c r="K37" s="176"/>
      <c r="L37" s="968"/>
      <c r="M37" s="979"/>
      <c r="N37" s="237">
        <f t="shared" si="0"/>
        <v>14.2857143</v>
      </c>
      <c r="O37" s="194">
        <f t="shared" si="1"/>
        <v>9.9999999747524271E-7</v>
      </c>
    </row>
    <row r="38" spans="1:15" ht="12.75" customHeight="1" x14ac:dyDescent="0.25">
      <c r="A38" s="175"/>
      <c r="B38" s="188" t="s">
        <v>69</v>
      </c>
      <c r="C38" s="962"/>
      <c r="D38" s="963">
        <f>ID!D40</f>
        <v>85</v>
      </c>
      <c r="E38" s="963"/>
      <c r="F38" s="189">
        <f>IFERROR(FORECAST!L26,"-")</f>
        <v>85.000000999999997</v>
      </c>
      <c r="G38" s="190">
        <f>IFERROR(FORECAST!M26,"-")</f>
        <v>9.9999999747524271E-7</v>
      </c>
      <c r="H38" s="987"/>
      <c r="I38" s="221">
        <f>IFERROR(ID!P95,"-")</f>
        <v>0.57982692320636919</v>
      </c>
      <c r="K38" s="176"/>
      <c r="L38" s="968"/>
      <c r="M38" s="979"/>
      <c r="N38" s="237">
        <f t="shared" si="0"/>
        <v>14.2857143</v>
      </c>
      <c r="O38" s="194">
        <f t="shared" si="1"/>
        <v>9.9999999747524271E-7</v>
      </c>
    </row>
    <row r="39" spans="1:15" ht="12.75" customHeight="1" x14ac:dyDescent="0.25">
      <c r="A39" s="175"/>
      <c r="B39" s="191"/>
      <c r="C39" s="192"/>
      <c r="D39" s="208"/>
      <c r="E39" s="208"/>
      <c r="F39" s="193"/>
      <c r="G39" s="194"/>
      <c r="H39" s="194"/>
      <c r="I39" s="194"/>
      <c r="J39" s="195"/>
      <c r="K39" s="176"/>
    </row>
    <row r="40" spans="1:15" ht="12.75" customHeight="1" x14ac:dyDescent="0.25">
      <c r="A40" s="175"/>
      <c r="B40" s="179" t="s">
        <v>70</v>
      </c>
      <c r="C40" s="192"/>
      <c r="D40" s="208"/>
      <c r="E40" s="208"/>
      <c r="F40" s="193"/>
      <c r="G40" s="194"/>
      <c r="H40" s="194"/>
      <c r="I40" s="194"/>
      <c r="J40" s="195"/>
      <c r="K40" s="176"/>
    </row>
    <row r="41" spans="1:15" ht="16.5" customHeight="1" x14ac:dyDescent="0.25">
      <c r="A41" s="175"/>
      <c r="B41" s="894" t="s">
        <v>33</v>
      </c>
      <c r="C41" s="894" t="s">
        <v>34</v>
      </c>
      <c r="D41" s="894" t="s">
        <v>263</v>
      </c>
      <c r="E41" s="894"/>
      <c r="F41" s="959" t="s">
        <v>264</v>
      </c>
      <c r="G41" s="982" t="s">
        <v>167</v>
      </c>
      <c r="H41" s="976" t="s">
        <v>53</v>
      </c>
      <c r="I41" s="969" t="s">
        <v>265</v>
      </c>
      <c r="K41" s="176"/>
      <c r="L41" s="979" t="s">
        <v>266</v>
      </c>
      <c r="N41" s="979" t="s">
        <v>266</v>
      </c>
      <c r="O41" s="969" t="s">
        <v>267</v>
      </c>
    </row>
    <row r="42" spans="1:15" ht="13.5" customHeight="1" x14ac:dyDescent="0.25">
      <c r="A42" s="175"/>
      <c r="B42" s="894"/>
      <c r="C42" s="894"/>
      <c r="D42" s="894"/>
      <c r="E42" s="894"/>
      <c r="F42" s="959"/>
      <c r="G42" s="982"/>
      <c r="H42" s="977"/>
      <c r="I42" s="970"/>
      <c r="K42" s="176"/>
      <c r="L42" s="979"/>
      <c r="N42" s="979"/>
      <c r="O42" s="970"/>
    </row>
    <row r="43" spans="1:15" ht="17.25" customHeight="1" x14ac:dyDescent="0.25">
      <c r="A43" s="175"/>
      <c r="B43" s="162" t="s">
        <v>151</v>
      </c>
      <c r="C43" s="971" t="s">
        <v>72</v>
      </c>
      <c r="D43" s="971">
        <v>30</v>
      </c>
      <c r="E43" s="971"/>
      <c r="F43" s="196">
        <f>IFERROR(FORECAST!L13,"-")</f>
        <v>30.001000000000001</v>
      </c>
      <c r="G43" s="190">
        <f>IFERROR(FORECAST!M13,"-")</f>
        <v>1.0000000000012221E-3</v>
      </c>
      <c r="H43" s="973" t="s">
        <v>268</v>
      </c>
      <c r="I43" s="221">
        <f>IFERROR(ID!O82,"-")</f>
        <v>0.57982769887532648</v>
      </c>
      <c r="K43" s="176"/>
      <c r="L43" s="988">
        <f>IF(M43&gt;=70,15,0)</f>
        <v>15</v>
      </c>
      <c r="M43" s="991">
        <f>SUM(N43:N46)</f>
        <v>100</v>
      </c>
      <c r="N43" s="232">
        <f>IF(O43&lt;=5,25,IF(O43="-",25,0))</f>
        <v>25</v>
      </c>
      <c r="O43" s="190">
        <f>IFERROR(ID!N82,"-")</f>
        <v>1.9327589962510883</v>
      </c>
    </row>
    <row r="44" spans="1:15" ht="18" customHeight="1" x14ac:dyDescent="0.25">
      <c r="A44" s="175"/>
      <c r="B44" s="147" t="s">
        <v>64</v>
      </c>
      <c r="C44" s="971"/>
      <c r="D44" s="972">
        <v>60</v>
      </c>
      <c r="E44" s="972"/>
      <c r="F44" s="196">
        <f>IFERROR(FORECAST!L14,"-")</f>
        <v>60.000999999999998</v>
      </c>
      <c r="G44" s="190">
        <f>IFERROR(FORECAST!M14,"-")</f>
        <v>9.9999999999766942E-4</v>
      </c>
      <c r="H44" s="974"/>
      <c r="I44" s="221">
        <f>IFERROR(ID!O83,"-")</f>
        <v>0.57982769887532648</v>
      </c>
      <c r="K44" s="176"/>
      <c r="L44" s="989"/>
      <c r="M44" s="989"/>
      <c r="N44" s="232">
        <f>IF(O44&lt;=5,25,IF(O44="-",25,0))</f>
        <v>25</v>
      </c>
      <c r="O44" s="190">
        <f>ID!N83</f>
        <v>0.96637949812554413</v>
      </c>
    </row>
    <row r="45" spans="1:15" ht="15.75" customHeight="1" x14ac:dyDescent="0.25">
      <c r="A45" s="175"/>
      <c r="B45" s="147" t="s">
        <v>65</v>
      </c>
      <c r="C45" s="971"/>
      <c r="D45" s="972">
        <v>120</v>
      </c>
      <c r="E45" s="972"/>
      <c r="F45" s="196">
        <f>IFERROR(FORECAST!L15,"-")</f>
        <v>120.001</v>
      </c>
      <c r="G45" s="190">
        <f>IFERROR(FORECAST!M15,"-")</f>
        <v>1.0000000000047748E-3</v>
      </c>
      <c r="H45" s="974"/>
      <c r="I45" s="221">
        <f>IFERROR(ID!O84,"-")</f>
        <v>0.57982769887532648</v>
      </c>
      <c r="K45" s="176"/>
      <c r="L45" s="989"/>
      <c r="M45" s="989"/>
      <c r="N45" s="232">
        <f>IF(O45&lt;=5,25,IF(O45="-",25,0))</f>
        <v>25</v>
      </c>
      <c r="O45" s="190">
        <f>ID!N84</f>
        <v>0.48318974906277207</v>
      </c>
    </row>
    <row r="46" spans="1:15" ht="15.75" customHeight="1" x14ac:dyDescent="0.25">
      <c r="A46" s="175"/>
      <c r="B46" s="147" t="s">
        <v>66</v>
      </c>
      <c r="C46" s="971"/>
      <c r="D46" s="972">
        <v>240</v>
      </c>
      <c r="E46" s="972"/>
      <c r="F46" s="196">
        <f>IFERROR(FORECAST!L16,"-")</f>
        <v>240.001</v>
      </c>
      <c r="G46" s="190">
        <f>IFERROR(FORECAST!M16,"-")</f>
        <v>1.0000000000047748E-3</v>
      </c>
      <c r="H46" s="975"/>
      <c r="I46" s="221">
        <f>IFERROR(ID!O85,"-ID!")</f>
        <v>0.57982691537132647</v>
      </c>
      <c r="K46" s="176"/>
      <c r="L46" s="990"/>
      <c r="M46" s="990"/>
      <c r="N46" s="232">
        <f>IF(O46&lt;=5,25,IF(O46="-",25,0))</f>
        <v>25</v>
      </c>
      <c r="O46" s="190">
        <f>ID!N85</f>
        <v>0.24159454807138603</v>
      </c>
    </row>
    <row r="47" spans="1:15" ht="15.75" customHeight="1" x14ac:dyDescent="0.25">
      <c r="A47" s="175"/>
      <c r="B47" s="186"/>
      <c r="C47" s="186"/>
      <c r="D47" s="178"/>
      <c r="E47" s="186"/>
      <c r="F47" s="186"/>
      <c r="G47" s="186"/>
      <c r="H47" s="186"/>
      <c r="I47" s="186"/>
      <c r="J47" s="176"/>
      <c r="K47" s="176"/>
    </row>
    <row r="48" spans="1:15" ht="13.8" x14ac:dyDescent="0.25">
      <c r="A48" s="179" t="s">
        <v>74</v>
      </c>
      <c r="B48" s="179" t="s">
        <v>75</v>
      </c>
      <c r="C48" s="175"/>
      <c r="D48" s="174"/>
      <c r="E48" s="174"/>
      <c r="F48" s="174"/>
      <c r="G48" s="174"/>
      <c r="H48" s="174"/>
      <c r="I48" s="174"/>
      <c r="J48" s="176"/>
      <c r="K48" s="176"/>
    </row>
    <row r="49" spans="1:11" ht="13.8" x14ac:dyDescent="0.25">
      <c r="A49" s="175"/>
      <c r="B49" s="178" t="str">
        <f>ID!B51</f>
        <v>Ketidakpastian pengukuran diperoleh dari sumber kesalahan tipe A dan tipe B</v>
      </c>
      <c r="C49" s="175"/>
      <c r="D49" s="174"/>
      <c r="E49" s="174"/>
      <c r="F49" s="174"/>
      <c r="G49" s="174"/>
      <c r="H49" s="174"/>
      <c r="I49" s="174"/>
      <c r="J49" s="176"/>
      <c r="K49" s="176"/>
    </row>
    <row r="50" spans="1:11" ht="15.75" customHeight="1" x14ac:dyDescent="0.25">
      <c r="A50" s="175"/>
      <c r="B50" s="178" t="str">
        <f>ID!B52</f>
        <v>-</v>
      </c>
      <c r="C50" s="175"/>
      <c r="D50" s="174"/>
      <c r="E50" s="174"/>
      <c r="F50" s="174"/>
      <c r="G50" s="174"/>
      <c r="H50" s="174"/>
      <c r="I50" s="174"/>
      <c r="J50" s="176"/>
      <c r="K50" s="176"/>
    </row>
    <row r="51" spans="1:11" ht="13.8" x14ac:dyDescent="0.25">
      <c r="A51" s="175"/>
      <c r="B51" s="178" t="str">
        <f>ID!B53</f>
        <v>Hasil Kalibrasi Saturasi Oksigen tertelusur ke Satuan Internasional ( SI ) melalui CALTEK PTE LTD</v>
      </c>
      <c r="C51" s="175"/>
      <c r="D51" s="171"/>
      <c r="E51" s="171"/>
      <c r="F51" s="171"/>
      <c r="G51" s="171"/>
      <c r="H51" s="171"/>
      <c r="I51" s="171"/>
      <c r="J51" s="175"/>
      <c r="K51" s="175"/>
    </row>
    <row r="52" spans="1:11" ht="13.8" x14ac:dyDescent="0.25">
      <c r="A52" s="175"/>
      <c r="B52" s="178" t="str">
        <f>ID!B54</f>
        <v>Hasil Kalibrasi Frekuensi Heart Rate (BPM) tertelusur ke Satuan Internasional ( SI ) melalui CALTEK PTE LTD</v>
      </c>
      <c r="C52" s="175"/>
      <c r="D52" s="171"/>
      <c r="E52" s="171"/>
      <c r="F52" s="171"/>
      <c r="G52" s="171"/>
      <c r="H52" s="171"/>
      <c r="I52" s="171"/>
      <c r="J52" s="175"/>
      <c r="K52" s="175"/>
    </row>
    <row r="53" spans="1:11" ht="13.8" x14ac:dyDescent="0.25">
      <c r="A53" s="175"/>
      <c r="B53" s="178" t="str">
        <f>ID!B55</f>
        <v>Catu daya menggunakan baterai</v>
      </c>
      <c r="C53" s="175"/>
      <c r="D53" s="171"/>
      <c r="E53" s="171"/>
      <c r="F53" s="171"/>
      <c r="G53" s="171"/>
      <c r="H53" s="171"/>
      <c r="I53" s="171"/>
      <c r="J53" s="175"/>
      <c r="K53" s="175"/>
    </row>
    <row r="54" spans="1:11" ht="13.5" customHeight="1" x14ac:dyDescent="0.25">
      <c r="A54" s="175"/>
      <c r="B54" s="171"/>
      <c r="C54" s="197"/>
      <c r="D54" s="171"/>
      <c r="E54" s="171"/>
      <c r="F54" s="171"/>
      <c r="G54" s="171"/>
      <c r="H54" s="171"/>
      <c r="I54" s="171"/>
      <c r="J54" s="175"/>
      <c r="K54" s="175"/>
    </row>
    <row r="55" spans="1:11" ht="13.5" customHeight="1" x14ac:dyDescent="0.25">
      <c r="A55" s="175"/>
      <c r="B55" s="171"/>
      <c r="C55" s="197"/>
      <c r="D55" s="171"/>
      <c r="E55" s="171"/>
      <c r="F55" s="171"/>
      <c r="G55" s="171"/>
      <c r="H55" s="171"/>
      <c r="I55" s="171"/>
      <c r="J55" s="175"/>
      <c r="K55" s="175"/>
    </row>
    <row r="56" spans="1:11" ht="13.8" x14ac:dyDescent="0.25">
      <c r="A56" s="179" t="s">
        <v>78</v>
      </c>
      <c r="B56" s="179" t="s">
        <v>79</v>
      </c>
      <c r="C56" s="175"/>
      <c r="D56" s="179"/>
      <c r="E56" s="174"/>
      <c r="F56" s="174"/>
      <c r="G56" s="174"/>
      <c r="H56" s="174"/>
      <c r="I56" s="174"/>
      <c r="J56" s="176"/>
      <c r="K56" s="176"/>
    </row>
    <row r="57" spans="1:11" ht="13.8" x14ac:dyDescent="0.25">
      <c r="A57" s="175"/>
      <c r="B57" s="174" t="str">
        <f>ID!B58</f>
        <v>SPO₂ Simulator, Merek : Fluke, Model : SPOT LIGHT, SN : 4404040</v>
      </c>
      <c r="C57" s="175"/>
      <c r="D57" s="174"/>
      <c r="E57" s="174"/>
      <c r="F57" s="174"/>
      <c r="G57" s="174"/>
      <c r="H57" s="174"/>
      <c r="I57" s="174"/>
      <c r="J57" s="176"/>
      <c r="K57" s="176"/>
    </row>
    <row r="58" spans="1:11" ht="14.25" customHeight="1" x14ac:dyDescent="0.25">
      <c r="A58" s="175"/>
      <c r="B58" s="174" t="str">
        <f>ID!B59</f>
        <v>Electrical Safety Analyzer, Merek : Fluke, Model : ESA 615, SN : 3699030</v>
      </c>
      <c r="C58" s="175"/>
      <c r="D58" s="174"/>
      <c r="E58" s="174"/>
      <c r="F58" s="174"/>
      <c r="G58" s="174"/>
      <c r="H58" s="174"/>
      <c r="I58" s="174"/>
      <c r="J58" s="176"/>
      <c r="K58" s="176"/>
    </row>
    <row r="59" spans="1:11" ht="8.25" customHeight="1" x14ac:dyDescent="0.25">
      <c r="A59" s="175"/>
      <c r="B59" s="198"/>
      <c r="C59" s="171"/>
      <c r="D59" s="171"/>
      <c r="E59" s="171"/>
      <c r="F59" s="171"/>
      <c r="G59" s="171"/>
      <c r="H59" s="171"/>
      <c r="I59" s="171"/>
      <c r="J59" s="175"/>
      <c r="K59" s="175"/>
    </row>
    <row r="60" spans="1:11" ht="13.8" x14ac:dyDescent="0.25">
      <c r="A60" s="198" t="s">
        <v>90</v>
      </c>
      <c r="B60" s="198" t="s">
        <v>91</v>
      </c>
      <c r="C60" s="175"/>
      <c r="D60" s="171"/>
      <c r="E60" s="171"/>
      <c r="F60" s="171"/>
      <c r="G60" s="171"/>
      <c r="H60" s="171"/>
      <c r="I60" s="171"/>
      <c r="J60" s="175"/>
      <c r="K60" s="175"/>
    </row>
    <row r="61" spans="1:11" ht="19.5" customHeight="1" x14ac:dyDescent="0.25">
      <c r="A61" s="198"/>
      <c r="B61" s="981" t="str">
        <f>ID!B63</f>
        <v>Alat yang dikalibrasi dalam batas toleransi dan dinyatakan LAIK PAKAI, dimana hasil atau skor akhir sama dengan atau melampaui 70 % berdasarkan Keputusan Direktur Jenderal Pelayanan Kesehatan No : HK.02.02/V/0412/2020</v>
      </c>
      <c r="C61" s="981"/>
      <c r="D61" s="981"/>
      <c r="E61" s="981"/>
      <c r="F61" s="981"/>
      <c r="G61" s="981"/>
      <c r="H61" s="981"/>
      <c r="I61" s="981"/>
      <c r="J61" s="981"/>
      <c r="K61" s="981"/>
    </row>
    <row r="62" spans="1:11" ht="14.25" customHeight="1" x14ac:dyDescent="0.25">
      <c r="A62" s="175"/>
      <c r="B62" s="981"/>
      <c r="C62" s="981"/>
      <c r="D62" s="981"/>
      <c r="E62" s="981"/>
      <c r="F62" s="981"/>
      <c r="G62" s="981"/>
      <c r="H62" s="981"/>
      <c r="I62" s="981"/>
      <c r="J62" s="981"/>
      <c r="K62" s="981"/>
    </row>
    <row r="63" spans="1:11" ht="6" customHeight="1" x14ac:dyDescent="0.25">
      <c r="A63" s="175"/>
      <c r="B63" s="215"/>
      <c r="C63" s="215"/>
      <c r="D63" s="215"/>
      <c r="E63" s="215"/>
      <c r="F63" s="215"/>
      <c r="G63" s="215"/>
      <c r="H63" s="215"/>
      <c r="I63" s="215"/>
      <c r="J63" s="215"/>
      <c r="K63" s="175"/>
    </row>
    <row r="64" spans="1:11" ht="13.8" x14ac:dyDescent="0.25">
      <c r="A64" s="198" t="s">
        <v>93</v>
      </c>
      <c r="B64" s="198" t="str">
        <f>ID!B66</f>
        <v>Petugas Kalibrasi</v>
      </c>
      <c r="C64" s="175"/>
      <c r="D64" s="171"/>
      <c r="E64" s="171"/>
      <c r="F64" s="171"/>
      <c r="G64" s="171"/>
      <c r="H64" s="171"/>
      <c r="I64" s="171"/>
      <c r="J64" s="175"/>
      <c r="K64" s="175"/>
    </row>
    <row r="65" spans="1:14" ht="13.8" x14ac:dyDescent="0.25">
      <c r="A65" s="175"/>
      <c r="B65" s="171" t="str">
        <f>ID!B67</f>
        <v>Septia Khairunnisa</v>
      </c>
      <c r="C65" s="175"/>
      <c r="D65" s="171"/>
      <c r="E65" s="171"/>
      <c r="F65" s="171"/>
      <c r="G65" s="171"/>
      <c r="H65" s="171"/>
      <c r="I65" s="171"/>
      <c r="J65" s="175"/>
      <c r="K65" s="175"/>
    </row>
    <row r="66" spans="1:14" ht="6.75" customHeight="1" x14ac:dyDescent="0.25">
      <c r="A66" s="175"/>
      <c r="B66" s="171"/>
      <c r="C66" s="171"/>
      <c r="D66" s="171"/>
      <c r="E66" s="199"/>
      <c r="F66" s="199"/>
      <c r="G66" s="171"/>
      <c r="H66" s="171"/>
      <c r="I66" s="171"/>
      <c r="J66" s="175"/>
      <c r="K66" s="175"/>
    </row>
    <row r="67" spans="1:14" ht="13.8" x14ac:dyDescent="0.25">
      <c r="A67" s="175"/>
      <c r="B67" s="198"/>
      <c r="C67" s="200"/>
      <c r="D67" s="201"/>
      <c r="E67" s="201"/>
      <c r="F67" s="201"/>
      <c r="G67" s="175"/>
      <c r="H67" s="171"/>
      <c r="I67" s="171"/>
      <c r="J67" s="175"/>
      <c r="K67" s="175"/>
    </row>
    <row r="68" spans="1:14" ht="13.8" x14ac:dyDescent="0.25">
      <c r="A68" s="175"/>
      <c r="B68" s="171"/>
      <c r="C68" s="170" t="s">
        <v>269</v>
      </c>
      <c r="D68" s="964" t="str">
        <f>B65</f>
        <v>Septia Khairunnisa</v>
      </c>
      <c r="E68" s="964"/>
      <c r="F68" s="964"/>
      <c r="G68" s="889">
        <f>ID!B69</f>
        <v>44631</v>
      </c>
      <c r="H68" s="202" t="s">
        <v>270</v>
      </c>
      <c r="I68" s="236" t="s">
        <v>271</v>
      </c>
      <c r="J68" s="175"/>
      <c r="K68" s="175"/>
    </row>
    <row r="69" spans="1:14" ht="13.8" x14ac:dyDescent="0.25">
      <c r="A69" s="175"/>
      <c r="B69" s="171"/>
      <c r="C69" s="170" t="s">
        <v>272</v>
      </c>
      <c r="D69" s="965"/>
      <c r="E69" s="965"/>
      <c r="F69" s="965"/>
      <c r="G69" s="202"/>
      <c r="H69" s="202" t="s">
        <v>270</v>
      </c>
      <c r="I69" s="233">
        <f>SUM(N73:N75)</f>
        <v>100</v>
      </c>
      <c r="J69" s="175"/>
      <c r="K69" s="175"/>
    </row>
    <row r="70" spans="1:14" ht="13.8" x14ac:dyDescent="0.25">
      <c r="A70" s="175"/>
      <c r="B70" s="171"/>
      <c r="C70" s="957"/>
      <c r="D70" s="957"/>
      <c r="E70" s="957"/>
      <c r="F70" s="957"/>
      <c r="G70" s="175"/>
      <c r="H70" s="171"/>
      <c r="I70" s="171"/>
      <c r="J70" s="175"/>
      <c r="K70" s="175"/>
    </row>
    <row r="71" spans="1:14" ht="13.8" x14ac:dyDescent="0.25">
      <c r="A71" s="175"/>
      <c r="B71" s="171"/>
      <c r="C71" s="958"/>
      <c r="D71" s="958"/>
      <c r="E71" s="957"/>
      <c r="F71" s="957"/>
      <c r="G71" s="175"/>
      <c r="H71" s="171"/>
      <c r="I71" s="171"/>
      <c r="J71" s="175"/>
      <c r="K71" s="175"/>
      <c r="M71" s="250">
        <f>SUM(L32,L43)</f>
        <v>50</v>
      </c>
    </row>
    <row r="72" spans="1:14" ht="13.8" x14ac:dyDescent="0.25">
      <c r="A72" s="175"/>
      <c r="B72" s="171"/>
      <c r="C72" s="203"/>
      <c r="D72" s="203"/>
      <c r="E72" s="203"/>
      <c r="F72" s="203"/>
      <c r="G72" s="175"/>
      <c r="H72" s="171"/>
      <c r="I72" s="171"/>
      <c r="J72" s="175"/>
      <c r="K72" s="175"/>
    </row>
    <row r="73" spans="1:14" ht="13.8" x14ac:dyDescent="0.25">
      <c r="A73" s="175"/>
      <c r="B73" s="171"/>
      <c r="C73" s="204"/>
      <c r="D73" s="205"/>
      <c r="E73" s="172"/>
      <c r="F73" s="172"/>
      <c r="G73" s="175"/>
      <c r="H73" s="171"/>
      <c r="I73" s="171"/>
      <c r="J73" s="175"/>
      <c r="K73" s="175"/>
      <c r="M73" s="248" t="s">
        <v>273</v>
      </c>
      <c r="N73" s="249">
        <f>SUM(L19:L20)</f>
        <v>10</v>
      </c>
    </row>
    <row r="74" spans="1:14" ht="13.8" x14ac:dyDescent="0.25">
      <c r="A74" s="175"/>
      <c r="B74" s="171"/>
      <c r="C74" s="204"/>
      <c r="D74" s="172"/>
      <c r="E74" s="172"/>
      <c r="F74" s="172"/>
      <c r="G74" s="175"/>
      <c r="H74" s="171"/>
      <c r="I74" s="171"/>
      <c r="J74" s="175"/>
      <c r="K74" s="175"/>
      <c r="M74" s="175" t="s">
        <v>274</v>
      </c>
      <c r="N74" s="249">
        <f>ID!S69</f>
        <v>40</v>
      </c>
    </row>
    <row r="75" spans="1:14" ht="13.8" x14ac:dyDescent="0.25">
      <c r="A75" s="175"/>
      <c r="B75" s="171"/>
      <c r="C75" s="172"/>
      <c r="D75" s="172"/>
      <c r="E75" s="172"/>
      <c r="F75" s="172"/>
      <c r="G75" s="175"/>
      <c r="H75" s="171"/>
      <c r="I75" s="171"/>
      <c r="J75" s="175"/>
      <c r="K75" s="175"/>
      <c r="M75" s="175" t="s">
        <v>275</v>
      </c>
      <c r="N75" s="331">
        <f>IF(M71&lt;=35,0,IF(M71&gt;35,M71))</f>
        <v>50</v>
      </c>
    </row>
    <row r="76" spans="1:14" ht="13.8" x14ac:dyDescent="0.25">
      <c r="A76" s="175"/>
      <c r="B76" s="171"/>
      <c r="C76" s="172"/>
      <c r="D76" s="172"/>
      <c r="E76" s="172"/>
      <c r="F76" s="172"/>
      <c r="G76" s="173"/>
      <c r="H76" s="172"/>
      <c r="I76" s="172"/>
      <c r="J76" s="175"/>
      <c r="K76" s="175"/>
    </row>
  </sheetData>
  <sheetProtection formatCells="0" formatColumns="0" formatRows="0" insertColumns="0" insertRows="0" deleteColumns="0" deleteRows="0"/>
  <mergeCells count="43">
    <mergeCell ref="M32:M38"/>
    <mergeCell ref="N41:N42"/>
    <mergeCell ref="L23:L24"/>
    <mergeCell ref="B61:K62"/>
    <mergeCell ref="G41:G42"/>
    <mergeCell ref="B41:B42"/>
    <mergeCell ref="I23:I24"/>
    <mergeCell ref="C23:H24"/>
    <mergeCell ref="H32:H38"/>
    <mergeCell ref="L41:L42"/>
    <mergeCell ref="L43:L46"/>
    <mergeCell ref="M43:M46"/>
    <mergeCell ref="O41:O42"/>
    <mergeCell ref="I41:I42"/>
    <mergeCell ref="C43:C46"/>
    <mergeCell ref="D41:E42"/>
    <mergeCell ref="D43:E43"/>
    <mergeCell ref="D44:E44"/>
    <mergeCell ref="D45:E45"/>
    <mergeCell ref="D46:E46"/>
    <mergeCell ref="H43:H46"/>
    <mergeCell ref="H41:H42"/>
    <mergeCell ref="A1:L1"/>
    <mergeCell ref="A2:L2"/>
    <mergeCell ref="D38:E38"/>
    <mergeCell ref="B23:B24"/>
    <mergeCell ref="L32:L38"/>
    <mergeCell ref="C70:D70"/>
    <mergeCell ref="E70:F70"/>
    <mergeCell ref="C71:D71"/>
    <mergeCell ref="E71:F71"/>
    <mergeCell ref="D31:E31"/>
    <mergeCell ref="C32:C38"/>
    <mergeCell ref="D32:E32"/>
    <mergeCell ref="D33:E33"/>
    <mergeCell ref="D34:E34"/>
    <mergeCell ref="D35:E35"/>
    <mergeCell ref="D36:E36"/>
    <mergeCell ref="D37:E37"/>
    <mergeCell ref="D68:F68"/>
    <mergeCell ref="D69:F69"/>
    <mergeCell ref="F41:F42"/>
    <mergeCell ref="C41:C42"/>
  </mergeCells>
  <printOptions horizontalCentered="1"/>
  <pageMargins left="0.6" right="0.25" top="0.5" bottom="0.4" header="0.25" footer="0.25"/>
  <pageSetup paperSize="9" scale="72" orientation="portrait" horizontalDpi="4294967293" r:id="rId1"/>
  <headerFooter>
    <oddHeader>&amp;R&amp;"-,Regular"&amp;8OA.LP - 041-18 / REV : 0</oddHeader>
    <oddFooter>&amp;R&amp;9&amp;K00-022Pulse 8.4.2022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AT124"/>
  <sheetViews>
    <sheetView tabSelected="1" view="pageBreakPreview" topLeftCell="A42" zoomScaleNormal="100" zoomScaleSheetLayoutView="100" workbookViewId="0">
      <selection activeCell="K44" sqref="K44"/>
    </sheetView>
  </sheetViews>
  <sheetFormatPr defaultRowHeight="13.2" x14ac:dyDescent="0.25"/>
  <cols>
    <col min="1" max="1" width="4.88671875" customWidth="1"/>
    <col min="2" max="2" width="3.5546875" customWidth="1"/>
    <col min="3" max="3" width="20.88671875" customWidth="1"/>
    <col min="4" max="4" width="9.33203125" customWidth="1"/>
    <col min="5" max="5" width="11.88671875" style="45" customWidth="1"/>
    <col min="6" max="6" width="7.44140625" customWidth="1"/>
    <col min="7" max="7" width="6.6640625" customWidth="1"/>
    <col min="8" max="9" width="7" customWidth="1"/>
    <col min="10" max="10" width="7.88671875" customWidth="1"/>
    <col min="11" max="11" width="8.33203125" customWidth="1"/>
    <col min="12" max="12" width="10.5546875" customWidth="1"/>
    <col min="13" max="13" width="15.5546875" customWidth="1"/>
    <col min="14" max="14" width="9.44140625" customWidth="1"/>
    <col min="15" max="15" width="9.5546875" style="3" bestFit="1" customWidth="1"/>
    <col min="16" max="16" width="48.88671875" style="3" customWidth="1"/>
    <col min="17" max="18" width="9.109375" customWidth="1"/>
    <col min="19" max="19" width="15.44140625" customWidth="1"/>
  </cols>
  <sheetData>
    <row r="1" spans="1:46" ht="15" x14ac:dyDescent="0.25">
      <c r="A1" s="992" t="s">
        <v>129</v>
      </c>
      <c r="B1" s="992"/>
      <c r="C1" s="992"/>
      <c r="D1" s="992"/>
      <c r="E1" s="992"/>
      <c r="F1" s="992"/>
      <c r="G1" s="992"/>
      <c r="H1" s="992"/>
      <c r="I1" s="992"/>
      <c r="J1" s="992"/>
      <c r="K1" s="992"/>
      <c r="L1" s="992"/>
      <c r="M1" s="992"/>
      <c r="N1" s="992"/>
      <c r="O1" s="282"/>
      <c r="P1" s="282"/>
      <c r="Q1" s="442"/>
      <c r="R1" s="443"/>
      <c r="S1" s="443"/>
      <c r="T1" s="443"/>
      <c r="U1" s="443"/>
      <c r="V1" s="443"/>
      <c r="W1" s="443"/>
      <c r="X1" s="443"/>
      <c r="Y1" s="443"/>
      <c r="Z1" s="443"/>
      <c r="AA1" s="443"/>
      <c r="AB1" s="443"/>
      <c r="AC1" s="443"/>
      <c r="AD1" s="443"/>
      <c r="AE1" s="443"/>
      <c r="AF1" s="443"/>
      <c r="AG1" s="443"/>
      <c r="AH1" s="443"/>
      <c r="AI1" s="443"/>
      <c r="AJ1" s="443"/>
      <c r="AK1" s="443"/>
      <c r="AL1" s="443"/>
      <c r="AM1" s="443"/>
      <c r="AN1" s="443"/>
      <c r="AO1" s="443"/>
      <c r="AP1" s="443"/>
      <c r="AQ1" s="443"/>
      <c r="AR1" s="443"/>
      <c r="AS1" s="443"/>
      <c r="AT1" s="443"/>
    </row>
    <row r="2" spans="1:46" ht="15" x14ac:dyDescent="0.25">
      <c r="A2" s="285"/>
      <c r="B2" s="285"/>
      <c r="C2" s="285"/>
      <c r="D2" s="285"/>
      <c r="E2" s="285"/>
      <c r="F2" s="285"/>
      <c r="G2" s="286"/>
      <c r="H2" s="290" t="str">
        <f>IF(Penyelia!I69&gt;=70,kesimpulan!D12,kesimpulan!D13)</f>
        <v>Nomor Sertifikat : 42 /</v>
      </c>
      <c r="I2" s="432" t="s">
        <v>503</v>
      </c>
      <c r="J2" s="500"/>
      <c r="K2" s="500"/>
      <c r="L2" s="500"/>
      <c r="M2" s="285"/>
      <c r="N2" s="285"/>
      <c r="O2" s="282"/>
      <c r="P2" s="282"/>
      <c r="Q2" s="442"/>
      <c r="R2" s="443"/>
      <c r="S2" s="443"/>
      <c r="T2" s="443"/>
      <c r="U2" s="443"/>
      <c r="V2" s="443"/>
      <c r="W2" s="443"/>
      <c r="X2" s="443"/>
      <c r="Y2" s="443"/>
      <c r="Z2" s="443"/>
      <c r="AA2" s="443"/>
      <c r="AB2" s="443"/>
      <c r="AC2" s="443"/>
      <c r="AD2" s="443"/>
      <c r="AE2" s="443"/>
      <c r="AF2" s="443"/>
      <c r="AG2" s="443"/>
      <c r="AH2" s="443"/>
      <c r="AI2" s="443"/>
      <c r="AJ2" s="443"/>
      <c r="AK2" s="443"/>
      <c r="AL2" s="443"/>
      <c r="AM2" s="443"/>
      <c r="AN2" s="443"/>
      <c r="AO2" s="443"/>
      <c r="AP2" s="443"/>
      <c r="AQ2" s="443"/>
      <c r="AR2" s="443"/>
      <c r="AS2" s="443"/>
      <c r="AT2" s="443"/>
    </row>
    <row r="3" spans="1:46" ht="15" x14ac:dyDescent="0.25">
      <c r="A3" s="429"/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282"/>
      <c r="P3" s="282"/>
      <c r="Q3" s="442"/>
      <c r="R3" s="443"/>
      <c r="S3" s="443"/>
      <c r="T3" s="443"/>
      <c r="U3" s="443"/>
      <c r="V3" s="443"/>
      <c r="W3" s="443"/>
      <c r="X3" s="443"/>
      <c r="Y3" s="443"/>
      <c r="Z3" s="443"/>
      <c r="AA3" s="443"/>
      <c r="AB3" s="443"/>
      <c r="AC3" s="443"/>
      <c r="AD3" s="443"/>
      <c r="AE3" s="443"/>
      <c r="AF3" s="443"/>
      <c r="AG3" s="443"/>
      <c r="AH3" s="443"/>
      <c r="AI3" s="443"/>
      <c r="AJ3" s="443"/>
      <c r="AK3" s="443"/>
      <c r="AL3" s="443"/>
      <c r="AM3" s="443"/>
      <c r="AN3" s="443"/>
      <c r="AO3" s="443"/>
      <c r="AP3" s="443"/>
      <c r="AQ3" s="443"/>
      <c r="AR3" s="443"/>
      <c r="AS3" s="443"/>
      <c r="AT3" s="443"/>
    </row>
    <row r="4" spans="1:46" ht="15" x14ac:dyDescent="0.25">
      <c r="A4" s="283" t="str">
        <f>'Lembar Kerja'!A4</f>
        <v>Merek</v>
      </c>
      <c r="B4" s="284"/>
      <c r="C4" s="285"/>
      <c r="D4" s="286" t="s">
        <v>23</v>
      </c>
      <c r="E4" s="432" t="s">
        <v>130</v>
      </c>
      <c r="F4" s="287"/>
      <c r="G4" s="287"/>
      <c r="H4" s="287"/>
      <c r="I4" s="287"/>
      <c r="J4" s="285"/>
      <c r="K4" s="285"/>
      <c r="L4" s="285"/>
      <c r="M4" s="285"/>
      <c r="N4" s="285"/>
      <c r="O4" s="282"/>
      <c r="P4" s="282"/>
      <c r="Q4" s="442"/>
      <c r="R4" s="443"/>
      <c r="S4" s="443"/>
      <c r="T4" s="443"/>
      <c r="U4" s="443"/>
      <c r="V4" s="443"/>
      <c r="W4" s="443"/>
      <c r="X4" s="443"/>
      <c r="Y4" s="443"/>
      <c r="Z4" s="443"/>
      <c r="AA4" s="443"/>
      <c r="AB4" s="443"/>
      <c r="AC4" s="443"/>
      <c r="AD4" s="443"/>
      <c r="AE4" s="443"/>
      <c r="AF4" s="443"/>
      <c r="AG4" s="443"/>
      <c r="AH4" s="443"/>
      <c r="AI4" s="443"/>
      <c r="AJ4" s="443"/>
      <c r="AK4" s="443"/>
      <c r="AL4" s="443"/>
      <c r="AM4" s="443"/>
      <c r="AN4" s="443"/>
      <c r="AO4" s="443"/>
      <c r="AP4" s="443"/>
      <c r="AQ4" s="443"/>
      <c r="AR4" s="443"/>
      <c r="AS4" s="443"/>
      <c r="AT4" s="443"/>
    </row>
    <row r="5" spans="1:46" ht="15" x14ac:dyDescent="0.25">
      <c r="A5" s="283" t="str">
        <f>'Lembar Kerja'!A5</f>
        <v>Model/Tipe</v>
      </c>
      <c r="B5" s="284"/>
      <c r="C5" s="285"/>
      <c r="D5" s="286" t="s">
        <v>23</v>
      </c>
      <c r="E5" s="288" t="s">
        <v>100</v>
      </c>
      <c r="F5" s="287"/>
      <c r="G5" s="287"/>
      <c r="H5" s="287"/>
      <c r="I5" s="287"/>
      <c r="J5" s="285"/>
      <c r="K5" s="285"/>
      <c r="L5" s="285"/>
      <c r="M5" s="285"/>
      <c r="N5" s="285"/>
      <c r="O5" s="282"/>
      <c r="P5" s="282"/>
      <c r="Q5" s="442"/>
      <c r="R5" s="443"/>
      <c r="S5" s="443"/>
      <c r="T5" s="443"/>
      <c r="U5" s="443"/>
      <c r="V5" s="443"/>
      <c r="W5" s="443"/>
      <c r="X5" s="443"/>
      <c r="Y5" s="443"/>
      <c r="Z5" s="443"/>
      <c r="AA5" s="443"/>
      <c r="AB5" s="443"/>
      <c r="AC5" s="443"/>
      <c r="AD5" s="443"/>
      <c r="AE5" s="443"/>
      <c r="AF5" s="443"/>
      <c r="AG5" s="443"/>
      <c r="AH5" s="443"/>
      <c r="AI5" s="443"/>
      <c r="AJ5" s="443"/>
      <c r="AK5" s="443"/>
      <c r="AL5" s="443"/>
      <c r="AM5" s="443"/>
      <c r="AN5" s="443"/>
      <c r="AO5" s="443"/>
      <c r="AP5" s="443"/>
      <c r="AQ5" s="443"/>
      <c r="AR5" s="443"/>
      <c r="AS5" s="443"/>
      <c r="AT5" s="443"/>
    </row>
    <row r="6" spans="1:46" ht="15" x14ac:dyDescent="0.25">
      <c r="A6" s="283" t="str">
        <f>'Lembar Kerja'!A6</f>
        <v>No. Seri</v>
      </c>
      <c r="B6" s="284"/>
      <c r="C6" s="285"/>
      <c r="D6" s="286" t="s">
        <v>23</v>
      </c>
      <c r="E6" s="288" t="s">
        <v>100</v>
      </c>
      <c r="F6" s="287"/>
      <c r="G6" s="287"/>
      <c r="H6" s="287"/>
      <c r="I6" s="287"/>
      <c r="J6" s="285"/>
      <c r="K6" s="285"/>
      <c r="L6" s="285"/>
      <c r="M6" s="285"/>
      <c r="N6" s="285"/>
      <c r="O6" s="282"/>
      <c r="P6" s="282"/>
      <c r="Q6" s="442"/>
      <c r="R6" s="443"/>
      <c r="S6" s="443"/>
      <c r="T6" s="443"/>
      <c r="U6" s="443"/>
      <c r="V6" s="443"/>
      <c r="W6" s="443"/>
      <c r="X6" s="443"/>
      <c r="Y6" s="443"/>
      <c r="Z6" s="443"/>
      <c r="AA6" s="443"/>
      <c r="AB6" s="443"/>
      <c r="AC6" s="443"/>
      <c r="AD6" s="443"/>
      <c r="AE6" s="443"/>
      <c r="AF6" s="443"/>
      <c r="AG6" s="443"/>
      <c r="AH6" s="443"/>
      <c r="AI6" s="443"/>
      <c r="AJ6" s="443"/>
      <c r="AK6" s="443"/>
      <c r="AL6" s="443"/>
      <c r="AM6" s="443"/>
      <c r="AN6" s="443"/>
      <c r="AO6" s="443"/>
      <c r="AP6" s="443"/>
      <c r="AQ6" s="443"/>
      <c r="AR6" s="443"/>
      <c r="AS6" s="443"/>
      <c r="AT6" s="443"/>
    </row>
    <row r="7" spans="1:46" ht="15" x14ac:dyDescent="0.25">
      <c r="A7" s="283" t="str">
        <f>'Lembar Kerja'!A8</f>
        <v>Tanggal Penerimaan Alat</v>
      </c>
      <c r="B7" s="284"/>
      <c r="C7" s="285"/>
      <c r="D7" s="286" t="s">
        <v>23</v>
      </c>
      <c r="E7" s="1009">
        <v>43630</v>
      </c>
      <c r="F7" s="1009"/>
      <c r="G7" s="287"/>
      <c r="H7" s="287"/>
      <c r="I7" s="287"/>
      <c r="J7" s="285"/>
      <c r="K7" s="285"/>
      <c r="L7" s="285"/>
      <c r="M7" s="285"/>
      <c r="N7" s="285"/>
      <c r="O7" s="282"/>
      <c r="P7" s="282"/>
      <c r="Q7" s="442"/>
      <c r="R7" s="443"/>
      <c r="S7" s="443"/>
      <c r="T7" s="443"/>
      <c r="U7" s="443"/>
      <c r="V7" s="443"/>
      <c r="W7" s="443"/>
      <c r="X7" s="443"/>
      <c r="Y7" s="443"/>
      <c r="Z7" s="443"/>
      <c r="AA7" s="443"/>
      <c r="AB7" s="443"/>
      <c r="AC7" s="443"/>
      <c r="AD7" s="443"/>
      <c r="AE7" s="443"/>
      <c r="AF7" s="443"/>
      <c r="AG7" s="443"/>
      <c r="AH7" s="443"/>
      <c r="AI7" s="443"/>
      <c r="AJ7" s="443"/>
      <c r="AK7" s="443"/>
      <c r="AL7" s="443"/>
      <c r="AM7" s="443"/>
      <c r="AN7" s="443"/>
      <c r="AO7" s="443"/>
      <c r="AP7" s="443"/>
      <c r="AQ7" s="443"/>
      <c r="AR7" s="443"/>
      <c r="AS7" s="443"/>
      <c r="AT7" s="443"/>
    </row>
    <row r="8" spans="1:46" ht="15" x14ac:dyDescent="0.25">
      <c r="A8" s="283" t="str">
        <f>'Lembar Kerja'!A9</f>
        <v>Tanggal Kalibrasi</v>
      </c>
      <c r="B8" s="284"/>
      <c r="C8" s="284"/>
      <c r="D8" s="286" t="s">
        <v>23</v>
      </c>
      <c r="E8" s="674">
        <v>43888</v>
      </c>
      <c r="F8" s="287"/>
      <c r="G8" s="289"/>
      <c r="H8" s="289"/>
      <c r="I8" s="289"/>
      <c r="J8" s="285"/>
      <c r="K8" s="285"/>
      <c r="L8" s="285"/>
      <c r="M8" s="285"/>
      <c r="N8" s="285"/>
      <c r="O8" s="282"/>
      <c r="P8" s="282"/>
      <c r="Q8" s="442"/>
      <c r="R8" s="443"/>
      <c r="S8" s="443"/>
      <c r="T8" s="443"/>
      <c r="U8" s="443"/>
      <c r="V8" s="443"/>
      <c r="W8" s="443"/>
      <c r="X8" s="443"/>
      <c r="Y8" s="443"/>
      <c r="Z8" s="443"/>
      <c r="AA8" s="443"/>
      <c r="AB8" s="443"/>
      <c r="AC8" s="443"/>
      <c r="AD8" s="443"/>
      <c r="AE8" s="443"/>
      <c r="AF8" s="443"/>
      <c r="AG8" s="443"/>
      <c r="AH8" s="443"/>
      <c r="AI8" s="443"/>
      <c r="AJ8" s="443"/>
      <c r="AK8" s="443"/>
      <c r="AL8" s="443"/>
      <c r="AM8" s="443"/>
      <c r="AN8" s="443"/>
      <c r="AO8" s="443"/>
      <c r="AP8" s="443"/>
      <c r="AQ8" s="443"/>
      <c r="AR8" s="443"/>
      <c r="AS8" s="443"/>
      <c r="AT8" s="443"/>
    </row>
    <row r="9" spans="1:46" ht="15" x14ac:dyDescent="0.25">
      <c r="A9" s="283" t="str">
        <f>'Lembar Kerja'!A10</f>
        <v>Tempat Kalibrasi</v>
      </c>
      <c r="B9" s="284"/>
      <c r="C9" s="285"/>
      <c r="D9" s="286" t="s">
        <v>23</v>
      </c>
      <c r="E9" s="432" t="s">
        <v>131</v>
      </c>
      <c r="F9" s="290"/>
      <c r="G9" s="289"/>
      <c r="H9" s="289"/>
      <c r="I9" s="289"/>
      <c r="J9" s="285"/>
      <c r="K9" s="285"/>
      <c r="L9" s="285"/>
      <c r="M9" s="285"/>
      <c r="N9" s="285"/>
      <c r="O9" s="282"/>
      <c r="P9" s="282"/>
      <c r="Q9" s="442"/>
      <c r="R9" s="443"/>
      <c r="S9" s="443"/>
      <c r="T9" s="443"/>
      <c r="U9" s="443"/>
      <c r="V9" s="443"/>
      <c r="W9" s="443"/>
      <c r="X9" s="443"/>
      <c r="Y9" s="443"/>
      <c r="Z9" s="443"/>
      <c r="AA9" s="443"/>
      <c r="AB9" s="443"/>
      <c r="AC9" s="443"/>
      <c r="AD9" s="443"/>
      <c r="AE9" s="443"/>
      <c r="AF9" s="443"/>
      <c r="AG9" s="443"/>
      <c r="AH9" s="443"/>
      <c r="AI9" s="443"/>
      <c r="AJ9" s="443"/>
      <c r="AK9" s="443"/>
      <c r="AL9" s="443"/>
      <c r="AM9" s="443"/>
      <c r="AN9" s="443"/>
      <c r="AO9" s="443"/>
      <c r="AP9" s="443"/>
      <c r="AQ9" s="443"/>
      <c r="AR9" s="443"/>
      <c r="AS9" s="443"/>
      <c r="AT9" s="443"/>
    </row>
    <row r="10" spans="1:46" ht="15" x14ac:dyDescent="0.25">
      <c r="A10" s="283" t="str">
        <f>'Lembar Kerja'!A11</f>
        <v>Nama Ruang</v>
      </c>
      <c r="B10" s="284"/>
      <c r="C10" s="285"/>
      <c r="D10" s="286" t="s">
        <v>23</v>
      </c>
      <c r="E10" s="287" t="s">
        <v>131</v>
      </c>
      <c r="F10" s="287"/>
      <c r="G10" s="287"/>
      <c r="H10" s="287"/>
      <c r="I10" s="287"/>
      <c r="J10" s="285"/>
      <c r="K10" s="285"/>
      <c r="L10" s="285"/>
      <c r="M10" s="285"/>
      <c r="N10" s="285"/>
      <c r="O10" s="282"/>
      <c r="P10" s="282"/>
      <c r="Q10" s="442"/>
      <c r="R10" s="443"/>
      <c r="S10" s="443"/>
      <c r="T10" s="443"/>
      <c r="U10" s="443"/>
      <c r="V10" s="443"/>
      <c r="W10" s="443"/>
      <c r="X10" s="443"/>
      <c r="Y10" s="443"/>
      <c r="Z10" s="443"/>
      <c r="AA10" s="443"/>
      <c r="AB10" s="443"/>
      <c r="AC10" s="443"/>
      <c r="AD10" s="443"/>
      <c r="AE10" s="443"/>
      <c r="AF10" s="443"/>
      <c r="AG10" s="443"/>
      <c r="AH10" s="443"/>
      <c r="AI10" s="443"/>
      <c r="AJ10" s="443"/>
      <c r="AK10" s="443"/>
      <c r="AL10" s="443"/>
      <c r="AM10" s="443"/>
      <c r="AN10" s="443"/>
      <c r="AO10" s="443"/>
      <c r="AP10" s="443"/>
      <c r="AQ10" s="443"/>
      <c r="AR10" s="443"/>
      <c r="AS10" s="443"/>
      <c r="AT10" s="443"/>
    </row>
    <row r="11" spans="1:46" ht="15" x14ac:dyDescent="0.25">
      <c r="A11" s="283" t="s">
        <v>132</v>
      </c>
      <c r="B11" s="284"/>
      <c r="C11" s="285"/>
      <c r="D11" s="286" t="s">
        <v>23</v>
      </c>
      <c r="E11" s="291" t="s">
        <v>133</v>
      </c>
      <c r="F11" s="292"/>
      <c r="G11" s="292"/>
      <c r="H11" s="292"/>
      <c r="I11" s="292"/>
      <c r="J11" s="285"/>
      <c r="K11" s="285"/>
      <c r="L11" s="285"/>
      <c r="M11" s="285"/>
      <c r="N11" s="285"/>
      <c r="O11" s="282"/>
      <c r="P11" s="282"/>
      <c r="Q11" s="442"/>
      <c r="R11" s="443"/>
      <c r="S11" s="443"/>
      <c r="T11" s="443"/>
      <c r="U11" s="443"/>
      <c r="V11" s="443"/>
      <c r="W11" s="443"/>
      <c r="X11" s="443"/>
      <c r="Y11" s="443"/>
      <c r="Z11" s="443"/>
      <c r="AA11" s="443"/>
      <c r="AB11" s="443"/>
      <c r="AC11" s="443"/>
      <c r="AD11" s="443"/>
      <c r="AE11" s="443"/>
      <c r="AF11" s="443"/>
      <c r="AG11" s="443"/>
      <c r="AH11" s="443"/>
      <c r="AI11" s="443"/>
      <c r="AJ11" s="443"/>
      <c r="AK11" s="443"/>
      <c r="AL11" s="443"/>
      <c r="AM11" s="443"/>
      <c r="AN11" s="443"/>
      <c r="AO11" s="443"/>
      <c r="AP11" s="443"/>
      <c r="AQ11" s="443"/>
      <c r="AR11" s="443"/>
      <c r="AS11" s="443"/>
      <c r="AT11" s="443"/>
    </row>
    <row r="12" spans="1:46" ht="6.75" customHeight="1" x14ac:dyDescent="0.25">
      <c r="A12" s="285"/>
      <c r="B12" s="285"/>
      <c r="C12" s="285"/>
      <c r="D12" s="285"/>
      <c r="E12" s="292"/>
      <c r="F12" s="285"/>
      <c r="G12" s="285"/>
      <c r="H12" s="285"/>
      <c r="I12" s="285"/>
      <c r="J12" s="285"/>
      <c r="K12" s="285"/>
      <c r="L12" s="285"/>
      <c r="M12" s="285"/>
      <c r="N12" s="285"/>
      <c r="O12" s="282"/>
      <c r="P12" s="282"/>
      <c r="Q12" s="442"/>
      <c r="R12" s="443"/>
      <c r="S12" s="443"/>
      <c r="T12" s="443"/>
      <c r="U12" s="443"/>
      <c r="V12" s="443"/>
      <c r="W12" s="443"/>
      <c r="X12" s="443"/>
      <c r="Y12" s="443"/>
      <c r="Z12" s="443"/>
      <c r="AA12" s="443"/>
      <c r="AB12" s="443"/>
      <c r="AC12" s="443"/>
      <c r="AD12" s="443"/>
      <c r="AE12" s="443"/>
      <c r="AF12" s="443"/>
      <c r="AG12" s="443"/>
      <c r="AH12" s="443"/>
      <c r="AI12" s="443"/>
      <c r="AJ12" s="443"/>
      <c r="AK12" s="443"/>
      <c r="AL12" s="443"/>
      <c r="AM12" s="443"/>
      <c r="AN12" s="443"/>
      <c r="AO12" s="443"/>
      <c r="AP12" s="443"/>
      <c r="AQ12" s="443"/>
      <c r="AR12" s="443"/>
      <c r="AS12" s="443"/>
      <c r="AT12" s="443"/>
    </row>
    <row r="13" spans="1:46" ht="15.6" x14ac:dyDescent="0.25">
      <c r="A13" s="293" t="s">
        <v>134</v>
      </c>
      <c r="B13" s="294" t="s">
        <v>15</v>
      </c>
      <c r="C13" s="285"/>
      <c r="D13" s="294"/>
      <c r="E13" s="501"/>
      <c r="F13" s="284"/>
      <c r="G13" s="285"/>
      <c r="H13" s="285"/>
      <c r="I13" s="285"/>
      <c r="J13" s="285"/>
      <c r="K13" s="295"/>
      <c r="L13" s="294"/>
      <c r="M13" s="294"/>
      <c r="N13" s="285"/>
      <c r="O13" s="439" t="s">
        <v>135</v>
      </c>
      <c r="P13" s="1026" t="s">
        <v>136</v>
      </c>
      <c r="Q13" s="1026"/>
      <c r="R13" s="443"/>
      <c r="S13" s="443"/>
      <c r="T13" s="443"/>
      <c r="U13" s="443"/>
      <c r="V13" s="443"/>
      <c r="W13" s="443"/>
      <c r="X13" s="443"/>
      <c r="Y13" s="443"/>
      <c r="Z13" s="443"/>
      <c r="AA13" s="443"/>
      <c r="AB13" s="443"/>
      <c r="AC13" s="443"/>
      <c r="AD13" s="443"/>
      <c r="AE13" s="443"/>
      <c r="AF13" s="443"/>
      <c r="AG13" s="443"/>
      <c r="AH13" s="443"/>
      <c r="AI13" s="443"/>
      <c r="AJ13" s="443"/>
      <c r="AK13" s="443"/>
      <c r="AL13" s="443"/>
      <c r="AM13" s="443"/>
      <c r="AN13" s="443"/>
      <c r="AO13" s="443"/>
      <c r="AP13" s="443"/>
      <c r="AQ13" s="443"/>
      <c r="AR13" s="443"/>
      <c r="AS13" s="443"/>
      <c r="AT13" s="443"/>
    </row>
    <row r="14" spans="1:46" ht="15.6" x14ac:dyDescent="0.25">
      <c r="A14" s="293"/>
      <c r="B14" s="294"/>
      <c r="C14" s="285"/>
      <c r="D14" s="294"/>
      <c r="E14" s="296" t="s">
        <v>16</v>
      </c>
      <c r="F14" s="430" t="s">
        <v>17</v>
      </c>
      <c r="G14" s="285"/>
      <c r="H14" s="285"/>
      <c r="I14" s="285"/>
      <c r="J14" s="285"/>
      <c r="K14" s="295"/>
      <c r="L14" s="294"/>
      <c r="M14" s="294"/>
      <c r="N14" s="285"/>
      <c r="O14" s="439"/>
      <c r="P14" s="439"/>
      <c r="Q14" s="439"/>
      <c r="R14" s="443"/>
      <c r="S14" s="443"/>
      <c r="T14" s="443"/>
      <c r="U14" s="443"/>
      <c r="V14" s="443"/>
      <c r="W14" s="443"/>
      <c r="X14" s="443"/>
      <c r="Y14" s="443"/>
      <c r="Z14" s="443"/>
      <c r="AA14" s="443"/>
      <c r="AB14" s="443"/>
      <c r="AC14" s="443"/>
      <c r="AD14" s="443"/>
      <c r="AE14" s="443"/>
      <c r="AF14" s="443"/>
      <c r="AG14" s="443"/>
      <c r="AH14" s="443"/>
      <c r="AI14" s="443"/>
      <c r="AJ14" s="443"/>
      <c r="AK14" s="443"/>
      <c r="AL14" s="443"/>
      <c r="AM14" s="443"/>
      <c r="AN14" s="443"/>
      <c r="AO14" s="443"/>
      <c r="AP14" s="443"/>
      <c r="AQ14" s="443"/>
      <c r="AR14" s="443"/>
      <c r="AS14" s="443"/>
      <c r="AT14" s="443"/>
    </row>
    <row r="15" spans="1:46" ht="16.2" x14ac:dyDescent="0.25">
      <c r="A15" s="285"/>
      <c r="B15" s="285" t="s">
        <v>137</v>
      </c>
      <c r="C15" s="285"/>
      <c r="D15" s="286" t="s">
        <v>23</v>
      </c>
      <c r="E15" s="297">
        <v>36.6</v>
      </c>
      <c r="F15" s="297">
        <v>36.700000000000003</v>
      </c>
      <c r="G15" s="285" t="s">
        <v>138</v>
      </c>
      <c r="H15" s="285"/>
      <c r="I15" s="285"/>
      <c r="J15" s="285"/>
      <c r="K15" s="298" t="s">
        <v>139</v>
      </c>
      <c r="L15" s="285"/>
      <c r="M15" s="285"/>
      <c r="N15" s="285"/>
      <c r="O15" s="440">
        <f>AVERAGE(E15:F15)</f>
        <v>36.650000000000006</v>
      </c>
      <c r="P15" s="441" t="e">
        <f>O15+#REF!</f>
        <v>#REF!</v>
      </c>
      <c r="Q15" s="441"/>
      <c r="R15" s="443"/>
      <c r="S15" s="443"/>
      <c r="T15" s="443"/>
      <c r="U15" s="443"/>
      <c r="V15" s="443"/>
      <c r="W15" s="443"/>
      <c r="X15" s="443"/>
      <c r="Y15" s="443"/>
      <c r="Z15" s="443"/>
      <c r="AA15" s="443"/>
      <c r="AB15" s="443"/>
      <c r="AC15" s="443"/>
      <c r="AD15" s="443"/>
      <c r="AE15" s="443"/>
      <c r="AF15" s="443"/>
      <c r="AG15" s="443"/>
      <c r="AH15" s="443"/>
      <c r="AI15" s="443"/>
      <c r="AJ15" s="443"/>
      <c r="AK15" s="443"/>
      <c r="AL15" s="443"/>
      <c r="AM15" s="443"/>
      <c r="AN15" s="443"/>
      <c r="AO15" s="443"/>
      <c r="AP15" s="443"/>
      <c r="AQ15" s="443"/>
      <c r="AR15" s="443"/>
      <c r="AS15" s="443"/>
      <c r="AT15" s="443"/>
    </row>
    <row r="16" spans="1:46" ht="15" x14ac:dyDescent="0.25">
      <c r="A16" s="285"/>
      <c r="B16" s="285" t="s">
        <v>140</v>
      </c>
      <c r="C16" s="285"/>
      <c r="D16" s="286" t="s">
        <v>23</v>
      </c>
      <c r="E16" s="297">
        <v>60</v>
      </c>
      <c r="F16" s="297">
        <v>59</v>
      </c>
      <c r="G16" s="285" t="s">
        <v>141</v>
      </c>
      <c r="H16" s="285"/>
      <c r="I16" s="285"/>
      <c r="J16" s="285"/>
      <c r="K16" s="299" t="s">
        <v>21</v>
      </c>
      <c r="L16" s="285"/>
      <c r="M16" s="285"/>
      <c r="N16" s="285"/>
      <c r="O16" s="440">
        <f>AVERAGE(E16:F16)</f>
        <v>59.5</v>
      </c>
      <c r="P16" s="441" t="e">
        <f>O16+#REF!</f>
        <v>#REF!</v>
      </c>
      <c r="Q16" s="441"/>
      <c r="R16" s="443"/>
      <c r="S16" s="443"/>
      <c r="T16" s="443"/>
      <c r="U16" s="443"/>
      <c r="V16" s="443"/>
      <c r="W16" s="443"/>
      <c r="X16" s="443"/>
      <c r="Y16" s="443"/>
      <c r="Z16" s="443"/>
      <c r="AA16" s="443"/>
      <c r="AB16" s="443"/>
      <c r="AC16" s="443"/>
      <c r="AD16" s="443"/>
      <c r="AE16" s="443"/>
      <c r="AF16" s="443"/>
      <c r="AG16" s="443"/>
      <c r="AH16" s="443"/>
      <c r="AI16" s="443"/>
      <c r="AJ16" s="443"/>
      <c r="AK16" s="443"/>
      <c r="AL16" s="443"/>
      <c r="AM16" s="443"/>
      <c r="AN16" s="443"/>
      <c r="AO16" s="443"/>
      <c r="AP16" s="443"/>
      <c r="AQ16" s="443"/>
      <c r="AR16" s="443"/>
      <c r="AS16" s="443"/>
      <c r="AT16" s="443"/>
    </row>
    <row r="17" spans="1:46" ht="15" x14ac:dyDescent="0.25">
      <c r="A17" s="285"/>
      <c r="B17" s="285" t="s">
        <v>142</v>
      </c>
      <c r="C17" s="285"/>
      <c r="D17" s="286" t="s">
        <v>23</v>
      </c>
      <c r="E17" s="300" t="s">
        <v>100</v>
      </c>
      <c r="F17" s="301" t="s">
        <v>24</v>
      </c>
      <c r="G17" s="302"/>
      <c r="H17" s="303"/>
      <c r="I17" s="303"/>
      <c r="J17" s="303"/>
      <c r="K17" s="299"/>
      <c r="L17" s="285"/>
      <c r="M17" s="285"/>
      <c r="N17" s="285"/>
      <c r="O17" s="282"/>
      <c r="P17" s="282"/>
      <c r="Q17" s="442"/>
      <c r="R17" s="443"/>
      <c r="S17" s="443"/>
      <c r="T17" s="443"/>
      <c r="U17" s="443"/>
      <c r="V17" s="443"/>
      <c r="W17" s="443"/>
      <c r="X17" s="443"/>
      <c r="Y17" s="443"/>
      <c r="Z17" s="443"/>
      <c r="AA17" s="443"/>
      <c r="AB17" s="443"/>
      <c r="AC17" s="443"/>
      <c r="AD17" s="443"/>
      <c r="AE17" s="443"/>
      <c r="AF17" s="443"/>
      <c r="AG17" s="443"/>
      <c r="AH17" s="443"/>
      <c r="AI17" s="443"/>
      <c r="AJ17" s="443"/>
      <c r="AK17" s="443"/>
      <c r="AL17" s="443"/>
      <c r="AM17" s="443"/>
      <c r="AN17" s="443"/>
      <c r="AO17" s="443"/>
      <c r="AP17" s="443"/>
      <c r="AQ17" s="443"/>
      <c r="AR17" s="443"/>
      <c r="AS17" s="443"/>
      <c r="AT17" s="443"/>
    </row>
    <row r="18" spans="1:46" ht="6" customHeight="1" x14ac:dyDescent="0.25">
      <c r="A18" s="285"/>
      <c r="B18" s="285"/>
      <c r="C18" s="285"/>
      <c r="D18" s="285"/>
      <c r="E18" s="292"/>
      <c r="F18" s="285"/>
      <c r="G18" s="285"/>
      <c r="H18" s="285"/>
      <c r="I18" s="285"/>
      <c r="J18" s="285"/>
      <c r="K18" s="285"/>
      <c r="L18" s="285"/>
      <c r="M18" s="285"/>
      <c r="N18" s="285"/>
      <c r="O18" s="282"/>
      <c r="P18" s="282"/>
      <c r="Q18" s="442"/>
      <c r="R18" s="443"/>
      <c r="S18" s="443"/>
      <c r="T18" s="443"/>
      <c r="U18" s="443"/>
      <c r="V18" s="443"/>
      <c r="W18" s="443"/>
      <c r="X18" s="443"/>
      <c r="Y18" s="443"/>
      <c r="Z18" s="443"/>
      <c r="AA18" s="443"/>
      <c r="AB18" s="443"/>
      <c r="AC18" s="443"/>
      <c r="AD18" s="443"/>
      <c r="AE18" s="443"/>
      <c r="AF18" s="443"/>
      <c r="AG18" s="443"/>
      <c r="AH18" s="443"/>
      <c r="AI18" s="443"/>
      <c r="AJ18" s="443"/>
      <c r="AK18" s="443"/>
      <c r="AL18" s="443"/>
      <c r="AM18" s="443"/>
      <c r="AN18" s="443"/>
      <c r="AO18" s="443"/>
      <c r="AP18" s="443"/>
      <c r="AQ18" s="443"/>
      <c r="AR18" s="443"/>
      <c r="AS18" s="443"/>
      <c r="AT18" s="443"/>
    </row>
    <row r="19" spans="1:46" ht="15" x14ac:dyDescent="0.25">
      <c r="A19" s="293" t="s">
        <v>143</v>
      </c>
      <c r="B19" s="294" t="s">
        <v>26</v>
      </c>
      <c r="C19" s="285"/>
      <c r="D19" s="294"/>
      <c r="E19" s="304"/>
      <c r="F19" s="294"/>
      <c r="G19" s="294"/>
      <c r="H19" s="294"/>
      <c r="I19" s="294"/>
      <c r="J19" s="294"/>
      <c r="K19" s="294"/>
      <c r="L19" s="285"/>
      <c r="M19" s="285"/>
      <c r="N19" s="285"/>
      <c r="O19" s="282"/>
      <c r="P19" s="282"/>
      <c r="Q19" s="442"/>
      <c r="R19" s="443"/>
      <c r="S19" s="443"/>
      <c r="T19" s="443"/>
      <c r="U19" s="443"/>
      <c r="V19" s="443"/>
      <c r="W19" s="443"/>
      <c r="X19" s="443"/>
      <c r="Y19" s="443"/>
      <c r="Z19" s="443"/>
      <c r="AA19" s="443"/>
      <c r="AB19" s="443"/>
      <c r="AC19" s="443"/>
      <c r="AD19" s="443"/>
      <c r="AE19" s="443"/>
      <c r="AF19" s="443"/>
      <c r="AG19" s="443"/>
      <c r="AH19" s="443"/>
      <c r="AI19" s="443"/>
      <c r="AJ19" s="443"/>
      <c r="AK19" s="443"/>
      <c r="AL19" s="443"/>
      <c r="AM19" s="443"/>
      <c r="AN19" s="443"/>
      <c r="AO19" s="443"/>
      <c r="AP19" s="443"/>
      <c r="AQ19" s="443"/>
      <c r="AR19" s="443"/>
      <c r="AS19" s="443"/>
      <c r="AT19" s="443"/>
    </row>
    <row r="20" spans="1:46" ht="15" x14ac:dyDescent="0.25">
      <c r="A20" s="285"/>
      <c r="B20" s="285" t="str">
        <f>'Lembar Kerja'!B20</f>
        <v>1. Fisik</v>
      </c>
      <c r="C20" s="285"/>
      <c r="D20" s="286" t="s">
        <v>23</v>
      </c>
      <c r="E20" s="432" t="s">
        <v>144</v>
      </c>
      <c r="F20" s="285"/>
      <c r="G20" s="285"/>
      <c r="H20" s="285"/>
      <c r="I20" s="285"/>
      <c r="J20" s="285"/>
      <c r="K20" s="285"/>
      <c r="L20" s="285"/>
      <c r="M20" s="285"/>
      <c r="N20" s="285"/>
      <c r="O20" s="282"/>
      <c r="P20" s="282"/>
      <c r="Q20" s="442"/>
      <c r="R20" s="443"/>
      <c r="S20" s="443"/>
      <c r="T20" s="443"/>
      <c r="U20" s="443"/>
      <c r="V20" s="443"/>
      <c r="W20" s="443"/>
      <c r="X20" s="443"/>
      <c r="Y20" s="443"/>
      <c r="Z20" s="443"/>
      <c r="AA20" s="443"/>
      <c r="AB20" s="443"/>
      <c r="AC20" s="443"/>
      <c r="AD20" s="443"/>
      <c r="AE20" s="443"/>
      <c r="AF20" s="443"/>
      <c r="AG20" s="443"/>
      <c r="AH20" s="443"/>
      <c r="AI20" s="443"/>
      <c r="AJ20" s="443"/>
      <c r="AK20" s="443"/>
      <c r="AL20" s="443"/>
      <c r="AM20" s="443"/>
      <c r="AN20" s="443"/>
      <c r="AO20" s="443"/>
      <c r="AP20" s="443"/>
      <c r="AQ20" s="443"/>
      <c r="AR20" s="443"/>
      <c r="AS20" s="443"/>
      <c r="AT20" s="443"/>
    </row>
    <row r="21" spans="1:46" ht="15" x14ac:dyDescent="0.25">
      <c r="A21" s="285"/>
      <c r="B21" s="285" t="str">
        <f>'Lembar Kerja'!B21</f>
        <v>2. Fungsi</v>
      </c>
      <c r="C21" s="285"/>
      <c r="D21" s="286" t="s">
        <v>23</v>
      </c>
      <c r="E21" s="432" t="s">
        <v>144</v>
      </c>
      <c r="F21" s="285"/>
      <c r="G21" s="285"/>
      <c r="H21" s="285"/>
      <c r="I21" s="285"/>
      <c r="J21" s="285"/>
      <c r="K21" s="285"/>
      <c r="L21" s="285"/>
      <c r="M21" s="285"/>
      <c r="N21" s="285"/>
      <c r="O21" s="282"/>
      <c r="P21" s="282"/>
      <c r="Q21" s="442"/>
      <c r="R21" s="443"/>
      <c r="S21" s="443"/>
      <c r="T21" s="443"/>
      <c r="U21" s="443"/>
      <c r="V21" s="443"/>
      <c r="W21" s="443"/>
      <c r="X21" s="443"/>
      <c r="Y21" s="443"/>
      <c r="Z21" s="443"/>
      <c r="AA21" s="443"/>
      <c r="AB21" s="443"/>
      <c r="AC21" s="443"/>
      <c r="AD21" s="443"/>
      <c r="AE21" s="443"/>
      <c r="AF21" s="443"/>
      <c r="AG21" s="443"/>
      <c r="AH21" s="443"/>
      <c r="AI21" s="443"/>
      <c r="AJ21" s="443"/>
      <c r="AK21" s="443"/>
      <c r="AL21" s="443"/>
      <c r="AM21" s="443"/>
      <c r="AN21" s="443"/>
      <c r="AO21" s="443"/>
      <c r="AP21" s="443"/>
      <c r="AQ21" s="443"/>
      <c r="AR21" s="443"/>
      <c r="AS21" s="443"/>
      <c r="AT21" s="443"/>
    </row>
    <row r="22" spans="1:46" s="1" customFormat="1" ht="8.25" customHeight="1" x14ac:dyDescent="0.3">
      <c r="A22" s="1025"/>
      <c r="B22" s="1025"/>
      <c r="C22" s="1025"/>
      <c r="D22" s="1025"/>
      <c r="E22" s="1025"/>
      <c r="F22" s="1025"/>
      <c r="G22" s="1025"/>
      <c r="H22" s="1025"/>
      <c r="I22" s="1025"/>
      <c r="J22" s="1025"/>
      <c r="K22" s="285"/>
      <c r="L22" s="285"/>
      <c r="M22" s="285"/>
      <c r="N22" s="285"/>
      <c r="O22" s="282"/>
      <c r="P22" s="282"/>
      <c r="Q22" s="442"/>
      <c r="R22" s="443"/>
      <c r="S22" s="443"/>
      <c r="T22" s="443"/>
      <c r="U22" s="443"/>
      <c r="V22" s="443"/>
      <c r="W22" s="443"/>
      <c r="X22" s="443"/>
      <c r="Y22" s="443"/>
      <c r="Z22" s="443"/>
      <c r="AA22" s="443"/>
      <c r="AB22" s="443"/>
      <c r="AC22" s="443"/>
      <c r="AD22" s="443"/>
      <c r="AE22" s="443"/>
      <c r="AF22" s="443"/>
      <c r="AG22" s="443"/>
      <c r="AH22" s="443"/>
      <c r="AI22" s="443"/>
      <c r="AJ22" s="443"/>
      <c r="AK22" s="443"/>
      <c r="AL22" s="443"/>
      <c r="AM22" s="443"/>
      <c r="AN22" s="443"/>
      <c r="AO22" s="443"/>
      <c r="AP22" s="443"/>
      <c r="AQ22" s="443"/>
      <c r="AR22" s="443"/>
      <c r="AS22" s="443"/>
      <c r="AT22" s="443"/>
    </row>
    <row r="23" spans="1:46" s="1" customFormat="1" ht="18" customHeight="1" x14ac:dyDescent="0.3">
      <c r="A23" s="293" t="s">
        <v>31</v>
      </c>
      <c r="B23" s="305" t="s">
        <v>32</v>
      </c>
      <c r="C23" s="283"/>
      <c r="D23" s="283"/>
      <c r="E23" s="283"/>
      <c r="F23" s="306"/>
      <c r="G23" s="307"/>
      <c r="H23" s="308"/>
      <c r="I23" s="308"/>
      <c r="J23" s="283"/>
      <c r="K23" s="283"/>
      <c r="L23" s="283"/>
      <c r="M23" s="285"/>
      <c r="N23" s="285"/>
      <c r="O23" s="282"/>
      <c r="P23" s="282"/>
      <c r="Q23" s="442"/>
      <c r="R23" s="443"/>
      <c r="S23" s="443"/>
      <c r="T23" s="443"/>
      <c r="U23" s="443"/>
      <c r="V23" s="443"/>
      <c r="W23" s="443"/>
      <c r="X23" s="443"/>
      <c r="Y23" s="443"/>
      <c r="Z23" s="443"/>
      <c r="AA23" s="443"/>
      <c r="AB23" s="443"/>
      <c r="AC23" s="443"/>
      <c r="AD23" s="443"/>
      <c r="AE23" s="443"/>
      <c r="AF23" s="443"/>
      <c r="AG23" s="443"/>
      <c r="AH23" s="443"/>
      <c r="AI23" s="443"/>
      <c r="AJ23" s="443"/>
      <c r="AK23" s="443"/>
      <c r="AL23" s="443"/>
      <c r="AM23" s="443"/>
      <c r="AN23" s="443"/>
      <c r="AO23" s="443"/>
      <c r="AP23" s="443"/>
      <c r="AQ23" s="443"/>
      <c r="AR23" s="443"/>
      <c r="AS23" s="443"/>
      <c r="AT23" s="443"/>
    </row>
    <row r="24" spans="1:46" s="1" customFormat="1" ht="16.5" customHeight="1" x14ac:dyDescent="0.3">
      <c r="A24" s="285"/>
      <c r="B24" s="1027" t="s">
        <v>33</v>
      </c>
      <c r="C24" s="997" t="s">
        <v>34</v>
      </c>
      <c r="D24" s="998"/>
      <c r="E24" s="998"/>
      <c r="F24" s="998"/>
      <c r="G24" s="998"/>
      <c r="H24" s="998"/>
      <c r="I24" s="998"/>
      <c r="J24" s="999"/>
      <c r="K24" s="993" t="s">
        <v>35</v>
      </c>
      <c r="L24" s="994"/>
      <c r="M24" s="309" t="s">
        <v>36</v>
      </c>
      <c r="N24" s="285"/>
      <c r="O24" s="282"/>
      <c r="P24" s="282"/>
      <c r="Q24" s="442"/>
      <c r="R24" s="443"/>
      <c r="S24" s="443"/>
      <c r="T24" s="443"/>
      <c r="U24" s="443"/>
      <c r="V24" s="443"/>
      <c r="W24" s="443"/>
      <c r="X24" s="443"/>
      <c r="Y24" s="443"/>
      <c r="Z24" s="443"/>
      <c r="AA24" s="443"/>
      <c r="AB24" s="443"/>
      <c r="AC24" s="443"/>
      <c r="AD24" s="443"/>
      <c r="AE24" s="443"/>
      <c r="AF24" s="443"/>
      <c r="AG24" s="443"/>
      <c r="AH24" s="443"/>
      <c r="AI24" s="443"/>
      <c r="AJ24" s="443"/>
      <c r="AK24" s="443"/>
      <c r="AL24" s="443"/>
      <c r="AM24" s="443"/>
      <c r="AN24" s="443"/>
      <c r="AO24" s="443"/>
      <c r="AP24" s="443"/>
      <c r="AQ24" s="443"/>
      <c r="AR24" s="443"/>
      <c r="AS24" s="443"/>
      <c r="AT24" s="443"/>
    </row>
    <row r="25" spans="1:46" s="1" customFormat="1" ht="15.75" customHeight="1" x14ac:dyDescent="0.3">
      <c r="A25" s="285"/>
      <c r="B25" s="1027"/>
      <c r="C25" s="1000"/>
      <c r="D25" s="1001"/>
      <c r="E25" s="1001"/>
      <c r="F25" s="1001"/>
      <c r="G25" s="1001"/>
      <c r="H25" s="1001"/>
      <c r="I25" s="1001"/>
      <c r="J25" s="1002"/>
      <c r="K25" s="995"/>
      <c r="L25" s="996"/>
      <c r="M25" s="310" t="s">
        <v>37</v>
      </c>
      <c r="N25" s="285"/>
      <c r="O25" s="282"/>
      <c r="P25" s="282"/>
      <c r="Q25" s="442"/>
      <c r="R25" s="443"/>
      <c r="S25" s="443"/>
      <c r="T25" s="443"/>
      <c r="U25" s="443"/>
      <c r="V25" s="443"/>
      <c r="W25" s="443"/>
      <c r="X25" s="443"/>
      <c r="Y25" s="443"/>
      <c r="Z25" s="443"/>
      <c r="AA25" s="443"/>
      <c r="AB25" s="443"/>
      <c r="AC25" s="443"/>
      <c r="AD25" s="443"/>
      <c r="AE25" s="443"/>
      <c r="AF25" s="443"/>
      <c r="AG25" s="443"/>
      <c r="AH25" s="443"/>
      <c r="AI25" s="443"/>
      <c r="AJ25" s="443"/>
      <c r="AK25" s="443"/>
      <c r="AL25" s="443"/>
      <c r="AM25" s="443"/>
      <c r="AN25" s="443"/>
      <c r="AO25" s="443"/>
      <c r="AP25" s="443"/>
      <c r="AQ25" s="443"/>
      <c r="AR25" s="443"/>
      <c r="AS25" s="443"/>
      <c r="AT25" s="443"/>
    </row>
    <row r="26" spans="1:46" s="1" customFormat="1" ht="15.75" customHeight="1" x14ac:dyDescent="0.3">
      <c r="A26" s="285"/>
      <c r="B26" s="427">
        <v>1</v>
      </c>
      <c r="C26" s="311" t="str">
        <f>'Lembar Kerja'!C26</f>
        <v>Resistansi isolasi</v>
      </c>
      <c r="D26" s="434"/>
      <c r="E26" s="434"/>
      <c r="F26" s="434"/>
      <c r="G26" s="434"/>
      <c r="H26" s="434"/>
      <c r="I26" s="434"/>
      <c r="J26" s="435"/>
      <c r="K26" s="651" t="s">
        <v>100</v>
      </c>
      <c r="L26" s="437" t="s">
        <v>39</v>
      </c>
      <c r="M26" s="127" t="s">
        <v>40</v>
      </c>
      <c r="N26" s="285"/>
      <c r="O26" s="282"/>
      <c r="P26" s="282"/>
      <c r="Q26" s="442"/>
      <c r="R26" s="443"/>
      <c r="S26" s="443"/>
      <c r="T26" s="443"/>
      <c r="U26" s="443"/>
      <c r="V26" s="443"/>
      <c r="W26" s="443"/>
      <c r="X26" s="443"/>
      <c r="Y26" s="443"/>
      <c r="Z26" s="443"/>
      <c r="AA26" s="443"/>
      <c r="AB26" s="443"/>
      <c r="AC26" s="443"/>
      <c r="AD26" s="443"/>
      <c r="AE26" s="443"/>
      <c r="AF26" s="443"/>
      <c r="AG26" s="443"/>
      <c r="AH26" s="443"/>
      <c r="AI26" s="443"/>
      <c r="AJ26" s="443"/>
      <c r="AK26" s="443"/>
      <c r="AL26" s="443"/>
      <c r="AM26" s="443"/>
      <c r="AN26" s="443"/>
      <c r="AO26" s="443"/>
      <c r="AP26" s="443"/>
      <c r="AQ26" s="443"/>
      <c r="AR26" s="443"/>
      <c r="AS26" s="443"/>
      <c r="AT26" s="443"/>
    </row>
    <row r="27" spans="1:46" s="1" customFormat="1" ht="15.75" customHeight="1" x14ac:dyDescent="0.3">
      <c r="A27" s="285"/>
      <c r="B27" s="427">
        <v>2</v>
      </c>
      <c r="C27" s="311" t="str">
        <f>'Lembar Kerja'!C27</f>
        <v>Resistansi Pembumian Protektif</v>
      </c>
      <c r="D27" s="434"/>
      <c r="E27" s="434"/>
      <c r="F27" s="434"/>
      <c r="G27" s="434"/>
      <c r="H27" s="434"/>
      <c r="I27" s="434"/>
      <c r="J27" s="435"/>
      <c r="K27" s="651" t="s">
        <v>100</v>
      </c>
      <c r="L27" s="437" t="s">
        <v>42</v>
      </c>
      <c r="M27" s="128" t="s">
        <v>43</v>
      </c>
      <c r="N27" s="285"/>
      <c r="O27" s="282"/>
      <c r="P27" s="282"/>
      <c r="Q27" s="442"/>
      <c r="R27" s="443"/>
      <c r="S27" s="443"/>
      <c r="T27" s="443"/>
      <c r="U27" s="443"/>
      <c r="V27" s="443"/>
      <c r="W27" s="443"/>
      <c r="X27" s="443"/>
      <c r="Y27" s="443"/>
      <c r="Z27" s="443"/>
      <c r="AA27" s="443"/>
      <c r="AB27" s="443"/>
      <c r="AC27" s="443"/>
      <c r="AD27" s="443"/>
      <c r="AE27" s="443"/>
      <c r="AF27" s="443"/>
      <c r="AG27" s="443"/>
      <c r="AH27" s="443"/>
      <c r="AI27" s="443"/>
      <c r="AJ27" s="443"/>
      <c r="AK27" s="443"/>
      <c r="AL27" s="443"/>
      <c r="AM27" s="443"/>
      <c r="AN27" s="443"/>
      <c r="AO27" s="443"/>
      <c r="AP27" s="443"/>
      <c r="AQ27" s="443"/>
      <c r="AR27" s="443"/>
      <c r="AS27" s="443"/>
      <c r="AT27" s="443"/>
    </row>
    <row r="28" spans="1:46" s="1" customFormat="1" ht="15.75" customHeight="1" x14ac:dyDescent="0.3">
      <c r="A28" s="285"/>
      <c r="B28" s="427">
        <v>3</v>
      </c>
      <c r="C28" s="1007" t="s">
        <v>146</v>
      </c>
      <c r="D28" s="1008"/>
      <c r="E28" s="1008"/>
      <c r="F28" s="1008"/>
      <c r="G28" s="1008"/>
      <c r="H28" s="1008"/>
      <c r="I28" s="434"/>
      <c r="J28" s="435"/>
      <c r="K28" s="651" t="s">
        <v>100</v>
      </c>
      <c r="L28" s="437" t="s">
        <v>45</v>
      </c>
      <c r="M28" s="128" t="str">
        <f>VLOOKUP(C28,cetik!I1:J2,2,0)</f>
        <v>≤ 100 µA</v>
      </c>
      <c r="N28" s="285"/>
      <c r="O28" s="282"/>
      <c r="P28" s="442" t="s">
        <v>494</v>
      </c>
      <c r="Q28" s="442">
        <v>500</v>
      </c>
      <c r="R28" s="443"/>
      <c r="S28" s="443"/>
      <c r="T28" s="443"/>
      <c r="U28" s="443"/>
      <c r="V28" s="443"/>
      <c r="W28" s="443"/>
      <c r="X28" s="443"/>
      <c r="Y28" s="443"/>
      <c r="Z28" s="443"/>
      <c r="AA28" s="443"/>
      <c r="AB28" s="443"/>
      <c r="AC28" s="443"/>
      <c r="AD28" s="443"/>
      <c r="AE28" s="443"/>
      <c r="AF28" s="443"/>
      <c r="AG28" s="443"/>
      <c r="AH28" s="443"/>
      <c r="AI28" s="443"/>
      <c r="AJ28" s="443"/>
      <c r="AK28" s="443"/>
      <c r="AL28" s="443"/>
      <c r="AM28" s="443"/>
      <c r="AN28" s="443"/>
      <c r="AO28" s="443"/>
      <c r="AP28" s="443"/>
      <c r="AQ28" s="443"/>
      <c r="AR28" s="443"/>
      <c r="AS28" s="443"/>
      <c r="AT28" s="443"/>
    </row>
    <row r="29" spans="1:46" s="1" customFormat="1" ht="15.75" customHeight="1" x14ac:dyDescent="0.3">
      <c r="A29" s="285"/>
      <c r="B29" s="312"/>
      <c r="C29" s="283"/>
      <c r="D29" s="433"/>
      <c r="E29" s="433"/>
      <c r="F29" s="433"/>
      <c r="G29" s="433"/>
      <c r="H29" s="433"/>
      <c r="I29" s="433"/>
      <c r="J29" s="433"/>
      <c r="K29" s="313"/>
      <c r="L29" s="314"/>
      <c r="M29" s="312"/>
      <c r="N29" s="285"/>
      <c r="O29" s="282"/>
      <c r="P29" s="442" t="s">
        <v>146</v>
      </c>
      <c r="Q29" s="442">
        <v>100</v>
      </c>
      <c r="R29" s="443"/>
      <c r="S29" s="443"/>
      <c r="T29" s="443"/>
      <c r="U29" s="443"/>
      <c r="V29" s="443"/>
      <c r="W29" s="443"/>
      <c r="X29" s="443"/>
      <c r="Y29" s="443"/>
      <c r="Z29" s="443"/>
      <c r="AA29" s="443"/>
      <c r="AB29" s="443"/>
      <c r="AC29" s="443"/>
      <c r="AD29" s="443"/>
      <c r="AE29" s="443"/>
      <c r="AF29" s="443"/>
      <c r="AG29" s="443"/>
      <c r="AH29" s="443"/>
      <c r="AI29" s="443"/>
      <c r="AJ29" s="443"/>
      <c r="AK29" s="443"/>
      <c r="AL29" s="443"/>
      <c r="AM29" s="443"/>
      <c r="AN29" s="443"/>
      <c r="AO29" s="443"/>
      <c r="AP29" s="443"/>
      <c r="AQ29" s="443"/>
      <c r="AR29" s="443"/>
      <c r="AS29" s="443"/>
      <c r="AT29" s="443"/>
    </row>
    <row r="30" spans="1:46" ht="15" x14ac:dyDescent="0.25">
      <c r="A30" s="293" t="s">
        <v>49</v>
      </c>
      <c r="B30" s="294" t="s">
        <v>147</v>
      </c>
      <c r="C30" s="285"/>
      <c r="D30" s="285"/>
      <c r="E30" s="292"/>
      <c r="F30" s="285"/>
      <c r="G30" s="285"/>
      <c r="H30" s="285"/>
      <c r="I30" s="285"/>
      <c r="J30" s="285"/>
      <c r="K30" s="285"/>
      <c r="L30" s="285"/>
      <c r="M30" s="285"/>
      <c r="N30" s="285"/>
      <c r="O30" s="444"/>
      <c r="P30" s="282">
        <f>VLOOKUP(C28,P28:Q29,2,0)</f>
        <v>100</v>
      </c>
      <c r="Q30" s="442"/>
      <c r="R30" s="443"/>
      <c r="S30" s="443"/>
      <c r="T30" s="443"/>
      <c r="U30" s="443"/>
      <c r="V30" s="443"/>
      <c r="W30" s="443"/>
      <c r="X30" s="443"/>
      <c r="Y30" s="443"/>
      <c r="Z30" s="443"/>
      <c r="AA30" s="443"/>
      <c r="AB30" s="443"/>
      <c r="AC30" s="443"/>
      <c r="AD30" s="443"/>
      <c r="AE30" s="443"/>
      <c r="AF30" s="443"/>
      <c r="AG30" s="443"/>
      <c r="AH30" s="443"/>
      <c r="AI30" s="443"/>
      <c r="AJ30" s="443"/>
      <c r="AK30" s="443"/>
      <c r="AL30" s="443"/>
      <c r="AM30" s="443"/>
      <c r="AN30" s="443"/>
      <c r="AO30" s="443"/>
      <c r="AP30" s="443"/>
      <c r="AQ30" s="443"/>
      <c r="AR30" s="443"/>
      <c r="AS30" s="443"/>
      <c r="AT30" s="443"/>
    </row>
    <row r="31" spans="1:46" ht="15" x14ac:dyDescent="0.25">
      <c r="A31" s="293"/>
      <c r="B31" s="294" t="s">
        <v>148</v>
      </c>
      <c r="C31" s="285"/>
      <c r="D31" s="285"/>
      <c r="E31" s="292"/>
      <c r="F31" s="285"/>
      <c r="G31" s="285"/>
      <c r="H31" s="285"/>
      <c r="I31" s="285"/>
      <c r="J31" s="285"/>
      <c r="K31" s="285"/>
      <c r="L31" s="285"/>
      <c r="M31" s="285"/>
      <c r="N31" s="285"/>
      <c r="O31" s="444"/>
      <c r="P31" s="282"/>
      <c r="Q31" s="442"/>
      <c r="R31" s="443"/>
      <c r="S31" s="443"/>
      <c r="T31" s="443"/>
      <c r="U31" s="443"/>
      <c r="V31" s="443"/>
      <c r="W31" s="443"/>
      <c r="X31" s="443"/>
      <c r="Y31" s="443"/>
      <c r="Z31" s="443"/>
      <c r="AA31" s="443"/>
      <c r="AB31" s="443"/>
      <c r="AC31" s="443"/>
      <c r="AD31" s="443"/>
      <c r="AE31" s="443"/>
      <c r="AF31" s="443"/>
      <c r="AG31" s="443"/>
      <c r="AH31" s="443"/>
      <c r="AI31" s="443"/>
      <c r="AJ31" s="443"/>
      <c r="AK31" s="443"/>
      <c r="AL31" s="443"/>
      <c r="AM31" s="443"/>
      <c r="AN31" s="443"/>
      <c r="AO31" s="443"/>
      <c r="AP31" s="443"/>
      <c r="AQ31" s="443"/>
      <c r="AR31" s="443"/>
      <c r="AS31" s="443"/>
      <c r="AT31" s="443"/>
    </row>
    <row r="32" spans="1:46" ht="18.75" customHeight="1" x14ac:dyDescent="0.25">
      <c r="A32" s="285"/>
      <c r="B32" s="1006" t="s">
        <v>33</v>
      </c>
      <c r="C32" s="1019" t="s">
        <v>34</v>
      </c>
      <c r="D32" s="1019" t="s">
        <v>51</v>
      </c>
      <c r="E32" s="1003" t="s">
        <v>149</v>
      </c>
      <c r="F32" s="1004"/>
      <c r="G32" s="1004"/>
      <c r="H32" s="1004"/>
      <c r="I32" s="1004"/>
      <c r="J32" s="1005"/>
      <c r="K32" s="429"/>
      <c r="L32" s="315"/>
      <c r="M32" s="315"/>
      <c r="N32" s="315"/>
      <c r="O32" s="445"/>
      <c r="P32" s="446" t="s">
        <v>150</v>
      </c>
      <c r="Q32" s="461">
        <v>0</v>
      </c>
      <c r="R32" s="462"/>
      <c r="S32" s="443"/>
      <c r="T32" s="443"/>
      <c r="U32" s="443"/>
      <c r="V32" s="443"/>
      <c r="W32" s="443"/>
      <c r="X32" s="443"/>
      <c r="Y32" s="443"/>
      <c r="Z32" s="443"/>
      <c r="AA32" s="443"/>
      <c r="AB32" s="443"/>
      <c r="AC32" s="443"/>
      <c r="AD32" s="443"/>
      <c r="AE32" s="443"/>
      <c r="AF32" s="443"/>
      <c r="AG32" s="443"/>
      <c r="AH32" s="443"/>
      <c r="AI32" s="443"/>
      <c r="AJ32" s="443"/>
      <c r="AK32" s="443"/>
      <c r="AL32" s="443"/>
      <c r="AM32" s="443"/>
      <c r="AN32" s="443"/>
      <c r="AO32" s="443"/>
      <c r="AP32" s="443"/>
      <c r="AQ32" s="443"/>
      <c r="AR32" s="443"/>
      <c r="AS32" s="443"/>
      <c r="AT32" s="443"/>
    </row>
    <row r="33" spans="1:46" ht="32.25" customHeight="1" x14ac:dyDescent="0.25">
      <c r="A33" s="285"/>
      <c r="B33" s="1006"/>
      <c r="C33" s="1021"/>
      <c r="D33" s="1021"/>
      <c r="E33" s="437" t="s">
        <v>54</v>
      </c>
      <c r="F33" s="316" t="s">
        <v>55</v>
      </c>
      <c r="G33" s="436" t="s">
        <v>56</v>
      </c>
      <c r="H33" s="316" t="s">
        <v>57</v>
      </c>
      <c r="I33" s="316" t="s">
        <v>58</v>
      </c>
      <c r="J33" s="316" t="s">
        <v>59</v>
      </c>
      <c r="K33" s="312"/>
      <c r="L33" s="315"/>
      <c r="M33" s="315"/>
      <c r="N33" s="315"/>
      <c r="O33" s="447"/>
      <c r="P33" s="447"/>
      <c r="Q33" s="463"/>
      <c r="R33" s="464"/>
      <c r="S33" s="443"/>
      <c r="T33" s="443"/>
      <c r="U33" s="443"/>
      <c r="V33" s="443"/>
      <c r="W33" s="443"/>
      <c r="X33" s="443"/>
      <c r="Y33" s="443"/>
      <c r="Z33" s="443"/>
      <c r="AA33" s="443"/>
      <c r="AB33" s="443"/>
      <c r="AC33" s="443"/>
      <c r="AD33" s="443"/>
      <c r="AE33" s="443"/>
      <c r="AF33" s="443"/>
      <c r="AG33" s="443"/>
      <c r="AH33" s="443"/>
      <c r="AI33" s="443"/>
      <c r="AJ33" s="443"/>
      <c r="AK33" s="443"/>
      <c r="AL33" s="443"/>
      <c r="AM33" s="443"/>
      <c r="AN33" s="443"/>
      <c r="AO33" s="443"/>
      <c r="AP33" s="443"/>
      <c r="AQ33" s="443"/>
      <c r="AR33" s="443"/>
      <c r="AS33" s="443"/>
      <c r="AT33" s="443"/>
    </row>
    <row r="34" spans="1:46" ht="15" customHeight="1" x14ac:dyDescent="0.25">
      <c r="A34" s="285"/>
      <c r="B34" s="317" t="s">
        <v>151</v>
      </c>
      <c r="C34" s="1019" t="str">
        <f>'Lembar Kerja'!C34</f>
        <v>Saturasi O₂ (%)</v>
      </c>
      <c r="D34" s="652">
        <v>100</v>
      </c>
      <c r="E34" s="653">
        <v>100</v>
      </c>
      <c r="F34" s="653">
        <v>100</v>
      </c>
      <c r="G34" s="653">
        <v>100</v>
      </c>
      <c r="H34" s="653">
        <v>100</v>
      </c>
      <c r="I34" s="653">
        <v>100</v>
      </c>
      <c r="J34" s="653">
        <v>100</v>
      </c>
      <c r="K34" s="312"/>
      <c r="L34" s="315"/>
      <c r="M34" s="315"/>
      <c r="N34" s="315"/>
      <c r="O34" s="447"/>
      <c r="P34" s="447"/>
      <c r="Q34" s="463"/>
      <c r="R34" s="464"/>
      <c r="S34" s="443"/>
      <c r="T34" s="443"/>
      <c r="U34" s="443"/>
      <c r="V34" s="443"/>
      <c r="W34" s="443"/>
      <c r="X34" s="443"/>
      <c r="Y34" s="443"/>
      <c r="Z34" s="443"/>
      <c r="AA34" s="443"/>
      <c r="AB34" s="443"/>
      <c r="AC34" s="443"/>
      <c r="AD34" s="443"/>
      <c r="AE34" s="443"/>
      <c r="AF34" s="443"/>
      <c r="AG34" s="443"/>
      <c r="AH34" s="443"/>
      <c r="AI34" s="443"/>
      <c r="AJ34" s="443"/>
      <c r="AK34" s="443"/>
      <c r="AL34" s="443"/>
      <c r="AM34" s="443"/>
      <c r="AN34" s="443"/>
      <c r="AO34" s="443"/>
      <c r="AP34" s="443"/>
      <c r="AQ34" s="443"/>
      <c r="AR34" s="443"/>
      <c r="AS34" s="443"/>
      <c r="AT34" s="443"/>
    </row>
    <row r="35" spans="1:46" ht="15" customHeight="1" x14ac:dyDescent="0.25">
      <c r="A35" s="285"/>
      <c r="B35" s="317" t="s">
        <v>64</v>
      </c>
      <c r="C35" s="1020"/>
      <c r="D35" s="652">
        <v>99</v>
      </c>
      <c r="E35" s="653">
        <v>99</v>
      </c>
      <c r="F35" s="653">
        <v>99</v>
      </c>
      <c r="G35" s="653">
        <v>99</v>
      </c>
      <c r="H35" s="653">
        <v>99</v>
      </c>
      <c r="I35" s="653">
        <v>99</v>
      </c>
      <c r="J35" s="653">
        <v>99</v>
      </c>
      <c r="K35" s="429"/>
      <c r="L35" s="315"/>
      <c r="M35" s="315"/>
      <c r="N35" s="315"/>
      <c r="O35" s="448"/>
      <c r="P35" s="448"/>
      <c r="Q35" s="463"/>
      <c r="R35" s="464"/>
      <c r="S35" s="443"/>
      <c r="T35" s="443"/>
      <c r="U35" s="443"/>
      <c r="V35" s="443"/>
      <c r="W35" s="443"/>
      <c r="X35" s="443"/>
      <c r="Y35" s="443"/>
      <c r="Z35" s="443"/>
      <c r="AA35" s="443"/>
      <c r="AB35" s="443"/>
      <c r="AC35" s="443"/>
      <c r="AD35" s="443"/>
      <c r="AE35" s="443"/>
      <c r="AF35" s="443"/>
      <c r="AG35" s="443"/>
      <c r="AH35" s="443"/>
      <c r="AI35" s="443"/>
      <c r="AJ35" s="443"/>
      <c r="AK35" s="443"/>
      <c r="AL35" s="443"/>
      <c r="AM35" s="443"/>
      <c r="AN35" s="443"/>
      <c r="AO35" s="443"/>
      <c r="AP35" s="443"/>
      <c r="AQ35" s="443"/>
      <c r="AR35" s="443"/>
      <c r="AS35" s="443"/>
      <c r="AT35" s="443"/>
    </row>
    <row r="36" spans="1:46" ht="15" customHeight="1" x14ac:dyDescent="0.25">
      <c r="A36" s="285"/>
      <c r="B36" s="317" t="s">
        <v>65</v>
      </c>
      <c r="C36" s="1020"/>
      <c r="D36" s="318">
        <v>98</v>
      </c>
      <c r="E36" s="319">
        <v>98</v>
      </c>
      <c r="F36" s="319">
        <v>98</v>
      </c>
      <c r="G36" s="319">
        <v>98</v>
      </c>
      <c r="H36" s="319">
        <v>98</v>
      </c>
      <c r="I36" s="319">
        <v>98</v>
      </c>
      <c r="J36" s="319">
        <v>98</v>
      </c>
      <c r="K36" s="320"/>
      <c r="L36" s="315"/>
      <c r="M36" s="315"/>
      <c r="N36" s="315"/>
      <c r="O36" s="448"/>
      <c r="P36" s="448"/>
      <c r="Q36" s="465"/>
      <c r="R36" s="466"/>
      <c r="S36" s="443"/>
      <c r="T36" s="443"/>
      <c r="U36" s="443"/>
      <c r="V36" s="443"/>
      <c r="W36" s="443"/>
      <c r="X36" s="443"/>
      <c r="Y36" s="443"/>
      <c r="Z36" s="443"/>
      <c r="AA36" s="443"/>
      <c r="AB36" s="443"/>
      <c r="AC36" s="443"/>
      <c r="AD36" s="443"/>
      <c r="AE36" s="443"/>
      <c r="AF36" s="443"/>
      <c r="AG36" s="443"/>
      <c r="AH36" s="443"/>
      <c r="AI36" s="443"/>
      <c r="AJ36" s="443"/>
      <c r="AK36" s="443"/>
      <c r="AL36" s="443"/>
      <c r="AM36" s="443"/>
      <c r="AN36" s="443"/>
      <c r="AO36" s="443"/>
      <c r="AP36" s="443"/>
      <c r="AQ36" s="443"/>
      <c r="AR36" s="443"/>
      <c r="AS36" s="443"/>
      <c r="AT36" s="443"/>
    </row>
    <row r="37" spans="1:46" ht="15" customHeight="1" x14ac:dyDescent="0.25">
      <c r="A37" s="285"/>
      <c r="B37" s="317" t="s">
        <v>66</v>
      </c>
      <c r="C37" s="1020"/>
      <c r="D37" s="318">
        <v>97</v>
      </c>
      <c r="E37" s="319">
        <v>97</v>
      </c>
      <c r="F37" s="319">
        <v>97</v>
      </c>
      <c r="G37" s="319">
        <v>98</v>
      </c>
      <c r="H37" s="319">
        <v>97</v>
      </c>
      <c r="I37" s="319">
        <v>97</v>
      </c>
      <c r="J37" s="319">
        <v>97</v>
      </c>
      <c r="K37" s="320"/>
      <c r="L37" s="315"/>
      <c r="M37" s="315"/>
      <c r="N37" s="315"/>
      <c r="O37" s="448"/>
      <c r="P37" s="448"/>
      <c r="Q37" s="465"/>
      <c r="R37" s="466"/>
      <c r="S37" s="443"/>
      <c r="T37" s="443"/>
      <c r="U37" s="443"/>
      <c r="V37" s="443"/>
      <c r="W37" s="443"/>
      <c r="X37" s="443"/>
      <c r="Y37" s="443"/>
      <c r="Z37" s="443"/>
      <c r="AA37" s="443"/>
      <c r="AB37" s="443"/>
      <c r="AC37" s="443"/>
      <c r="AD37" s="443"/>
      <c r="AE37" s="443"/>
      <c r="AF37" s="443"/>
      <c r="AG37" s="443"/>
      <c r="AH37" s="443"/>
      <c r="AI37" s="443"/>
      <c r="AJ37" s="443"/>
      <c r="AK37" s="443"/>
      <c r="AL37" s="443"/>
      <c r="AM37" s="443"/>
      <c r="AN37" s="443"/>
      <c r="AO37" s="443"/>
      <c r="AP37" s="443"/>
      <c r="AQ37" s="443"/>
      <c r="AR37" s="443"/>
      <c r="AS37" s="443"/>
      <c r="AT37" s="443"/>
    </row>
    <row r="38" spans="1:46" ht="15" customHeight="1" x14ac:dyDescent="0.25">
      <c r="A38" s="285"/>
      <c r="B38" s="317" t="s">
        <v>67</v>
      </c>
      <c r="C38" s="1020"/>
      <c r="D38" s="318">
        <v>95</v>
      </c>
      <c r="E38" s="319">
        <v>95</v>
      </c>
      <c r="F38" s="319">
        <v>95</v>
      </c>
      <c r="G38" s="319">
        <v>95</v>
      </c>
      <c r="H38" s="319">
        <v>95</v>
      </c>
      <c r="I38" s="319">
        <v>95</v>
      </c>
      <c r="J38" s="319">
        <v>95</v>
      </c>
      <c r="K38" s="320"/>
      <c r="L38" s="315"/>
      <c r="M38" s="315"/>
      <c r="N38" s="315"/>
      <c r="O38" s="448"/>
      <c r="P38" s="448"/>
      <c r="Q38" s="465"/>
      <c r="R38" s="466"/>
      <c r="S38" s="443"/>
      <c r="T38" s="443"/>
      <c r="U38" s="443"/>
      <c r="V38" s="443"/>
      <c r="W38" s="443"/>
      <c r="X38" s="443"/>
      <c r="Y38" s="443"/>
      <c r="Z38" s="443"/>
      <c r="AA38" s="443"/>
      <c r="AB38" s="443"/>
      <c r="AC38" s="443"/>
      <c r="AD38" s="443"/>
      <c r="AE38" s="443"/>
      <c r="AF38" s="443"/>
      <c r="AG38" s="443"/>
      <c r="AH38" s="443"/>
      <c r="AI38" s="443"/>
      <c r="AJ38" s="443"/>
      <c r="AK38" s="443"/>
      <c r="AL38" s="443"/>
      <c r="AM38" s="443"/>
      <c r="AN38" s="443"/>
      <c r="AO38" s="443"/>
      <c r="AP38" s="443"/>
      <c r="AQ38" s="443"/>
      <c r="AR38" s="443"/>
      <c r="AS38" s="443"/>
      <c r="AT38" s="443"/>
    </row>
    <row r="39" spans="1:46" ht="15" customHeight="1" x14ac:dyDescent="0.25">
      <c r="A39" s="285"/>
      <c r="B39" s="317" t="s">
        <v>68</v>
      </c>
      <c r="C39" s="1020"/>
      <c r="D39" s="318">
        <v>90</v>
      </c>
      <c r="E39" s="319">
        <v>90</v>
      </c>
      <c r="F39" s="319">
        <v>90</v>
      </c>
      <c r="G39" s="319">
        <v>90</v>
      </c>
      <c r="H39" s="319">
        <v>90</v>
      </c>
      <c r="I39" s="319">
        <v>90</v>
      </c>
      <c r="J39" s="319">
        <v>90</v>
      </c>
      <c r="K39" s="320"/>
      <c r="L39" s="315"/>
      <c r="M39" s="315"/>
      <c r="N39" s="315"/>
      <c r="O39" s="448"/>
      <c r="P39" s="448"/>
      <c r="Q39" s="465"/>
      <c r="R39" s="466"/>
      <c r="S39" s="443"/>
      <c r="T39" s="443"/>
      <c r="U39" s="443"/>
      <c r="V39" s="443"/>
      <c r="W39" s="443"/>
      <c r="X39" s="443"/>
      <c r="Y39" s="443"/>
      <c r="Z39" s="443"/>
      <c r="AA39" s="443"/>
      <c r="AB39" s="443"/>
      <c r="AC39" s="443"/>
      <c r="AD39" s="443"/>
      <c r="AE39" s="443"/>
      <c r="AF39" s="443"/>
      <c r="AG39" s="443"/>
      <c r="AH39" s="443"/>
      <c r="AI39" s="443"/>
      <c r="AJ39" s="443"/>
      <c r="AK39" s="443"/>
      <c r="AL39" s="443"/>
      <c r="AM39" s="443"/>
      <c r="AN39" s="443"/>
      <c r="AO39" s="443"/>
      <c r="AP39" s="443"/>
      <c r="AQ39" s="443"/>
      <c r="AR39" s="443"/>
      <c r="AS39" s="443"/>
      <c r="AT39" s="443"/>
    </row>
    <row r="40" spans="1:46" ht="15" customHeight="1" x14ac:dyDescent="0.25">
      <c r="A40" s="285"/>
      <c r="B40" s="317" t="s">
        <v>69</v>
      </c>
      <c r="C40" s="1021"/>
      <c r="D40" s="318">
        <v>85</v>
      </c>
      <c r="E40" s="319">
        <v>85</v>
      </c>
      <c r="F40" s="319">
        <v>85</v>
      </c>
      <c r="G40" s="319">
        <v>85</v>
      </c>
      <c r="H40" s="319">
        <v>85</v>
      </c>
      <c r="I40" s="319">
        <v>85</v>
      </c>
      <c r="J40" s="319">
        <v>85</v>
      </c>
      <c r="K40" s="320"/>
      <c r="L40" s="315"/>
      <c r="M40" s="315"/>
      <c r="N40" s="315"/>
      <c r="O40" s="448"/>
      <c r="P40" s="448"/>
      <c r="Q40" s="465"/>
      <c r="R40" s="466"/>
      <c r="S40" s="443"/>
      <c r="T40" s="443"/>
      <c r="U40" s="443"/>
      <c r="V40" s="443"/>
      <c r="W40" s="443"/>
      <c r="X40" s="443"/>
      <c r="Y40" s="443"/>
      <c r="Z40" s="443"/>
      <c r="AA40" s="443"/>
      <c r="AB40" s="443"/>
      <c r="AC40" s="443"/>
      <c r="AD40" s="443"/>
      <c r="AE40" s="443"/>
      <c r="AF40" s="443"/>
      <c r="AG40" s="443"/>
      <c r="AH40" s="443"/>
      <c r="AI40" s="443"/>
      <c r="AJ40" s="443"/>
      <c r="AK40" s="443"/>
      <c r="AL40" s="443"/>
      <c r="AM40" s="443"/>
      <c r="AN40" s="443"/>
      <c r="AO40" s="443"/>
      <c r="AP40" s="443"/>
      <c r="AQ40" s="443"/>
      <c r="AR40" s="443"/>
      <c r="AS40" s="443"/>
      <c r="AT40" s="443"/>
    </row>
    <row r="41" spans="1:46" ht="15" customHeight="1" x14ac:dyDescent="0.25">
      <c r="A41" s="285"/>
      <c r="B41" s="321"/>
      <c r="C41" s="322"/>
      <c r="D41" s="320"/>
      <c r="E41" s="323"/>
      <c r="F41" s="323"/>
      <c r="G41" s="323"/>
      <c r="H41" s="323"/>
      <c r="I41" s="323"/>
      <c r="J41" s="323"/>
      <c r="K41" s="320"/>
      <c r="L41" s="315"/>
      <c r="M41" s="315"/>
      <c r="N41" s="315"/>
      <c r="O41" s="448"/>
      <c r="P41" s="448"/>
      <c r="Q41" s="465"/>
      <c r="R41" s="466"/>
      <c r="S41" s="443"/>
      <c r="T41" s="443"/>
      <c r="U41" s="443"/>
      <c r="V41" s="443"/>
      <c r="W41" s="443"/>
      <c r="X41" s="443"/>
      <c r="Y41" s="443"/>
      <c r="Z41" s="443"/>
      <c r="AA41" s="443"/>
      <c r="AB41" s="443"/>
      <c r="AC41" s="443"/>
      <c r="AD41" s="443"/>
      <c r="AE41" s="443"/>
      <c r="AF41" s="443"/>
      <c r="AG41" s="443"/>
      <c r="AH41" s="443"/>
      <c r="AI41" s="443"/>
      <c r="AJ41" s="443"/>
      <c r="AK41" s="443"/>
      <c r="AL41" s="443"/>
      <c r="AM41" s="443"/>
      <c r="AN41" s="443"/>
      <c r="AO41" s="443"/>
      <c r="AP41" s="443"/>
      <c r="AQ41" s="443"/>
      <c r="AR41" s="443"/>
      <c r="AS41" s="443"/>
      <c r="AT41" s="443"/>
    </row>
    <row r="42" spans="1:46" ht="17.25" customHeight="1" x14ac:dyDescent="0.25">
      <c r="A42" s="293"/>
      <c r="B42" s="294" t="s">
        <v>70</v>
      </c>
      <c r="C42" s="285"/>
      <c r="D42" s="320"/>
      <c r="E42" s="324"/>
      <c r="F42" s="320"/>
      <c r="G42" s="320"/>
      <c r="H42" s="320"/>
      <c r="I42" s="320"/>
      <c r="J42" s="320"/>
      <c r="K42" s="320"/>
      <c r="L42" s="315"/>
      <c r="M42" s="315"/>
      <c r="N42" s="315"/>
      <c r="O42" s="448"/>
      <c r="P42" s="448"/>
      <c r="Q42" s="465"/>
      <c r="R42" s="466"/>
      <c r="S42" s="443"/>
      <c r="T42" s="443"/>
      <c r="U42" s="443"/>
      <c r="V42" s="443"/>
      <c r="W42" s="443"/>
      <c r="X42" s="443"/>
      <c r="Y42" s="443"/>
      <c r="Z42" s="443"/>
      <c r="AA42" s="443"/>
      <c r="AB42" s="443"/>
      <c r="AC42" s="443"/>
      <c r="AD42" s="443"/>
      <c r="AE42" s="443"/>
      <c r="AF42" s="443"/>
      <c r="AG42" s="443"/>
      <c r="AH42" s="443"/>
      <c r="AI42" s="443"/>
      <c r="AJ42" s="443"/>
      <c r="AK42" s="443"/>
      <c r="AL42" s="443"/>
      <c r="AM42" s="443"/>
      <c r="AN42" s="443"/>
      <c r="AO42" s="443"/>
      <c r="AP42" s="443"/>
      <c r="AQ42" s="443"/>
      <c r="AR42" s="443"/>
      <c r="AS42" s="443"/>
      <c r="AT42" s="443"/>
    </row>
    <row r="43" spans="1:46" ht="16.5" customHeight="1" x14ac:dyDescent="0.25">
      <c r="A43" s="285"/>
      <c r="B43" s="1006" t="s">
        <v>33</v>
      </c>
      <c r="C43" s="1006" t="s">
        <v>34</v>
      </c>
      <c r="D43" s="1006" t="s">
        <v>51</v>
      </c>
      <c r="E43" s="980" t="s">
        <v>149</v>
      </c>
      <c r="F43" s="980"/>
      <c r="G43" s="980"/>
      <c r="H43" s="980"/>
      <c r="I43" s="980"/>
      <c r="J43" s="980"/>
      <c r="K43" s="320"/>
      <c r="L43" s="315"/>
      <c r="M43" s="315"/>
      <c r="N43" s="315"/>
      <c r="O43" s="448"/>
      <c r="P43" s="448"/>
      <c r="Q43" s="465"/>
      <c r="R43" s="466"/>
      <c r="S43" s="443"/>
      <c r="T43" s="443"/>
      <c r="U43" s="443"/>
      <c r="V43" s="443"/>
      <c r="W43" s="443"/>
      <c r="X43" s="443"/>
      <c r="Y43" s="443"/>
      <c r="Z43" s="443"/>
      <c r="AA43" s="443"/>
      <c r="AB43" s="443"/>
      <c r="AC43" s="443"/>
      <c r="AD43" s="443"/>
      <c r="AE43" s="443"/>
      <c r="AF43" s="443"/>
      <c r="AG43" s="443"/>
      <c r="AH43" s="443"/>
      <c r="AI43" s="443"/>
      <c r="AJ43" s="443"/>
      <c r="AK43" s="443"/>
      <c r="AL43" s="443"/>
      <c r="AM43" s="443"/>
      <c r="AN43" s="443"/>
      <c r="AO43" s="443"/>
      <c r="AP43" s="443"/>
      <c r="AQ43" s="443"/>
      <c r="AR43" s="443"/>
      <c r="AS43" s="443"/>
      <c r="AT43" s="443"/>
    </row>
    <row r="44" spans="1:46" ht="26.25" customHeight="1" x14ac:dyDescent="0.25">
      <c r="A44" s="285"/>
      <c r="B44" s="1006"/>
      <c r="C44" s="1006"/>
      <c r="D44" s="1006"/>
      <c r="E44" s="427" t="s">
        <v>54</v>
      </c>
      <c r="F44" s="427" t="s">
        <v>55</v>
      </c>
      <c r="G44" s="427" t="s">
        <v>56</v>
      </c>
      <c r="H44" s="427" t="s">
        <v>57</v>
      </c>
      <c r="I44" s="427" t="s">
        <v>58</v>
      </c>
      <c r="J44" s="431" t="s">
        <v>59</v>
      </c>
      <c r="K44" s="320"/>
      <c r="L44" s="315"/>
      <c r="M44" s="315"/>
      <c r="N44" s="315"/>
      <c r="O44" s="448"/>
      <c r="P44" s="448"/>
      <c r="Q44" s="465"/>
      <c r="R44" s="466"/>
      <c r="S44" s="443"/>
      <c r="T44" s="443"/>
      <c r="U44" s="443"/>
      <c r="V44" s="443"/>
      <c r="W44" s="443"/>
      <c r="X44" s="443"/>
      <c r="Y44" s="443"/>
      <c r="Z44" s="443"/>
      <c r="AA44" s="443"/>
      <c r="AB44" s="443"/>
      <c r="AC44" s="443"/>
      <c r="AD44" s="443"/>
      <c r="AE44" s="443"/>
      <c r="AF44" s="443"/>
      <c r="AG44" s="443"/>
      <c r="AH44" s="443"/>
      <c r="AI44" s="443"/>
      <c r="AJ44" s="443"/>
      <c r="AK44" s="443"/>
      <c r="AL44" s="443"/>
      <c r="AM44" s="443"/>
      <c r="AN44" s="443"/>
      <c r="AO44" s="443"/>
      <c r="AP44" s="443"/>
      <c r="AQ44" s="443"/>
      <c r="AR44" s="443"/>
      <c r="AS44" s="443"/>
      <c r="AT44" s="443"/>
    </row>
    <row r="45" spans="1:46" ht="15" customHeight="1" x14ac:dyDescent="0.25">
      <c r="A45" s="285"/>
      <c r="B45" s="317" t="s">
        <v>151</v>
      </c>
      <c r="C45" s="1006" t="s">
        <v>72</v>
      </c>
      <c r="D45" s="654">
        <v>30</v>
      </c>
      <c r="E45" s="655">
        <v>30</v>
      </c>
      <c r="F45" s="655">
        <v>30</v>
      </c>
      <c r="G45" s="655">
        <v>30</v>
      </c>
      <c r="H45" s="655">
        <v>30</v>
      </c>
      <c r="I45" s="655">
        <v>30</v>
      </c>
      <c r="J45" s="655">
        <v>30</v>
      </c>
      <c r="K45" s="320"/>
      <c r="L45" s="315"/>
      <c r="M45" s="315"/>
      <c r="N45" s="315"/>
      <c r="O45" s="448"/>
      <c r="P45" s="448"/>
      <c r="Q45" s="465"/>
      <c r="R45" s="466"/>
      <c r="S45" s="443"/>
      <c r="T45" s="443"/>
      <c r="U45" s="443"/>
      <c r="V45" s="443"/>
      <c r="W45" s="443"/>
      <c r="X45" s="443"/>
      <c r="Y45" s="443"/>
      <c r="Z45" s="443"/>
      <c r="AA45" s="443"/>
      <c r="AB45" s="443"/>
      <c r="AC45" s="443"/>
      <c r="AD45" s="443"/>
      <c r="AE45" s="443"/>
      <c r="AF45" s="443"/>
      <c r="AG45" s="443"/>
      <c r="AH45" s="443"/>
      <c r="AI45" s="443"/>
      <c r="AJ45" s="443"/>
      <c r="AK45" s="443"/>
      <c r="AL45" s="443"/>
      <c r="AM45" s="443"/>
      <c r="AN45" s="443"/>
      <c r="AO45" s="443"/>
      <c r="AP45" s="443"/>
      <c r="AQ45" s="443"/>
      <c r="AR45" s="443"/>
      <c r="AS45" s="443"/>
      <c r="AT45" s="443"/>
    </row>
    <row r="46" spans="1:46" ht="15" customHeight="1" x14ac:dyDescent="0.25">
      <c r="A46" s="285"/>
      <c r="B46" s="325" t="s">
        <v>64</v>
      </c>
      <c r="C46" s="1006"/>
      <c r="D46" s="326">
        <v>60</v>
      </c>
      <c r="E46" s="655">
        <v>60</v>
      </c>
      <c r="F46" s="655">
        <v>60</v>
      </c>
      <c r="G46" s="655">
        <v>60</v>
      </c>
      <c r="H46" s="655">
        <v>60</v>
      </c>
      <c r="I46" s="655">
        <v>60</v>
      </c>
      <c r="J46" s="655">
        <v>60</v>
      </c>
      <c r="K46" s="320"/>
      <c r="L46" s="315"/>
      <c r="M46" s="315"/>
      <c r="N46" s="315"/>
      <c r="O46" s="448"/>
      <c r="P46" s="448"/>
      <c r="Q46" s="465"/>
      <c r="R46" s="466"/>
      <c r="S46" s="443"/>
      <c r="T46" s="443"/>
      <c r="U46" s="443"/>
      <c r="V46" s="443"/>
      <c r="W46" s="443"/>
      <c r="X46" s="443"/>
      <c r="Y46" s="443"/>
      <c r="Z46" s="443"/>
      <c r="AA46" s="443"/>
      <c r="AB46" s="443"/>
      <c r="AC46" s="443"/>
      <c r="AD46" s="443"/>
      <c r="AE46" s="443"/>
      <c r="AF46" s="443"/>
      <c r="AG46" s="443"/>
      <c r="AH46" s="443"/>
      <c r="AI46" s="443"/>
      <c r="AJ46" s="443"/>
      <c r="AK46" s="443"/>
      <c r="AL46" s="443"/>
      <c r="AM46" s="443"/>
      <c r="AN46" s="443"/>
      <c r="AO46" s="443"/>
      <c r="AP46" s="443"/>
      <c r="AQ46" s="443"/>
      <c r="AR46" s="443"/>
      <c r="AS46" s="443"/>
      <c r="AT46" s="443"/>
    </row>
    <row r="47" spans="1:46" ht="15" customHeight="1" x14ac:dyDescent="0.25">
      <c r="A47" s="285"/>
      <c r="B47" s="325" t="s">
        <v>65</v>
      </c>
      <c r="C47" s="1006"/>
      <c r="D47" s="326">
        <v>120</v>
      </c>
      <c r="E47" s="327">
        <v>120</v>
      </c>
      <c r="F47" s="327">
        <v>120</v>
      </c>
      <c r="G47" s="327">
        <v>120</v>
      </c>
      <c r="H47" s="327">
        <v>120</v>
      </c>
      <c r="I47" s="327">
        <v>120</v>
      </c>
      <c r="J47" s="327">
        <v>120</v>
      </c>
      <c r="K47" s="320"/>
      <c r="L47" s="315"/>
      <c r="M47" s="315"/>
      <c r="N47" s="315"/>
      <c r="O47" s="448"/>
      <c r="P47" s="448"/>
      <c r="Q47" s="465"/>
      <c r="R47" s="466"/>
      <c r="S47" s="443"/>
      <c r="T47" s="443"/>
      <c r="U47" s="443"/>
      <c r="V47" s="443"/>
      <c r="W47" s="443"/>
      <c r="X47" s="443"/>
      <c r="Y47" s="443"/>
      <c r="Z47" s="443"/>
      <c r="AA47" s="443"/>
      <c r="AB47" s="443"/>
      <c r="AC47" s="443"/>
      <c r="AD47" s="443"/>
      <c r="AE47" s="443"/>
      <c r="AF47" s="443"/>
      <c r="AG47" s="443"/>
      <c r="AH47" s="443"/>
      <c r="AI47" s="443"/>
      <c r="AJ47" s="443"/>
      <c r="AK47" s="443"/>
      <c r="AL47" s="443"/>
      <c r="AM47" s="443"/>
      <c r="AN47" s="443"/>
      <c r="AO47" s="443"/>
      <c r="AP47" s="443"/>
      <c r="AQ47" s="443"/>
      <c r="AR47" s="443"/>
      <c r="AS47" s="443"/>
      <c r="AT47" s="443"/>
    </row>
    <row r="48" spans="1:46" ht="15" customHeight="1" x14ac:dyDescent="0.25">
      <c r="A48" s="285"/>
      <c r="B48" s="325" t="s">
        <v>66</v>
      </c>
      <c r="C48" s="1006"/>
      <c r="D48" s="326">
        <v>240</v>
      </c>
      <c r="E48" s="327">
        <v>240</v>
      </c>
      <c r="F48" s="327">
        <v>240</v>
      </c>
      <c r="G48" s="327">
        <v>240</v>
      </c>
      <c r="H48" s="327">
        <v>240</v>
      </c>
      <c r="I48" s="327">
        <v>240</v>
      </c>
      <c r="J48" s="327">
        <v>240</v>
      </c>
      <c r="K48" s="320"/>
      <c r="L48" s="315"/>
      <c r="M48" s="315"/>
      <c r="N48" s="315"/>
      <c r="O48" s="448"/>
      <c r="P48" s="448"/>
      <c r="Q48" s="465"/>
      <c r="R48" s="466"/>
      <c r="S48" s="443"/>
      <c r="T48" s="443"/>
      <c r="U48" s="443"/>
      <c r="V48" s="443"/>
      <c r="W48" s="443"/>
      <c r="X48" s="443"/>
      <c r="Y48" s="443"/>
      <c r="Z48" s="443"/>
      <c r="AA48" s="443"/>
      <c r="AB48" s="443"/>
      <c r="AC48" s="443"/>
      <c r="AD48" s="443"/>
      <c r="AE48" s="443"/>
      <c r="AF48" s="443"/>
      <c r="AG48" s="443"/>
      <c r="AH48" s="443"/>
      <c r="AI48" s="443"/>
      <c r="AJ48" s="443"/>
      <c r="AK48" s="443"/>
      <c r="AL48" s="443"/>
      <c r="AM48" s="443"/>
      <c r="AN48" s="443"/>
      <c r="AO48" s="443"/>
      <c r="AP48" s="443"/>
      <c r="AQ48" s="443"/>
      <c r="AR48" s="443"/>
      <c r="AS48" s="443"/>
      <c r="AT48" s="443"/>
    </row>
    <row r="49" spans="1:46" ht="15" customHeight="1" x14ac:dyDescent="0.25">
      <c r="A49" s="285"/>
      <c r="B49" s="322"/>
      <c r="C49" s="322"/>
      <c r="D49" s="320"/>
      <c r="E49" s="324"/>
      <c r="F49" s="320"/>
      <c r="G49" s="320"/>
      <c r="H49" s="320"/>
      <c r="I49" s="320"/>
      <c r="J49" s="320"/>
      <c r="K49" s="320"/>
      <c r="L49" s="315"/>
      <c r="M49" s="315"/>
      <c r="N49" s="315"/>
      <c r="O49" s="448"/>
      <c r="P49" s="448"/>
      <c r="Q49" s="465"/>
      <c r="R49" s="466"/>
      <c r="S49" s="443"/>
      <c r="T49" s="443"/>
      <c r="U49" s="443"/>
      <c r="V49" s="443"/>
      <c r="W49" s="443"/>
      <c r="X49" s="443"/>
      <c r="Y49" s="443"/>
      <c r="Z49" s="443"/>
      <c r="AA49" s="443"/>
      <c r="AB49" s="443"/>
      <c r="AC49" s="443"/>
      <c r="AD49" s="443"/>
      <c r="AE49" s="443"/>
      <c r="AF49" s="443"/>
      <c r="AG49" s="443"/>
      <c r="AH49" s="443"/>
      <c r="AI49" s="443"/>
      <c r="AJ49" s="443"/>
      <c r="AK49" s="443"/>
      <c r="AL49" s="443"/>
      <c r="AM49" s="443"/>
      <c r="AN49" s="443"/>
      <c r="AO49" s="443"/>
      <c r="AP49" s="443"/>
      <c r="AQ49" s="443"/>
      <c r="AR49" s="443"/>
      <c r="AS49" s="443"/>
      <c r="AT49" s="443"/>
    </row>
    <row r="50" spans="1:46" ht="13.5" customHeight="1" x14ac:dyDescent="0.25">
      <c r="A50" s="293" t="s">
        <v>74</v>
      </c>
      <c r="B50" s="294" t="s">
        <v>75</v>
      </c>
      <c r="C50" s="285"/>
      <c r="D50" s="285"/>
      <c r="E50" s="292"/>
      <c r="F50" s="285"/>
      <c r="G50" s="285"/>
      <c r="H50" s="285"/>
      <c r="I50" s="285"/>
      <c r="J50" s="285"/>
      <c r="K50" s="285"/>
      <c r="L50" s="285"/>
      <c r="M50" s="285"/>
      <c r="N50" s="285"/>
      <c r="O50" s="282"/>
      <c r="P50" s="282"/>
      <c r="Q50" s="442"/>
      <c r="R50" s="443"/>
      <c r="S50" s="443"/>
      <c r="T50" s="443"/>
      <c r="U50" s="443"/>
      <c r="V50" s="443"/>
      <c r="W50" s="443"/>
      <c r="X50" s="443"/>
      <c r="Y50" s="443"/>
      <c r="Z50" s="443"/>
      <c r="AA50" s="443"/>
      <c r="AB50" s="443"/>
      <c r="AC50" s="443"/>
      <c r="AD50" s="443"/>
      <c r="AE50" s="443"/>
      <c r="AF50" s="443"/>
      <c r="AG50" s="443"/>
      <c r="AH50" s="443"/>
      <c r="AI50" s="443"/>
      <c r="AJ50" s="443"/>
      <c r="AK50" s="443"/>
      <c r="AL50" s="443"/>
      <c r="AM50" s="443"/>
      <c r="AN50" s="443"/>
      <c r="AO50" s="443"/>
      <c r="AP50" s="443"/>
      <c r="AQ50" s="443"/>
      <c r="AR50" s="443"/>
      <c r="AS50" s="443"/>
      <c r="AT50" s="443"/>
    </row>
    <row r="51" spans="1:46" ht="15" x14ac:dyDescent="0.25">
      <c r="A51" s="294"/>
      <c r="B51" s="1013" t="s">
        <v>152</v>
      </c>
      <c r="C51" s="1013"/>
      <c r="D51" s="1013"/>
      <c r="E51" s="1013"/>
      <c r="F51" s="1013"/>
      <c r="G51" s="1013"/>
      <c r="H51" s="1013"/>
      <c r="I51" s="1013"/>
      <c r="J51" s="1013"/>
      <c r="K51" s="1013"/>
      <c r="L51" s="1013"/>
      <c r="M51" s="1013"/>
      <c r="N51" s="285"/>
      <c r="O51" s="282"/>
      <c r="P51" s="282"/>
      <c r="Q51" s="442"/>
      <c r="R51" s="443"/>
      <c r="S51" s="443"/>
      <c r="T51" s="443"/>
      <c r="U51" s="443"/>
      <c r="V51" s="443"/>
      <c r="W51" s="443"/>
      <c r="X51" s="443"/>
      <c r="Y51" s="443"/>
      <c r="Z51" s="443"/>
      <c r="AA51" s="443"/>
      <c r="AB51" s="443"/>
      <c r="AC51" s="443"/>
      <c r="AD51" s="443"/>
      <c r="AE51" s="443"/>
      <c r="AF51" s="443"/>
      <c r="AG51" s="443"/>
      <c r="AH51" s="443"/>
      <c r="AI51" s="443"/>
      <c r="AJ51" s="443"/>
      <c r="AK51" s="443"/>
      <c r="AL51" s="443"/>
      <c r="AM51" s="443"/>
      <c r="AN51" s="443"/>
      <c r="AO51" s="443"/>
      <c r="AP51" s="443"/>
      <c r="AQ51" s="443"/>
      <c r="AR51" s="443"/>
      <c r="AS51" s="443"/>
      <c r="AT51" s="443"/>
    </row>
    <row r="52" spans="1:46" ht="15" x14ac:dyDescent="0.25">
      <c r="A52" s="285"/>
      <c r="B52" s="287" t="str">
        <f>IF(E17="-","-",'DB ESA'!M244)</f>
        <v>-</v>
      </c>
      <c r="C52" s="287"/>
      <c r="D52" s="287"/>
      <c r="E52" s="432"/>
      <c r="F52" s="287"/>
      <c r="G52" s="287"/>
      <c r="H52" s="287"/>
      <c r="I52" s="287"/>
      <c r="J52" s="287"/>
      <c r="K52" s="287"/>
      <c r="L52" s="287"/>
      <c r="M52" s="287"/>
      <c r="N52" s="287"/>
      <c r="O52" s="449"/>
      <c r="P52" s="282"/>
      <c r="Q52" s="442"/>
      <c r="R52" s="443"/>
      <c r="S52" s="443"/>
      <c r="T52" s="443"/>
      <c r="U52" s="443"/>
      <c r="V52" s="443"/>
      <c r="W52" s="443"/>
      <c r="X52" s="443"/>
      <c r="Y52" s="443"/>
      <c r="Z52" s="443"/>
      <c r="AA52" s="443"/>
      <c r="AB52" s="443"/>
      <c r="AC52" s="443"/>
      <c r="AD52" s="443"/>
      <c r="AE52" s="443"/>
      <c r="AF52" s="443"/>
      <c r="AG52" s="443"/>
      <c r="AH52" s="443"/>
      <c r="AI52" s="443"/>
      <c r="AJ52" s="443"/>
      <c r="AK52" s="443"/>
      <c r="AL52" s="443"/>
      <c r="AM52" s="443"/>
      <c r="AN52" s="443"/>
      <c r="AO52" s="443"/>
      <c r="AP52" s="443"/>
      <c r="AQ52" s="443"/>
      <c r="AR52" s="443"/>
      <c r="AS52" s="443"/>
      <c r="AT52" s="443"/>
    </row>
    <row r="53" spans="1:46" ht="15" x14ac:dyDescent="0.25">
      <c r="A53" s="285"/>
      <c r="B53" s="287" t="str">
        <f>cetik!O2</f>
        <v>Hasil Kalibrasi Saturasi Oksigen tertelusur ke Satuan Internasional ( SI ) melalui CALTEK PTE LTD</v>
      </c>
      <c r="C53" s="287"/>
      <c r="D53" s="287"/>
      <c r="E53" s="432"/>
      <c r="F53" s="287"/>
      <c r="G53" s="287"/>
      <c r="H53" s="287"/>
      <c r="I53" s="287"/>
      <c r="J53" s="287"/>
      <c r="K53" s="287"/>
      <c r="L53" s="287"/>
      <c r="M53" s="287"/>
      <c r="N53" s="287"/>
      <c r="O53" s="449"/>
      <c r="P53" s="282"/>
      <c r="Q53" s="442"/>
      <c r="R53" s="443"/>
      <c r="S53" s="443"/>
      <c r="T53" s="443"/>
      <c r="U53" s="443"/>
      <c r="V53" s="443"/>
      <c r="W53" s="443"/>
      <c r="X53" s="443"/>
      <c r="Y53" s="443"/>
      <c r="Z53" s="443"/>
      <c r="AA53" s="443"/>
      <c r="AB53" s="443"/>
      <c r="AC53" s="443"/>
      <c r="AD53" s="443"/>
      <c r="AE53" s="443"/>
      <c r="AF53" s="443"/>
      <c r="AG53" s="443"/>
      <c r="AH53" s="443"/>
      <c r="AI53" s="443"/>
      <c r="AJ53" s="443"/>
      <c r="AK53" s="443"/>
      <c r="AL53" s="443"/>
      <c r="AM53" s="443"/>
      <c r="AN53" s="443"/>
      <c r="AO53" s="443"/>
      <c r="AP53" s="443"/>
      <c r="AQ53" s="443"/>
      <c r="AR53" s="443"/>
      <c r="AS53" s="443"/>
      <c r="AT53" s="443"/>
    </row>
    <row r="54" spans="1:46" ht="15" x14ac:dyDescent="0.25">
      <c r="A54" s="285"/>
      <c r="B54" s="287" t="str">
        <f>cetik!O3</f>
        <v>Hasil Kalibrasi Frekuensi Heart Rate (BPM) tertelusur ke Satuan Internasional ( SI ) melalui CALTEK PTE LTD</v>
      </c>
      <c r="C54" s="287"/>
      <c r="D54" s="287"/>
      <c r="E54" s="432"/>
      <c r="F54" s="287"/>
      <c r="G54" s="287"/>
      <c r="H54" s="287"/>
      <c r="I54" s="287"/>
      <c r="J54" s="287"/>
      <c r="K54" s="287"/>
      <c r="L54" s="287"/>
      <c r="M54" s="287"/>
      <c r="N54" s="287"/>
      <c r="O54" s="449"/>
      <c r="P54" s="282"/>
      <c r="Q54" s="467" t="s">
        <v>468</v>
      </c>
      <c r="R54" s="453">
        <f>IF(E17="-",0,1)</f>
        <v>0</v>
      </c>
      <c r="S54" s="443">
        <v>0</v>
      </c>
      <c r="T54" s="443" t="s">
        <v>153</v>
      </c>
      <c r="U54" s="443"/>
      <c r="V54" s="443"/>
      <c r="W54" s="443"/>
      <c r="X54" s="443"/>
      <c r="Y54" s="443"/>
      <c r="Z54" s="443"/>
      <c r="AA54" s="443"/>
      <c r="AB54" s="443"/>
      <c r="AC54" s="443"/>
      <c r="AD54" s="443"/>
      <c r="AE54" s="443"/>
      <c r="AF54" s="443"/>
      <c r="AG54" s="443"/>
      <c r="AH54" s="443"/>
      <c r="AI54" s="443"/>
      <c r="AJ54" s="443"/>
      <c r="AK54" s="443"/>
      <c r="AL54" s="443"/>
      <c r="AM54" s="443"/>
      <c r="AN54" s="443"/>
      <c r="AO54" s="443"/>
      <c r="AP54" s="443"/>
      <c r="AQ54" s="443"/>
      <c r="AR54" s="443"/>
      <c r="AS54" s="443"/>
      <c r="AT54" s="443"/>
    </row>
    <row r="55" spans="1:46" ht="15.75" customHeight="1" x14ac:dyDescent="0.25">
      <c r="A55" s="285"/>
      <c r="B55" s="379" t="str">
        <f>S57</f>
        <v>Catu daya menggunakan baterai</v>
      </c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285"/>
      <c r="O55" s="282"/>
      <c r="P55" s="282"/>
      <c r="Q55" s="467" t="s">
        <v>472</v>
      </c>
      <c r="R55" s="453">
        <f>IF(K28="-",0,1)</f>
        <v>0</v>
      </c>
      <c r="S55" s="443">
        <v>1</v>
      </c>
      <c r="T55" s="443" t="s">
        <v>473</v>
      </c>
      <c r="U55" s="443"/>
      <c r="V55" s="443"/>
      <c r="W55" s="443"/>
      <c r="X55" s="443"/>
      <c r="Y55" s="443"/>
      <c r="Z55" s="443"/>
      <c r="AA55" s="443"/>
      <c r="AB55" s="443"/>
      <c r="AC55" s="443"/>
      <c r="AD55" s="443"/>
      <c r="AE55" s="443"/>
      <c r="AF55" s="443"/>
      <c r="AG55" s="443"/>
      <c r="AH55" s="443"/>
      <c r="AI55" s="443"/>
      <c r="AJ55" s="443"/>
      <c r="AK55" s="443"/>
      <c r="AL55" s="443"/>
      <c r="AM55" s="443"/>
      <c r="AN55" s="443"/>
      <c r="AO55" s="443"/>
      <c r="AP55" s="443"/>
      <c r="AQ55" s="443"/>
      <c r="AR55" s="443"/>
      <c r="AS55" s="443"/>
      <c r="AT55" s="443"/>
    </row>
    <row r="56" spans="1:46" s="1" customFormat="1" ht="15.6" x14ac:dyDescent="0.3">
      <c r="A56" s="304"/>
      <c r="B56" s="1025"/>
      <c r="C56" s="102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2"/>
      <c r="P56" s="282"/>
      <c r="Q56" s="468" t="s">
        <v>474</v>
      </c>
      <c r="R56" s="468">
        <f>SUM(R54:R55)</f>
        <v>0</v>
      </c>
      <c r="S56" s="443">
        <v>2</v>
      </c>
      <c r="T56" s="469" t="s">
        <v>100</v>
      </c>
      <c r="U56" s="443"/>
      <c r="V56" s="443"/>
      <c r="W56" s="443"/>
      <c r="X56" s="443"/>
      <c r="Y56" s="443"/>
      <c r="Z56" s="443"/>
      <c r="AA56" s="443"/>
      <c r="AB56" s="443"/>
      <c r="AC56" s="443"/>
      <c r="AD56" s="443"/>
      <c r="AE56" s="443"/>
      <c r="AF56" s="443"/>
      <c r="AG56" s="443"/>
      <c r="AH56" s="443"/>
      <c r="AI56" s="443"/>
      <c r="AJ56" s="443"/>
      <c r="AK56" s="443"/>
      <c r="AL56" s="443"/>
      <c r="AM56" s="443"/>
      <c r="AN56" s="443"/>
      <c r="AO56" s="443"/>
      <c r="AP56" s="443"/>
      <c r="AQ56" s="443"/>
      <c r="AR56" s="443"/>
      <c r="AS56" s="443"/>
      <c r="AT56" s="443"/>
    </row>
    <row r="57" spans="1:46" ht="15.75" customHeight="1" x14ac:dyDescent="0.25">
      <c r="A57" s="293" t="s">
        <v>78</v>
      </c>
      <c r="B57" s="294" t="s">
        <v>154</v>
      </c>
      <c r="C57" s="285"/>
      <c r="D57" s="285"/>
      <c r="E57" s="292"/>
      <c r="F57" s="285"/>
      <c r="G57" s="285"/>
      <c r="H57" s="285"/>
      <c r="I57" s="285"/>
      <c r="J57" s="285"/>
      <c r="K57" s="285"/>
      <c r="L57" s="285"/>
      <c r="M57" s="285"/>
      <c r="N57" s="285"/>
      <c r="O57" s="282"/>
      <c r="P57" s="282"/>
      <c r="Q57" s="450"/>
      <c r="R57" s="450"/>
      <c r="S57" s="443" t="str">
        <f>VLOOKUP(R56,S54:T56,2,0)</f>
        <v>Catu daya menggunakan baterai</v>
      </c>
      <c r="T57" s="443"/>
      <c r="U57" s="443"/>
      <c r="V57" s="443"/>
      <c r="W57" s="443"/>
      <c r="X57" s="443"/>
      <c r="Y57" s="443"/>
      <c r="Z57" s="443"/>
      <c r="AA57" s="443"/>
      <c r="AB57" s="443"/>
      <c r="AC57" s="443"/>
      <c r="AD57" s="443"/>
      <c r="AE57" s="443"/>
      <c r="AF57" s="443"/>
      <c r="AG57" s="443"/>
      <c r="AH57" s="443"/>
      <c r="AI57" s="443"/>
      <c r="AJ57" s="443"/>
      <c r="AK57" s="443"/>
      <c r="AL57" s="443"/>
      <c r="AM57" s="443"/>
      <c r="AN57" s="443"/>
      <c r="AO57" s="443"/>
      <c r="AP57" s="443"/>
      <c r="AQ57" s="443"/>
      <c r="AR57" s="443"/>
      <c r="AS57" s="443"/>
      <c r="AT57" s="443"/>
    </row>
    <row r="58" spans="1:46" ht="15" x14ac:dyDescent="0.25">
      <c r="A58" s="294"/>
      <c r="B58" s="1013" t="s">
        <v>506</v>
      </c>
      <c r="C58" s="1013"/>
      <c r="D58" s="1013"/>
      <c r="E58" s="1013"/>
      <c r="F58" s="1013"/>
      <c r="G58" s="1013"/>
      <c r="H58" s="1013"/>
      <c r="I58" s="1013"/>
      <c r="J58" s="1013"/>
      <c r="K58" s="1013"/>
      <c r="L58" s="1013"/>
      <c r="M58" s="1013"/>
      <c r="N58" s="287"/>
      <c r="O58" s="282"/>
      <c r="P58" s="282"/>
      <c r="Q58" s="442"/>
      <c r="R58" s="443"/>
      <c r="S58" s="443"/>
      <c r="T58" s="443"/>
      <c r="U58" s="443"/>
      <c r="V58" s="443"/>
      <c r="W58" s="443"/>
      <c r="X58" s="443"/>
      <c r="Y58" s="443"/>
      <c r="Z58" s="443"/>
      <c r="AA58" s="443"/>
      <c r="AB58" s="443"/>
      <c r="AC58" s="443"/>
      <c r="AD58" s="443"/>
      <c r="AE58" s="443"/>
      <c r="AF58" s="443"/>
      <c r="AG58" s="443"/>
      <c r="AH58" s="443"/>
      <c r="AI58" s="443"/>
      <c r="AJ58" s="443"/>
      <c r="AK58" s="443"/>
      <c r="AL58" s="443"/>
      <c r="AM58" s="443"/>
      <c r="AN58" s="443"/>
      <c r="AO58" s="443"/>
      <c r="AP58" s="443"/>
      <c r="AQ58" s="443"/>
      <c r="AR58" s="443"/>
      <c r="AS58" s="443"/>
      <c r="AT58" s="443"/>
    </row>
    <row r="59" spans="1:46" ht="14.25" customHeight="1" x14ac:dyDescent="0.25">
      <c r="A59" s="285"/>
      <c r="B59" s="1013" t="s">
        <v>340</v>
      </c>
      <c r="C59" s="1013"/>
      <c r="D59" s="1013"/>
      <c r="E59" s="1013"/>
      <c r="F59" s="1013"/>
      <c r="G59" s="1013"/>
      <c r="H59" s="1013"/>
      <c r="I59" s="1013"/>
      <c r="J59" s="1013"/>
      <c r="K59" s="1013"/>
      <c r="L59" s="1013"/>
      <c r="M59" s="1013"/>
      <c r="N59" s="287"/>
      <c r="O59" s="282"/>
      <c r="P59" s="282"/>
      <c r="Q59" s="442"/>
      <c r="R59" s="443"/>
      <c r="S59" s="443"/>
      <c r="T59" s="443"/>
      <c r="U59" s="443"/>
      <c r="V59" s="443"/>
      <c r="W59" s="443"/>
      <c r="X59" s="443"/>
      <c r="Y59" s="443"/>
      <c r="Z59" s="443"/>
      <c r="AA59" s="443"/>
      <c r="AB59" s="443"/>
      <c r="AC59" s="443"/>
      <c r="AD59" s="443"/>
      <c r="AE59" s="443"/>
      <c r="AF59" s="443"/>
      <c r="AG59" s="443"/>
      <c r="AH59" s="443"/>
      <c r="AI59" s="443"/>
      <c r="AJ59" s="443"/>
      <c r="AK59" s="443"/>
      <c r="AL59" s="443"/>
      <c r="AM59" s="443"/>
      <c r="AN59" s="443"/>
      <c r="AO59" s="443"/>
      <c r="AP59" s="443"/>
      <c r="AQ59" s="443"/>
      <c r="AR59" s="443"/>
      <c r="AS59" s="443"/>
      <c r="AT59" s="443"/>
    </row>
    <row r="60" spans="1:46" ht="15" x14ac:dyDescent="0.25">
      <c r="A60" s="294"/>
      <c r="B60" s="1013" t="s">
        <v>384</v>
      </c>
      <c r="C60" s="1013"/>
      <c r="D60" s="1013"/>
      <c r="E60" s="1013"/>
      <c r="F60" s="1013"/>
      <c r="G60" s="1013"/>
      <c r="H60" s="1013"/>
      <c r="I60" s="1013"/>
      <c r="J60" s="1013"/>
      <c r="K60" s="285"/>
      <c r="L60" s="285"/>
      <c r="M60" s="285"/>
      <c r="N60" s="285"/>
      <c r="O60" s="282"/>
      <c r="P60" s="282"/>
      <c r="Q60" s="442"/>
      <c r="R60" s="443"/>
      <c r="S60" s="443"/>
      <c r="T60" s="443"/>
      <c r="U60" s="443"/>
      <c r="V60" s="443"/>
      <c r="W60" s="443"/>
      <c r="X60" s="443"/>
      <c r="Y60" s="443"/>
      <c r="Z60" s="443"/>
      <c r="AA60" s="443"/>
      <c r="AB60" s="443"/>
      <c r="AC60" s="443"/>
      <c r="AD60" s="443"/>
      <c r="AE60" s="443"/>
      <c r="AF60" s="443"/>
      <c r="AG60" s="443"/>
      <c r="AH60" s="443"/>
      <c r="AI60" s="443"/>
      <c r="AJ60" s="443"/>
      <c r="AK60" s="443"/>
      <c r="AL60" s="443"/>
      <c r="AM60" s="443"/>
      <c r="AN60" s="443"/>
      <c r="AO60" s="443"/>
      <c r="AP60" s="443"/>
      <c r="AQ60" s="443"/>
      <c r="AR60" s="443"/>
      <c r="AS60" s="443"/>
      <c r="AT60" s="443"/>
    </row>
    <row r="61" spans="1:46" ht="8.25" customHeight="1" x14ac:dyDescent="0.25">
      <c r="A61" s="284"/>
      <c r="B61" s="284"/>
      <c r="C61" s="285"/>
      <c r="D61" s="429"/>
      <c r="E61" s="292"/>
      <c r="F61" s="429"/>
      <c r="G61" s="429"/>
      <c r="H61" s="328"/>
      <c r="I61" s="328"/>
      <c r="J61" s="328"/>
      <c r="K61" s="285"/>
      <c r="L61" s="285"/>
      <c r="M61" s="285"/>
      <c r="N61" s="285"/>
      <c r="O61" s="282"/>
      <c r="P61" s="282"/>
      <c r="Q61" s="442"/>
      <c r="R61" s="443"/>
      <c r="S61" s="443"/>
      <c r="T61" s="443"/>
      <c r="U61" s="443"/>
      <c r="V61" s="443"/>
      <c r="W61" s="443"/>
      <c r="X61" s="443"/>
      <c r="Y61" s="443"/>
      <c r="Z61" s="443"/>
      <c r="AA61" s="443"/>
      <c r="AB61" s="443"/>
      <c r="AC61" s="443"/>
      <c r="AD61" s="443"/>
      <c r="AE61" s="443"/>
      <c r="AF61" s="443"/>
      <c r="AG61" s="443"/>
      <c r="AH61" s="443"/>
      <c r="AI61" s="443"/>
      <c r="AJ61" s="443"/>
      <c r="AK61" s="443"/>
      <c r="AL61" s="443"/>
      <c r="AM61" s="443"/>
      <c r="AN61" s="443"/>
      <c r="AO61" s="443"/>
      <c r="AP61" s="443"/>
      <c r="AQ61" s="443"/>
      <c r="AR61" s="443"/>
      <c r="AS61" s="443"/>
      <c r="AT61" s="443"/>
    </row>
    <row r="62" spans="1:46" ht="15" x14ac:dyDescent="0.25">
      <c r="A62" s="293" t="s">
        <v>157</v>
      </c>
      <c r="B62" s="294" t="s">
        <v>91</v>
      </c>
      <c r="C62" s="285"/>
      <c r="D62" s="429"/>
      <c r="E62" s="292"/>
      <c r="F62" s="429"/>
      <c r="G62" s="429"/>
      <c r="H62" s="328"/>
      <c r="I62" s="328"/>
      <c r="J62" s="328"/>
      <c r="K62" s="285"/>
      <c r="L62" s="285"/>
      <c r="M62" s="285"/>
      <c r="N62" s="285"/>
      <c r="O62" s="282"/>
      <c r="P62" s="282"/>
      <c r="Q62" s="442"/>
      <c r="R62" s="443"/>
      <c r="S62" s="443"/>
      <c r="T62" s="443"/>
      <c r="U62" s="443"/>
      <c r="V62" s="443"/>
      <c r="W62" s="443"/>
      <c r="X62" s="443"/>
      <c r="Y62" s="443"/>
      <c r="Z62" s="443"/>
      <c r="AA62" s="443"/>
      <c r="AB62" s="443"/>
      <c r="AC62" s="443"/>
      <c r="AD62" s="443"/>
      <c r="AE62" s="443"/>
      <c r="AF62" s="443"/>
      <c r="AG62" s="443"/>
      <c r="AH62" s="443"/>
      <c r="AI62" s="443"/>
      <c r="AJ62" s="443"/>
      <c r="AK62" s="443"/>
      <c r="AL62" s="443"/>
      <c r="AM62" s="443"/>
      <c r="AN62" s="443"/>
      <c r="AO62" s="443"/>
      <c r="AP62" s="443"/>
      <c r="AQ62" s="443"/>
      <c r="AR62" s="443"/>
      <c r="AS62" s="443"/>
      <c r="AT62" s="443"/>
    </row>
    <row r="63" spans="1:46" ht="16.5" customHeight="1" x14ac:dyDescent="0.25">
      <c r="A63" s="285"/>
      <c r="B63" s="1014" t="str">
        <f>IF(Penyelia!I69&gt;=70,kesimpulan!E12,IF(Penyelia!I69&lt;70,kesimpulan!E13))</f>
        <v>Alat yang dikalibrasi dalam batas toleransi dan dinyatakan LAIK PAKAI, dimana hasil atau skor akhir sama dengan atau melampaui 70 % berdasarkan Keputusan Direktur Jenderal Pelayanan Kesehatan No : HK.02.02/V/0412/2020</v>
      </c>
      <c r="C63" s="1014"/>
      <c r="D63" s="1014"/>
      <c r="E63" s="1014"/>
      <c r="F63" s="1014"/>
      <c r="G63" s="1014"/>
      <c r="H63" s="1014"/>
      <c r="I63" s="1014"/>
      <c r="J63" s="1014"/>
      <c r="K63" s="1014"/>
      <c r="L63" s="1014"/>
      <c r="M63" s="1014"/>
      <c r="N63" s="1014"/>
      <c r="O63" s="282"/>
      <c r="P63" s="282"/>
      <c r="Q63" s="442"/>
      <c r="R63" s="443"/>
      <c r="S63" s="443"/>
      <c r="T63" s="443"/>
      <c r="U63" s="443"/>
      <c r="V63" s="443"/>
      <c r="W63" s="443"/>
      <c r="X63" s="443"/>
      <c r="Y63" s="443"/>
      <c r="Z63" s="443"/>
      <c r="AA63" s="443"/>
      <c r="AB63" s="443"/>
      <c r="AC63" s="443"/>
      <c r="AD63" s="443"/>
      <c r="AE63" s="443"/>
      <c r="AF63" s="443"/>
      <c r="AG63" s="443"/>
      <c r="AH63" s="443"/>
      <c r="AI63" s="443"/>
      <c r="AJ63" s="443"/>
      <c r="AK63" s="443"/>
      <c r="AL63" s="443"/>
      <c r="AM63" s="443"/>
      <c r="AN63" s="443"/>
      <c r="AO63" s="443"/>
      <c r="AP63" s="443"/>
      <c r="AQ63" s="443"/>
      <c r="AR63" s="443"/>
      <c r="AS63" s="443"/>
      <c r="AT63" s="443"/>
    </row>
    <row r="64" spans="1:46" ht="21.75" customHeight="1" x14ac:dyDescent="0.25">
      <c r="A64" s="285"/>
      <c r="B64" s="1014"/>
      <c r="C64" s="1014"/>
      <c r="D64" s="1014"/>
      <c r="E64" s="1014"/>
      <c r="F64" s="1014"/>
      <c r="G64" s="1014"/>
      <c r="H64" s="1014"/>
      <c r="I64" s="1014"/>
      <c r="J64" s="1014"/>
      <c r="K64" s="1014"/>
      <c r="L64" s="1014"/>
      <c r="M64" s="1014"/>
      <c r="N64" s="1014"/>
      <c r="O64" s="282"/>
      <c r="P64" s="282"/>
      <c r="Q64" s="238" t="s">
        <v>158</v>
      </c>
      <c r="R64" s="443"/>
      <c r="S64" s="443"/>
      <c r="T64" s="443"/>
      <c r="U64" s="443"/>
      <c r="V64" s="443"/>
      <c r="W64" s="443"/>
      <c r="X64" s="443"/>
      <c r="Y64" s="443"/>
      <c r="Z64" s="443"/>
      <c r="AA64" s="443"/>
      <c r="AB64" s="443"/>
      <c r="AC64" s="443"/>
      <c r="AD64" s="443"/>
      <c r="AE64" s="443"/>
      <c r="AF64" s="443"/>
      <c r="AG64" s="443"/>
      <c r="AH64" s="443"/>
      <c r="AI64" s="443"/>
      <c r="AJ64" s="443"/>
      <c r="AK64" s="443"/>
      <c r="AL64" s="443"/>
      <c r="AM64" s="443"/>
      <c r="AN64" s="443"/>
      <c r="AO64" s="443"/>
      <c r="AP64" s="443"/>
      <c r="AQ64" s="443"/>
      <c r="AR64" s="443"/>
      <c r="AS64" s="443"/>
      <c r="AT64" s="443"/>
    </row>
    <row r="65" spans="1:46" ht="0.75" customHeight="1" x14ac:dyDescent="0.25">
      <c r="A65" s="285"/>
      <c r="B65" s="285"/>
      <c r="C65" s="429"/>
      <c r="D65" s="429"/>
      <c r="E65" s="292"/>
      <c r="F65" s="429"/>
      <c r="G65" s="429"/>
      <c r="H65" s="329"/>
      <c r="I65" s="329"/>
      <c r="J65" s="329"/>
      <c r="K65" s="285"/>
      <c r="L65" s="285"/>
      <c r="M65" s="285"/>
      <c r="N65" s="285"/>
      <c r="O65" s="282"/>
      <c r="P65" s="282"/>
      <c r="Q65" s="239" t="s">
        <v>100</v>
      </c>
      <c r="R65" s="443"/>
      <c r="S65" s="443"/>
      <c r="T65" s="443"/>
      <c r="U65" s="443"/>
      <c r="V65" s="443"/>
      <c r="W65" s="443"/>
      <c r="X65" s="443"/>
      <c r="Y65" s="443"/>
      <c r="Z65" s="443"/>
      <c r="AA65" s="443"/>
      <c r="AB65" s="443"/>
      <c r="AC65" s="443"/>
      <c r="AD65" s="443"/>
      <c r="AE65" s="443"/>
      <c r="AF65" s="443"/>
      <c r="AG65" s="443"/>
      <c r="AH65" s="443"/>
      <c r="AI65" s="443"/>
      <c r="AJ65" s="443"/>
      <c r="AK65" s="443"/>
      <c r="AL65" s="443"/>
      <c r="AM65" s="443"/>
      <c r="AN65" s="443"/>
      <c r="AO65" s="443"/>
      <c r="AP65" s="443"/>
      <c r="AQ65" s="443"/>
      <c r="AR65" s="443"/>
      <c r="AS65" s="443"/>
      <c r="AT65" s="443"/>
    </row>
    <row r="66" spans="1:46" ht="15" x14ac:dyDescent="0.25">
      <c r="A66" s="293" t="s">
        <v>93</v>
      </c>
      <c r="B66" s="294" t="s">
        <v>94</v>
      </c>
      <c r="C66" s="429"/>
      <c r="D66" s="429"/>
      <c r="E66" s="292"/>
      <c r="F66" s="429"/>
      <c r="G66" s="429"/>
      <c r="H66" s="329"/>
      <c r="I66" s="329"/>
      <c r="J66" s="329"/>
      <c r="K66" s="285"/>
      <c r="L66" s="285"/>
      <c r="M66" s="285"/>
      <c r="N66" s="285"/>
      <c r="O66" s="282"/>
      <c r="P66" s="282"/>
      <c r="Q66" s="282"/>
      <c r="R66" s="443"/>
      <c r="S66" s="443"/>
      <c r="T66" s="443"/>
      <c r="U66" s="443"/>
      <c r="V66" s="443"/>
      <c r="W66" s="443"/>
      <c r="X66" s="443"/>
      <c r="Y66" s="443"/>
      <c r="Z66" s="443"/>
      <c r="AA66" s="443"/>
      <c r="AB66" s="443"/>
      <c r="AC66" s="443"/>
      <c r="AD66" s="443"/>
      <c r="AE66" s="443"/>
      <c r="AF66" s="443"/>
      <c r="AG66" s="443"/>
      <c r="AH66" s="443"/>
      <c r="AI66" s="443"/>
      <c r="AJ66" s="443"/>
      <c r="AK66" s="443"/>
      <c r="AL66" s="443"/>
      <c r="AM66" s="443"/>
      <c r="AN66" s="443"/>
      <c r="AO66" s="443"/>
      <c r="AP66" s="443"/>
      <c r="AQ66" s="443"/>
      <c r="AR66" s="443"/>
      <c r="AS66" s="443"/>
      <c r="AT66" s="443"/>
    </row>
    <row r="67" spans="1:46" ht="15" x14ac:dyDescent="0.25">
      <c r="A67" s="285"/>
      <c r="B67" s="1013" t="s">
        <v>159</v>
      </c>
      <c r="C67" s="1013"/>
      <c r="D67" s="1013"/>
      <c r="E67" s="1013"/>
      <c r="F67" s="429"/>
      <c r="G67" s="429"/>
      <c r="H67" s="329"/>
      <c r="I67" s="329"/>
      <c r="J67" s="329"/>
      <c r="K67" s="285"/>
      <c r="L67" s="285"/>
      <c r="M67" s="285"/>
      <c r="N67" s="285"/>
      <c r="O67" s="282"/>
      <c r="P67" s="282"/>
      <c r="Q67" s="282"/>
      <c r="R67" s="443"/>
      <c r="S67" s="443"/>
      <c r="T67" s="443"/>
      <c r="U67" s="443"/>
      <c r="V67" s="443"/>
      <c r="W67" s="443"/>
      <c r="X67" s="443"/>
      <c r="Y67" s="443"/>
      <c r="Z67" s="443"/>
      <c r="AA67" s="443"/>
      <c r="AB67" s="443"/>
      <c r="AC67" s="443"/>
      <c r="AD67" s="443"/>
      <c r="AE67" s="443"/>
      <c r="AF67" s="443"/>
      <c r="AG67" s="443"/>
      <c r="AH67" s="443"/>
      <c r="AI67" s="443"/>
      <c r="AJ67" s="443"/>
      <c r="AK67" s="443"/>
      <c r="AL67" s="443"/>
      <c r="AM67" s="443"/>
      <c r="AN67" s="443"/>
      <c r="AO67" s="443"/>
      <c r="AP67" s="443"/>
      <c r="AQ67" s="443"/>
      <c r="AR67" s="443"/>
      <c r="AS67" s="443"/>
      <c r="AT67" s="443"/>
    </row>
    <row r="68" spans="1:46" ht="17.25" customHeight="1" x14ac:dyDescent="0.25">
      <c r="A68" s="293" t="s">
        <v>160</v>
      </c>
      <c r="B68" s="330" t="s">
        <v>161</v>
      </c>
      <c r="C68" s="432"/>
      <c r="D68" s="432"/>
      <c r="E68" s="432"/>
      <c r="F68" s="429"/>
      <c r="G68" s="429"/>
      <c r="H68" s="329"/>
      <c r="I68" s="329"/>
      <c r="J68" s="329"/>
      <c r="K68" s="285"/>
      <c r="L68" s="285"/>
      <c r="M68" s="285"/>
      <c r="N68" s="285"/>
      <c r="O68" s="282"/>
      <c r="P68" s="240"/>
      <c r="Q68" s="240"/>
      <c r="R68" s="240"/>
      <c r="S68" s="241" t="s">
        <v>162</v>
      </c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3"/>
      <c r="AF68" s="443"/>
      <c r="AG68" s="443"/>
      <c r="AH68" s="443"/>
      <c r="AI68" s="443"/>
      <c r="AJ68" s="443"/>
      <c r="AK68" s="443"/>
      <c r="AL68" s="443"/>
      <c r="AM68" s="443"/>
      <c r="AN68" s="443"/>
      <c r="AO68" s="443"/>
      <c r="AP68" s="443"/>
      <c r="AQ68" s="443"/>
      <c r="AR68" s="443"/>
      <c r="AS68" s="443"/>
      <c r="AT68" s="443"/>
    </row>
    <row r="69" spans="1:46" ht="17.25" customHeight="1" x14ac:dyDescent="0.25">
      <c r="A69" s="293"/>
      <c r="B69" s="1009">
        <v>44631</v>
      </c>
      <c r="C69" s="1009"/>
      <c r="D69" s="432"/>
      <c r="E69" s="432"/>
      <c r="F69" s="429"/>
      <c r="G69" s="429"/>
      <c r="H69" s="329"/>
      <c r="I69" s="329"/>
      <c r="J69" s="329"/>
      <c r="K69" s="285"/>
      <c r="L69" s="285"/>
      <c r="M69" s="285"/>
      <c r="N69" s="285"/>
      <c r="O69" s="282"/>
      <c r="P69" s="240"/>
      <c r="Q69" s="238" t="s">
        <v>153</v>
      </c>
      <c r="R69" s="238">
        <f>IF(P73="-",40,IF(P73&lt;=P74,P77,IF(P73&gt;P74,0)))</f>
        <v>40</v>
      </c>
      <c r="S69" s="1015">
        <f>VLOOKUP(B55,Q69:R71,2,FALSE)</f>
        <v>40</v>
      </c>
      <c r="T69" s="443"/>
      <c r="U69" s="443"/>
      <c r="V69" s="443"/>
      <c r="W69" s="443"/>
      <c r="X69" s="443"/>
      <c r="Y69" s="443"/>
      <c r="Z69" s="443"/>
      <c r="AA69" s="443"/>
      <c r="AB69" s="443"/>
      <c r="AC69" s="443"/>
      <c r="AD69" s="443"/>
      <c r="AE69" s="443"/>
      <c r="AF69" s="443"/>
      <c r="AG69" s="443"/>
      <c r="AH69" s="443"/>
      <c r="AI69" s="443"/>
      <c r="AJ69" s="443"/>
      <c r="AK69" s="443"/>
      <c r="AL69" s="443"/>
      <c r="AM69" s="443"/>
      <c r="AN69" s="443"/>
      <c r="AO69" s="443"/>
      <c r="AP69" s="443"/>
      <c r="AQ69" s="443"/>
      <c r="AR69" s="443"/>
      <c r="AS69" s="443"/>
      <c r="AT69" s="443"/>
    </row>
    <row r="70" spans="1:46" ht="14.25" customHeight="1" x14ac:dyDescent="0.25">
      <c r="A70" s="443"/>
      <c r="B70" s="443"/>
      <c r="C70" s="470"/>
      <c r="D70" s="471"/>
      <c r="E70" s="471"/>
      <c r="F70" s="453"/>
      <c r="G70" s="453"/>
      <c r="H70" s="452"/>
      <c r="I70" s="452"/>
      <c r="J70" s="452"/>
      <c r="K70" s="450"/>
      <c r="L70" s="450"/>
      <c r="M70" s="450"/>
      <c r="N70" s="450"/>
      <c r="O70" s="450"/>
      <c r="P70" s="240"/>
      <c r="Q70" s="238" t="s">
        <v>473</v>
      </c>
      <c r="R70" s="242">
        <f>IF(P73="-",20,IF(P73&lt;=P74,P77,IF(P73&gt;P74,0)))</f>
        <v>20</v>
      </c>
      <c r="S70" s="1016"/>
      <c r="T70" s="443"/>
      <c r="U70" s="443"/>
      <c r="V70" s="443"/>
      <c r="W70" s="443"/>
      <c r="X70" s="443"/>
      <c r="Y70" s="443"/>
      <c r="Z70" s="443"/>
      <c r="AA70" s="443"/>
      <c r="AB70" s="443"/>
      <c r="AC70" s="443"/>
      <c r="AD70" s="443"/>
      <c r="AE70" s="443"/>
      <c r="AF70" s="443"/>
      <c r="AG70" s="443"/>
      <c r="AH70" s="443"/>
      <c r="AI70" s="443"/>
      <c r="AJ70" s="443"/>
      <c r="AK70" s="443"/>
      <c r="AL70" s="443"/>
      <c r="AM70" s="443"/>
      <c r="AN70" s="443"/>
      <c r="AO70" s="443"/>
      <c r="AP70" s="443"/>
      <c r="AQ70" s="443"/>
      <c r="AR70" s="443"/>
      <c r="AS70" s="443"/>
      <c r="AT70" s="443"/>
    </row>
    <row r="71" spans="1:46" ht="15" x14ac:dyDescent="0.25">
      <c r="A71" s="450"/>
      <c r="B71" s="450"/>
      <c r="C71" s="450"/>
      <c r="D71" s="450"/>
      <c r="E71" s="451"/>
      <c r="F71" s="450"/>
      <c r="G71" s="450"/>
      <c r="H71" s="452"/>
      <c r="I71" s="452"/>
      <c r="J71" s="452"/>
      <c r="K71" s="450"/>
      <c r="L71" s="450"/>
      <c r="M71" s="450"/>
      <c r="N71" s="450"/>
      <c r="O71" s="450"/>
      <c r="P71" s="240"/>
      <c r="Q71" s="239" t="s">
        <v>100</v>
      </c>
      <c r="R71" s="242">
        <f>P78</f>
        <v>0</v>
      </c>
      <c r="S71" s="1017"/>
      <c r="T71" s="443"/>
      <c r="U71" s="443"/>
      <c r="V71" s="443"/>
      <c r="W71" s="443"/>
      <c r="X71" s="443"/>
      <c r="Y71" s="443"/>
      <c r="Z71" s="443"/>
      <c r="AA71" s="443"/>
      <c r="AB71" s="443"/>
      <c r="AC71" s="443"/>
      <c r="AD71" s="443"/>
      <c r="AE71" s="443"/>
      <c r="AF71" s="443"/>
      <c r="AG71" s="443"/>
      <c r="AH71" s="443"/>
      <c r="AI71" s="443"/>
      <c r="AJ71" s="443"/>
      <c r="AK71" s="443"/>
      <c r="AL71" s="443"/>
      <c r="AM71" s="443"/>
      <c r="AN71" s="443"/>
      <c r="AO71" s="443"/>
      <c r="AP71" s="443"/>
      <c r="AQ71" s="443"/>
      <c r="AR71" s="443"/>
      <c r="AS71" s="443"/>
      <c r="AT71" s="443"/>
    </row>
    <row r="72" spans="1:46" ht="15" x14ac:dyDescent="0.25">
      <c r="A72" s="450"/>
      <c r="B72" s="450"/>
      <c r="C72" s="453"/>
      <c r="D72" s="450"/>
      <c r="E72" s="451"/>
      <c r="F72" s="453"/>
      <c r="G72" s="453"/>
      <c r="H72" s="452"/>
      <c r="I72" s="452"/>
      <c r="J72" s="452"/>
      <c r="K72" s="450"/>
      <c r="L72" s="450"/>
      <c r="M72" s="450"/>
      <c r="N72" s="450"/>
      <c r="O72" s="450"/>
      <c r="P72" s="240"/>
      <c r="Q72" s="240"/>
      <c r="R72" s="240"/>
      <c r="S72" s="240"/>
      <c r="T72" s="443"/>
      <c r="U72" s="443"/>
      <c r="V72" s="443"/>
      <c r="W72" s="443"/>
      <c r="X72" s="443"/>
      <c r="Y72" s="443"/>
      <c r="Z72" s="443"/>
      <c r="AA72" s="443"/>
      <c r="AB72" s="443"/>
      <c r="AC72" s="443"/>
      <c r="AD72" s="443"/>
      <c r="AE72" s="443"/>
      <c r="AF72" s="443"/>
      <c r="AG72" s="443"/>
      <c r="AH72" s="443"/>
      <c r="AI72" s="443"/>
      <c r="AJ72" s="443"/>
      <c r="AK72" s="443"/>
      <c r="AL72" s="443"/>
      <c r="AM72" s="443"/>
      <c r="AN72" s="443"/>
      <c r="AO72" s="443"/>
      <c r="AP72" s="443"/>
      <c r="AQ72" s="443"/>
      <c r="AR72" s="443"/>
      <c r="AS72" s="443"/>
      <c r="AT72" s="443"/>
    </row>
    <row r="73" spans="1:46" ht="15" x14ac:dyDescent="0.25">
      <c r="A73" s="450"/>
      <c r="B73" s="450"/>
      <c r="C73" s="450"/>
      <c r="D73" s="450"/>
      <c r="E73" s="451"/>
      <c r="F73" s="450"/>
      <c r="G73" s="450"/>
      <c r="H73" s="452"/>
      <c r="I73" s="452"/>
      <c r="J73" s="452"/>
      <c r="K73" s="450"/>
      <c r="L73" s="450"/>
      <c r="M73" s="450"/>
      <c r="N73" s="450"/>
      <c r="O73" s="450"/>
      <c r="P73" s="240" t="str">
        <f>K28</f>
        <v>-</v>
      </c>
      <c r="Q73" s="243">
        <f>IF(P73&gt;P74,P75,IF(P73&lt;=P74,P73))</f>
        <v>200</v>
      </c>
      <c r="R73" s="240"/>
      <c r="S73" s="240"/>
      <c r="T73" s="443"/>
      <c r="U73" s="443"/>
      <c r="V73" s="443"/>
      <c r="W73" s="443"/>
      <c r="X73" s="443"/>
      <c r="Y73" s="443"/>
      <c r="Z73" s="443"/>
      <c r="AA73" s="443"/>
      <c r="AB73" s="443"/>
      <c r="AC73" s="443"/>
      <c r="AD73" s="443"/>
      <c r="AE73" s="443"/>
      <c r="AF73" s="443"/>
      <c r="AG73" s="443"/>
      <c r="AH73" s="443"/>
      <c r="AI73" s="443"/>
      <c r="AJ73" s="443"/>
      <c r="AK73" s="443"/>
      <c r="AL73" s="443"/>
      <c r="AM73" s="443"/>
      <c r="AN73" s="443"/>
      <c r="AO73" s="443"/>
      <c r="AP73" s="443"/>
      <c r="AQ73" s="443"/>
      <c r="AR73" s="443"/>
      <c r="AS73" s="443"/>
      <c r="AT73" s="443"/>
    </row>
    <row r="74" spans="1:46" ht="15" x14ac:dyDescent="0.25">
      <c r="A74" s="450"/>
      <c r="B74" s="450"/>
      <c r="C74" s="450"/>
      <c r="D74" s="450"/>
      <c r="E74" s="451"/>
      <c r="F74" s="450"/>
      <c r="G74" s="450"/>
      <c r="H74" s="450"/>
      <c r="I74" s="450"/>
      <c r="J74" s="450"/>
      <c r="K74" s="450"/>
      <c r="L74" s="450"/>
      <c r="M74" s="450"/>
      <c r="N74" s="450"/>
      <c r="O74" s="450"/>
      <c r="P74" s="244">
        <f>P30</f>
        <v>100</v>
      </c>
      <c r="Q74" s="243">
        <f>Q73</f>
        <v>200</v>
      </c>
      <c r="R74" s="240"/>
      <c r="S74" s="240"/>
      <c r="T74" s="443"/>
      <c r="U74" s="443"/>
      <c r="V74" s="443"/>
      <c r="W74" s="443"/>
      <c r="X74" s="443"/>
      <c r="Y74" s="443"/>
      <c r="Z74" s="443"/>
      <c r="AA74" s="443"/>
      <c r="AB74" s="443"/>
      <c r="AC74" s="443"/>
      <c r="AD74" s="443"/>
      <c r="AE74" s="443"/>
      <c r="AF74" s="443"/>
      <c r="AG74" s="443"/>
      <c r="AH74" s="443"/>
      <c r="AI74" s="443"/>
      <c r="AJ74" s="443"/>
      <c r="AK74" s="443"/>
      <c r="AL74" s="443"/>
      <c r="AM74" s="443"/>
      <c r="AN74" s="443"/>
      <c r="AO74" s="443"/>
      <c r="AP74" s="443"/>
      <c r="AQ74" s="443"/>
      <c r="AR74" s="443"/>
      <c r="AS74" s="443"/>
      <c r="AT74" s="443"/>
    </row>
    <row r="75" spans="1:46" ht="15" x14ac:dyDescent="0.25">
      <c r="A75" s="450"/>
      <c r="B75" s="450"/>
      <c r="C75" s="450"/>
      <c r="D75" s="450"/>
      <c r="E75" s="451"/>
      <c r="F75" s="450"/>
      <c r="G75" s="450"/>
      <c r="H75" s="450"/>
      <c r="I75" s="450"/>
      <c r="J75" s="450"/>
      <c r="K75" s="450"/>
      <c r="L75" s="450"/>
      <c r="M75" s="450"/>
      <c r="N75" s="450"/>
      <c r="O75" s="450"/>
      <c r="P75" s="240">
        <f>IF(P30=100,200,Q32)</f>
        <v>200</v>
      </c>
      <c r="Q75" s="243">
        <f>IF(P73&lt;=P74,P77,IF(P75&lt;=100,P77,0))</f>
        <v>0</v>
      </c>
      <c r="R75" s="240"/>
      <c r="S75" s="240"/>
      <c r="T75" s="443"/>
      <c r="U75" s="443"/>
      <c r="V75" s="443"/>
      <c r="W75" s="443"/>
      <c r="X75" s="443"/>
      <c r="Y75" s="443"/>
      <c r="Z75" s="443"/>
      <c r="AA75" s="443"/>
      <c r="AB75" s="443"/>
      <c r="AC75" s="443"/>
      <c r="AD75" s="443"/>
      <c r="AE75" s="443"/>
      <c r="AF75" s="443"/>
      <c r="AG75" s="443"/>
      <c r="AH75" s="443"/>
      <c r="AI75" s="443"/>
      <c r="AJ75" s="443"/>
      <c r="AK75" s="443"/>
      <c r="AL75" s="443"/>
      <c r="AM75" s="443"/>
      <c r="AN75" s="443"/>
      <c r="AO75" s="443"/>
      <c r="AP75" s="443"/>
      <c r="AQ75" s="443"/>
      <c r="AR75" s="443"/>
      <c r="AS75" s="443"/>
      <c r="AT75" s="443"/>
    </row>
    <row r="76" spans="1:46" ht="15.6" thickBot="1" x14ac:dyDescent="0.3">
      <c r="A76" s="450"/>
      <c r="B76" s="450"/>
      <c r="C76" s="450"/>
      <c r="D76" s="450"/>
      <c r="E76" s="451"/>
      <c r="F76" s="450"/>
      <c r="G76" s="450"/>
      <c r="H76" s="450"/>
      <c r="I76" s="450"/>
      <c r="J76" s="450"/>
      <c r="K76" s="450"/>
      <c r="L76" s="450"/>
      <c r="M76" s="450"/>
      <c r="N76" s="450"/>
      <c r="O76" s="450"/>
      <c r="P76" s="240"/>
      <c r="Q76" s="240"/>
      <c r="R76" s="240"/>
      <c r="S76" s="240"/>
      <c r="T76" s="443"/>
      <c r="U76" s="443"/>
      <c r="V76" s="443"/>
      <c r="W76" s="443"/>
      <c r="X76" s="443"/>
      <c r="Y76" s="443"/>
      <c r="Z76" s="443"/>
      <c r="AA76" s="443"/>
      <c r="AB76" s="443"/>
      <c r="AC76" s="443"/>
      <c r="AD76" s="443"/>
      <c r="AE76" s="443"/>
      <c r="AF76" s="443"/>
      <c r="AG76" s="443"/>
      <c r="AH76" s="443"/>
      <c r="AI76" s="443"/>
      <c r="AJ76" s="443"/>
      <c r="AK76" s="443"/>
      <c r="AL76" s="443"/>
      <c r="AM76" s="443"/>
      <c r="AN76" s="443"/>
      <c r="AO76" s="443"/>
      <c r="AP76" s="443"/>
      <c r="AQ76" s="443"/>
      <c r="AR76" s="443"/>
      <c r="AS76" s="443"/>
      <c r="AT76" s="443"/>
    </row>
    <row r="77" spans="1:46" ht="15" x14ac:dyDescent="0.25">
      <c r="A77" s="450"/>
      <c r="B77" s="450"/>
      <c r="C77" s="450"/>
      <c r="D77" s="450"/>
      <c r="E77" s="451"/>
      <c r="F77" s="450"/>
      <c r="G77" s="450"/>
      <c r="H77" s="450"/>
      <c r="I77" s="450"/>
      <c r="J77" s="450"/>
      <c r="K77" s="450"/>
      <c r="L77" s="450"/>
      <c r="M77" s="450"/>
      <c r="N77" s="450"/>
      <c r="O77" s="450"/>
      <c r="P77" s="245">
        <f>SUM(Penyelia!L25:L27)</f>
        <v>0</v>
      </c>
      <c r="Q77" s="246"/>
      <c r="R77" s="257"/>
      <c r="S77" s="258">
        <v>0</v>
      </c>
      <c r="T77" s="259" t="s">
        <v>100</v>
      </c>
      <c r="U77" s="260"/>
      <c r="V77" s="261"/>
      <c r="W77" s="443"/>
      <c r="X77" s="443"/>
      <c r="Y77" s="443"/>
      <c r="Z77" s="443"/>
      <c r="AA77" s="443"/>
      <c r="AB77" s="443"/>
      <c r="AC77" s="443"/>
      <c r="AD77" s="443"/>
      <c r="AE77" s="443"/>
      <c r="AF77" s="443"/>
      <c r="AG77" s="443"/>
      <c r="AH77" s="443"/>
      <c r="AI77" s="443"/>
      <c r="AJ77" s="443"/>
      <c r="AK77" s="443"/>
      <c r="AL77" s="443"/>
      <c r="AM77" s="443"/>
      <c r="AN77" s="443"/>
      <c r="AO77" s="443"/>
      <c r="AP77" s="443"/>
      <c r="AQ77" s="443"/>
      <c r="AR77" s="443"/>
      <c r="AS77" s="443"/>
      <c r="AT77" s="443"/>
    </row>
    <row r="78" spans="1:46" ht="15.6" x14ac:dyDescent="0.25">
      <c r="A78" s="450"/>
      <c r="B78" s="450"/>
      <c r="C78" s="450"/>
      <c r="D78" s="450"/>
      <c r="E78" s="451"/>
      <c r="F78" s="450"/>
      <c r="G78" s="450"/>
      <c r="H78" s="450"/>
      <c r="I78" s="450"/>
      <c r="J78" s="450"/>
      <c r="K78" s="450"/>
      <c r="L78" s="450"/>
      <c r="M78" s="450"/>
      <c r="N78" s="450"/>
      <c r="O78" s="450"/>
      <c r="P78" s="247">
        <f>Q75</f>
        <v>0</v>
      </c>
      <c r="Q78" s="245"/>
      <c r="R78" s="262">
        <f>Q75</f>
        <v>0</v>
      </c>
      <c r="S78" s="263">
        <v>20</v>
      </c>
      <c r="T78" s="245" t="s">
        <v>164</v>
      </c>
      <c r="U78" s="245"/>
      <c r="V78" s="264"/>
      <c r="W78" s="443"/>
      <c r="X78" s="443"/>
      <c r="Y78" s="443"/>
      <c r="Z78" s="443"/>
      <c r="AA78" s="443"/>
      <c r="AB78" s="443"/>
      <c r="AC78" s="443"/>
      <c r="AD78" s="443"/>
      <c r="AE78" s="443"/>
      <c r="AF78" s="443"/>
      <c r="AG78" s="443"/>
      <c r="AH78" s="443"/>
      <c r="AI78" s="443"/>
      <c r="AJ78" s="443"/>
      <c r="AK78" s="443"/>
      <c r="AL78" s="443"/>
      <c r="AM78" s="443"/>
      <c r="AN78" s="443"/>
      <c r="AO78" s="443"/>
      <c r="AP78" s="443"/>
      <c r="AQ78" s="443"/>
      <c r="AR78" s="443"/>
      <c r="AS78" s="443"/>
      <c r="AT78" s="443"/>
    </row>
    <row r="79" spans="1:46" ht="15.6" thickBot="1" x14ac:dyDescent="0.3">
      <c r="A79" s="450"/>
      <c r="B79" s="450"/>
      <c r="C79" s="450"/>
      <c r="D79" s="450"/>
      <c r="E79" s="451"/>
      <c r="F79" s="450"/>
      <c r="G79" s="450"/>
      <c r="H79" s="450"/>
      <c r="I79" s="450"/>
      <c r="J79" s="450"/>
      <c r="K79" s="450"/>
      <c r="L79" s="450"/>
      <c r="M79" s="450"/>
      <c r="N79" s="450"/>
      <c r="O79" s="450"/>
      <c r="P79" s="450"/>
      <c r="Q79" s="443"/>
      <c r="R79" s="265"/>
      <c r="S79" s="266">
        <v>40</v>
      </c>
      <c r="T79" s="267" t="s">
        <v>100</v>
      </c>
      <c r="U79" s="268"/>
      <c r="V79" s="269"/>
      <c r="W79" s="443"/>
      <c r="X79" s="443"/>
      <c r="Y79" s="443"/>
      <c r="Z79" s="443"/>
      <c r="AA79" s="443"/>
      <c r="AB79" s="443"/>
      <c r="AC79" s="443"/>
      <c r="AD79" s="443"/>
      <c r="AE79" s="443"/>
      <c r="AF79" s="443"/>
      <c r="AG79" s="443"/>
      <c r="AH79" s="443"/>
      <c r="AI79" s="443"/>
      <c r="AJ79" s="443"/>
      <c r="AK79" s="443"/>
      <c r="AL79" s="443"/>
      <c r="AM79" s="443"/>
      <c r="AN79" s="443"/>
      <c r="AO79" s="443"/>
      <c r="AP79" s="443"/>
      <c r="AQ79" s="443"/>
      <c r="AR79" s="443"/>
      <c r="AS79" s="443"/>
      <c r="AT79" s="443"/>
    </row>
    <row r="80" spans="1:46" ht="12.75" customHeight="1" x14ac:dyDescent="0.25">
      <c r="A80" s="450"/>
      <c r="B80" s="1012" t="s">
        <v>33</v>
      </c>
      <c r="C80" s="1010" t="s">
        <v>34</v>
      </c>
      <c r="D80" s="1010" t="s">
        <v>51</v>
      </c>
      <c r="E80" s="1022" t="s">
        <v>165</v>
      </c>
      <c r="F80" s="1022"/>
      <c r="G80" s="1022"/>
      <c r="H80" s="1022"/>
      <c r="I80" s="1022"/>
      <c r="J80" s="1022"/>
      <c r="K80" s="1010" t="s">
        <v>471</v>
      </c>
      <c r="L80" s="472" t="s">
        <v>167</v>
      </c>
      <c r="M80" s="473" t="s">
        <v>168</v>
      </c>
      <c r="N80" s="474" t="s">
        <v>169</v>
      </c>
      <c r="O80" s="1023" t="s">
        <v>170</v>
      </c>
      <c r="P80" s="450"/>
      <c r="Q80" s="443"/>
      <c r="R80" s="1018" t="str">
        <f>VLOOKUP(R78,S77:V79,2,0)</f>
        <v>-</v>
      </c>
      <c r="S80" s="1018"/>
      <c r="T80" s="1018"/>
      <c r="U80" s="1018"/>
      <c r="V80" s="1018"/>
      <c r="W80" s="443"/>
      <c r="X80" s="443"/>
      <c r="Y80" s="443"/>
      <c r="Z80" s="443"/>
      <c r="AA80" s="443"/>
      <c r="AB80" s="443"/>
      <c r="AC80" s="443"/>
      <c r="AD80" s="443"/>
      <c r="AE80" s="443"/>
      <c r="AF80" s="443"/>
      <c r="AG80" s="443"/>
      <c r="AH80" s="443"/>
      <c r="AI80" s="443"/>
      <c r="AJ80" s="443"/>
      <c r="AK80" s="443"/>
      <c r="AL80" s="443"/>
      <c r="AM80" s="443"/>
      <c r="AN80" s="443"/>
      <c r="AO80" s="443"/>
      <c r="AP80" s="443"/>
      <c r="AQ80" s="443"/>
      <c r="AR80" s="443"/>
      <c r="AS80" s="443"/>
      <c r="AT80" s="443"/>
    </row>
    <row r="81" spans="1:46" ht="29.25" customHeight="1" x14ac:dyDescent="0.25">
      <c r="A81" s="450"/>
      <c r="B81" s="1012"/>
      <c r="C81" s="1011"/>
      <c r="D81" s="1011"/>
      <c r="E81" s="475" t="s">
        <v>54</v>
      </c>
      <c r="F81" s="475" t="s">
        <v>55</v>
      </c>
      <c r="G81" s="475" t="s">
        <v>56</v>
      </c>
      <c r="H81" s="475" t="s">
        <v>57</v>
      </c>
      <c r="I81" s="475" t="s">
        <v>58</v>
      </c>
      <c r="J81" s="278" t="s">
        <v>59</v>
      </c>
      <c r="K81" s="1011"/>
      <c r="L81" s="476"/>
      <c r="M81" s="477"/>
      <c r="N81" s="478"/>
      <c r="O81" s="1024"/>
      <c r="P81" s="450"/>
      <c r="Q81" s="443"/>
      <c r="R81" s="443"/>
      <c r="S81" s="443"/>
      <c r="T81" s="443"/>
      <c r="U81" s="443"/>
      <c r="V81" s="443"/>
      <c r="W81" s="443"/>
      <c r="X81" s="443"/>
      <c r="Y81" s="443"/>
      <c r="Z81" s="443"/>
      <c r="AA81" s="443"/>
      <c r="AB81" s="443"/>
      <c r="AC81" s="443"/>
      <c r="AD81" s="443"/>
      <c r="AE81" s="443"/>
      <c r="AF81" s="443"/>
      <c r="AG81" s="443"/>
      <c r="AH81" s="443"/>
      <c r="AI81" s="443"/>
      <c r="AJ81" s="443"/>
      <c r="AK81" s="443"/>
      <c r="AL81" s="443"/>
      <c r="AM81" s="443"/>
      <c r="AN81" s="443"/>
      <c r="AO81" s="443"/>
      <c r="AP81" s="443"/>
      <c r="AQ81" s="443"/>
      <c r="AR81" s="443"/>
      <c r="AS81" s="443"/>
      <c r="AT81" s="443"/>
    </row>
    <row r="82" spans="1:46" ht="13.5" customHeight="1" x14ac:dyDescent="0.25">
      <c r="A82" s="450"/>
      <c r="B82" s="479">
        <v>1</v>
      </c>
      <c r="C82" s="1010" t="s">
        <v>171</v>
      </c>
      <c r="D82" s="480">
        <v>30</v>
      </c>
      <c r="E82" s="481">
        <f>E45</f>
        <v>30</v>
      </c>
      <c r="F82" s="481">
        <f t="shared" ref="F82:J82" si="0">F45</f>
        <v>30</v>
      </c>
      <c r="G82" s="481">
        <f t="shared" si="0"/>
        <v>30</v>
      </c>
      <c r="H82" s="481">
        <f t="shared" si="0"/>
        <v>30</v>
      </c>
      <c r="I82" s="481">
        <f t="shared" si="0"/>
        <v>30</v>
      </c>
      <c r="J82" s="481">
        <f t="shared" si="0"/>
        <v>30</v>
      </c>
      <c r="K82" s="482">
        <f>AVERAGE(E82:J82)</f>
        <v>30</v>
      </c>
      <c r="L82" s="483">
        <f>D82-K82</f>
        <v>0</v>
      </c>
      <c r="M82" s="484">
        <f>STDEV(E82:J82)</f>
        <v>0</v>
      </c>
      <c r="N82" s="485">
        <f>(((ABS(L82))+O82)/(D82))*100</f>
        <v>1.9327589962510883</v>
      </c>
      <c r="O82" s="486">
        <f>'Ketidakpastian BPM'!$J$13</f>
        <v>0.57982769887532648</v>
      </c>
      <c r="P82" s="450"/>
      <c r="Q82" s="443"/>
      <c r="R82" s="443"/>
      <c r="S82" s="443"/>
      <c r="T82" s="443"/>
      <c r="U82" s="443"/>
      <c r="V82" s="443"/>
      <c r="W82" s="443"/>
      <c r="X82" s="443"/>
      <c r="Y82" s="443"/>
      <c r="Z82" s="443"/>
      <c r="AA82" s="443"/>
      <c r="AB82" s="443"/>
      <c r="AC82" s="443"/>
      <c r="AD82" s="443"/>
      <c r="AE82" s="443"/>
      <c r="AF82" s="443"/>
      <c r="AG82" s="443"/>
      <c r="AH82" s="443"/>
      <c r="AI82" s="443"/>
      <c r="AJ82" s="443"/>
      <c r="AK82" s="443"/>
      <c r="AL82" s="443"/>
      <c r="AM82" s="443"/>
      <c r="AN82" s="443"/>
      <c r="AO82" s="443"/>
      <c r="AP82" s="443"/>
      <c r="AQ82" s="443"/>
      <c r="AR82" s="443"/>
      <c r="AS82" s="443"/>
      <c r="AT82" s="443"/>
    </row>
    <row r="83" spans="1:46" ht="12.75" customHeight="1" x14ac:dyDescent="0.25">
      <c r="A83" s="450"/>
      <c r="B83" s="479">
        <v>2</v>
      </c>
      <c r="C83" s="1028"/>
      <c r="D83" s="487">
        <v>60</v>
      </c>
      <c r="E83" s="481">
        <f t="shared" ref="E83:J83" si="1">E46</f>
        <v>60</v>
      </c>
      <c r="F83" s="481">
        <f t="shared" si="1"/>
        <v>60</v>
      </c>
      <c r="G83" s="481">
        <f t="shared" si="1"/>
        <v>60</v>
      </c>
      <c r="H83" s="481">
        <f t="shared" si="1"/>
        <v>60</v>
      </c>
      <c r="I83" s="481">
        <f t="shared" si="1"/>
        <v>60</v>
      </c>
      <c r="J83" s="481">
        <f t="shared" si="1"/>
        <v>60</v>
      </c>
      <c r="K83" s="482">
        <f t="shared" ref="K83:K85" si="2">AVERAGE(E83:J83)</f>
        <v>60</v>
      </c>
      <c r="L83" s="483">
        <f>D83-K83</f>
        <v>0</v>
      </c>
      <c r="M83" s="484">
        <f>STDEV(E83:J83)</f>
        <v>0</v>
      </c>
      <c r="N83" s="485">
        <f>(((ABS(L83))+O83)/(D83))*100</f>
        <v>0.96637949812554413</v>
      </c>
      <c r="O83" s="486">
        <f>'Ketidakpastian BPM'!$J$25</f>
        <v>0.57982769887532648</v>
      </c>
      <c r="P83" s="450"/>
      <c r="Q83" s="443"/>
      <c r="R83" s="443"/>
      <c r="S83" s="443"/>
      <c r="T83" s="443"/>
      <c r="U83" s="443"/>
      <c r="V83" s="443"/>
      <c r="W83" s="443"/>
      <c r="X83" s="443"/>
      <c r="Y83" s="443"/>
      <c r="Z83" s="443"/>
      <c r="AA83" s="443"/>
      <c r="AB83" s="443"/>
      <c r="AC83" s="443"/>
      <c r="AD83" s="443"/>
      <c r="AE83" s="443"/>
      <c r="AF83" s="443"/>
      <c r="AG83" s="443"/>
      <c r="AH83" s="443"/>
      <c r="AI83" s="443"/>
      <c r="AJ83" s="443"/>
      <c r="AK83" s="443"/>
      <c r="AL83" s="443"/>
      <c r="AM83" s="443"/>
      <c r="AN83" s="443"/>
      <c r="AO83" s="443"/>
      <c r="AP83" s="443"/>
      <c r="AQ83" s="443"/>
      <c r="AR83" s="443"/>
      <c r="AS83" s="443"/>
      <c r="AT83" s="443"/>
    </row>
    <row r="84" spans="1:46" ht="15" x14ac:dyDescent="0.25">
      <c r="A84" s="450"/>
      <c r="B84" s="489" t="s">
        <v>172</v>
      </c>
      <c r="C84" s="1028"/>
      <c r="D84" s="490">
        <v>120</v>
      </c>
      <c r="E84" s="481">
        <f t="shared" ref="E84:J84" si="3">E47</f>
        <v>120</v>
      </c>
      <c r="F84" s="481">
        <f t="shared" si="3"/>
        <v>120</v>
      </c>
      <c r="G84" s="481">
        <f t="shared" si="3"/>
        <v>120</v>
      </c>
      <c r="H84" s="481">
        <f t="shared" si="3"/>
        <v>120</v>
      </c>
      <c r="I84" s="481">
        <f t="shared" si="3"/>
        <v>120</v>
      </c>
      <c r="J84" s="481">
        <f t="shared" si="3"/>
        <v>120</v>
      </c>
      <c r="K84" s="482">
        <f t="shared" si="2"/>
        <v>120</v>
      </c>
      <c r="L84" s="483">
        <f>D84-K84</f>
        <v>0</v>
      </c>
      <c r="M84" s="491">
        <f>STDEV(E84:J84)</f>
        <v>0</v>
      </c>
      <c r="N84" s="485">
        <f>(((ABS(L84))+O84)/(D84))*100</f>
        <v>0.48318974906277207</v>
      </c>
      <c r="O84" s="486">
        <f>'Ketidakpastian BPM'!$J$38</f>
        <v>0.57982769887532648</v>
      </c>
      <c r="P84" s="450"/>
      <c r="Q84" s="443"/>
      <c r="R84" s="443"/>
      <c r="S84" s="443"/>
      <c r="T84" s="443"/>
      <c r="U84" s="443"/>
      <c r="V84" s="443"/>
      <c r="W84" s="443"/>
      <c r="X84" s="443"/>
      <c r="Y84" s="443"/>
      <c r="Z84" s="443"/>
      <c r="AA84" s="443"/>
      <c r="AB84" s="443"/>
      <c r="AC84" s="443"/>
      <c r="AD84" s="443"/>
      <c r="AE84" s="443"/>
      <c r="AF84" s="443"/>
      <c r="AG84" s="443"/>
      <c r="AH84" s="443"/>
      <c r="AI84" s="443"/>
      <c r="AJ84" s="443"/>
      <c r="AK84" s="443"/>
      <c r="AL84" s="443"/>
      <c r="AM84" s="443"/>
      <c r="AN84" s="443"/>
      <c r="AO84" s="443"/>
      <c r="AP84" s="443"/>
      <c r="AQ84" s="443"/>
      <c r="AR84" s="443"/>
      <c r="AS84" s="443"/>
      <c r="AT84" s="443"/>
    </row>
    <row r="85" spans="1:46" ht="15" x14ac:dyDescent="0.25">
      <c r="A85" s="443"/>
      <c r="B85" s="489" t="s">
        <v>173</v>
      </c>
      <c r="C85" s="1011"/>
      <c r="D85" s="490">
        <v>240</v>
      </c>
      <c r="E85" s="481">
        <f t="shared" ref="E85:J85" si="4">E48</f>
        <v>240</v>
      </c>
      <c r="F85" s="481">
        <f t="shared" si="4"/>
        <v>240</v>
      </c>
      <c r="G85" s="481">
        <f t="shared" si="4"/>
        <v>240</v>
      </c>
      <c r="H85" s="481">
        <f t="shared" si="4"/>
        <v>240</v>
      </c>
      <c r="I85" s="481">
        <f t="shared" si="4"/>
        <v>240</v>
      </c>
      <c r="J85" s="481">
        <f t="shared" si="4"/>
        <v>240</v>
      </c>
      <c r="K85" s="482">
        <f t="shared" si="2"/>
        <v>240</v>
      </c>
      <c r="L85" s="483">
        <f>D85-K85</f>
        <v>0</v>
      </c>
      <c r="M85" s="491">
        <f>STDEV(E85:J85)</f>
        <v>0</v>
      </c>
      <c r="N85" s="485">
        <f>(((ABS(L85))+O85)/(D85))*100</f>
        <v>0.24159454807138603</v>
      </c>
      <c r="O85" s="486">
        <f>'Ketidakpastian BPM'!$J$50</f>
        <v>0.57982691537132647</v>
      </c>
      <c r="P85" s="450"/>
      <c r="Q85" s="443"/>
      <c r="R85" s="443"/>
      <c r="S85" s="443"/>
      <c r="T85" s="443"/>
      <c r="U85" s="443"/>
      <c r="V85" s="443"/>
      <c r="W85" s="443"/>
      <c r="X85" s="443"/>
      <c r="Y85" s="443"/>
      <c r="Z85" s="443"/>
      <c r="AA85" s="443"/>
      <c r="AB85" s="443"/>
      <c r="AC85" s="443"/>
      <c r="AD85" s="443"/>
      <c r="AE85" s="443"/>
      <c r="AF85" s="443"/>
      <c r="AG85" s="443"/>
      <c r="AH85" s="443"/>
      <c r="AI85" s="443"/>
      <c r="AJ85" s="443"/>
      <c r="AK85" s="443"/>
      <c r="AL85" s="443"/>
      <c r="AM85" s="443"/>
      <c r="AN85" s="443"/>
      <c r="AO85" s="443"/>
      <c r="AP85" s="443"/>
      <c r="AQ85" s="443"/>
      <c r="AR85" s="443"/>
      <c r="AS85" s="443"/>
      <c r="AT85" s="443"/>
    </row>
    <row r="86" spans="1:46" ht="15" x14ac:dyDescent="0.25">
      <c r="A86" s="443"/>
      <c r="B86" s="443"/>
      <c r="C86" s="443"/>
      <c r="D86" s="443"/>
      <c r="E86" s="492"/>
      <c r="F86" s="443"/>
      <c r="G86" s="443"/>
      <c r="H86" s="443"/>
      <c r="I86" s="443"/>
      <c r="J86" s="443"/>
      <c r="K86" s="443"/>
      <c r="L86" s="443"/>
      <c r="M86" s="443"/>
      <c r="N86" s="443"/>
      <c r="O86" s="450"/>
      <c r="P86" s="450"/>
      <c r="Q86" s="443"/>
      <c r="R86" s="443"/>
      <c r="S86" s="443"/>
      <c r="T86" s="443"/>
      <c r="U86" s="443"/>
      <c r="V86" s="443"/>
      <c r="W86" s="443"/>
      <c r="X86" s="443"/>
      <c r="Y86" s="443"/>
      <c r="Z86" s="443"/>
      <c r="AA86" s="443"/>
      <c r="AB86" s="443"/>
      <c r="AC86" s="443"/>
      <c r="AD86" s="443"/>
      <c r="AE86" s="443"/>
      <c r="AF86" s="443"/>
      <c r="AG86" s="443"/>
      <c r="AH86" s="443"/>
      <c r="AI86" s="443"/>
      <c r="AJ86" s="443"/>
      <c r="AK86" s="443"/>
      <c r="AL86" s="443"/>
      <c r="AM86" s="443"/>
      <c r="AN86" s="443"/>
      <c r="AO86" s="443"/>
      <c r="AP86" s="443"/>
      <c r="AQ86" s="443"/>
      <c r="AR86" s="443"/>
      <c r="AS86" s="443"/>
      <c r="AT86" s="443"/>
    </row>
    <row r="87" spans="1:46" ht="15" x14ac:dyDescent="0.25">
      <c r="A87" s="443"/>
      <c r="B87" s="1012" t="s">
        <v>33</v>
      </c>
      <c r="C87" s="1010" t="s">
        <v>34</v>
      </c>
      <c r="D87" s="1010" t="s">
        <v>51</v>
      </c>
      <c r="E87" s="1029" t="s">
        <v>174</v>
      </c>
      <c r="F87" s="1030"/>
      <c r="G87" s="1030"/>
      <c r="H87" s="1030"/>
      <c r="I87" s="1030"/>
      <c r="J87" s="1031"/>
      <c r="K87" s="1010" t="s">
        <v>175</v>
      </c>
      <c r="L87" s="1010" t="s">
        <v>166</v>
      </c>
      <c r="M87" s="1015" t="s">
        <v>167</v>
      </c>
      <c r="N87" s="1034" t="s">
        <v>168</v>
      </c>
      <c r="O87" s="493" t="s">
        <v>176</v>
      </c>
      <c r="P87" s="1032" t="s">
        <v>170</v>
      </c>
      <c r="Q87" s="443"/>
      <c r="R87" s="443"/>
      <c r="S87" s="443"/>
      <c r="T87" s="443"/>
      <c r="U87" s="443"/>
      <c r="V87" s="443"/>
      <c r="W87" s="443"/>
      <c r="X87" s="443"/>
      <c r="Y87" s="443"/>
      <c r="Z87" s="443"/>
      <c r="AA87" s="443"/>
      <c r="AB87" s="443"/>
      <c r="AC87" s="443"/>
      <c r="AD87" s="443"/>
      <c r="AE87" s="443"/>
      <c r="AF87" s="443"/>
      <c r="AG87" s="443"/>
      <c r="AH87" s="443"/>
      <c r="AI87" s="443"/>
      <c r="AJ87" s="443"/>
      <c r="AK87" s="443"/>
      <c r="AL87" s="443"/>
      <c r="AM87" s="443"/>
      <c r="AN87" s="443"/>
      <c r="AO87" s="443"/>
      <c r="AP87" s="443"/>
      <c r="AQ87" s="443"/>
      <c r="AR87" s="443"/>
      <c r="AS87" s="443"/>
      <c r="AT87" s="443"/>
    </row>
    <row r="88" spans="1:46" ht="15" x14ac:dyDescent="0.25">
      <c r="A88" s="443"/>
      <c r="B88" s="1012"/>
      <c r="C88" s="1011"/>
      <c r="D88" s="1011"/>
      <c r="E88" s="454" t="s">
        <v>54</v>
      </c>
      <c r="F88" s="455" t="s">
        <v>55</v>
      </c>
      <c r="G88" s="456" t="s">
        <v>56</v>
      </c>
      <c r="H88" s="455" t="s">
        <v>57</v>
      </c>
      <c r="I88" s="455" t="s">
        <v>58</v>
      </c>
      <c r="J88" s="455" t="s">
        <v>59</v>
      </c>
      <c r="K88" s="1011"/>
      <c r="L88" s="1011"/>
      <c r="M88" s="1017"/>
      <c r="N88" s="1035"/>
      <c r="O88" s="494" t="s">
        <v>177</v>
      </c>
      <c r="P88" s="1033"/>
      <c r="Q88" s="443"/>
      <c r="R88" s="443"/>
      <c r="S88" s="443"/>
      <c r="T88" s="443"/>
      <c r="U88" s="443"/>
      <c r="V88" s="443"/>
      <c r="W88" s="443"/>
      <c r="X88" s="443"/>
      <c r="Y88" s="443"/>
      <c r="Z88" s="443"/>
      <c r="AA88" s="443"/>
      <c r="AB88" s="443"/>
      <c r="AC88" s="443"/>
      <c r="AD88" s="443"/>
      <c r="AE88" s="443"/>
      <c r="AF88" s="443"/>
      <c r="AG88" s="443"/>
      <c r="AH88" s="443"/>
      <c r="AI88" s="443"/>
      <c r="AJ88" s="443"/>
      <c r="AK88" s="443"/>
      <c r="AL88" s="443"/>
      <c r="AM88" s="443"/>
      <c r="AN88" s="443"/>
      <c r="AO88" s="443"/>
      <c r="AP88" s="443"/>
      <c r="AQ88" s="443"/>
      <c r="AR88" s="443"/>
      <c r="AS88" s="443"/>
      <c r="AT88" s="443"/>
    </row>
    <row r="89" spans="1:46" ht="15" x14ac:dyDescent="0.25">
      <c r="A89" s="443"/>
      <c r="B89" s="457" t="s">
        <v>151</v>
      </c>
      <c r="C89" s="1010" t="s">
        <v>61</v>
      </c>
      <c r="D89" s="458">
        <v>100</v>
      </c>
      <c r="E89" s="459">
        <f t="shared" ref="E89:J95" si="5">E34</f>
        <v>100</v>
      </c>
      <c r="F89" s="459">
        <f t="shared" si="5"/>
        <v>100</v>
      </c>
      <c r="G89" s="459">
        <f t="shared" si="5"/>
        <v>100</v>
      </c>
      <c r="H89" s="459">
        <f t="shared" si="5"/>
        <v>100</v>
      </c>
      <c r="I89" s="459">
        <f t="shared" si="5"/>
        <v>100</v>
      </c>
      <c r="J89" s="459">
        <f t="shared" si="5"/>
        <v>100</v>
      </c>
      <c r="K89" s="495">
        <f>AVERAGE(E89:J89)</f>
        <v>100</v>
      </c>
      <c r="L89" s="495">
        <f>K89+'Ketidakpastian SPO2'!H121</f>
        <v>100.000001</v>
      </c>
      <c r="M89" s="483">
        <f>D89-L89</f>
        <v>-9.9999999747524271E-7</v>
      </c>
      <c r="N89" s="485">
        <f t="shared" ref="N89:N95" si="6">STDEV(E89:J89)</f>
        <v>0</v>
      </c>
      <c r="O89" s="488">
        <f>(D89-L89)/D89*100</f>
        <v>-9.9999999747524271E-7</v>
      </c>
      <c r="P89" s="485">
        <f>'Ketidakpastian SPO2'!$J$13</f>
        <v>0.57982692320636919</v>
      </c>
      <c r="Q89" s="443"/>
      <c r="R89" s="443"/>
      <c r="S89" s="443"/>
      <c r="T89" s="443"/>
      <c r="U89" s="443"/>
      <c r="V89" s="443"/>
      <c r="W89" s="443"/>
      <c r="X89" s="443"/>
      <c r="Y89" s="443"/>
      <c r="Z89" s="443"/>
      <c r="AA89" s="443"/>
      <c r="AB89" s="443"/>
      <c r="AC89" s="443"/>
      <c r="AD89" s="443"/>
      <c r="AE89" s="443"/>
      <c r="AF89" s="443"/>
      <c r="AG89" s="443"/>
      <c r="AH89" s="443"/>
      <c r="AI89" s="443"/>
      <c r="AJ89" s="443"/>
      <c r="AK89" s="443"/>
      <c r="AL89" s="443"/>
      <c r="AM89" s="443"/>
      <c r="AN89" s="443"/>
      <c r="AO89" s="443"/>
      <c r="AP89" s="443"/>
      <c r="AQ89" s="443"/>
      <c r="AR89" s="443"/>
      <c r="AS89" s="443"/>
      <c r="AT89" s="443"/>
    </row>
    <row r="90" spans="1:46" ht="15" x14ac:dyDescent="0.25">
      <c r="A90" s="443"/>
      <c r="B90" s="457" t="s">
        <v>64</v>
      </c>
      <c r="C90" s="1028"/>
      <c r="D90" s="458">
        <v>99</v>
      </c>
      <c r="E90" s="459">
        <f t="shared" si="5"/>
        <v>99</v>
      </c>
      <c r="F90" s="459">
        <f t="shared" si="5"/>
        <v>99</v>
      </c>
      <c r="G90" s="459">
        <f t="shared" si="5"/>
        <v>99</v>
      </c>
      <c r="H90" s="459">
        <f t="shared" si="5"/>
        <v>99</v>
      </c>
      <c r="I90" s="459">
        <f t="shared" si="5"/>
        <v>99</v>
      </c>
      <c r="J90" s="459">
        <f t="shared" si="5"/>
        <v>99</v>
      </c>
      <c r="K90" s="495">
        <f t="shared" ref="K90:K95" si="7">AVERAGE(E90:J90)</f>
        <v>99</v>
      </c>
      <c r="L90" s="495">
        <f>K90+'Ketidakpastian SPO2'!H120</f>
        <v>99.000000999999997</v>
      </c>
      <c r="M90" s="483">
        <f t="shared" ref="M90:M95" si="8">D90-L90</f>
        <v>-9.9999999747524271E-7</v>
      </c>
      <c r="N90" s="485">
        <f t="shared" si="6"/>
        <v>0</v>
      </c>
      <c r="O90" s="488">
        <f t="shared" ref="O90:O95" si="9">(D90-L90)/D90*100</f>
        <v>-1.0101010075507502E-6</v>
      </c>
      <c r="P90" s="485">
        <f>'Ketidakpastian SPO2'!$J$25</f>
        <v>0.57982692320636919</v>
      </c>
      <c r="Q90" s="443"/>
      <c r="R90" s="443"/>
      <c r="S90" s="443"/>
      <c r="T90" s="443"/>
      <c r="U90" s="443"/>
      <c r="V90" s="443"/>
      <c r="W90" s="443"/>
      <c r="X90" s="443"/>
      <c r="Y90" s="443"/>
      <c r="Z90" s="443"/>
      <c r="AA90" s="443"/>
      <c r="AB90" s="443"/>
      <c r="AC90" s="443"/>
      <c r="AD90" s="443"/>
      <c r="AE90" s="443"/>
      <c r="AF90" s="443"/>
      <c r="AG90" s="443"/>
      <c r="AH90" s="443"/>
      <c r="AI90" s="443"/>
      <c r="AJ90" s="443"/>
      <c r="AK90" s="443"/>
      <c r="AL90" s="443"/>
      <c r="AM90" s="443"/>
      <c r="AN90" s="443"/>
      <c r="AO90" s="443"/>
      <c r="AP90" s="443"/>
      <c r="AQ90" s="443"/>
      <c r="AR90" s="443"/>
      <c r="AS90" s="443"/>
      <c r="AT90" s="443"/>
    </row>
    <row r="91" spans="1:46" ht="15" x14ac:dyDescent="0.25">
      <c r="A91" s="443"/>
      <c r="B91" s="457" t="s">
        <v>65</v>
      </c>
      <c r="C91" s="1028"/>
      <c r="D91" s="460">
        <v>98</v>
      </c>
      <c r="E91" s="459">
        <f t="shared" si="5"/>
        <v>98</v>
      </c>
      <c r="F91" s="459">
        <f t="shared" si="5"/>
        <v>98</v>
      </c>
      <c r="G91" s="459">
        <f t="shared" si="5"/>
        <v>98</v>
      </c>
      <c r="H91" s="459">
        <f t="shared" si="5"/>
        <v>98</v>
      </c>
      <c r="I91" s="459">
        <f t="shared" si="5"/>
        <v>98</v>
      </c>
      <c r="J91" s="459">
        <f t="shared" si="5"/>
        <v>98</v>
      </c>
      <c r="K91" s="495">
        <f t="shared" si="7"/>
        <v>98</v>
      </c>
      <c r="L91" s="495">
        <f>K91+'Ketidakpastian SPO2'!H119</f>
        <v>98.000000999999997</v>
      </c>
      <c r="M91" s="483">
        <f t="shared" si="8"/>
        <v>-9.9999999747524271E-7</v>
      </c>
      <c r="N91" s="485">
        <f t="shared" si="6"/>
        <v>0</v>
      </c>
      <c r="O91" s="488">
        <f t="shared" si="9"/>
        <v>-1.0204081606890231E-6</v>
      </c>
      <c r="P91" s="485">
        <f>'Ketidakpastian SPO2'!$J$37</f>
        <v>0.57982692320636919</v>
      </c>
      <c r="Q91" s="443"/>
      <c r="R91" s="443"/>
      <c r="S91" s="443"/>
      <c r="T91" s="443"/>
      <c r="U91" s="443"/>
      <c r="V91" s="443"/>
      <c r="W91" s="443"/>
      <c r="X91" s="443"/>
      <c r="Y91" s="443"/>
      <c r="Z91" s="443"/>
      <c r="AA91" s="443"/>
      <c r="AB91" s="443"/>
      <c r="AC91" s="443"/>
      <c r="AD91" s="443"/>
      <c r="AE91" s="443"/>
      <c r="AF91" s="443"/>
      <c r="AG91" s="443"/>
      <c r="AH91" s="443"/>
      <c r="AI91" s="443"/>
      <c r="AJ91" s="443"/>
      <c r="AK91" s="443"/>
      <c r="AL91" s="443"/>
      <c r="AM91" s="443"/>
      <c r="AN91" s="443"/>
      <c r="AO91" s="443"/>
      <c r="AP91" s="443"/>
      <c r="AQ91" s="443"/>
      <c r="AR91" s="443"/>
      <c r="AS91" s="443"/>
      <c r="AT91" s="443"/>
    </row>
    <row r="92" spans="1:46" ht="15" x14ac:dyDescent="0.25">
      <c r="A92" s="443"/>
      <c r="B92" s="457" t="s">
        <v>66</v>
      </c>
      <c r="C92" s="1028"/>
      <c r="D92" s="460">
        <v>97</v>
      </c>
      <c r="E92" s="459">
        <f t="shared" si="5"/>
        <v>97</v>
      </c>
      <c r="F92" s="459">
        <f t="shared" si="5"/>
        <v>97</v>
      </c>
      <c r="G92" s="459">
        <f t="shared" si="5"/>
        <v>98</v>
      </c>
      <c r="H92" s="459">
        <f t="shared" si="5"/>
        <v>97</v>
      </c>
      <c r="I92" s="459">
        <f t="shared" si="5"/>
        <v>97</v>
      </c>
      <c r="J92" s="459">
        <f t="shared" si="5"/>
        <v>97</v>
      </c>
      <c r="K92" s="495">
        <f t="shared" si="7"/>
        <v>97.166666666666671</v>
      </c>
      <c r="L92" s="495">
        <f>K92+'Ketidakpastian SPO2'!H118</f>
        <v>97.166667666666669</v>
      </c>
      <c r="M92" s="483">
        <f t="shared" si="8"/>
        <v>-0.16666766666666888</v>
      </c>
      <c r="N92" s="485">
        <f t="shared" si="6"/>
        <v>0.40824829046386302</v>
      </c>
      <c r="O92" s="488">
        <f t="shared" si="9"/>
        <v>-0.17182233676976172</v>
      </c>
      <c r="P92" s="485">
        <f>'Ketidakpastian SPO2'!$J$49</f>
        <v>0.67265223242536354</v>
      </c>
      <c r="Q92" s="443"/>
      <c r="R92" s="443"/>
      <c r="S92" s="443"/>
      <c r="T92" s="443"/>
      <c r="U92" s="443"/>
      <c r="V92" s="443"/>
      <c r="W92" s="443"/>
      <c r="X92" s="443"/>
      <c r="Y92" s="443"/>
      <c r="Z92" s="443"/>
      <c r="AA92" s="443"/>
      <c r="AB92" s="443"/>
      <c r="AC92" s="443"/>
      <c r="AD92" s="443"/>
      <c r="AE92" s="443"/>
      <c r="AF92" s="443"/>
      <c r="AG92" s="443"/>
      <c r="AH92" s="443"/>
      <c r="AI92" s="443"/>
      <c r="AJ92" s="443"/>
      <c r="AK92" s="443"/>
      <c r="AL92" s="443"/>
      <c r="AM92" s="443"/>
      <c r="AN92" s="443"/>
      <c r="AO92" s="443"/>
      <c r="AP92" s="443"/>
      <c r="AQ92" s="443"/>
      <c r="AR92" s="443"/>
      <c r="AS92" s="443"/>
      <c r="AT92" s="443"/>
    </row>
    <row r="93" spans="1:46" ht="15" x14ac:dyDescent="0.25">
      <c r="A93" s="443"/>
      <c r="B93" s="457" t="s">
        <v>67</v>
      </c>
      <c r="C93" s="1028"/>
      <c r="D93" s="460">
        <v>95</v>
      </c>
      <c r="E93" s="459">
        <f t="shared" si="5"/>
        <v>95</v>
      </c>
      <c r="F93" s="459">
        <f t="shared" si="5"/>
        <v>95</v>
      </c>
      <c r="G93" s="459">
        <f t="shared" si="5"/>
        <v>95</v>
      </c>
      <c r="H93" s="459">
        <f t="shared" si="5"/>
        <v>95</v>
      </c>
      <c r="I93" s="459">
        <f t="shared" si="5"/>
        <v>95</v>
      </c>
      <c r="J93" s="459">
        <f t="shared" si="5"/>
        <v>95</v>
      </c>
      <c r="K93" s="495">
        <f t="shared" si="7"/>
        <v>95</v>
      </c>
      <c r="L93" s="495">
        <f>K93+'Ketidakpastian SPO2'!H117</f>
        <v>95.000000999999997</v>
      </c>
      <c r="M93" s="483">
        <f t="shared" si="8"/>
        <v>-9.9999999747524271E-7</v>
      </c>
      <c r="N93" s="485">
        <f t="shared" si="6"/>
        <v>0</v>
      </c>
      <c r="O93" s="488">
        <f t="shared" si="9"/>
        <v>-1.0526315762897292E-6</v>
      </c>
      <c r="P93" s="485">
        <f>'Ketidakpastian SPO2'!$J$61</f>
        <v>0.57982692320636919</v>
      </c>
      <c r="Q93" s="443"/>
      <c r="R93" s="443"/>
      <c r="S93" s="443"/>
      <c r="T93" s="443"/>
      <c r="U93" s="443"/>
      <c r="V93" s="443"/>
      <c r="W93" s="443"/>
      <c r="X93" s="443"/>
      <c r="Y93" s="443"/>
      <c r="Z93" s="443"/>
      <c r="AA93" s="443"/>
      <c r="AB93" s="443"/>
      <c r="AC93" s="443"/>
      <c r="AD93" s="443"/>
      <c r="AE93" s="443"/>
      <c r="AF93" s="443"/>
      <c r="AG93" s="443"/>
      <c r="AH93" s="443"/>
      <c r="AI93" s="443"/>
      <c r="AJ93" s="443"/>
      <c r="AK93" s="443"/>
      <c r="AL93" s="443"/>
      <c r="AM93" s="443"/>
      <c r="AN93" s="443"/>
      <c r="AO93" s="443"/>
      <c r="AP93" s="443"/>
      <c r="AQ93" s="443"/>
      <c r="AR93" s="443"/>
      <c r="AS93" s="443"/>
      <c r="AT93" s="443"/>
    </row>
    <row r="94" spans="1:46" ht="15" x14ac:dyDescent="0.25">
      <c r="A94" s="443"/>
      <c r="B94" s="457" t="s">
        <v>68</v>
      </c>
      <c r="C94" s="1028"/>
      <c r="D94" s="460">
        <v>90</v>
      </c>
      <c r="E94" s="459">
        <f t="shared" si="5"/>
        <v>90</v>
      </c>
      <c r="F94" s="459">
        <f t="shared" si="5"/>
        <v>90</v>
      </c>
      <c r="G94" s="459">
        <f t="shared" si="5"/>
        <v>90</v>
      </c>
      <c r="H94" s="459">
        <f t="shared" si="5"/>
        <v>90</v>
      </c>
      <c r="I94" s="459">
        <f t="shared" si="5"/>
        <v>90</v>
      </c>
      <c r="J94" s="459">
        <f t="shared" si="5"/>
        <v>90</v>
      </c>
      <c r="K94" s="495">
        <f t="shared" si="7"/>
        <v>90</v>
      </c>
      <c r="L94" s="495">
        <f>K94+'Ketidakpastian SPO2'!H116</f>
        <v>90.000000999999997</v>
      </c>
      <c r="M94" s="483">
        <f t="shared" si="8"/>
        <v>-9.9999999747524271E-7</v>
      </c>
      <c r="N94" s="485">
        <f t="shared" si="6"/>
        <v>0</v>
      </c>
      <c r="O94" s="488">
        <f t="shared" si="9"/>
        <v>-1.1111111083058252E-6</v>
      </c>
      <c r="P94" s="485">
        <f>'Ketidakpastian SPO2'!$J$73</f>
        <v>0.57982692320636919</v>
      </c>
      <c r="Q94" s="443"/>
      <c r="R94" s="443"/>
      <c r="S94" s="443"/>
      <c r="T94" s="443"/>
      <c r="U94" s="443"/>
      <c r="V94" s="443"/>
      <c r="W94" s="443"/>
      <c r="X94" s="443"/>
      <c r="Y94" s="443"/>
      <c r="Z94" s="443"/>
      <c r="AA94" s="443"/>
      <c r="AB94" s="443"/>
      <c r="AC94" s="443"/>
      <c r="AD94" s="443"/>
      <c r="AE94" s="443"/>
      <c r="AF94" s="443"/>
      <c r="AG94" s="443"/>
      <c r="AH94" s="443"/>
      <c r="AI94" s="443"/>
      <c r="AJ94" s="443"/>
      <c r="AK94" s="443"/>
      <c r="AL94" s="443"/>
      <c r="AM94" s="443"/>
      <c r="AN94" s="443"/>
      <c r="AO94" s="443"/>
      <c r="AP94" s="443"/>
      <c r="AQ94" s="443"/>
      <c r="AR94" s="443"/>
      <c r="AS94" s="443"/>
      <c r="AT94" s="443"/>
    </row>
    <row r="95" spans="1:46" ht="15" x14ac:dyDescent="0.25">
      <c r="A95" s="443"/>
      <c r="B95" s="457" t="s">
        <v>69</v>
      </c>
      <c r="C95" s="1011"/>
      <c r="D95" s="460">
        <v>85</v>
      </c>
      <c r="E95" s="459">
        <f t="shared" si="5"/>
        <v>85</v>
      </c>
      <c r="F95" s="459">
        <f t="shared" si="5"/>
        <v>85</v>
      </c>
      <c r="G95" s="459">
        <f t="shared" si="5"/>
        <v>85</v>
      </c>
      <c r="H95" s="459">
        <f t="shared" si="5"/>
        <v>85</v>
      </c>
      <c r="I95" s="459">
        <f t="shared" si="5"/>
        <v>85</v>
      </c>
      <c r="J95" s="459">
        <f t="shared" si="5"/>
        <v>85</v>
      </c>
      <c r="K95" s="495">
        <f t="shared" si="7"/>
        <v>85</v>
      </c>
      <c r="L95" s="495">
        <f>K95+'Ketidakpastian SPO2'!H115</f>
        <v>85.000000999999997</v>
      </c>
      <c r="M95" s="483">
        <f t="shared" si="8"/>
        <v>-9.9999999747524271E-7</v>
      </c>
      <c r="N95" s="485">
        <f t="shared" si="6"/>
        <v>0</v>
      </c>
      <c r="O95" s="488">
        <f t="shared" si="9"/>
        <v>-1.1764705852649913E-6</v>
      </c>
      <c r="P95" s="485">
        <f>'Ketidakpastian SPO2'!$J$85</f>
        <v>0.57982692320636919</v>
      </c>
      <c r="Q95" s="443"/>
      <c r="R95" s="443"/>
      <c r="S95" s="443"/>
      <c r="T95" s="443"/>
      <c r="U95" s="443"/>
      <c r="V95" s="443"/>
      <c r="W95" s="443"/>
      <c r="X95" s="443"/>
      <c r="Y95" s="443"/>
      <c r="Z95" s="443"/>
      <c r="AA95" s="443"/>
      <c r="AB95" s="443"/>
      <c r="AC95" s="443"/>
      <c r="AD95" s="443"/>
      <c r="AE95" s="443"/>
      <c r="AF95" s="443"/>
      <c r="AG95" s="443"/>
      <c r="AH95" s="443"/>
      <c r="AI95" s="443"/>
      <c r="AJ95" s="443"/>
      <c r="AK95" s="443"/>
      <c r="AL95" s="443"/>
      <c r="AM95" s="443"/>
      <c r="AN95" s="443"/>
      <c r="AO95" s="443"/>
      <c r="AP95" s="443"/>
      <c r="AQ95" s="443"/>
      <c r="AR95" s="443"/>
      <c r="AS95" s="443"/>
      <c r="AT95" s="443"/>
    </row>
    <row r="96" spans="1:46" ht="15" x14ac:dyDescent="0.25">
      <c r="A96" s="443"/>
      <c r="B96" s="443"/>
      <c r="C96" s="443"/>
      <c r="D96" s="443"/>
      <c r="E96" s="492"/>
      <c r="F96" s="443"/>
      <c r="G96" s="443"/>
      <c r="H96" s="443"/>
      <c r="I96" s="443"/>
      <c r="J96" s="443"/>
      <c r="K96" s="443"/>
      <c r="L96" s="443"/>
      <c r="M96" s="443"/>
      <c r="N96" s="443"/>
      <c r="O96" s="450"/>
      <c r="P96" s="450"/>
      <c r="Q96" s="443"/>
      <c r="R96" s="443"/>
      <c r="S96" s="443"/>
      <c r="T96" s="443"/>
      <c r="U96" s="443"/>
      <c r="V96" s="443"/>
      <c r="W96" s="443"/>
      <c r="X96" s="443"/>
      <c r="Y96" s="443"/>
      <c r="Z96" s="443"/>
      <c r="AA96" s="443"/>
      <c r="AB96" s="443"/>
      <c r="AC96" s="443"/>
      <c r="AD96" s="443"/>
      <c r="AE96" s="443"/>
      <c r="AF96" s="443"/>
      <c r="AG96" s="443"/>
      <c r="AH96" s="443"/>
      <c r="AI96" s="443"/>
      <c r="AJ96" s="443"/>
      <c r="AK96" s="443"/>
      <c r="AL96" s="443"/>
      <c r="AM96" s="443"/>
      <c r="AN96" s="443"/>
      <c r="AO96" s="443"/>
      <c r="AP96" s="443"/>
      <c r="AQ96" s="443"/>
      <c r="AR96" s="443"/>
      <c r="AS96" s="443"/>
      <c r="AT96" s="443"/>
    </row>
    <row r="97" spans="1:46" ht="15" x14ac:dyDescent="0.25">
      <c r="A97" s="443"/>
      <c r="B97" s="443"/>
      <c r="C97" s="443"/>
      <c r="D97" s="443"/>
      <c r="E97" s="492"/>
      <c r="F97" s="443"/>
      <c r="G97" s="443"/>
      <c r="H97" s="443"/>
      <c r="I97" s="443"/>
      <c r="J97" s="443"/>
      <c r="K97" s="443"/>
      <c r="L97" s="443"/>
      <c r="M97" s="443"/>
      <c r="N97" s="443"/>
      <c r="O97" s="450"/>
      <c r="P97" s="450"/>
      <c r="Q97" s="443"/>
      <c r="R97" s="443"/>
      <c r="S97" s="443"/>
      <c r="T97" s="443"/>
      <c r="U97" s="443"/>
      <c r="V97" s="443"/>
      <c r="W97" s="443"/>
      <c r="X97" s="443"/>
      <c r="Y97" s="443"/>
      <c r="Z97" s="443"/>
      <c r="AA97" s="443"/>
      <c r="AB97" s="443"/>
      <c r="AC97" s="443"/>
      <c r="AD97" s="443"/>
      <c r="AE97" s="443"/>
      <c r="AF97" s="443"/>
      <c r="AG97" s="443"/>
      <c r="AH97" s="443"/>
      <c r="AI97" s="443"/>
      <c r="AJ97" s="443"/>
      <c r="AK97" s="443"/>
      <c r="AL97" s="443"/>
      <c r="AM97" s="443"/>
      <c r="AN97" s="443"/>
      <c r="AO97" s="443"/>
      <c r="AP97" s="443"/>
      <c r="AQ97" s="443"/>
      <c r="AR97" s="443"/>
      <c r="AS97" s="443"/>
      <c r="AT97" s="443"/>
    </row>
    <row r="98" spans="1:46" ht="15" x14ac:dyDescent="0.25">
      <c r="A98" s="443"/>
      <c r="B98" s="443"/>
      <c r="C98" s="496"/>
      <c r="D98" s="443"/>
      <c r="E98" s="492"/>
      <c r="F98" s="443"/>
      <c r="G98" s="443"/>
      <c r="H98" s="443"/>
      <c r="I98" s="443"/>
      <c r="J98" s="443"/>
      <c r="K98" s="443"/>
      <c r="L98" s="443"/>
      <c r="M98" s="443"/>
      <c r="N98" s="443"/>
      <c r="O98" s="450"/>
      <c r="P98" s="450"/>
      <c r="Q98" s="443"/>
      <c r="R98" s="443"/>
      <c r="S98" s="443"/>
      <c r="T98" s="443"/>
      <c r="U98" s="443"/>
      <c r="V98" s="443"/>
      <c r="W98" s="443"/>
      <c r="X98" s="443"/>
      <c r="Y98" s="443"/>
      <c r="Z98" s="443"/>
      <c r="AA98" s="443"/>
      <c r="AB98" s="443"/>
      <c r="AC98" s="443"/>
      <c r="AD98" s="443"/>
      <c r="AE98" s="443"/>
      <c r="AF98" s="443"/>
      <c r="AG98" s="443"/>
      <c r="AH98" s="443"/>
      <c r="AI98" s="443"/>
      <c r="AJ98" s="443"/>
      <c r="AK98" s="443"/>
      <c r="AL98" s="443"/>
      <c r="AM98" s="443"/>
      <c r="AN98" s="443"/>
      <c r="AO98" s="443"/>
      <c r="AP98" s="443"/>
      <c r="AQ98" s="443"/>
      <c r="AR98" s="443"/>
      <c r="AS98" s="443"/>
      <c r="AT98" s="443"/>
    </row>
    <row r="99" spans="1:46" ht="15" x14ac:dyDescent="0.25">
      <c r="A99" s="443"/>
      <c r="B99" s="443"/>
      <c r="C99" s="496" t="s">
        <v>144</v>
      </c>
      <c r="D99" s="443"/>
      <c r="E99" s="492"/>
      <c r="F99" s="443"/>
      <c r="G99" s="443"/>
      <c r="H99" s="443"/>
      <c r="I99" s="443"/>
      <c r="J99" s="443"/>
      <c r="K99" s="443"/>
      <c r="L99" s="443"/>
      <c r="M99" s="443"/>
      <c r="N99" s="443"/>
      <c r="O99" s="450"/>
      <c r="P99" s="450"/>
      <c r="Q99" s="443"/>
      <c r="R99" s="443"/>
      <c r="S99" s="443"/>
      <c r="T99" s="443"/>
      <c r="U99" s="443"/>
      <c r="V99" s="443"/>
      <c r="W99" s="443"/>
      <c r="X99" s="443"/>
      <c r="Y99" s="443"/>
      <c r="Z99" s="443"/>
      <c r="AA99" s="443"/>
      <c r="AB99" s="443"/>
      <c r="AC99" s="443"/>
      <c r="AD99" s="443"/>
      <c r="AE99" s="443"/>
      <c r="AF99" s="443"/>
      <c r="AG99" s="443"/>
      <c r="AH99" s="443"/>
      <c r="AI99" s="443"/>
      <c r="AJ99" s="443"/>
      <c r="AK99" s="443"/>
      <c r="AL99" s="443"/>
      <c r="AM99" s="443"/>
      <c r="AN99" s="443"/>
      <c r="AO99" s="443"/>
      <c r="AP99" s="443"/>
      <c r="AQ99" s="443"/>
      <c r="AR99" s="443"/>
      <c r="AS99" s="443"/>
      <c r="AT99" s="443"/>
    </row>
    <row r="100" spans="1:46" ht="15" x14ac:dyDescent="0.25">
      <c r="A100" s="443"/>
      <c r="B100" s="443"/>
      <c r="C100" s="496" t="s">
        <v>178</v>
      </c>
      <c r="D100" s="443"/>
      <c r="E100" s="492"/>
      <c r="F100" s="443"/>
      <c r="G100" s="443"/>
      <c r="H100" s="443"/>
      <c r="I100" s="443"/>
      <c r="J100" s="443"/>
      <c r="K100" s="443"/>
      <c r="L100" s="443"/>
      <c r="M100" s="443"/>
      <c r="N100" s="443"/>
      <c r="O100" s="450"/>
      <c r="P100" s="450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3"/>
      <c r="AB100" s="443"/>
      <c r="AC100" s="443"/>
      <c r="AD100" s="443"/>
      <c r="AE100" s="443"/>
      <c r="AF100" s="443"/>
      <c r="AG100" s="443"/>
      <c r="AH100" s="443"/>
      <c r="AI100" s="443"/>
      <c r="AJ100" s="443"/>
      <c r="AK100" s="443"/>
      <c r="AL100" s="443"/>
      <c r="AM100" s="443"/>
      <c r="AN100" s="443"/>
      <c r="AO100" s="443"/>
      <c r="AP100" s="443"/>
      <c r="AQ100" s="443"/>
      <c r="AR100" s="443"/>
      <c r="AS100" s="443"/>
      <c r="AT100" s="443"/>
    </row>
    <row r="101" spans="1:46" ht="15" x14ac:dyDescent="0.25">
      <c r="A101" s="443"/>
      <c r="B101" s="443"/>
      <c r="C101" s="496"/>
      <c r="D101" s="443"/>
      <c r="E101" s="492"/>
      <c r="F101" s="443"/>
      <c r="G101" s="443"/>
      <c r="H101" s="443"/>
      <c r="I101" s="443"/>
      <c r="J101" s="443"/>
      <c r="K101" s="443"/>
      <c r="L101" s="443"/>
      <c r="M101" s="443"/>
      <c r="N101" s="443"/>
      <c r="O101" s="450"/>
      <c r="P101" s="450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443"/>
      <c r="AB101" s="443"/>
      <c r="AC101" s="443"/>
      <c r="AD101" s="443"/>
      <c r="AE101" s="443"/>
      <c r="AF101" s="443"/>
      <c r="AG101" s="443"/>
      <c r="AH101" s="443"/>
      <c r="AI101" s="443"/>
      <c r="AJ101" s="443"/>
      <c r="AK101" s="443"/>
      <c r="AL101" s="443"/>
      <c r="AM101" s="443"/>
      <c r="AN101" s="443"/>
      <c r="AO101" s="443"/>
      <c r="AP101" s="443"/>
      <c r="AQ101" s="443"/>
      <c r="AR101" s="443"/>
      <c r="AS101" s="443"/>
      <c r="AT101" s="443"/>
    </row>
    <row r="102" spans="1:46" ht="15" x14ac:dyDescent="0.25">
      <c r="A102" s="443"/>
      <c r="B102" s="443"/>
      <c r="C102" s="496" t="s">
        <v>179</v>
      </c>
      <c r="D102" s="443"/>
      <c r="E102" s="492"/>
      <c r="F102" s="443"/>
      <c r="G102" s="443"/>
      <c r="H102" s="443"/>
      <c r="I102" s="443"/>
      <c r="J102" s="443"/>
      <c r="K102" s="443"/>
      <c r="L102" s="443"/>
      <c r="M102" s="443"/>
      <c r="N102" s="443"/>
      <c r="O102" s="450"/>
      <c r="P102" s="450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443"/>
      <c r="AB102" s="443"/>
      <c r="AC102" s="443"/>
      <c r="AD102" s="443"/>
      <c r="AE102" s="443"/>
      <c r="AF102" s="443"/>
      <c r="AG102" s="443"/>
      <c r="AH102" s="443"/>
      <c r="AI102" s="443"/>
      <c r="AJ102" s="443"/>
      <c r="AK102" s="443"/>
      <c r="AL102" s="443"/>
      <c r="AM102" s="443"/>
      <c r="AN102" s="443"/>
      <c r="AO102" s="443"/>
      <c r="AP102" s="443"/>
      <c r="AQ102" s="443"/>
      <c r="AR102" s="443"/>
      <c r="AS102" s="443"/>
      <c r="AT102" s="443"/>
    </row>
    <row r="103" spans="1:46" ht="15" x14ac:dyDescent="0.25">
      <c r="A103" s="443"/>
      <c r="B103" s="443"/>
      <c r="C103" s="496" t="s">
        <v>180</v>
      </c>
      <c r="D103" s="443"/>
      <c r="E103" s="492"/>
      <c r="F103" s="443"/>
      <c r="G103" s="443"/>
      <c r="H103" s="443"/>
      <c r="I103" s="443"/>
      <c r="J103" s="443"/>
      <c r="K103" s="443"/>
      <c r="L103" s="443"/>
      <c r="M103" s="443"/>
      <c r="N103" s="443"/>
      <c r="O103" s="450"/>
      <c r="P103" s="450"/>
      <c r="Q103" s="443"/>
      <c r="R103" s="443"/>
      <c r="S103" s="443"/>
      <c r="T103" s="443"/>
      <c r="U103" s="443"/>
      <c r="V103" s="443"/>
      <c r="W103" s="443"/>
      <c r="X103" s="443"/>
      <c r="Y103" s="443"/>
      <c r="Z103" s="443"/>
      <c r="AA103" s="443"/>
      <c r="AB103" s="443"/>
      <c r="AC103" s="443"/>
      <c r="AD103" s="443"/>
      <c r="AE103" s="443"/>
      <c r="AF103" s="443"/>
      <c r="AG103" s="443"/>
      <c r="AH103" s="443"/>
      <c r="AI103" s="443"/>
      <c r="AJ103" s="443"/>
      <c r="AK103" s="443"/>
      <c r="AL103" s="443"/>
      <c r="AM103" s="443"/>
      <c r="AN103" s="443"/>
      <c r="AO103" s="443"/>
      <c r="AP103" s="443"/>
      <c r="AQ103" s="443"/>
      <c r="AR103" s="443"/>
      <c r="AS103" s="443"/>
      <c r="AT103" s="443"/>
    </row>
    <row r="104" spans="1:46" ht="15" x14ac:dyDescent="0.25">
      <c r="A104" s="443"/>
      <c r="B104" s="443"/>
      <c r="C104" s="496" t="s">
        <v>181</v>
      </c>
      <c r="D104" s="443"/>
      <c r="E104" s="492"/>
      <c r="F104" s="443"/>
      <c r="G104" s="443"/>
      <c r="H104" s="443"/>
      <c r="I104" s="443"/>
      <c r="J104" s="443"/>
      <c r="K104" s="443"/>
      <c r="L104" s="443"/>
      <c r="M104" s="443"/>
      <c r="N104" s="443"/>
      <c r="O104" s="450"/>
      <c r="P104" s="450"/>
      <c r="Q104" s="443"/>
      <c r="R104" s="443"/>
      <c r="S104" s="443"/>
      <c r="T104" s="443"/>
      <c r="U104" s="443"/>
      <c r="V104" s="443"/>
      <c r="W104" s="443"/>
      <c r="X104" s="443"/>
      <c r="Y104" s="443"/>
      <c r="Z104" s="443"/>
      <c r="AA104" s="443"/>
      <c r="AB104" s="443"/>
      <c r="AC104" s="443"/>
      <c r="AD104" s="443"/>
      <c r="AE104" s="443"/>
      <c r="AF104" s="443"/>
      <c r="AG104" s="443"/>
      <c r="AH104" s="443"/>
      <c r="AI104" s="443"/>
      <c r="AJ104" s="443"/>
      <c r="AK104" s="443"/>
      <c r="AL104" s="443"/>
      <c r="AM104" s="443"/>
      <c r="AN104" s="443"/>
      <c r="AO104" s="443"/>
      <c r="AP104" s="443"/>
      <c r="AQ104" s="443"/>
      <c r="AR104" s="443"/>
      <c r="AS104" s="443"/>
      <c r="AT104" s="443"/>
    </row>
    <row r="105" spans="1:46" ht="15" x14ac:dyDescent="0.25">
      <c r="A105" s="443"/>
      <c r="B105" s="443"/>
      <c r="C105" s="496" t="s">
        <v>182</v>
      </c>
      <c r="D105" s="443"/>
      <c r="E105" s="492"/>
      <c r="F105" s="443"/>
      <c r="G105" s="443"/>
      <c r="H105" s="443"/>
      <c r="I105" s="443"/>
      <c r="J105" s="443"/>
      <c r="K105" s="443"/>
      <c r="L105" s="443"/>
      <c r="M105" s="443"/>
      <c r="N105" s="443"/>
      <c r="O105" s="450"/>
      <c r="P105" s="450"/>
      <c r="Q105" s="443"/>
      <c r="R105" s="443"/>
      <c r="S105" s="443"/>
      <c r="T105" s="443"/>
      <c r="U105" s="443"/>
      <c r="V105" s="443"/>
      <c r="W105" s="443"/>
      <c r="X105" s="443"/>
      <c r="Y105" s="443"/>
      <c r="Z105" s="443"/>
      <c r="AA105" s="443"/>
      <c r="AB105" s="443"/>
      <c r="AC105" s="443"/>
      <c r="AD105" s="443"/>
      <c r="AE105" s="443"/>
      <c r="AF105" s="443"/>
      <c r="AG105" s="443"/>
      <c r="AH105" s="443"/>
      <c r="AI105" s="443"/>
      <c r="AJ105" s="443"/>
      <c r="AK105" s="443"/>
      <c r="AL105" s="443"/>
      <c r="AM105" s="443"/>
      <c r="AN105" s="443"/>
      <c r="AO105" s="443"/>
      <c r="AP105" s="443"/>
      <c r="AQ105" s="443"/>
      <c r="AR105" s="443"/>
      <c r="AS105" s="443"/>
      <c r="AT105" s="443"/>
    </row>
    <row r="106" spans="1:46" ht="15" x14ac:dyDescent="0.25">
      <c r="A106" s="443"/>
      <c r="B106" s="443"/>
      <c r="C106" s="496"/>
      <c r="D106" s="443"/>
      <c r="E106" s="492"/>
      <c r="F106" s="443"/>
      <c r="G106" s="443"/>
      <c r="H106" s="443"/>
      <c r="I106" s="443"/>
      <c r="J106" s="443"/>
      <c r="K106" s="443"/>
      <c r="L106" s="443"/>
      <c r="M106" s="443"/>
      <c r="N106" s="443"/>
      <c r="O106" s="450"/>
      <c r="P106" s="450"/>
      <c r="Q106" s="443"/>
      <c r="R106" s="443"/>
      <c r="S106" s="443"/>
      <c r="T106" s="443"/>
      <c r="U106" s="443"/>
      <c r="V106" s="443"/>
      <c r="W106" s="443"/>
      <c r="X106" s="443"/>
      <c r="Y106" s="443"/>
      <c r="Z106" s="443"/>
      <c r="AA106" s="443"/>
      <c r="AB106" s="443"/>
      <c r="AC106" s="443"/>
      <c r="AD106" s="443"/>
      <c r="AE106" s="443"/>
      <c r="AF106" s="443"/>
      <c r="AG106" s="443"/>
      <c r="AH106" s="443"/>
      <c r="AI106" s="443"/>
      <c r="AJ106" s="443"/>
      <c r="AK106" s="443"/>
      <c r="AL106" s="443"/>
      <c r="AM106" s="443"/>
      <c r="AN106" s="443"/>
      <c r="AO106" s="443"/>
      <c r="AP106" s="443"/>
      <c r="AQ106" s="443"/>
      <c r="AR106" s="443"/>
      <c r="AS106" s="443"/>
      <c r="AT106" s="443"/>
    </row>
    <row r="107" spans="1:46" ht="15" x14ac:dyDescent="0.25">
      <c r="A107" s="443"/>
      <c r="B107" s="443"/>
      <c r="C107" s="496" t="s">
        <v>183</v>
      </c>
      <c r="D107" s="443"/>
      <c r="E107" s="492"/>
      <c r="F107" s="443"/>
      <c r="G107" s="443"/>
      <c r="H107" s="443"/>
      <c r="I107" s="443"/>
      <c r="J107" s="443"/>
      <c r="K107" s="443"/>
      <c r="L107" s="443"/>
      <c r="M107" s="443"/>
      <c r="N107" s="443"/>
      <c r="O107" s="450"/>
      <c r="P107" s="450"/>
      <c r="Q107" s="443"/>
      <c r="R107" s="443"/>
      <c r="S107" s="443"/>
      <c r="T107" s="443"/>
      <c r="U107" s="443"/>
      <c r="V107" s="443"/>
      <c r="W107" s="443"/>
      <c r="X107" s="443"/>
      <c r="Y107" s="443"/>
      <c r="Z107" s="443"/>
      <c r="AA107" s="443"/>
      <c r="AB107" s="443"/>
      <c r="AC107" s="443"/>
      <c r="AD107" s="443"/>
      <c r="AE107" s="443"/>
      <c r="AF107" s="443"/>
      <c r="AG107" s="443"/>
      <c r="AH107" s="443"/>
      <c r="AI107" s="443"/>
      <c r="AJ107" s="443"/>
      <c r="AK107" s="443"/>
      <c r="AL107" s="443"/>
      <c r="AM107" s="443"/>
      <c r="AN107" s="443"/>
      <c r="AO107" s="443"/>
      <c r="AP107" s="443"/>
      <c r="AQ107" s="443"/>
      <c r="AR107" s="443"/>
      <c r="AS107" s="443"/>
      <c r="AT107" s="443"/>
    </row>
    <row r="108" spans="1:46" ht="15" x14ac:dyDescent="0.25">
      <c r="A108" s="443"/>
      <c r="B108" s="443"/>
      <c r="C108" s="496" t="s">
        <v>184</v>
      </c>
      <c r="D108" s="443"/>
      <c r="E108" s="492"/>
      <c r="F108" s="443"/>
      <c r="G108" s="443"/>
      <c r="H108" s="443"/>
      <c r="I108" s="443"/>
      <c r="J108" s="443"/>
      <c r="K108" s="443"/>
      <c r="L108" s="443"/>
      <c r="M108" s="443"/>
      <c r="N108" s="443"/>
      <c r="O108" s="450"/>
      <c r="P108" s="450"/>
      <c r="Q108" s="443"/>
      <c r="R108" s="443"/>
      <c r="S108" s="443"/>
      <c r="T108" s="443"/>
      <c r="U108" s="443"/>
      <c r="V108" s="443"/>
      <c r="W108" s="443"/>
      <c r="X108" s="443"/>
      <c r="Y108" s="443"/>
      <c r="Z108" s="443"/>
      <c r="AA108" s="443"/>
      <c r="AB108" s="443"/>
      <c r="AC108" s="443"/>
      <c r="AD108" s="443"/>
      <c r="AE108" s="443"/>
      <c r="AF108" s="443"/>
      <c r="AG108" s="443"/>
      <c r="AH108" s="443"/>
      <c r="AI108" s="443"/>
      <c r="AJ108" s="443"/>
      <c r="AK108" s="443"/>
      <c r="AL108" s="443"/>
      <c r="AM108" s="443"/>
      <c r="AN108" s="443"/>
      <c r="AO108" s="443"/>
      <c r="AP108" s="443"/>
      <c r="AQ108" s="443"/>
      <c r="AR108" s="443"/>
      <c r="AS108" s="443"/>
      <c r="AT108" s="443"/>
    </row>
    <row r="109" spans="1:46" ht="15" x14ac:dyDescent="0.25">
      <c r="A109" s="443"/>
      <c r="B109" s="443"/>
      <c r="C109" s="496" t="s">
        <v>185</v>
      </c>
      <c r="D109" s="443"/>
      <c r="E109" s="492"/>
      <c r="F109" s="443"/>
      <c r="G109" s="443"/>
      <c r="H109" s="443"/>
      <c r="I109" s="443"/>
      <c r="J109" s="443"/>
      <c r="K109" s="443"/>
      <c r="L109" s="443"/>
      <c r="M109" s="443"/>
      <c r="N109" s="443"/>
      <c r="O109" s="450"/>
      <c r="P109" s="450"/>
      <c r="Q109" s="443"/>
      <c r="R109" s="443"/>
      <c r="S109" s="443"/>
      <c r="T109" s="443"/>
      <c r="U109" s="443"/>
      <c r="V109" s="443"/>
      <c r="W109" s="443"/>
      <c r="X109" s="443"/>
      <c r="Y109" s="443"/>
      <c r="Z109" s="443"/>
      <c r="AA109" s="443"/>
      <c r="AB109" s="443"/>
      <c r="AC109" s="443"/>
      <c r="AD109" s="443"/>
      <c r="AE109" s="443"/>
      <c r="AF109" s="443"/>
      <c r="AG109" s="443"/>
      <c r="AH109" s="443"/>
      <c r="AI109" s="443"/>
      <c r="AJ109" s="443"/>
      <c r="AK109" s="443"/>
      <c r="AL109" s="443"/>
      <c r="AM109" s="443"/>
      <c r="AN109" s="443"/>
      <c r="AO109" s="443"/>
      <c r="AP109" s="443"/>
      <c r="AQ109" s="443"/>
      <c r="AR109" s="443"/>
      <c r="AS109" s="443"/>
      <c r="AT109" s="443"/>
    </row>
    <row r="110" spans="1:46" ht="15" x14ac:dyDescent="0.25">
      <c r="A110" s="443"/>
      <c r="B110" s="443"/>
      <c r="C110" s="496" t="s">
        <v>186</v>
      </c>
      <c r="D110" s="443"/>
      <c r="E110" s="492"/>
      <c r="F110" s="443"/>
      <c r="G110" s="443"/>
      <c r="H110" s="443"/>
      <c r="I110" s="443"/>
      <c r="J110" s="443"/>
      <c r="K110" s="443"/>
      <c r="L110" s="443"/>
      <c r="M110" s="443"/>
      <c r="N110" s="443"/>
      <c r="O110" s="450"/>
      <c r="P110" s="450"/>
      <c r="Q110" s="443"/>
      <c r="R110" s="443"/>
      <c r="S110" s="443"/>
      <c r="T110" s="443"/>
      <c r="U110" s="443"/>
      <c r="V110" s="443"/>
      <c r="W110" s="443"/>
      <c r="X110" s="443"/>
      <c r="Y110" s="443"/>
      <c r="Z110" s="443"/>
      <c r="AA110" s="443"/>
      <c r="AB110" s="443"/>
      <c r="AC110" s="443"/>
      <c r="AD110" s="443"/>
      <c r="AE110" s="443"/>
      <c r="AF110" s="443"/>
      <c r="AG110" s="443"/>
      <c r="AH110" s="443"/>
      <c r="AI110" s="443"/>
      <c r="AJ110" s="443"/>
      <c r="AK110" s="443"/>
      <c r="AL110" s="443"/>
      <c r="AM110" s="443"/>
      <c r="AN110" s="443"/>
      <c r="AO110" s="443"/>
      <c r="AP110" s="443"/>
      <c r="AQ110" s="443"/>
      <c r="AR110" s="443"/>
      <c r="AS110" s="443"/>
      <c r="AT110" s="443"/>
    </row>
    <row r="111" spans="1:46" ht="15" x14ac:dyDescent="0.25">
      <c r="A111" s="443"/>
      <c r="B111" s="443"/>
      <c r="C111" s="496" t="s">
        <v>187</v>
      </c>
      <c r="D111" s="443"/>
      <c r="E111" s="492"/>
      <c r="F111" s="443"/>
      <c r="G111" s="443"/>
      <c r="H111" s="443"/>
      <c r="I111" s="443"/>
      <c r="J111" s="443"/>
      <c r="K111" s="443"/>
      <c r="L111" s="443"/>
      <c r="M111" s="443"/>
      <c r="N111" s="443"/>
      <c r="O111" s="450"/>
      <c r="P111" s="450"/>
      <c r="Q111" s="443"/>
      <c r="R111" s="443"/>
      <c r="S111" s="443"/>
      <c r="T111" s="443"/>
      <c r="U111" s="443"/>
      <c r="V111" s="443"/>
      <c r="W111" s="443"/>
      <c r="X111" s="443"/>
      <c r="Y111" s="443"/>
      <c r="Z111" s="443"/>
      <c r="AA111" s="443"/>
      <c r="AB111" s="443"/>
      <c r="AC111" s="443"/>
      <c r="AD111" s="443"/>
      <c r="AE111" s="443"/>
      <c r="AF111" s="443"/>
      <c r="AG111" s="443"/>
      <c r="AH111" s="443"/>
      <c r="AI111" s="443"/>
      <c r="AJ111" s="443"/>
      <c r="AK111" s="443"/>
      <c r="AL111" s="443"/>
      <c r="AM111" s="443"/>
      <c r="AN111" s="443"/>
      <c r="AO111" s="443"/>
      <c r="AP111" s="443"/>
      <c r="AQ111" s="443"/>
      <c r="AR111" s="443"/>
      <c r="AS111" s="443"/>
      <c r="AT111" s="443"/>
    </row>
    <row r="112" spans="1:46" ht="15" x14ac:dyDescent="0.25">
      <c r="A112" s="443"/>
      <c r="B112" s="443"/>
      <c r="C112" s="496" t="s">
        <v>188</v>
      </c>
      <c r="D112" s="443"/>
      <c r="E112" s="492"/>
      <c r="F112" s="443"/>
      <c r="G112" s="443"/>
      <c r="H112" s="443"/>
      <c r="I112" s="443"/>
      <c r="J112" s="443"/>
      <c r="K112" s="443"/>
      <c r="L112" s="443"/>
      <c r="M112" s="443"/>
      <c r="N112" s="443"/>
      <c r="O112" s="450"/>
      <c r="P112" s="450"/>
      <c r="Q112" s="443"/>
      <c r="R112" s="443"/>
      <c r="S112" s="443"/>
      <c r="T112" s="443"/>
      <c r="U112" s="443"/>
      <c r="V112" s="443"/>
      <c r="W112" s="443"/>
      <c r="X112" s="443"/>
      <c r="Y112" s="443"/>
      <c r="Z112" s="443"/>
      <c r="AA112" s="443"/>
      <c r="AB112" s="443"/>
      <c r="AC112" s="443"/>
      <c r="AD112" s="443"/>
      <c r="AE112" s="443"/>
      <c r="AF112" s="443"/>
      <c r="AG112" s="443"/>
      <c r="AH112" s="443"/>
      <c r="AI112" s="443"/>
      <c r="AJ112" s="443"/>
      <c r="AK112" s="443"/>
      <c r="AL112" s="443"/>
      <c r="AM112" s="443"/>
      <c r="AN112" s="443"/>
      <c r="AO112" s="443"/>
      <c r="AP112" s="443"/>
      <c r="AQ112" s="443"/>
      <c r="AR112" s="443"/>
      <c r="AS112" s="443"/>
      <c r="AT112" s="443"/>
    </row>
    <row r="113" spans="1:46" ht="15" x14ac:dyDescent="0.25">
      <c r="A113" s="443"/>
      <c r="B113" s="443"/>
      <c r="C113" s="496" t="s">
        <v>189</v>
      </c>
      <c r="D113" s="443"/>
      <c r="E113" s="492"/>
      <c r="F113" s="443"/>
      <c r="G113" s="443"/>
      <c r="H113" s="443"/>
      <c r="I113" s="443"/>
      <c r="J113" s="443"/>
      <c r="K113" s="443"/>
      <c r="L113" s="443"/>
      <c r="M113" s="443"/>
      <c r="N113" s="443"/>
      <c r="O113" s="450"/>
      <c r="P113" s="450"/>
      <c r="Q113" s="443"/>
      <c r="R113" s="443"/>
      <c r="S113" s="443"/>
      <c r="T113" s="443"/>
      <c r="U113" s="443"/>
      <c r="V113" s="443"/>
      <c r="W113" s="443"/>
      <c r="X113" s="443"/>
      <c r="Y113" s="443"/>
      <c r="Z113" s="443"/>
      <c r="AA113" s="443"/>
      <c r="AB113" s="443"/>
      <c r="AC113" s="443"/>
      <c r="AD113" s="443"/>
      <c r="AE113" s="443"/>
      <c r="AF113" s="443"/>
      <c r="AG113" s="443"/>
      <c r="AH113" s="443"/>
      <c r="AI113" s="443"/>
      <c r="AJ113" s="443"/>
      <c r="AK113" s="443"/>
      <c r="AL113" s="443"/>
      <c r="AM113" s="443"/>
      <c r="AN113" s="443"/>
      <c r="AO113" s="443"/>
      <c r="AP113" s="443"/>
      <c r="AQ113" s="443"/>
      <c r="AR113" s="443"/>
      <c r="AS113" s="443"/>
      <c r="AT113" s="443"/>
    </row>
    <row r="114" spans="1:46" ht="15" x14ac:dyDescent="0.25">
      <c r="A114" s="443"/>
      <c r="B114" s="443"/>
      <c r="C114" s="496" t="s">
        <v>190</v>
      </c>
      <c r="D114" s="443"/>
      <c r="E114" s="492"/>
      <c r="F114" s="443"/>
      <c r="G114" s="443"/>
      <c r="H114" s="443"/>
      <c r="I114" s="443"/>
      <c r="J114" s="443"/>
      <c r="K114" s="443"/>
      <c r="L114" s="443"/>
      <c r="M114" s="443"/>
      <c r="N114" s="443"/>
      <c r="O114" s="450"/>
      <c r="P114" s="450"/>
      <c r="Q114" s="443"/>
      <c r="R114" s="443"/>
      <c r="S114" s="443"/>
      <c r="T114" s="443"/>
      <c r="U114" s="443"/>
      <c r="V114" s="443"/>
      <c r="W114" s="443"/>
      <c r="X114" s="443"/>
      <c r="Y114" s="443"/>
      <c r="Z114" s="443"/>
      <c r="AA114" s="443"/>
      <c r="AB114" s="443"/>
      <c r="AC114" s="443"/>
      <c r="AD114" s="443"/>
      <c r="AE114" s="443"/>
      <c r="AF114" s="443"/>
      <c r="AG114" s="443"/>
      <c r="AH114" s="443"/>
      <c r="AI114" s="443"/>
      <c r="AJ114" s="443"/>
      <c r="AK114" s="443"/>
      <c r="AL114" s="443"/>
      <c r="AM114" s="443"/>
      <c r="AN114" s="443"/>
      <c r="AO114" s="443"/>
      <c r="AP114" s="443"/>
      <c r="AQ114" s="443"/>
      <c r="AR114" s="443"/>
      <c r="AS114" s="443"/>
      <c r="AT114" s="443"/>
    </row>
    <row r="115" spans="1:46" ht="15" x14ac:dyDescent="0.25">
      <c r="A115" s="443"/>
      <c r="B115" s="443"/>
      <c r="C115" s="496"/>
      <c r="D115" s="443"/>
      <c r="E115" s="492"/>
      <c r="F115" s="443"/>
      <c r="G115" s="443"/>
      <c r="H115" s="443"/>
      <c r="I115" s="443"/>
      <c r="J115" s="443"/>
      <c r="K115" s="443"/>
      <c r="L115" s="443"/>
      <c r="M115" s="443"/>
      <c r="N115" s="443"/>
      <c r="O115" s="450"/>
      <c r="P115" s="450"/>
      <c r="Q115" s="443"/>
      <c r="R115" s="443"/>
      <c r="S115" s="443"/>
      <c r="T115" s="443"/>
      <c r="U115" s="443"/>
      <c r="V115" s="443"/>
      <c r="W115" s="443"/>
      <c r="X115" s="443"/>
      <c r="Y115" s="443"/>
      <c r="Z115" s="443"/>
      <c r="AA115" s="443"/>
      <c r="AB115" s="443"/>
      <c r="AC115" s="443"/>
      <c r="AD115" s="443"/>
      <c r="AE115" s="443"/>
      <c r="AF115" s="443"/>
      <c r="AG115" s="443"/>
      <c r="AH115" s="443"/>
      <c r="AI115" s="443"/>
      <c r="AJ115" s="443"/>
      <c r="AK115" s="443"/>
      <c r="AL115" s="443"/>
      <c r="AM115" s="443"/>
      <c r="AN115" s="443"/>
      <c r="AO115" s="443"/>
      <c r="AP115" s="443"/>
      <c r="AQ115" s="443"/>
      <c r="AR115" s="443"/>
      <c r="AS115" s="443"/>
      <c r="AT115" s="443"/>
    </row>
    <row r="116" spans="1:46" ht="15" x14ac:dyDescent="0.25">
      <c r="A116" s="443"/>
      <c r="B116" s="443"/>
      <c r="C116" s="497" t="s">
        <v>191</v>
      </c>
      <c r="D116" s="498"/>
      <c r="E116" s="492"/>
      <c r="F116" s="443"/>
      <c r="G116" s="443"/>
      <c r="H116" s="443"/>
      <c r="I116" s="443"/>
      <c r="J116" s="443"/>
      <c r="K116" s="443"/>
      <c r="L116" s="443"/>
      <c r="M116" s="443"/>
      <c r="N116" s="443"/>
      <c r="O116" s="450"/>
      <c r="P116" s="450"/>
      <c r="Q116" s="443"/>
      <c r="R116" s="443"/>
      <c r="S116" s="443"/>
      <c r="T116" s="443"/>
      <c r="U116" s="443"/>
      <c r="V116" s="443"/>
      <c r="W116" s="443"/>
      <c r="X116" s="443"/>
      <c r="Y116" s="443"/>
      <c r="Z116" s="443"/>
      <c r="AA116" s="443"/>
      <c r="AB116" s="443"/>
      <c r="AC116" s="443"/>
      <c r="AD116" s="443"/>
      <c r="AE116" s="443"/>
      <c r="AF116" s="443"/>
      <c r="AG116" s="443"/>
      <c r="AH116" s="443"/>
      <c r="AI116" s="443"/>
      <c r="AJ116" s="443"/>
      <c r="AK116" s="443"/>
      <c r="AL116" s="443"/>
      <c r="AM116" s="443"/>
      <c r="AN116" s="443"/>
      <c r="AO116" s="443"/>
      <c r="AP116" s="443"/>
      <c r="AQ116" s="443"/>
      <c r="AR116" s="443"/>
      <c r="AS116" s="443"/>
      <c r="AT116" s="443"/>
    </row>
    <row r="117" spans="1:46" ht="15" x14ac:dyDescent="0.25">
      <c r="A117" s="443"/>
      <c r="B117" s="443"/>
      <c r="C117" s="497" t="s">
        <v>192</v>
      </c>
      <c r="D117" s="498"/>
      <c r="E117" s="492"/>
      <c r="F117" s="443"/>
      <c r="G117" s="443"/>
      <c r="H117" s="443"/>
      <c r="I117" s="443"/>
      <c r="J117" s="443"/>
      <c r="K117" s="443"/>
      <c r="L117" s="443"/>
      <c r="M117" s="443"/>
      <c r="N117" s="443"/>
      <c r="O117" s="450"/>
      <c r="P117" s="450"/>
      <c r="Q117" s="443"/>
      <c r="R117" s="443"/>
      <c r="S117" s="443"/>
      <c r="T117" s="443"/>
      <c r="U117" s="443"/>
      <c r="V117" s="443"/>
      <c r="W117" s="443"/>
      <c r="X117" s="443"/>
      <c r="Y117" s="443"/>
      <c r="Z117" s="443"/>
      <c r="AA117" s="443"/>
      <c r="AB117" s="443"/>
      <c r="AC117" s="443"/>
      <c r="AD117" s="443"/>
      <c r="AE117" s="443"/>
      <c r="AF117" s="443"/>
      <c r="AG117" s="443"/>
      <c r="AH117" s="443"/>
      <c r="AI117" s="443"/>
      <c r="AJ117" s="443"/>
      <c r="AK117" s="443"/>
      <c r="AL117" s="443"/>
      <c r="AM117" s="443"/>
      <c r="AN117" s="443"/>
      <c r="AO117" s="443"/>
      <c r="AP117" s="443"/>
      <c r="AQ117" s="443"/>
      <c r="AR117" s="443"/>
      <c r="AS117" s="443"/>
      <c r="AT117" s="443"/>
    </row>
    <row r="118" spans="1:46" ht="15" x14ac:dyDescent="0.25">
      <c r="A118" s="443"/>
      <c r="B118" s="443"/>
      <c r="C118" s="496"/>
      <c r="D118" s="443"/>
      <c r="E118" s="492"/>
      <c r="F118" s="443"/>
      <c r="G118" s="443"/>
      <c r="H118" s="443"/>
      <c r="I118" s="443"/>
      <c r="J118" s="443"/>
      <c r="K118" s="443"/>
      <c r="L118" s="443"/>
      <c r="M118" s="443"/>
      <c r="N118" s="443"/>
      <c r="O118" s="450"/>
      <c r="P118" s="450"/>
      <c r="Q118" s="443"/>
      <c r="R118" s="443"/>
      <c r="S118" s="443"/>
      <c r="T118" s="443"/>
      <c r="U118" s="443"/>
      <c r="V118" s="443"/>
      <c r="W118" s="443"/>
      <c r="X118" s="443"/>
      <c r="Y118" s="443"/>
      <c r="Z118" s="443"/>
      <c r="AA118" s="443"/>
      <c r="AB118" s="443"/>
      <c r="AC118" s="443"/>
      <c r="AD118" s="443"/>
      <c r="AE118" s="443"/>
      <c r="AF118" s="443"/>
      <c r="AG118" s="443"/>
      <c r="AH118" s="443"/>
      <c r="AI118" s="443"/>
      <c r="AJ118" s="443"/>
      <c r="AK118" s="443"/>
      <c r="AL118" s="443"/>
      <c r="AM118" s="443"/>
      <c r="AN118" s="443"/>
      <c r="AO118" s="443"/>
      <c r="AP118" s="443"/>
      <c r="AQ118" s="443"/>
      <c r="AR118" s="443"/>
      <c r="AS118" s="443"/>
      <c r="AT118" s="443"/>
    </row>
    <row r="119" spans="1:46" ht="15" x14ac:dyDescent="0.25">
      <c r="A119" s="443"/>
      <c r="B119" s="443"/>
      <c r="C119" s="499"/>
      <c r="D119" s="443"/>
      <c r="E119" s="492"/>
      <c r="F119" s="443"/>
      <c r="G119" s="443"/>
      <c r="H119" s="443"/>
      <c r="I119" s="443"/>
      <c r="J119" s="443"/>
      <c r="K119" s="443"/>
      <c r="L119" s="443"/>
      <c r="M119" s="443"/>
      <c r="N119" s="443"/>
      <c r="O119" s="450"/>
      <c r="P119" s="450"/>
      <c r="Q119" s="443"/>
      <c r="R119" s="443"/>
      <c r="S119" s="443"/>
      <c r="T119" s="443"/>
      <c r="U119" s="443"/>
      <c r="V119" s="443"/>
      <c r="W119" s="443"/>
      <c r="X119" s="443"/>
      <c r="Y119" s="443"/>
      <c r="Z119" s="443"/>
      <c r="AA119" s="443"/>
      <c r="AB119" s="443"/>
      <c r="AC119" s="443"/>
      <c r="AD119" s="443"/>
      <c r="AE119" s="443"/>
      <c r="AF119" s="443"/>
      <c r="AG119" s="443"/>
      <c r="AH119" s="443"/>
      <c r="AI119" s="443"/>
      <c r="AJ119" s="443"/>
      <c r="AK119" s="443"/>
      <c r="AL119" s="443"/>
      <c r="AM119" s="443"/>
      <c r="AN119" s="443"/>
      <c r="AO119" s="443"/>
      <c r="AP119" s="443"/>
      <c r="AQ119" s="443"/>
      <c r="AR119" s="443"/>
      <c r="AS119" s="443"/>
      <c r="AT119" s="443"/>
    </row>
    <row r="120" spans="1:46" ht="15" x14ac:dyDescent="0.25">
      <c r="A120" s="443"/>
      <c r="B120" s="443"/>
      <c r="C120" s="443" t="s">
        <v>163</v>
      </c>
      <c r="D120" s="443"/>
      <c r="E120" s="492"/>
      <c r="F120" s="443"/>
      <c r="G120" s="443"/>
      <c r="H120" s="443"/>
      <c r="I120" s="443"/>
      <c r="J120" s="443"/>
      <c r="K120" s="443"/>
      <c r="L120" s="443"/>
      <c r="M120" s="443"/>
      <c r="N120" s="443"/>
      <c r="O120" s="450"/>
      <c r="P120" s="450"/>
      <c r="Q120" s="443"/>
      <c r="R120" s="443"/>
      <c r="S120" s="443"/>
      <c r="T120" s="443"/>
      <c r="U120" s="443"/>
      <c r="V120" s="443"/>
      <c r="W120" s="443"/>
      <c r="X120" s="443"/>
      <c r="Y120" s="443"/>
      <c r="Z120" s="443"/>
      <c r="AA120" s="443"/>
      <c r="AB120" s="443"/>
      <c r="AC120" s="443"/>
      <c r="AD120" s="443"/>
      <c r="AE120" s="443"/>
      <c r="AF120" s="443"/>
      <c r="AG120" s="443"/>
      <c r="AH120" s="443"/>
      <c r="AI120" s="443"/>
      <c r="AJ120" s="443"/>
      <c r="AK120" s="443"/>
      <c r="AL120" s="443"/>
      <c r="AM120" s="443"/>
      <c r="AN120" s="443"/>
      <c r="AO120" s="443"/>
      <c r="AP120" s="443"/>
      <c r="AQ120" s="443"/>
      <c r="AR120" s="443"/>
      <c r="AS120" s="443"/>
      <c r="AT120" s="443"/>
    </row>
    <row r="121" spans="1:46" ht="15" x14ac:dyDescent="0.25">
      <c r="A121" s="443"/>
      <c r="B121" s="443"/>
      <c r="C121" s="443" t="s">
        <v>153</v>
      </c>
      <c r="D121" s="443"/>
      <c r="E121" s="492"/>
      <c r="F121" s="443"/>
      <c r="G121" s="443"/>
      <c r="H121" s="443"/>
      <c r="I121" s="443"/>
      <c r="J121" s="443"/>
      <c r="K121" s="443"/>
      <c r="L121" s="443"/>
      <c r="M121" s="443"/>
      <c r="N121" s="443"/>
      <c r="O121" s="450"/>
      <c r="P121" s="450"/>
      <c r="Q121" s="443"/>
      <c r="R121" s="443"/>
      <c r="S121" s="443"/>
      <c r="T121" s="443"/>
      <c r="U121" s="443"/>
      <c r="V121" s="443"/>
      <c r="W121" s="443"/>
      <c r="X121" s="443"/>
      <c r="Y121" s="443"/>
      <c r="Z121" s="443"/>
      <c r="AA121" s="443"/>
      <c r="AB121" s="443"/>
      <c r="AC121" s="443"/>
      <c r="AD121" s="443"/>
      <c r="AE121" s="443"/>
      <c r="AF121" s="443"/>
      <c r="AG121" s="443"/>
      <c r="AH121" s="443"/>
      <c r="AI121" s="443"/>
      <c r="AJ121" s="443"/>
      <c r="AK121" s="443"/>
      <c r="AL121" s="443"/>
      <c r="AM121" s="443"/>
      <c r="AN121" s="443"/>
      <c r="AO121" s="443"/>
      <c r="AP121" s="443"/>
      <c r="AQ121" s="443"/>
      <c r="AR121" s="443"/>
      <c r="AS121" s="443"/>
      <c r="AT121" s="443"/>
    </row>
    <row r="122" spans="1:46" ht="15" x14ac:dyDescent="0.25">
      <c r="A122" s="443"/>
      <c r="B122" s="443"/>
      <c r="C122" s="443" t="s">
        <v>100</v>
      </c>
      <c r="D122" s="443"/>
      <c r="E122" s="492"/>
      <c r="F122" s="443"/>
      <c r="G122" s="443"/>
      <c r="H122" s="443"/>
      <c r="I122" s="443"/>
      <c r="J122" s="443"/>
      <c r="K122" s="443"/>
      <c r="L122" s="443"/>
      <c r="M122" s="443"/>
      <c r="N122" s="443"/>
      <c r="O122" s="450"/>
      <c r="P122" s="450"/>
      <c r="Q122" s="443"/>
      <c r="R122" s="443"/>
      <c r="S122" s="443"/>
      <c r="T122" s="443"/>
      <c r="U122" s="443"/>
      <c r="V122" s="443"/>
      <c r="W122" s="443"/>
      <c r="X122" s="443"/>
      <c r="Y122" s="443"/>
      <c r="Z122" s="443"/>
      <c r="AA122" s="443"/>
      <c r="AB122" s="443"/>
      <c r="AC122" s="443"/>
      <c r="AD122" s="443"/>
      <c r="AE122" s="443"/>
      <c r="AF122" s="443"/>
      <c r="AG122" s="443"/>
      <c r="AH122" s="443"/>
      <c r="AI122" s="443"/>
      <c r="AJ122" s="443"/>
      <c r="AK122" s="443"/>
      <c r="AL122" s="443"/>
      <c r="AM122" s="443"/>
      <c r="AN122" s="443"/>
      <c r="AO122" s="443"/>
      <c r="AP122" s="443"/>
      <c r="AQ122" s="443"/>
      <c r="AR122" s="443"/>
      <c r="AS122" s="443"/>
      <c r="AT122" s="443"/>
    </row>
    <row r="123" spans="1:46" ht="15" x14ac:dyDescent="0.25">
      <c r="A123" s="443"/>
      <c r="B123" s="443"/>
      <c r="C123" s="443"/>
      <c r="D123" s="443"/>
      <c r="E123" s="492"/>
      <c r="F123" s="443"/>
      <c r="G123" s="443"/>
      <c r="H123" s="443"/>
      <c r="I123" s="443"/>
      <c r="J123" s="443"/>
      <c r="K123" s="443"/>
      <c r="L123" s="443"/>
      <c r="M123" s="443"/>
      <c r="N123" s="443"/>
      <c r="O123" s="450"/>
      <c r="P123" s="450"/>
      <c r="Q123" s="443"/>
      <c r="R123" s="443"/>
      <c r="S123" s="443"/>
      <c r="T123" s="443"/>
      <c r="U123" s="443"/>
      <c r="V123" s="443"/>
      <c r="W123" s="443"/>
      <c r="X123" s="443"/>
      <c r="Y123" s="443"/>
      <c r="Z123" s="443"/>
      <c r="AA123" s="443"/>
      <c r="AB123" s="443"/>
      <c r="AC123" s="443"/>
      <c r="AD123" s="443"/>
      <c r="AE123" s="443"/>
      <c r="AF123" s="443"/>
      <c r="AG123" s="443"/>
      <c r="AH123" s="443"/>
      <c r="AI123" s="443"/>
      <c r="AJ123" s="443"/>
      <c r="AK123" s="443"/>
      <c r="AL123" s="443"/>
      <c r="AM123" s="443"/>
      <c r="AN123" s="443"/>
      <c r="AO123" s="443"/>
      <c r="AP123" s="443"/>
      <c r="AQ123" s="443"/>
      <c r="AR123" s="443"/>
      <c r="AS123" s="443"/>
      <c r="AT123" s="443"/>
    </row>
    <row r="124" spans="1:46" x14ac:dyDescent="0.25">
      <c r="C124" s="75" t="s">
        <v>193</v>
      </c>
    </row>
  </sheetData>
  <mergeCells count="45">
    <mergeCell ref="P13:Q13"/>
    <mergeCell ref="A22:J22"/>
    <mergeCell ref="B24:B25"/>
    <mergeCell ref="C89:C95"/>
    <mergeCell ref="K87:K88"/>
    <mergeCell ref="L87:L88"/>
    <mergeCell ref="M87:M88"/>
    <mergeCell ref="E87:J87"/>
    <mergeCell ref="P87:P88"/>
    <mergeCell ref="C82:C85"/>
    <mergeCell ref="N87:N88"/>
    <mergeCell ref="C32:C33"/>
    <mergeCell ref="D32:D33"/>
    <mergeCell ref="B32:B33"/>
    <mergeCell ref="B87:B88"/>
    <mergeCell ref="C87:C88"/>
    <mergeCell ref="S69:S71"/>
    <mergeCell ref="R80:V80"/>
    <mergeCell ref="B51:M51"/>
    <mergeCell ref="C34:C40"/>
    <mergeCell ref="B58:M58"/>
    <mergeCell ref="B43:B44"/>
    <mergeCell ref="C43:C44"/>
    <mergeCell ref="D43:D44"/>
    <mergeCell ref="E43:J43"/>
    <mergeCell ref="B67:E67"/>
    <mergeCell ref="E80:J80"/>
    <mergeCell ref="K80:K81"/>
    <mergeCell ref="O80:O81"/>
    <mergeCell ref="C80:C81"/>
    <mergeCell ref="D80:D81"/>
    <mergeCell ref="B56:C56"/>
    <mergeCell ref="D87:D88"/>
    <mergeCell ref="B80:B81"/>
    <mergeCell ref="B59:M59"/>
    <mergeCell ref="B60:J60"/>
    <mergeCell ref="B63:N64"/>
    <mergeCell ref="B69:C69"/>
    <mergeCell ref="A1:N1"/>
    <mergeCell ref="K24:L25"/>
    <mergeCell ref="C24:J25"/>
    <mergeCell ref="E32:J32"/>
    <mergeCell ref="C45:C48"/>
    <mergeCell ref="C28:H28"/>
    <mergeCell ref="E7:F7"/>
  </mergeCells>
  <phoneticPr fontId="0" type="noConversion"/>
  <dataValidations count="2">
    <dataValidation type="list" allowBlank="1" showInputMessage="1" showErrorMessage="1" sqref="E20:E21" xr:uid="{00000000-0002-0000-0500-000000000000}">
      <formula1>$C$99:$C$100</formula1>
    </dataValidation>
    <dataValidation allowBlank="1" showInputMessage="1" sqref="B55:M55 A2:G2 I2:M2" xr:uid="{00000000-0002-0000-0500-000001000000}"/>
  </dataValidations>
  <printOptions horizontalCentered="1"/>
  <pageMargins left="0.74803149606299202" right="0.74803149606299202" top="0.98425196850393704" bottom="0.98425196850393704" header="0.511811023622047" footer="0.511811023622047"/>
  <pageSetup paperSize="9" scale="65" orientation="portrait" r:id="rId1"/>
  <headerFooter alignWithMargins="0">
    <oddHeader xml:space="preserve">&amp;R&amp;8OA.041-18 </oddHeader>
  </headerFooter>
  <ignoredErrors>
    <ignoredError sqref="H2" unlocked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2" r:id="rId4">
          <objectPr defaultSize="0" autoPict="0" r:id="rId5">
            <anchor moveWithCells="1" sizeWithCells="1">
              <from>
                <xdr:col>12</xdr:col>
                <xdr:colOff>7620</xdr:colOff>
                <xdr:row>28</xdr:row>
                <xdr:rowOff>0</xdr:rowOff>
              </from>
              <to>
                <xdr:col>12</xdr:col>
                <xdr:colOff>411480</xdr:colOff>
                <xdr:row>28</xdr:row>
                <xdr:rowOff>0</xdr:rowOff>
              </to>
            </anchor>
          </objectPr>
        </oleObject>
      </mc:Choice>
      <mc:Fallback>
        <oleObject progId="Equation.3" shapeId="2" r:id="rId4"/>
      </mc:Fallback>
    </mc:AlternateContent>
    <mc:AlternateContent xmlns:mc="http://schemas.openxmlformats.org/markup-compatibility/2006">
      <mc:Choice Requires="x14">
        <oleObject progId="Equation.3" shapeId="3" r:id="rId6">
          <objectPr defaultSize="0" autoPict="0" r:id="rId5">
            <anchor moveWithCells="1" sizeWithCells="1">
              <from>
                <xdr:col>12</xdr:col>
                <xdr:colOff>7620</xdr:colOff>
                <xdr:row>28</xdr:row>
                <xdr:rowOff>0</xdr:rowOff>
              </from>
              <to>
                <xdr:col>12</xdr:col>
                <xdr:colOff>411480</xdr:colOff>
                <xdr:row>28</xdr:row>
                <xdr:rowOff>0</xdr:rowOff>
              </to>
            </anchor>
          </objectPr>
        </oleObject>
      </mc:Choice>
      <mc:Fallback>
        <oleObject progId="Equation.3" shapeId="3" r:id="rId6"/>
      </mc:Fallback>
    </mc:AlternateContent>
    <mc:AlternateContent xmlns:mc="http://schemas.openxmlformats.org/markup-compatibility/2006">
      <mc:Choice Requires="x14">
        <oleObject progId="Equation.3" shapeId="4" r:id="rId7">
          <objectPr defaultSize="0" autoPict="0" r:id="rId5">
            <anchor moveWithCells="1" sizeWithCells="1">
              <from>
                <xdr:col>12</xdr:col>
                <xdr:colOff>7620</xdr:colOff>
                <xdr:row>28</xdr:row>
                <xdr:rowOff>0</xdr:rowOff>
              </from>
              <to>
                <xdr:col>12</xdr:col>
                <xdr:colOff>411480</xdr:colOff>
                <xdr:row>28</xdr:row>
                <xdr:rowOff>0</xdr:rowOff>
              </to>
            </anchor>
          </objectPr>
        </oleObject>
      </mc:Choice>
      <mc:Fallback>
        <oleObject progId="Equation.3" shapeId="4" r:id="rId7"/>
      </mc:Fallback>
    </mc:AlternateContent>
    <mc:AlternateContent xmlns:mc="http://schemas.openxmlformats.org/markup-compatibility/2006">
      <mc:Choice Requires="x14">
        <oleObject progId="Equation.3" shapeId="5" r:id="rId8">
          <objectPr defaultSize="0" autoPict="0" r:id="rId5">
            <anchor moveWithCells="1" sizeWithCells="1">
              <from>
                <xdr:col>12</xdr:col>
                <xdr:colOff>7620</xdr:colOff>
                <xdr:row>28</xdr:row>
                <xdr:rowOff>0</xdr:rowOff>
              </from>
              <to>
                <xdr:col>12</xdr:col>
                <xdr:colOff>411480</xdr:colOff>
                <xdr:row>28</xdr:row>
                <xdr:rowOff>0</xdr:rowOff>
              </to>
            </anchor>
          </objectPr>
        </oleObject>
      </mc:Choice>
      <mc:Fallback>
        <oleObject progId="Equation.3" shapeId="5" r:id="rId8"/>
      </mc:Fallback>
    </mc:AlternateContent>
    <mc:AlternateContent xmlns:mc="http://schemas.openxmlformats.org/markup-compatibility/2006">
      <mc:Choice Requires="x14">
        <oleObject progId="Equation.3" shapeId="6" r:id="rId9">
          <objectPr defaultSize="0" autoPict="0" r:id="rId5">
            <anchor moveWithCells="1" sizeWithCells="1">
              <from>
                <xdr:col>12</xdr:col>
                <xdr:colOff>7620</xdr:colOff>
                <xdr:row>28</xdr:row>
                <xdr:rowOff>0</xdr:rowOff>
              </from>
              <to>
                <xdr:col>12</xdr:col>
                <xdr:colOff>411480</xdr:colOff>
                <xdr:row>28</xdr:row>
                <xdr:rowOff>0</xdr:rowOff>
              </to>
            </anchor>
          </objectPr>
        </oleObject>
      </mc:Choice>
      <mc:Fallback>
        <oleObject progId="Equation.3" shapeId="6" r:id="rId9"/>
      </mc:Fallback>
    </mc:AlternateContent>
    <mc:AlternateContent xmlns:mc="http://schemas.openxmlformats.org/markup-compatibility/2006">
      <mc:Choice Requires="x14">
        <oleObject progId="Equation.3" shapeId="7" r:id="rId10">
          <objectPr defaultSize="0" autoPict="0" r:id="rId5">
            <anchor moveWithCells="1" sizeWithCells="1">
              <from>
                <xdr:col>12</xdr:col>
                <xdr:colOff>7620</xdr:colOff>
                <xdr:row>28</xdr:row>
                <xdr:rowOff>0</xdr:rowOff>
              </from>
              <to>
                <xdr:col>12</xdr:col>
                <xdr:colOff>411480</xdr:colOff>
                <xdr:row>28</xdr:row>
                <xdr:rowOff>0</xdr:rowOff>
              </to>
            </anchor>
          </objectPr>
        </oleObject>
      </mc:Choice>
      <mc:Fallback>
        <oleObject progId="Equation.3" shapeId="7" r:id="rId10"/>
      </mc:Fallback>
    </mc:AlternateContent>
    <mc:AlternateContent xmlns:mc="http://schemas.openxmlformats.org/markup-compatibility/2006">
      <mc:Choice Requires="x14">
        <oleObject progId="Equation.3" shapeId="8" r:id="rId11">
          <objectPr defaultSize="0" autoPict="0" r:id="rId5">
            <anchor moveWithCells="1" sizeWithCells="1">
              <from>
                <xdr:col>12</xdr:col>
                <xdr:colOff>7620</xdr:colOff>
                <xdr:row>28</xdr:row>
                <xdr:rowOff>0</xdr:rowOff>
              </from>
              <to>
                <xdr:col>12</xdr:col>
                <xdr:colOff>411480</xdr:colOff>
                <xdr:row>28</xdr:row>
                <xdr:rowOff>0</xdr:rowOff>
              </to>
            </anchor>
          </objectPr>
        </oleObject>
      </mc:Choice>
      <mc:Fallback>
        <oleObject progId="Equation.3" shapeId="8" r:id="rId11"/>
      </mc:Fallback>
    </mc:AlternateContent>
    <mc:AlternateContent xmlns:mc="http://schemas.openxmlformats.org/markup-compatibility/2006">
      <mc:Choice Requires="x14">
        <oleObject progId="Equation.3" shapeId="11" r:id="rId12">
          <objectPr defaultSize="0" autoPict="0" r:id="rId5">
            <anchor moveWithCells="1" sizeWithCells="1">
              <from>
                <xdr:col>10</xdr:col>
                <xdr:colOff>7620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1" r:id="rId12"/>
      </mc:Fallback>
    </mc:AlternateContent>
    <mc:AlternateContent xmlns:mc="http://schemas.openxmlformats.org/markup-compatibility/2006">
      <mc:Choice Requires="x14">
        <oleObject progId="Equation.3" shapeId="12" r:id="rId13">
          <objectPr defaultSize="0" autoPict="0" r:id="rId5">
            <anchor moveWithCells="1" sizeWithCells="1">
              <from>
                <xdr:col>10</xdr:col>
                <xdr:colOff>7620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2" r:id="rId13"/>
      </mc:Fallback>
    </mc:AlternateContent>
    <mc:AlternateContent xmlns:mc="http://schemas.openxmlformats.org/markup-compatibility/2006">
      <mc:Choice Requires="x14">
        <oleObject progId="Equation.3" shapeId="13" r:id="rId14">
          <objectPr defaultSize="0" autoPict="0" r:id="rId5">
            <anchor moveWithCells="1" sizeWithCells="1">
              <from>
                <xdr:col>10</xdr:col>
                <xdr:colOff>7620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" r:id="rId14"/>
      </mc:Fallback>
    </mc:AlternateContent>
    <mc:AlternateContent xmlns:mc="http://schemas.openxmlformats.org/markup-compatibility/2006">
      <mc:Choice Requires="x14">
        <oleObject progId="Equation.3" shapeId="14" r:id="rId15">
          <objectPr defaultSize="0" autoPict="0" r:id="rId5">
            <anchor moveWithCells="1" sizeWithCells="1">
              <from>
                <xdr:col>10</xdr:col>
                <xdr:colOff>7620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" r:id="rId15"/>
      </mc:Fallback>
    </mc:AlternateContent>
    <mc:AlternateContent xmlns:mc="http://schemas.openxmlformats.org/markup-compatibility/2006">
      <mc:Choice Requires="x14">
        <oleObject progId="Equation.3" shapeId="15" r:id="rId16">
          <objectPr defaultSize="0" autoPict="0" r:id="rId5">
            <anchor moveWithCells="1" sizeWithCells="1">
              <from>
                <xdr:col>10</xdr:col>
                <xdr:colOff>7620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" r:id="rId16"/>
      </mc:Fallback>
    </mc:AlternateContent>
    <mc:AlternateContent xmlns:mc="http://schemas.openxmlformats.org/markup-compatibility/2006">
      <mc:Choice Requires="x14">
        <oleObject progId="Equation.3" shapeId="16" r:id="rId17">
          <objectPr defaultSize="0" autoPict="0" r:id="rId5">
            <anchor moveWithCells="1" sizeWithCells="1">
              <from>
                <xdr:col>10</xdr:col>
                <xdr:colOff>7620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6" r:id="rId17"/>
      </mc:Fallback>
    </mc:AlternateContent>
    <mc:AlternateContent xmlns:mc="http://schemas.openxmlformats.org/markup-compatibility/2006">
      <mc:Choice Requires="x14">
        <oleObject progId="Equation.3" shapeId="17" r:id="rId18">
          <objectPr defaultSize="0" autoPict="0" r:id="rId5">
            <anchor moveWithCells="1" sizeWithCells="1">
              <from>
                <xdr:col>10</xdr:col>
                <xdr:colOff>7620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7" r:id="rId18"/>
      </mc:Fallback>
    </mc:AlternateContent>
    <mc:AlternateContent xmlns:mc="http://schemas.openxmlformats.org/markup-compatibility/2006">
      <mc:Choice Requires="x14">
        <oleObject progId="Equation.3" shapeId="18" r:id="rId19">
          <objectPr defaultSize="0" autoPict="0" r:id="rId5">
            <anchor moveWithCells="1" sizeWithCells="1">
              <from>
                <xdr:col>10</xdr:col>
                <xdr:colOff>7620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8" r:id="rId19"/>
      </mc:Fallback>
    </mc:AlternateContent>
    <mc:AlternateContent xmlns:mc="http://schemas.openxmlformats.org/markup-compatibility/2006">
      <mc:Choice Requires="x14">
        <oleObject progId="Equation.3" shapeId="19" r:id="rId20">
          <objectPr defaultSize="0" autoPict="0" r:id="rId5">
            <anchor moveWithCells="1" sizeWithCells="1">
              <from>
                <xdr:col>10</xdr:col>
                <xdr:colOff>7620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9" r:id="rId20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xr:uid="{00000000-0002-0000-0500-000002000000}">
          <x14:formula1>
            <xm:f>cetik!$A$1:$A$2</xm:f>
          </x14:formula1>
          <xm:sqref>B51</xm:sqref>
        </x14:dataValidation>
        <x14:dataValidation type="list" allowBlank="1" showInputMessage="1" showErrorMessage="1" xr:uid="{00000000-0002-0000-0500-000003000000}">
          <x14:formula1>
            <xm:f>'DB ESA'!$A$235:$A$243</xm:f>
          </x14:formula1>
          <xm:sqref>B59:M59</xm:sqref>
        </x14:dataValidation>
        <x14:dataValidation type="list" allowBlank="1" showInputMessage="1" showErrorMessage="1" xr:uid="{00000000-0002-0000-0500-000004000000}">
          <x14:formula1>
            <xm:f>'DB Suhu'!$A$354:$A$371</xm:f>
          </x14:formula1>
          <xm:sqref>B60:J60</xm:sqref>
        </x14:dataValidation>
        <x14:dataValidation type="list" allowBlank="1" showInputMessage="1" showErrorMessage="1" xr:uid="{00000000-0002-0000-0500-000005000000}">
          <x14:formula1>
            <xm:f>cetik!$L$1:$L$10</xm:f>
          </x14:formula1>
          <xm:sqref>B58:M58</xm:sqref>
        </x14:dataValidation>
        <x14:dataValidation type="list" allowBlank="1" showInputMessage="1" xr:uid="{00000000-0002-0000-0500-000006000000}">
          <x14:formula1>
            <xm:f>cetik!$H$1:$H$18</xm:f>
          </x14:formula1>
          <xm:sqref>D68:D70</xm:sqref>
        </x14:dataValidation>
        <x14:dataValidation type="list" allowBlank="1" showInputMessage="1" showErrorMessage="1" xr:uid="{00000000-0002-0000-0500-000007000000}">
          <x14:formula1>
            <xm:f>cetik!$I$1:$I$2</xm:f>
          </x14:formula1>
          <xm:sqref>C28</xm:sqref>
        </x14:dataValidation>
        <x14:dataValidation type="list" allowBlank="1" showInputMessage="1" xr:uid="{00000000-0002-0000-0500-000008000000}">
          <x14:formula1>
            <xm:f>cetik!$H$1:$H$22</xm:f>
          </x14:formula1>
          <xm:sqref>B67:E67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M80"/>
  <sheetViews>
    <sheetView showGridLines="0" view="pageBreakPreview" topLeftCell="A31" zoomScale="90" zoomScaleNormal="100" zoomScaleSheetLayoutView="90" workbookViewId="0">
      <selection activeCell="J46" sqref="J46"/>
    </sheetView>
  </sheetViews>
  <sheetFormatPr defaultColWidth="9.109375" defaultRowHeight="13.2" x14ac:dyDescent="0.25"/>
  <cols>
    <col min="1" max="1" width="4.44140625" style="89" customWidth="1"/>
    <col min="2" max="2" width="4.109375" style="89" customWidth="1"/>
    <col min="3" max="3" width="18.6640625" style="89" customWidth="1"/>
    <col min="4" max="4" width="4.33203125" style="89" customWidth="1"/>
    <col min="5" max="5" width="7.109375" style="89" customWidth="1"/>
    <col min="6" max="6" width="13.33203125" style="89" customWidth="1"/>
    <col min="7" max="7" width="11.88671875" style="89" customWidth="1"/>
    <col min="8" max="8" width="12.5546875" style="89" customWidth="1"/>
    <col min="9" max="9" width="8.33203125" style="89" customWidth="1"/>
    <col min="10" max="10" width="7.88671875" style="89" customWidth="1"/>
    <col min="11" max="11" width="25.33203125" style="89" customWidth="1"/>
    <col min="12" max="12" width="15.88671875" style="89" customWidth="1"/>
    <col min="13" max="16384" width="9.109375" style="89"/>
  </cols>
  <sheetData>
    <row r="1" spans="1:12" ht="17.399999999999999" x14ac:dyDescent="0.25">
      <c r="A1" s="966" t="str">
        <f>Penyelia!A1</f>
        <v>HASIL KALIBRASI PULSE OXYMETER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</row>
    <row r="2" spans="1:12" ht="17.25" customHeight="1" x14ac:dyDescent="0.25">
      <c r="A2" s="967" t="str">
        <f>Penyelia!A2</f>
        <v>Nomor Sertifikat : 42 / 1 / IV - 21 / E - 050.000 DL</v>
      </c>
      <c r="B2" s="967"/>
      <c r="C2" s="967"/>
      <c r="D2" s="967"/>
      <c r="E2" s="967"/>
      <c r="F2" s="967"/>
      <c r="G2" s="967"/>
      <c r="H2" s="967"/>
      <c r="I2" s="967"/>
      <c r="J2" s="967"/>
      <c r="K2" s="967"/>
      <c r="L2" s="967"/>
    </row>
    <row r="3" spans="1:12" ht="14.25" customHeight="1" x14ac:dyDescent="0.25">
      <c r="B3" s="164"/>
      <c r="C3" s="164"/>
      <c r="D3" s="164"/>
      <c r="E3" s="164"/>
      <c r="F3" s="164"/>
      <c r="G3" s="164"/>
      <c r="H3" s="164"/>
      <c r="I3" s="164"/>
      <c r="J3" s="164"/>
      <c r="K3" s="165"/>
      <c r="L3" s="165"/>
    </row>
    <row r="4" spans="1:12" ht="13.8" x14ac:dyDescent="0.25">
      <c r="A4" s="174" t="str">
        <f>Penyelia!A4</f>
        <v>Merek</v>
      </c>
      <c r="B4" s="175"/>
      <c r="C4" s="174"/>
      <c r="D4" s="177" t="s">
        <v>23</v>
      </c>
      <c r="E4" s="178" t="str">
        <f>Penyelia!E4</f>
        <v>Acare</v>
      </c>
      <c r="G4" s="174"/>
      <c r="H4" s="174"/>
      <c r="I4" s="174"/>
      <c r="J4" s="174"/>
      <c r="K4" s="174"/>
      <c r="L4" s="176"/>
    </row>
    <row r="5" spans="1:12" ht="13.8" x14ac:dyDescent="0.25">
      <c r="A5" s="174" t="str">
        <f>Penyelia!A5</f>
        <v>Model/Tipe</v>
      </c>
      <c r="B5" s="175"/>
      <c r="C5" s="174"/>
      <c r="D5" s="177" t="s">
        <v>23</v>
      </c>
      <c r="E5" s="178" t="str">
        <f>Penyelia!E5</f>
        <v>-</v>
      </c>
      <c r="G5" s="174"/>
      <c r="H5" s="174"/>
      <c r="I5" s="174"/>
      <c r="J5" s="174"/>
      <c r="K5" s="174"/>
      <c r="L5" s="176"/>
    </row>
    <row r="6" spans="1:12" ht="13.8" x14ac:dyDescent="0.25">
      <c r="A6" s="174" t="str">
        <f>Penyelia!A6</f>
        <v>No. Seri</v>
      </c>
      <c r="B6" s="175"/>
      <c r="C6" s="174"/>
      <c r="D6" s="177" t="s">
        <v>23</v>
      </c>
      <c r="E6" s="178" t="str">
        <f>Penyelia!E6</f>
        <v>-</v>
      </c>
      <c r="G6" s="174"/>
      <c r="H6" s="174"/>
      <c r="I6" s="174"/>
      <c r="J6" s="174"/>
      <c r="K6" s="174"/>
      <c r="L6" s="176"/>
    </row>
    <row r="7" spans="1:12" ht="13.8" x14ac:dyDescent="0.25">
      <c r="A7" s="174" t="str">
        <f>Penyelia!A7</f>
        <v>Tanggal Penerimaan Alat</v>
      </c>
      <c r="B7" s="175"/>
      <c r="C7" s="174"/>
      <c r="D7" s="177" t="s">
        <v>23</v>
      </c>
      <c r="E7" s="178">
        <f>Penyelia!E7</f>
        <v>43630</v>
      </c>
      <c r="G7" s="174"/>
      <c r="H7" s="174"/>
      <c r="I7" s="174"/>
      <c r="J7" s="174"/>
      <c r="K7" s="174"/>
      <c r="L7" s="176"/>
    </row>
    <row r="8" spans="1:12" ht="13.8" x14ac:dyDescent="0.25">
      <c r="A8" s="174" t="str">
        <f>Penyelia!A8</f>
        <v>Tanggal Kalibrasi</v>
      </c>
      <c r="B8" s="175"/>
      <c r="C8" s="174"/>
      <c r="D8" s="177" t="s">
        <v>23</v>
      </c>
      <c r="E8" s="178">
        <f>Penyelia!E8</f>
        <v>43888</v>
      </c>
      <c r="G8" s="174"/>
      <c r="H8" s="174"/>
      <c r="I8" s="174"/>
      <c r="J8" s="174"/>
      <c r="K8" s="174"/>
      <c r="L8" s="176"/>
    </row>
    <row r="9" spans="1:12" ht="13.8" x14ac:dyDescent="0.25">
      <c r="A9" s="174" t="str">
        <f>Penyelia!A9</f>
        <v>Tempat Kalibrasi</v>
      </c>
      <c r="B9" s="175"/>
      <c r="C9" s="174"/>
      <c r="D9" s="177" t="s">
        <v>23</v>
      </c>
      <c r="E9" s="178" t="str">
        <f>Penyelia!E9</f>
        <v>UGD</v>
      </c>
      <c r="G9" s="174"/>
      <c r="H9" s="174"/>
      <c r="I9" s="174"/>
      <c r="J9" s="174"/>
      <c r="K9" s="174"/>
      <c r="L9" s="176"/>
    </row>
    <row r="10" spans="1:12" ht="13.8" x14ac:dyDescent="0.25">
      <c r="A10" s="174" t="str">
        <f>Penyelia!A10</f>
        <v>Nama Ruang</v>
      </c>
      <c r="B10" s="175"/>
      <c r="C10" s="174"/>
      <c r="D10" s="177" t="s">
        <v>23</v>
      </c>
      <c r="E10" s="178" t="str">
        <f>Penyelia!E10</f>
        <v>UGD</v>
      </c>
      <c r="G10" s="174"/>
      <c r="H10" s="174"/>
      <c r="I10" s="174"/>
      <c r="J10" s="174"/>
      <c r="K10" s="174"/>
      <c r="L10" s="176"/>
    </row>
    <row r="11" spans="1:12" ht="13.8" x14ac:dyDescent="0.25">
      <c r="A11" s="174" t="str">
        <f>Penyelia!A11</f>
        <v>Metode Kerja</v>
      </c>
      <c r="B11" s="175"/>
      <c r="C11" s="174"/>
      <c r="D11" s="177" t="s">
        <v>23</v>
      </c>
      <c r="E11" s="178" t="str">
        <f>Penyelia!E11</f>
        <v>MK 041 - 18</v>
      </c>
      <c r="G11" s="174"/>
      <c r="H11" s="174"/>
      <c r="I11" s="174"/>
      <c r="J11" s="174"/>
      <c r="K11" s="174"/>
      <c r="L11" s="176"/>
    </row>
    <row r="12" spans="1:12" ht="6" customHeight="1" x14ac:dyDescent="0.25">
      <c r="A12" s="175"/>
      <c r="B12" s="174"/>
      <c r="C12" s="174"/>
      <c r="D12" s="176"/>
      <c r="E12" s="174"/>
      <c r="F12" s="174"/>
      <c r="G12" s="174"/>
      <c r="H12" s="174"/>
      <c r="I12" s="174"/>
      <c r="J12" s="174"/>
      <c r="K12" s="174"/>
      <c r="L12" s="176"/>
    </row>
    <row r="13" spans="1:12" ht="13.8" x14ac:dyDescent="0.25">
      <c r="A13" s="179" t="s">
        <v>14</v>
      </c>
      <c r="B13" s="179" t="str">
        <f>Penyelia!B13</f>
        <v>Kondisi Ruang</v>
      </c>
      <c r="C13" s="175"/>
      <c r="D13" s="176"/>
      <c r="E13" s="179"/>
      <c r="F13" s="179"/>
      <c r="G13" s="179"/>
      <c r="H13" s="179"/>
      <c r="I13" s="179"/>
      <c r="J13" s="179"/>
      <c r="K13" s="179"/>
      <c r="L13" s="176"/>
    </row>
    <row r="14" spans="1:12" ht="13.8" x14ac:dyDescent="0.25">
      <c r="A14" s="175"/>
      <c r="B14" s="174" t="str">
        <f>Penyelia!B14</f>
        <v xml:space="preserve">1. Suhu </v>
      </c>
      <c r="C14" s="175"/>
      <c r="D14" s="177" t="s">
        <v>23</v>
      </c>
      <c r="E14" s="419">
        <f>Penyelia!E14</f>
        <v>36.717581043770814</v>
      </c>
      <c r="F14" s="419" t="str">
        <f>Penyelia!F14</f>
        <v xml:space="preserve"> ± </v>
      </c>
      <c r="G14" s="419">
        <f>Penyelia!G14</f>
        <v>0.4</v>
      </c>
      <c r="H14" s="419" t="str">
        <f>Penyelia!H14</f>
        <v xml:space="preserve"> °C</v>
      </c>
      <c r="I14" s="424"/>
      <c r="J14" s="424"/>
      <c r="K14" s="174"/>
      <c r="L14" s="176"/>
    </row>
    <row r="15" spans="1:12" ht="13.8" x14ac:dyDescent="0.25">
      <c r="A15" s="175"/>
      <c r="B15" s="174" t="str">
        <f>Penyelia!B15</f>
        <v>2. Kelembaban</v>
      </c>
      <c r="C15" s="175"/>
      <c r="D15" s="177" t="s">
        <v>23</v>
      </c>
      <c r="E15" s="419">
        <f>Penyelia!E15</f>
        <v>59.5</v>
      </c>
      <c r="F15" s="419" t="str">
        <f>Penyelia!F15</f>
        <v xml:space="preserve"> ± </v>
      </c>
      <c r="G15" s="419">
        <f>Penyelia!G15</f>
        <v>2.2000000000000002</v>
      </c>
      <c r="H15" s="419" t="str">
        <f>Penyelia!H15</f>
        <v xml:space="preserve"> %RH</v>
      </c>
      <c r="I15" s="424"/>
      <c r="J15" s="424"/>
      <c r="K15" s="174"/>
      <c r="L15" s="176"/>
    </row>
    <row r="16" spans="1:12" ht="13.8" x14ac:dyDescent="0.25">
      <c r="A16" s="175"/>
      <c r="B16" s="174" t="str">
        <f>Penyelia!B16</f>
        <v>3. Tegangan Jala - jala</v>
      </c>
      <c r="C16" s="175"/>
      <c r="D16" s="177" t="s">
        <v>23</v>
      </c>
      <c r="E16" s="419" t="str">
        <f>Penyelia!E16</f>
        <v>-</v>
      </c>
      <c r="F16" s="419" t="str">
        <f>Penyelia!F16</f>
        <v>Volt</v>
      </c>
      <c r="H16" s="176"/>
      <c r="I16" s="176"/>
      <c r="J16" s="176"/>
      <c r="K16" s="174"/>
      <c r="L16" s="176"/>
    </row>
    <row r="17" spans="1:13" ht="4.5" customHeight="1" x14ac:dyDescent="0.25">
      <c r="A17" s="175"/>
      <c r="B17" s="174"/>
      <c r="C17" s="180"/>
      <c r="D17" s="180"/>
      <c r="E17" s="177"/>
      <c r="F17" s="181"/>
      <c r="G17" s="181"/>
      <c r="H17" s="174"/>
      <c r="I17" s="174"/>
      <c r="J17" s="174"/>
      <c r="K17" s="174"/>
      <c r="L17" s="176"/>
    </row>
    <row r="18" spans="1:13" ht="13.8" x14ac:dyDescent="0.25">
      <c r="A18" s="179" t="s">
        <v>25</v>
      </c>
      <c r="B18" s="179" t="str">
        <f>Penyelia!B18</f>
        <v>Pemeriksaan Kondisi Fisik dan Fungsi Alat</v>
      </c>
      <c r="C18" s="175"/>
      <c r="D18" s="176"/>
      <c r="E18" s="179"/>
      <c r="F18" s="179"/>
      <c r="G18" s="179"/>
      <c r="H18" s="179"/>
      <c r="I18" s="179"/>
      <c r="J18" s="179"/>
      <c r="K18" s="179"/>
      <c r="L18" s="176"/>
    </row>
    <row r="19" spans="1:13" ht="13.8" x14ac:dyDescent="0.25">
      <c r="A19" s="175"/>
      <c r="B19" s="174" t="str">
        <f>Penyelia!B19</f>
        <v>1. Fisik</v>
      </c>
      <c r="C19" s="175"/>
      <c r="D19" s="177" t="s">
        <v>23</v>
      </c>
      <c r="E19" s="174" t="str">
        <f>Penyelia!E19</f>
        <v>Baik</v>
      </c>
      <c r="G19" s="174"/>
      <c r="H19" s="174"/>
      <c r="I19" s="174"/>
      <c r="J19" s="174"/>
      <c r="K19" s="174"/>
      <c r="L19" s="176"/>
    </row>
    <row r="20" spans="1:13" ht="13.8" x14ac:dyDescent="0.25">
      <c r="A20" s="175"/>
      <c r="B20" s="174" t="str">
        <f>Penyelia!B20</f>
        <v>2. Fungsi</v>
      </c>
      <c r="C20" s="175"/>
      <c r="D20" s="177" t="s">
        <v>23</v>
      </c>
      <c r="E20" s="174" t="str">
        <f>Penyelia!E20</f>
        <v>Baik</v>
      </c>
      <c r="G20" s="174"/>
      <c r="H20" s="174"/>
      <c r="I20" s="174"/>
      <c r="J20" s="174"/>
      <c r="K20" s="174"/>
      <c r="L20" s="176"/>
    </row>
    <row r="21" spans="1:13" ht="7.5" customHeight="1" x14ac:dyDescent="0.25">
      <c r="A21" s="175"/>
      <c r="B21" s="174"/>
      <c r="C21" s="174"/>
      <c r="D21" s="174"/>
      <c r="E21" s="174"/>
      <c r="F21" s="174"/>
      <c r="G21" s="174"/>
      <c r="H21" s="174"/>
      <c r="I21" s="174"/>
      <c r="J21" s="174"/>
      <c r="K21" s="176"/>
      <c r="L21" s="176"/>
    </row>
    <row r="22" spans="1:13" ht="13.8" x14ac:dyDescent="0.25">
      <c r="A22" s="179" t="s">
        <v>31</v>
      </c>
      <c r="B22" s="179" t="str">
        <f>Penyelia!B22</f>
        <v>Pengujian Keselamatan Listrik</v>
      </c>
      <c r="C22" s="175"/>
      <c r="D22" s="179"/>
      <c r="E22" s="179"/>
      <c r="F22" s="179"/>
      <c r="G22" s="182"/>
      <c r="H22" s="183"/>
      <c r="I22" s="183"/>
      <c r="J22" s="183"/>
      <c r="K22" s="176"/>
      <c r="L22" s="176"/>
    </row>
    <row r="23" spans="1:13" ht="12" customHeight="1" x14ac:dyDescent="0.25">
      <c r="A23" s="175"/>
      <c r="B23" s="896" t="s">
        <v>33</v>
      </c>
      <c r="C23" s="908" t="s">
        <v>34</v>
      </c>
      <c r="D23" s="909"/>
      <c r="E23" s="909"/>
      <c r="F23" s="909"/>
      <c r="G23" s="909"/>
      <c r="H23" s="910"/>
      <c r="I23" s="983" t="s">
        <v>35</v>
      </c>
      <c r="J23" s="1036"/>
      <c r="K23" s="141" t="s">
        <v>36</v>
      </c>
    </row>
    <row r="24" spans="1:13" ht="15.75" customHeight="1" x14ac:dyDescent="0.25">
      <c r="A24" s="175"/>
      <c r="B24" s="896"/>
      <c r="C24" s="911"/>
      <c r="D24" s="912"/>
      <c r="E24" s="912"/>
      <c r="F24" s="912"/>
      <c r="G24" s="912"/>
      <c r="H24" s="913"/>
      <c r="I24" s="984"/>
      <c r="J24" s="1037"/>
      <c r="K24" s="142" t="s">
        <v>37</v>
      </c>
    </row>
    <row r="25" spans="1:13" ht="18" customHeight="1" x14ac:dyDescent="0.25">
      <c r="A25" s="175"/>
      <c r="B25" s="163">
        <v>1</v>
      </c>
      <c r="C25" s="124" t="str">
        <f>Penyelia!C25</f>
        <v>Resistansi isolasi</v>
      </c>
      <c r="D25" s="137"/>
      <c r="E25" s="137"/>
      <c r="F25" s="137"/>
      <c r="G25" s="137"/>
      <c r="H25" s="210"/>
      <c r="I25" s="418" t="str">
        <f>Penyelia!I25</f>
        <v>-</v>
      </c>
      <c r="J25" s="382" t="str">
        <f>ID!L26</f>
        <v>MΩ</v>
      </c>
      <c r="K25" s="185" t="str">
        <f>Penyelia!J25</f>
        <v xml:space="preserve">&gt; 2 MΩ
</v>
      </c>
    </row>
    <row r="26" spans="1:13" ht="18" customHeight="1" x14ac:dyDescent="0.25">
      <c r="A26" s="175"/>
      <c r="B26" s="163">
        <v>2</v>
      </c>
      <c r="C26" s="124" t="str">
        <f>Penyelia!C26</f>
        <v>Resistansi Pembumian Protektif</v>
      </c>
      <c r="D26" s="137"/>
      <c r="E26" s="137"/>
      <c r="F26" s="137"/>
      <c r="G26" s="137"/>
      <c r="H26" s="211"/>
      <c r="I26" s="418" t="str">
        <f>Penyelia!I26</f>
        <v>-</v>
      </c>
      <c r="J26" s="383" t="str">
        <f>ID!L27</f>
        <v>Ω</v>
      </c>
      <c r="K26" s="185" t="str">
        <f>Penyelia!J26</f>
        <v>≤ 0.2 Ω</v>
      </c>
    </row>
    <row r="27" spans="1:13" ht="18" customHeight="1" x14ac:dyDescent="0.25">
      <c r="A27" s="175"/>
      <c r="B27" s="163">
        <v>3</v>
      </c>
      <c r="C27" s="124" t="str">
        <f>Penyelia!C27</f>
        <v>Arus bocor peralatan untuk peralatan elektromedik kelas II</v>
      </c>
      <c r="D27" s="137"/>
      <c r="E27" s="137"/>
      <c r="F27" s="137"/>
      <c r="G27" s="137"/>
      <c r="H27" s="212"/>
      <c r="I27" s="420" t="str">
        <f>Penyelia!I27</f>
        <v>-</v>
      </c>
      <c r="J27" s="381" t="str">
        <f>ID!L28</f>
        <v>µA</v>
      </c>
      <c r="K27" s="185" t="str">
        <f>Penyelia!J27</f>
        <v>≤ 100 µA</v>
      </c>
    </row>
    <row r="28" spans="1:13" ht="6.75" customHeight="1" x14ac:dyDescent="0.25">
      <c r="A28" s="175"/>
      <c r="B28" s="186"/>
      <c r="C28" s="178"/>
      <c r="D28" s="178"/>
      <c r="E28" s="178"/>
      <c r="F28" s="178"/>
      <c r="G28" s="178"/>
      <c r="H28" s="187"/>
      <c r="I28" s="187"/>
      <c r="J28" s="187"/>
      <c r="K28" s="176"/>
      <c r="L28" s="176"/>
    </row>
    <row r="29" spans="1:13" ht="15.75" customHeight="1" x14ac:dyDescent="0.25">
      <c r="A29" s="179" t="s">
        <v>49</v>
      </c>
      <c r="B29" s="179" t="str">
        <f>Penyelia!B29</f>
        <v>Pengujian Kinerja</v>
      </c>
      <c r="C29" s="178"/>
      <c r="D29" s="178"/>
      <c r="E29" s="178"/>
      <c r="F29" s="178"/>
      <c r="G29" s="178"/>
      <c r="H29" s="187"/>
      <c r="I29" s="187"/>
      <c r="J29" s="187"/>
      <c r="K29" s="176"/>
      <c r="L29" s="176"/>
    </row>
    <row r="30" spans="1:13" ht="13.8" x14ac:dyDescent="0.25">
      <c r="B30" s="234" t="str">
        <f>ID!B31</f>
        <v>A. Kalibrasi Akurasi Saturasi Oksigen</v>
      </c>
      <c r="C30" s="175"/>
      <c r="D30" s="179"/>
      <c r="E30" s="179"/>
      <c r="F30" s="179"/>
      <c r="G30" s="179"/>
      <c r="H30" s="186"/>
      <c r="I30" s="186"/>
      <c r="J30" s="186"/>
      <c r="K30" s="176"/>
      <c r="L30" s="176"/>
    </row>
    <row r="31" spans="1:13" ht="36.75" customHeight="1" x14ac:dyDescent="0.25">
      <c r="A31" s="175"/>
      <c r="B31" s="166" t="str">
        <f>Penyelia!B31</f>
        <v>No.</v>
      </c>
      <c r="C31" s="167" t="str">
        <f>Penyelia!C31</f>
        <v>Parameter</v>
      </c>
      <c r="D31" s="959" t="str">
        <f>Penyelia!D31</f>
        <v>Setting Standar</v>
      </c>
      <c r="E31" s="959"/>
      <c r="F31" s="168" t="str">
        <f>Penyelia!F31</f>
        <v>Pambacaan Alat</v>
      </c>
      <c r="G31" s="169" t="str">
        <f>Penyelia!G31</f>
        <v>Koreksi</v>
      </c>
      <c r="H31" s="217" t="str">
        <f>Penyelia!H31</f>
        <v>Toleransi</v>
      </c>
      <c r="I31" s="1038" t="str">
        <f>Penyelia!I31</f>
        <v>Ketidakpastian Pengukuran</v>
      </c>
      <c r="J31" s="1039"/>
      <c r="K31" s="384"/>
      <c r="L31" s="176"/>
      <c r="M31" s="218"/>
    </row>
    <row r="32" spans="1:13" ht="15.75" customHeight="1" x14ac:dyDescent="0.25">
      <c r="A32" s="175"/>
      <c r="B32" s="188" t="s">
        <v>151</v>
      </c>
      <c r="C32" s="960" t="str">
        <f>Penyelia!C32</f>
        <v>Saturasi O₂ (%)</v>
      </c>
      <c r="D32" s="963">
        <f>Penyelia!D32</f>
        <v>100</v>
      </c>
      <c r="E32" s="963"/>
      <c r="F32" s="650">
        <f>Penyelia!F32</f>
        <v>100.000001</v>
      </c>
      <c r="G32" s="190">
        <f>Penyelia!G32</f>
        <v>9.9999999747524271E-7</v>
      </c>
      <c r="H32" s="985" t="str">
        <f>Penyelia!H32</f>
        <v>± 1 % O₂</v>
      </c>
      <c r="I32" s="387" t="s">
        <v>475</v>
      </c>
      <c r="J32" s="388">
        <f>Penyelia!I32</f>
        <v>0.57982692320636919</v>
      </c>
      <c r="L32" s="176"/>
      <c r="M32" s="194"/>
    </row>
    <row r="33" spans="1:13" ht="21" x14ac:dyDescent="0.25">
      <c r="A33" s="175"/>
      <c r="B33" s="188" t="s">
        <v>64</v>
      </c>
      <c r="C33" s="961"/>
      <c r="D33" s="963">
        <f>Penyelia!D33</f>
        <v>99</v>
      </c>
      <c r="E33" s="963"/>
      <c r="F33" s="650">
        <f>Penyelia!F33</f>
        <v>99.000000999999997</v>
      </c>
      <c r="G33" s="190">
        <f>Penyelia!G33</f>
        <v>9.9999999747524271E-7</v>
      </c>
      <c r="H33" s="986"/>
      <c r="I33" s="387" t="s">
        <v>475</v>
      </c>
      <c r="J33" s="388">
        <f>Penyelia!I33</f>
        <v>0.57982692320636919</v>
      </c>
      <c r="L33" s="176"/>
      <c r="M33" s="194"/>
    </row>
    <row r="34" spans="1:13" ht="21" x14ac:dyDescent="0.25">
      <c r="A34" s="175"/>
      <c r="B34" s="188" t="s">
        <v>65</v>
      </c>
      <c r="C34" s="961"/>
      <c r="D34" s="963">
        <f>Penyelia!D34</f>
        <v>98</v>
      </c>
      <c r="E34" s="963"/>
      <c r="F34" s="650">
        <f>Penyelia!F34</f>
        <v>98.000000999999997</v>
      </c>
      <c r="G34" s="190">
        <f>Penyelia!G34</f>
        <v>9.9999999747524271E-7</v>
      </c>
      <c r="H34" s="986"/>
      <c r="I34" s="387" t="s">
        <v>475</v>
      </c>
      <c r="J34" s="388">
        <f>Penyelia!I34</f>
        <v>0.57982692320636919</v>
      </c>
      <c r="L34" s="176"/>
      <c r="M34" s="194"/>
    </row>
    <row r="35" spans="1:13" ht="21" x14ac:dyDescent="0.25">
      <c r="A35" s="175"/>
      <c r="B35" s="188" t="s">
        <v>66</v>
      </c>
      <c r="C35" s="961"/>
      <c r="D35" s="963">
        <f>Penyelia!D35</f>
        <v>97</v>
      </c>
      <c r="E35" s="963"/>
      <c r="F35" s="650">
        <f>Penyelia!F35</f>
        <v>97.166667666666669</v>
      </c>
      <c r="G35" s="190">
        <f>Penyelia!G35</f>
        <v>0.16666766666666888</v>
      </c>
      <c r="H35" s="986"/>
      <c r="I35" s="387" t="s">
        <v>475</v>
      </c>
      <c r="J35" s="388">
        <f>Penyelia!I35</f>
        <v>0.67265223242536354</v>
      </c>
      <c r="L35" s="176"/>
      <c r="M35" s="194"/>
    </row>
    <row r="36" spans="1:13" ht="21" x14ac:dyDescent="0.25">
      <c r="A36" s="175"/>
      <c r="B36" s="188" t="s">
        <v>67</v>
      </c>
      <c r="C36" s="961"/>
      <c r="D36" s="963">
        <f>Penyelia!D36</f>
        <v>95</v>
      </c>
      <c r="E36" s="963"/>
      <c r="F36" s="650">
        <f>Penyelia!F36</f>
        <v>95.000000999999997</v>
      </c>
      <c r="G36" s="190">
        <f>Penyelia!G36</f>
        <v>9.9999999747524271E-7</v>
      </c>
      <c r="H36" s="986"/>
      <c r="I36" s="387" t="s">
        <v>475</v>
      </c>
      <c r="J36" s="388">
        <f>Penyelia!I36</f>
        <v>0.57982692320636919</v>
      </c>
      <c r="L36" s="176"/>
      <c r="M36" s="194"/>
    </row>
    <row r="37" spans="1:13" ht="21" x14ac:dyDescent="0.25">
      <c r="A37" s="175"/>
      <c r="B37" s="188" t="s">
        <v>68</v>
      </c>
      <c r="C37" s="961"/>
      <c r="D37" s="963">
        <f>Penyelia!D37</f>
        <v>90</v>
      </c>
      <c r="E37" s="963"/>
      <c r="F37" s="650">
        <f>Penyelia!F37</f>
        <v>90.000000999999997</v>
      </c>
      <c r="G37" s="190">
        <f>Penyelia!G37</f>
        <v>9.9999999747524271E-7</v>
      </c>
      <c r="H37" s="986"/>
      <c r="I37" s="387" t="s">
        <v>475</v>
      </c>
      <c r="J37" s="388">
        <f>Penyelia!I37</f>
        <v>0.57982692320636919</v>
      </c>
      <c r="L37" s="176"/>
      <c r="M37" s="194"/>
    </row>
    <row r="38" spans="1:13" ht="18.600000000000001" customHeight="1" x14ac:dyDescent="0.25">
      <c r="A38" s="175"/>
      <c r="B38" s="188" t="s">
        <v>69</v>
      </c>
      <c r="C38" s="962"/>
      <c r="D38" s="963">
        <f>Penyelia!D38</f>
        <v>85</v>
      </c>
      <c r="E38" s="963"/>
      <c r="F38" s="650">
        <f>Penyelia!F38</f>
        <v>85.000000999999997</v>
      </c>
      <c r="G38" s="190">
        <f>Penyelia!G38</f>
        <v>9.9999999747524271E-7</v>
      </c>
      <c r="H38" s="987"/>
      <c r="I38" s="385" t="s">
        <v>475</v>
      </c>
      <c r="J38" s="386">
        <f>Penyelia!I38</f>
        <v>0.57982692320636919</v>
      </c>
      <c r="L38" s="176"/>
      <c r="M38" s="194"/>
    </row>
    <row r="39" spans="1:13" ht="15.75" customHeight="1" x14ac:dyDescent="0.25">
      <c r="A39" s="175"/>
      <c r="B39" s="186"/>
      <c r="C39" s="186"/>
      <c r="D39" s="178"/>
      <c r="E39" s="186"/>
      <c r="F39" s="186"/>
      <c r="G39" s="186"/>
      <c r="H39" s="186"/>
      <c r="I39" s="186"/>
      <c r="J39" s="186"/>
      <c r="K39" s="176"/>
      <c r="L39" s="176"/>
    </row>
    <row r="40" spans="1:13" ht="15.75" customHeight="1" x14ac:dyDescent="0.25">
      <c r="A40" s="175"/>
      <c r="B40" s="235" t="str">
        <f>Penyelia!B40</f>
        <v>B. Kalibrasi Akurasi Heart Rate</v>
      </c>
      <c r="C40" s="186"/>
      <c r="D40" s="178"/>
      <c r="E40" s="186"/>
      <c r="F40" s="186"/>
      <c r="G40" s="186"/>
      <c r="H40" s="186"/>
      <c r="I40" s="186"/>
      <c r="J40" s="186"/>
      <c r="K40" s="176"/>
      <c r="L40" s="176"/>
    </row>
    <row r="41" spans="1:13" ht="15.75" customHeight="1" x14ac:dyDescent="0.25">
      <c r="A41" s="175"/>
      <c r="B41" s="894" t="s">
        <v>33</v>
      </c>
      <c r="C41" s="894" t="s">
        <v>34</v>
      </c>
      <c r="D41" s="894" t="s">
        <v>263</v>
      </c>
      <c r="E41" s="894"/>
      <c r="F41" s="959" t="s">
        <v>264</v>
      </c>
      <c r="G41" s="982" t="s">
        <v>167</v>
      </c>
      <c r="H41" s="1048" t="str">
        <f>Penyelia!H41</f>
        <v>Toleransi</v>
      </c>
      <c r="I41" s="1040" t="str">
        <f>Penyelia!I41</f>
        <v>Ketidakpastian Pengukuran</v>
      </c>
      <c r="J41" s="1041"/>
      <c r="L41" s="176"/>
      <c r="M41" s="1044"/>
    </row>
    <row r="42" spans="1:13" ht="15.75" customHeight="1" x14ac:dyDescent="0.25">
      <c r="A42" s="175"/>
      <c r="B42" s="894"/>
      <c r="C42" s="894"/>
      <c r="D42" s="894"/>
      <c r="E42" s="894"/>
      <c r="F42" s="959"/>
      <c r="G42" s="982"/>
      <c r="H42" s="1049"/>
      <c r="I42" s="1042"/>
      <c r="J42" s="1043"/>
      <c r="L42" s="176"/>
      <c r="M42" s="1044"/>
    </row>
    <row r="43" spans="1:13" ht="15.75" customHeight="1" x14ac:dyDescent="0.25">
      <c r="A43" s="175"/>
      <c r="B43" s="162" t="s">
        <v>151</v>
      </c>
      <c r="C43" s="971" t="s">
        <v>72</v>
      </c>
      <c r="D43" s="971">
        <f>Penyelia!D43</f>
        <v>30</v>
      </c>
      <c r="E43" s="971"/>
      <c r="F43" s="190">
        <f>Penyelia!F43</f>
        <v>30.001000000000001</v>
      </c>
      <c r="G43" s="190">
        <f>Penyelia!G43</f>
        <v>1.0000000000012221E-3</v>
      </c>
      <c r="H43" s="1045" t="str">
        <f>Penyelia!H43</f>
        <v>± 5 %</v>
      </c>
      <c r="I43" s="391" t="s">
        <v>475</v>
      </c>
      <c r="J43" s="392">
        <f>Penyelia!I43</f>
        <v>0.57982769887532648</v>
      </c>
      <c r="L43" s="176"/>
      <c r="M43" s="194"/>
    </row>
    <row r="44" spans="1:13" ht="15.75" customHeight="1" x14ac:dyDescent="0.25">
      <c r="A44" s="175"/>
      <c r="B44" s="147" t="s">
        <v>64</v>
      </c>
      <c r="C44" s="971"/>
      <c r="D44" s="971">
        <f>Penyelia!D44</f>
        <v>60</v>
      </c>
      <c r="E44" s="971"/>
      <c r="F44" s="190">
        <f>Penyelia!F44</f>
        <v>60.000999999999998</v>
      </c>
      <c r="G44" s="190">
        <f>Penyelia!G44</f>
        <v>9.9999999999766942E-4</v>
      </c>
      <c r="H44" s="1046"/>
      <c r="I44" s="391" t="s">
        <v>475</v>
      </c>
      <c r="J44" s="392">
        <f>Penyelia!I44</f>
        <v>0.57982769887532648</v>
      </c>
      <c r="L44" s="176"/>
      <c r="M44" s="194"/>
    </row>
    <row r="45" spans="1:13" ht="15.75" customHeight="1" x14ac:dyDescent="0.25">
      <c r="A45" s="175"/>
      <c r="B45" s="147" t="s">
        <v>65</v>
      </c>
      <c r="C45" s="971"/>
      <c r="D45" s="971">
        <f>Penyelia!D45</f>
        <v>120</v>
      </c>
      <c r="E45" s="971"/>
      <c r="F45" s="190">
        <f>Penyelia!F45</f>
        <v>120.001</v>
      </c>
      <c r="G45" s="190">
        <f>Penyelia!G45</f>
        <v>1.0000000000047748E-3</v>
      </c>
      <c r="H45" s="1046"/>
      <c r="I45" s="391" t="s">
        <v>475</v>
      </c>
      <c r="J45" s="392">
        <f>Penyelia!I45</f>
        <v>0.57982769887532648</v>
      </c>
      <c r="L45" s="176"/>
      <c r="M45" s="194"/>
    </row>
    <row r="46" spans="1:13" ht="14.25" customHeight="1" x14ac:dyDescent="0.25">
      <c r="A46" s="175"/>
      <c r="B46" s="147" t="s">
        <v>66</v>
      </c>
      <c r="C46" s="971"/>
      <c r="D46" s="971">
        <f>Penyelia!D46</f>
        <v>240</v>
      </c>
      <c r="E46" s="971"/>
      <c r="F46" s="190">
        <f>Penyelia!F46</f>
        <v>240.001</v>
      </c>
      <c r="G46" s="190">
        <f>Penyelia!G46</f>
        <v>1.0000000000047748E-3</v>
      </c>
      <c r="H46" s="1047"/>
      <c r="I46" s="389" t="s">
        <v>475</v>
      </c>
      <c r="J46" s="390">
        <f>Penyelia!I46</f>
        <v>0.57982691537132647</v>
      </c>
      <c r="L46" s="176"/>
      <c r="M46" s="194"/>
    </row>
    <row r="47" spans="1:13" ht="9.75" customHeight="1" x14ac:dyDescent="0.25">
      <c r="A47" s="175"/>
      <c r="B47" s="151"/>
      <c r="C47" s="152"/>
      <c r="D47" s="152"/>
      <c r="E47" s="152"/>
      <c r="F47" s="193"/>
      <c r="G47" s="194"/>
      <c r="H47" s="194"/>
      <c r="I47" s="208"/>
      <c r="J47" s="208"/>
      <c r="K47" s="209"/>
      <c r="L47" s="176"/>
    </row>
    <row r="48" spans="1:13" ht="13.8" x14ac:dyDescent="0.25">
      <c r="A48" s="179" t="s">
        <v>74</v>
      </c>
      <c r="B48" s="179" t="s">
        <v>75</v>
      </c>
      <c r="C48" s="175"/>
      <c r="D48" s="174"/>
      <c r="E48" s="174"/>
      <c r="F48" s="174"/>
      <c r="G48" s="174"/>
      <c r="H48" s="174"/>
      <c r="I48" s="174"/>
      <c r="J48" s="174"/>
      <c r="K48" s="176"/>
      <c r="L48" s="176"/>
    </row>
    <row r="49" spans="1:12" ht="13.8" x14ac:dyDescent="0.25">
      <c r="A49" s="175"/>
      <c r="B49" s="178" t="str">
        <f>Penyelia!B49</f>
        <v>Ketidakpastian pengukuran diperoleh dari sumber kesalahan tipe A dan tipe B</v>
      </c>
      <c r="C49" s="175"/>
      <c r="D49" s="174"/>
      <c r="E49" s="174"/>
      <c r="F49" s="174"/>
      <c r="G49" s="174"/>
      <c r="H49" s="174"/>
      <c r="I49" s="174"/>
      <c r="J49" s="174"/>
      <c r="K49" s="176"/>
      <c r="L49" s="176"/>
    </row>
    <row r="50" spans="1:12" ht="15.75" customHeight="1" x14ac:dyDescent="0.25">
      <c r="A50" s="175"/>
      <c r="B50" s="178" t="str">
        <f>Penyelia!B50</f>
        <v>-</v>
      </c>
      <c r="C50" s="175"/>
      <c r="D50" s="174"/>
      <c r="E50" s="174"/>
      <c r="F50" s="174"/>
      <c r="G50" s="174"/>
      <c r="H50" s="174"/>
      <c r="I50" s="174"/>
      <c r="J50" s="174"/>
      <c r="K50" s="176"/>
      <c r="L50" s="176"/>
    </row>
    <row r="51" spans="1:12" ht="13.8" x14ac:dyDescent="0.25">
      <c r="A51" s="175"/>
      <c r="B51" s="178" t="str">
        <f>Penyelia!B51</f>
        <v>Hasil Kalibrasi Saturasi Oksigen tertelusur ke Satuan Internasional ( SI ) melalui CALTEK PTE LTD</v>
      </c>
      <c r="C51" s="175"/>
      <c r="D51" s="171"/>
      <c r="E51" s="171"/>
      <c r="F51" s="171"/>
      <c r="G51" s="171"/>
      <c r="H51" s="171"/>
      <c r="I51" s="171"/>
      <c r="J51" s="171"/>
      <c r="K51" s="175"/>
      <c r="L51" s="175"/>
    </row>
    <row r="52" spans="1:12" ht="13.8" x14ac:dyDescent="0.25">
      <c r="A52" s="175"/>
      <c r="B52" s="178" t="str">
        <f>Penyelia!B52</f>
        <v>Hasil Kalibrasi Frekuensi Heart Rate (BPM) tertelusur ke Satuan Internasional ( SI ) melalui CALTEK PTE LTD</v>
      </c>
      <c r="C52" s="175"/>
      <c r="D52" s="171"/>
      <c r="E52" s="171"/>
      <c r="F52" s="171"/>
      <c r="G52" s="171"/>
      <c r="H52" s="171"/>
      <c r="I52" s="171"/>
      <c r="J52" s="171"/>
      <c r="K52" s="175"/>
      <c r="L52" s="175"/>
    </row>
    <row r="53" spans="1:12" ht="15" customHeight="1" x14ac:dyDescent="0.25">
      <c r="A53" s="175"/>
      <c r="B53" s="178" t="str">
        <f>Penyelia!B53</f>
        <v>Catu daya menggunakan baterai</v>
      </c>
      <c r="C53" s="197"/>
      <c r="D53" s="171"/>
      <c r="E53" s="171"/>
      <c r="F53" s="171"/>
      <c r="G53" s="171"/>
      <c r="H53" s="171"/>
      <c r="I53" s="171"/>
      <c r="J53" s="171"/>
      <c r="K53" s="175"/>
      <c r="L53" s="175"/>
    </row>
    <row r="54" spans="1:12" ht="9.75" customHeight="1" x14ac:dyDescent="0.25">
      <c r="A54" s="175"/>
      <c r="B54" s="178"/>
      <c r="C54" s="197"/>
      <c r="D54" s="171"/>
      <c r="E54" s="171"/>
      <c r="F54" s="171"/>
      <c r="G54" s="171"/>
      <c r="H54" s="171"/>
      <c r="I54" s="171"/>
      <c r="J54" s="171"/>
      <c r="K54" s="175"/>
      <c r="L54" s="175"/>
    </row>
    <row r="55" spans="1:12" ht="13.8" x14ac:dyDescent="0.25">
      <c r="A55" s="179" t="s">
        <v>78</v>
      </c>
      <c r="B55" s="179" t="s">
        <v>79</v>
      </c>
      <c r="C55" s="175"/>
      <c r="D55" s="179"/>
      <c r="E55" s="174"/>
      <c r="F55" s="174"/>
      <c r="G55" s="174"/>
      <c r="H55" s="174"/>
      <c r="I55" s="174"/>
      <c r="J55" s="174"/>
      <c r="K55" s="176"/>
      <c r="L55" s="176"/>
    </row>
    <row r="56" spans="1:12" ht="13.8" x14ac:dyDescent="0.25">
      <c r="A56" s="175"/>
      <c r="B56" s="174" t="str">
        <f>Penyelia!B57</f>
        <v>SPO₂ Simulator, Merek : Fluke, Model : SPOT LIGHT, SN : 4404040</v>
      </c>
      <c r="C56" s="175"/>
      <c r="D56" s="174"/>
      <c r="E56" s="174"/>
      <c r="F56" s="174"/>
      <c r="G56" s="174"/>
      <c r="H56" s="174"/>
      <c r="I56" s="174"/>
      <c r="J56" s="174"/>
      <c r="K56" s="176"/>
      <c r="L56" s="176"/>
    </row>
    <row r="57" spans="1:12" ht="14.25" customHeight="1" x14ac:dyDescent="0.25">
      <c r="A57" s="175"/>
      <c r="B57" s="174" t="str">
        <f>Penyelia!B58</f>
        <v>Electrical Safety Analyzer, Merek : Fluke, Model : ESA 615, SN : 3699030</v>
      </c>
      <c r="C57" s="175"/>
      <c r="D57" s="174"/>
      <c r="E57" s="174"/>
      <c r="F57" s="174"/>
      <c r="G57" s="174"/>
      <c r="H57" s="174"/>
      <c r="I57" s="174"/>
      <c r="J57" s="174"/>
      <c r="K57" s="176"/>
      <c r="L57" s="176"/>
    </row>
    <row r="58" spans="1:12" ht="8.25" customHeight="1" x14ac:dyDescent="0.25">
      <c r="A58" s="175"/>
      <c r="B58" s="198"/>
      <c r="C58" s="171"/>
      <c r="D58" s="171"/>
      <c r="E58" s="171"/>
      <c r="F58" s="171"/>
      <c r="G58" s="171"/>
      <c r="H58" s="171"/>
      <c r="I58" s="171"/>
      <c r="J58" s="171"/>
      <c r="K58" s="175"/>
      <c r="L58" s="175"/>
    </row>
    <row r="59" spans="1:12" ht="13.8" x14ac:dyDescent="0.25">
      <c r="A59" s="198" t="s">
        <v>90</v>
      </c>
      <c r="B59" s="198" t="s">
        <v>91</v>
      </c>
      <c r="C59" s="175"/>
      <c r="D59" s="171"/>
      <c r="E59" s="171"/>
      <c r="F59" s="171"/>
      <c r="G59" s="171"/>
      <c r="H59" s="171"/>
      <c r="I59" s="171"/>
      <c r="J59" s="171"/>
      <c r="K59" s="175"/>
      <c r="L59" s="175"/>
    </row>
    <row r="60" spans="1:12" ht="15" customHeight="1" x14ac:dyDescent="0.25">
      <c r="A60" s="198"/>
      <c r="B60" s="981" t="str">
        <f>Penyelia!B61</f>
        <v>Alat yang dikalibrasi dalam batas toleransi dan dinyatakan LAIK PAKAI, dimana hasil atau skor akhir sama dengan atau melampaui 70 % berdasarkan Keputusan Direktur Jenderal Pelayanan Kesehatan No : HK.02.02/V/0412/2020</v>
      </c>
      <c r="C60" s="981"/>
      <c r="D60" s="981"/>
      <c r="E60" s="981"/>
      <c r="F60" s="981"/>
      <c r="G60" s="981"/>
      <c r="H60" s="981"/>
      <c r="I60" s="981"/>
      <c r="J60" s="981"/>
      <c r="K60" s="981"/>
      <c r="L60" s="215"/>
    </row>
    <row r="61" spans="1:12" ht="16.5" customHeight="1" x14ac:dyDescent="0.25">
      <c r="A61" s="175"/>
      <c r="B61" s="981"/>
      <c r="C61" s="981"/>
      <c r="D61" s="981"/>
      <c r="E61" s="981"/>
      <c r="F61" s="981"/>
      <c r="G61" s="981"/>
      <c r="H61" s="981"/>
      <c r="I61" s="981"/>
      <c r="J61" s="981"/>
      <c r="K61" s="981"/>
      <c r="L61" s="215"/>
    </row>
    <row r="62" spans="1:12" ht="8.25" customHeight="1" x14ac:dyDescent="0.25">
      <c r="A62" s="175"/>
      <c r="B62" s="981"/>
      <c r="C62" s="981"/>
      <c r="D62" s="981"/>
      <c r="E62" s="981"/>
      <c r="F62" s="981"/>
      <c r="G62" s="981"/>
      <c r="H62" s="981"/>
      <c r="I62" s="981"/>
      <c r="J62" s="981"/>
      <c r="K62" s="981"/>
      <c r="L62" s="215"/>
    </row>
    <row r="63" spans="1:12" ht="13.8" x14ac:dyDescent="0.25">
      <c r="A63" s="198" t="s">
        <v>93</v>
      </c>
      <c r="B63" s="198" t="str">
        <f>Penyelia!B64</f>
        <v>Petugas Kalibrasi</v>
      </c>
      <c r="C63" s="175"/>
      <c r="D63" s="171"/>
      <c r="E63" s="171"/>
      <c r="F63" s="171"/>
      <c r="G63" s="171"/>
      <c r="H63" s="171"/>
      <c r="I63" s="171"/>
      <c r="J63" s="171"/>
      <c r="K63" s="175"/>
      <c r="L63" s="175"/>
    </row>
    <row r="64" spans="1:12" ht="13.8" x14ac:dyDescent="0.25">
      <c r="A64" s="175"/>
      <c r="B64" s="171" t="str">
        <f>Penyelia!B65</f>
        <v>Septia Khairunnisa</v>
      </c>
      <c r="C64" s="175"/>
      <c r="D64" s="171"/>
      <c r="E64" s="171"/>
      <c r="F64" s="171"/>
      <c r="G64" s="171"/>
      <c r="H64" s="171"/>
      <c r="I64" s="171"/>
      <c r="J64" s="171"/>
      <c r="K64" s="175"/>
      <c r="L64" s="175"/>
    </row>
    <row r="65" spans="1:12" ht="14.25" customHeight="1" x14ac:dyDescent="0.25">
      <c r="A65" s="175"/>
      <c r="B65" s="171"/>
      <c r="C65" s="171"/>
      <c r="D65" s="171"/>
      <c r="E65" s="199"/>
      <c r="F65" s="199"/>
      <c r="G65" s="171"/>
      <c r="H65" s="171"/>
      <c r="I65" s="171"/>
      <c r="J65" s="171"/>
      <c r="K65" s="171" t="s">
        <v>276</v>
      </c>
      <c r="L65" s="175"/>
    </row>
    <row r="66" spans="1:12" ht="13.8" x14ac:dyDescent="0.25">
      <c r="A66" s="175"/>
      <c r="B66" s="198"/>
      <c r="C66" s="200"/>
      <c r="D66" s="201"/>
      <c r="E66" s="201"/>
      <c r="F66" s="201"/>
      <c r="G66" s="175"/>
      <c r="H66" s="171"/>
      <c r="I66" s="171"/>
      <c r="J66" s="171"/>
      <c r="K66" s="207" t="s">
        <v>277</v>
      </c>
      <c r="L66" s="175"/>
    </row>
    <row r="67" spans="1:12" ht="13.8" x14ac:dyDescent="0.25">
      <c r="A67" s="175"/>
      <c r="B67" s="171"/>
      <c r="C67" s="957"/>
      <c r="D67" s="957"/>
      <c r="E67" s="957"/>
      <c r="F67" s="957"/>
      <c r="G67" s="175"/>
      <c r="H67" s="171"/>
      <c r="I67" s="171"/>
      <c r="J67" s="171"/>
      <c r="K67" s="207" t="s">
        <v>278</v>
      </c>
      <c r="L67" s="175"/>
    </row>
    <row r="68" spans="1:12" ht="13.8" x14ac:dyDescent="0.25">
      <c r="A68" s="175"/>
      <c r="B68" s="171"/>
      <c r="C68" s="201"/>
      <c r="D68" s="201"/>
      <c r="E68" s="201"/>
      <c r="F68" s="201"/>
      <c r="G68" s="175"/>
      <c r="H68" s="171"/>
      <c r="I68" s="171"/>
      <c r="J68" s="171"/>
      <c r="K68" s="171"/>
      <c r="L68" s="175"/>
    </row>
    <row r="69" spans="1:12" ht="13.8" x14ac:dyDescent="0.25">
      <c r="A69" s="175"/>
      <c r="B69" s="171"/>
      <c r="C69" s="201"/>
      <c r="D69" s="201"/>
      <c r="E69" s="201"/>
      <c r="F69" s="201"/>
      <c r="G69" s="175"/>
      <c r="H69" s="171"/>
      <c r="I69" s="171"/>
      <c r="J69" s="171"/>
      <c r="K69" s="171"/>
      <c r="L69" s="175"/>
    </row>
    <row r="70" spans="1:12" ht="13.8" x14ac:dyDescent="0.25">
      <c r="A70" s="175"/>
      <c r="B70" s="171"/>
      <c r="C70" s="201"/>
      <c r="D70" s="201"/>
      <c r="E70" s="201"/>
      <c r="F70" s="201"/>
      <c r="G70" s="175"/>
      <c r="H70" s="171"/>
      <c r="I70" s="171"/>
      <c r="J70" s="171"/>
      <c r="K70" s="171"/>
      <c r="L70" s="175"/>
    </row>
    <row r="71" spans="1:12" ht="13.8" x14ac:dyDescent="0.25">
      <c r="A71" s="175"/>
      <c r="B71" s="171"/>
      <c r="C71" s="201"/>
      <c r="D71" s="201"/>
      <c r="E71" s="201"/>
      <c r="F71" s="201"/>
      <c r="G71" s="175"/>
      <c r="H71" s="171"/>
      <c r="I71" s="171"/>
      <c r="J71" s="171"/>
      <c r="K71" s="205"/>
      <c r="L71" s="175"/>
    </row>
    <row r="72" spans="1:12" ht="13.8" x14ac:dyDescent="0.25">
      <c r="A72" s="175"/>
      <c r="B72" s="171"/>
      <c r="C72" s="201"/>
      <c r="D72" s="201"/>
      <c r="E72" s="201"/>
      <c r="F72" s="201"/>
      <c r="G72" s="175"/>
      <c r="H72" s="171"/>
      <c r="I72" s="171"/>
      <c r="J72" s="171"/>
      <c r="K72" s="214" t="s">
        <v>279</v>
      </c>
      <c r="L72" s="175"/>
    </row>
    <row r="73" spans="1:12" ht="22.5" customHeight="1" x14ac:dyDescent="0.25">
      <c r="A73" s="175"/>
      <c r="B73" s="171"/>
      <c r="C73" s="201"/>
      <c r="D73" s="201"/>
      <c r="E73" s="201"/>
      <c r="F73" s="201"/>
      <c r="G73" s="175"/>
      <c r="H73" s="171"/>
      <c r="I73" s="171"/>
      <c r="J73" s="171"/>
      <c r="K73" s="206" t="str">
        <f>VLOOKUP(K72,A76:B77,2,0)</f>
        <v>NIP 198008062010121001</v>
      </c>
      <c r="L73" s="175"/>
    </row>
    <row r="74" spans="1:12" ht="13.8" x14ac:dyDescent="0.2">
      <c r="A74" s="175"/>
      <c r="B74" s="171"/>
      <c r="C74" s="201"/>
      <c r="D74" s="201"/>
      <c r="E74" s="201"/>
      <c r="F74" s="201"/>
      <c r="G74" s="175"/>
      <c r="H74" s="171"/>
      <c r="I74" s="171"/>
      <c r="J74" s="171"/>
      <c r="L74" s="216" t="s">
        <v>280</v>
      </c>
    </row>
    <row r="76" spans="1:12" ht="13.8" x14ac:dyDescent="0.25">
      <c r="A76" s="214" t="s">
        <v>279</v>
      </c>
      <c r="B76" s="206" t="s">
        <v>281</v>
      </c>
    </row>
    <row r="77" spans="1:12" ht="13.8" x14ac:dyDescent="0.25">
      <c r="A77" s="214" t="s">
        <v>184</v>
      </c>
      <c r="B77" s="206" t="s">
        <v>282</v>
      </c>
    </row>
    <row r="80" spans="1:12" x14ac:dyDescent="0.25">
      <c r="F80" s="213"/>
    </row>
  </sheetData>
  <sheetProtection formatCells="0" formatColumns="0" formatRows="0" insertColumns="0" insertRows="0" deleteColumns="0" deleteRows="0"/>
  <mergeCells count="33">
    <mergeCell ref="M41:M42"/>
    <mergeCell ref="C43:C46"/>
    <mergeCell ref="D43:E43"/>
    <mergeCell ref="B41:B42"/>
    <mergeCell ref="C41:C42"/>
    <mergeCell ref="D41:E42"/>
    <mergeCell ref="F41:F42"/>
    <mergeCell ref="G41:G42"/>
    <mergeCell ref="H43:H46"/>
    <mergeCell ref="H41:H42"/>
    <mergeCell ref="C67:D67"/>
    <mergeCell ref="E67:F67"/>
    <mergeCell ref="D31:E31"/>
    <mergeCell ref="C32:C38"/>
    <mergeCell ref="D32:E32"/>
    <mergeCell ref="D44:E44"/>
    <mergeCell ref="D45:E45"/>
    <mergeCell ref="D46:E46"/>
    <mergeCell ref="D34:E34"/>
    <mergeCell ref="D35:E35"/>
    <mergeCell ref="D36:E36"/>
    <mergeCell ref="D37:E37"/>
    <mergeCell ref="D38:E38"/>
    <mergeCell ref="B60:K62"/>
    <mergeCell ref="I41:J42"/>
    <mergeCell ref="B23:B24"/>
    <mergeCell ref="A1:L1"/>
    <mergeCell ref="A2:L2"/>
    <mergeCell ref="C23:H24"/>
    <mergeCell ref="D33:E33"/>
    <mergeCell ref="H32:H38"/>
    <mergeCell ref="I23:J24"/>
    <mergeCell ref="I31:J31"/>
  </mergeCells>
  <dataValidations disablePrompts="1" count="1">
    <dataValidation type="list" allowBlank="1" showInputMessage="1" showErrorMessage="1" sqref="K72" xr:uid="{00000000-0002-0000-0600-000000000000}">
      <formula1>$A$76:$A$77</formula1>
    </dataValidation>
  </dataValidations>
  <printOptions horizontalCentered="1"/>
  <pageMargins left="0.6" right="0.25" top="0.5" bottom="0.4" header="0.25" footer="0.25"/>
  <pageSetup paperSize="9" scale="70" orientation="portrait" horizontalDpi="4294967293" r:id="rId1"/>
  <headerFooter>
    <oddHeader xml:space="preserve">&amp;R&amp;"-,Regular"&amp;8OA.041-18 </oddHeader>
    <oddFooter>&amp;C&amp;"-,Regular"&amp;8Dilarang keras mengutip/memperbanyak dan atau mempublikasikan sebagian isi sertifikat ini tanpa seijin LPFK Banjarbaru
Sertifikat ini sah apabila telah dibubuhi cap LPFK Banjarbaru dan ditandatangani oleh pejabat yang berwenang</oddFooter>
  </headerFooter>
  <ignoredErrors>
    <ignoredError sqref="I25:I27 J25:J27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9"/>
  <sheetViews>
    <sheetView view="pageBreakPreview" topLeftCell="A4" zoomScaleNormal="100" zoomScaleSheetLayoutView="100" workbookViewId="0">
      <selection activeCell="A20" sqref="A20:B20"/>
    </sheetView>
  </sheetViews>
  <sheetFormatPr defaultRowHeight="13.2" x14ac:dyDescent="0.25"/>
  <cols>
    <col min="1" max="1" width="19.109375" customWidth="1"/>
    <col min="2" max="2" width="26.109375" customWidth="1"/>
    <col min="3" max="3" width="3.109375" customWidth="1"/>
    <col min="4" max="4" width="11.5546875" customWidth="1"/>
    <col min="5" max="5" width="9.44140625" customWidth="1"/>
    <col min="6" max="6" width="22.5546875" customWidth="1"/>
  </cols>
  <sheetData>
    <row r="1" spans="1:6" x14ac:dyDescent="0.25">
      <c r="A1" s="393"/>
      <c r="B1" s="393"/>
      <c r="C1" s="393"/>
      <c r="D1" s="393"/>
      <c r="E1" s="393"/>
      <c r="F1" s="393"/>
    </row>
    <row r="2" spans="1:6" ht="30" x14ac:dyDescent="0.25">
      <c r="A2" s="1050" t="s">
        <v>283</v>
      </c>
      <c r="B2" s="1050"/>
      <c r="C2" s="1050"/>
      <c r="D2" s="1050"/>
      <c r="E2" s="1050"/>
      <c r="F2" s="1050"/>
    </row>
    <row r="3" spans="1:6" ht="13.8" x14ac:dyDescent="0.25">
      <c r="A3" s="1051" t="str">
        <f>"Nomor : 42 /"&amp;" "&amp;ID!I2</f>
        <v>Nomor : 42 / 1 / IV - 21 / E - 050.000 DL</v>
      </c>
      <c r="B3" s="1051"/>
      <c r="C3" s="1051"/>
      <c r="D3" s="1051"/>
      <c r="E3" s="1051"/>
      <c r="F3" s="1051"/>
    </row>
    <row r="4" spans="1:6" x14ac:dyDescent="0.25">
      <c r="A4" s="393"/>
      <c r="B4" s="393"/>
      <c r="C4" s="393" t="s">
        <v>285</v>
      </c>
      <c r="D4" s="1052" t="s">
        <v>491</v>
      </c>
      <c r="E4" s="1052"/>
      <c r="F4" s="1052"/>
    </row>
    <row r="5" spans="1:6" x14ac:dyDescent="0.25">
      <c r="A5" s="393"/>
      <c r="B5" s="393"/>
      <c r="C5" s="393"/>
      <c r="D5" s="393"/>
      <c r="E5" s="393"/>
      <c r="F5" s="393"/>
    </row>
    <row r="6" spans="1:6" ht="25.5" customHeight="1" x14ac:dyDescent="0.25">
      <c r="A6" s="415" t="s">
        <v>286</v>
      </c>
      <c r="B6" s="334" t="s">
        <v>287</v>
      </c>
      <c r="C6" s="394"/>
      <c r="D6" s="1053" t="s">
        <v>288</v>
      </c>
      <c r="E6" s="1054"/>
      <c r="F6" s="395" t="str">
        <f>MID(A3,SEARCH("E - ",A3),LEN(A3))</f>
        <v>E - 050.000 DL</v>
      </c>
    </row>
    <row r="7" spans="1:6" ht="13.8" x14ac:dyDescent="0.25">
      <c r="A7" s="335"/>
      <c r="B7" s="335"/>
      <c r="C7" s="335"/>
      <c r="D7" s="393"/>
      <c r="E7" s="393"/>
      <c r="F7" s="393"/>
    </row>
    <row r="8" spans="1:6" ht="13.8" x14ac:dyDescent="0.25">
      <c r="A8" s="1055" t="s">
        <v>2</v>
      </c>
      <c r="B8" s="1055"/>
      <c r="C8" s="336" t="s">
        <v>23</v>
      </c>
      <c r="D8" s="1055" t="str">
        <f>LH!E4</f>
        <v>Acare</v>
      </c>
      <c r="E8" s="1055"/>
      <c r="F8" s="1055"/>
    </row>
    <row r="9" spans="1:6" ht="13.8" x14ac:dyDescent="0.25">
      <c r="A9" s="1055" t="s">
        <v>289</v>
      </c>
      <c r="B9" s="1055"/>
      <c r="C9" s="336" t="s">
        <v>23</v>
      </c>
      <c r="D9" s="1055" t="str">
        <f>LH!E5</f>
        <v>-</v>
      </c>
      <c r="E9" s="1055"/>
      <c r="F9" s="1055"/>
    </row>
    <row r="10" spans="1:6" ht="13.8" x14ac:dyDescent="0.25">
      <c r="A10" s="1055" t="s">
        <v>290</v>
      </c>
      <c r="B10" s="1055"/>
      <c r="C10" s="336" t="s">
        <v>23</v>
      </c>
      <c r="D10" s="1055" t="str">
        <f>LH!E6</f>
        <v>-</v>
      </c>
      <c r="E10" s="1055"/>
      <c r="F10" s="1055"/>
    </row>
    <row r="11" spans="1:6" ht="13.8" x14ac:dyDescent="0.25">
      <c r="A11" s="396"/>
      <c r="B11" s="396"/>
      <c r="C11" s="335"/>
      <c r="D11" s="393"/>
      <c r="E11" s="393"/>
      <c r="F11" s="393"/>
    </row>
    <row r="12" spans="1:6" ht="28.5" customHeight="1" x14ac:dyDescent="0.25">
      <c r="A12" s="337" t="s">
        <v>291</v>
      </c>
      <c r="B12" s="338" t="s">
        <v>476</v>
      </c>
      <c r="C12" s="335"/>
      <c r="D12" s="1053" t="s">
        <v>292</v>
      </c>
      <c r="E12" s="1054"/>
      <c r="F12" s="339" t="s">
        <v>293</v>
      </c>
    </row>
    <row r="13" spans="1:6" ht="14.4" x14ac:dyDescent="0.25">
      <c r="A13" s="340"/>
      <c r="B13" s="335"/>
      <c r="C13" s="335"/>
      <c r="D13" s="335"/>
      <c r="E13" s="335"/>
      <c r="F13" s="393"/>
    </row>
    <row r="14" spans="1:6" ht="13.8" x14ac:dyDescent="0.25">
      <c r="A14" s="1057" t="s">
        <v>294</v>
      </c>
      <c r="B14" s="1057"/>
      <c r="C14" s="341" t="s">
        <v>23</v>
      </c>
      <c r="D14" s="1058" t="s">
        <v>477</v>
      </c>
      <c r="E14" s="1058"/>
      <c r="F14" s="1058"/>
    </row>
    <row r="15" spans="1:6" ht="13.8" x14ac:dyDescent="0.25">
      <c r="A15" s="1055" t="s">
        <v>13</v>
      </c>
      <c r="B15" s="1055"/>
      <c r="C15" s="336" t="s">
        <v>23</v>
      </c>
      <c r="D15" s="1059" t="str">
        <f>LH!E10</f>
        <v>UGD</v>
      </c>
      <c r="E15" s="1059"/>
      <c r="F15" s="1059"/>
    </row>
    <row r="16" spans="1:6" ht="13.8" x14ac:dyDescent="0.25">
      <c r="A16" s="1055" t="s">
        <v>10</v>
      </c>
      <c r="B16" s="1055"/>
      <c r="C16" s="336" t="s">
        <v>23</v>
      </c>
      <c r="D16" s="1056">
        <f>LH!E7</f>
        <v>43630</v>
      </c>
      <c r="E16" s="1056"/>
      <c r="F16" s="1056"/>
    </row>
    <row r="17" spans="1:6" ht="13.8" x14ac:dyDescent="0.25">
      <c r="A17" s="1055" t="str">
        <f>"Tanggal "&amp;B48</f>
        <v>Tanggal Kalibrasi</v>
      </c>
      <c r="B17" s="1055"/>
      <c r="C17" s="336" t="s">
        <v>23</v>
      </c>
      <c r="D17" s="1056">
        <f>LH!E8</f>
        <v>43888</v>
      </c>
      <c r="E17" s="1056"/>
      <c r="F17" s="1056"/>
    </row>
    <row r="18" spans="1:6" ht="13.8" x14ac:dyDescent="0.25">
      <c r="A18" s="1055" t="str">
        <f>"Penanggungjawab "&amp;B48</f>
        <v>Penanggungjawab Kalibrasi</v>
      </c>
      <c r="B18" s="1055"/>
      <c r="C18" s="336" t="s">
        <v>23</v>
      </c>
      <c r="D18" s="1060" t="str">
        <f>LH!B64</f>
        <v>Septia Khairunnisa</v>
      </c>
      <c r="E18" s="1060"/>
      <c r="F18" s="1060"/>
    </row>
    <row r="19" spans="1:6" ht="13.8" x14ac:dyDescent="0.25">
      <c r="A19" s="1055" t="str">
        <f>"Lokasi "&amp;B48</f>
        <v>Lokasi Kalibrasi</v>
      </c>
      <c r="B19" s="1055"/>
      <c r="C19" s="336" t="s">
        <v>23</v>
      </c>
      <c r="D19" s="1059" t="str">
        <f>LH!E9</f>
        <v>UGD</v>
      </c>
      <c r="E19" s="1059"/>
      <c r="F19" s="1059"/>
    </row>
    <row r="20" spans="1:6" ht="29.25" customHeight="1" x14ac:dyDescent="0.25">
      <c r="A20" s="1062" t="str">
        <f>"Hasil "&amp;B48</f>
        <v>Hasil Kalibrasi</v>
      </c>
      <c r="B20" s="1062"/>
      <c r="C20" s="342" t="s">
        <v>23</v>
      </c>
      <c r="D20" s="1063" t="s">
        <v>492</v>
      </c>
      <c r="E20" s="1063"/>
      <c r="F20" s="1063"/>
    </row>
    <row r="21" spans="1:6" ht="13.8" x14ac:dyDescent="0.25">
      <c r="A21" s="1055" t="s">
        <v>132</v>
      </c>
      <c r="B21" s="1055"/>
      <c r="C21" s="336" t="s">
        <v>23</v>
      </c>
      <c r="D21" s="1060" t="str">
        <f>LH!E11</f>
        <v>MK 041 - 18</v>
      </c>
      <c r="E21" s="1060"/>
      <c r="F21" s="1060"/>
    </row>
    <row r="22" spans="1:6" x14ac:dyDescent="0.25">
      <c r="A22" s="393"/>
      <c r="B22" s="393"/>
      <c r="C22" s="393"/>
      <c r="D22" s="393"/>
      <c r="E22" s="393"/>
      <c r="F22" s="393"/>
    </row>
    <row r="23" spans="1:6" x14ac:dyDescent="0.25">
      <c r="A23" s="393"/>
      <c r="B23" s="393"/>
      <c r="C23" s="393"/>
      <c r="D23" s="393"/>
      <c r="E23" s="393"/>
      <c r="F23" s="393"/>
    </row>
    <row r="24" spans="1:6" ht="13.8" x14ac:dyDescent="0.25">
      <c r="A24" s="393"/>
      <c r="B24" s="393"/>
      <c r="C24" s="393"/>
      <c r="D24" s="343" t="s">
        <v>296</v>
      </c>
      <c r="E24" s="1064">
        <f ca="1">TODAY()</f>
        <v>44664</v>
      </c>
      <c r="F24" s="1064"/>
    </row>
    <row r="25" spans="1:6" ht="13.8" x14ac:dyDescent="0.25">
      <c r="A25" s="393"/>
      <c r="B25" s="393"/>
      <c r="C25" s="393"/>
      <c r="D25" s="1055" t="s">
        <v>297</v>
      </c>
      <c r="E25" s="1055"/>
      <c r="F25" s="1055"/>
    </row>
    <row r="26" spans="1:6" ht="13.8" x14ac:dyDescent="0.25">
      <c r="A26" s="393"/>
      <c r="B26" s="393"/>
      <c r="C26" s="393"/>
      <c r="D26" s="1055" t="s">
        <v>298</v>
      </c>
      <c r="E26" s="1055"/>
      <c r="F26" s="1055"/>
    </row>
    <row r="27" spans="1:6" ht="13.8" x14ac:dyDescent="0.25">
      <c r="A27" s="393"/>
      <c r="B27" s="393"/>
      <c r="C27" s="393"/>
      <c r="D27" s="414"/>
      <c r="E27" s="414"/>
      <c r="F27" s="393"/>
    </row>
    <row r="28" spans="1:6" ht="13.8" x14ac:dyDescent="0.25">
      <c r="A28" s="393"/>
      <c r="B28" s="393"/>
      <c r="C28" s="393"/>
      <c r="D28" s="414"/>
      <c r="E28" s="414"/>
      <c r="F28" s="393"/>
    </row>
    <row r="29" spans="1:6" ht="13.8" x14ac:dyDescent="0.25">
      <c r="A29" s="393"/>
      <c r="B29" s="393"/>
      <c r="C29" s="393"/>
      <c r="D29" s="414"/>
      <c r="E29" s="414"/>
      <c r="F29" s="393"/>
    </row>
    <row r="30" spans="1:6" ht="13.8" x14ac:dyDescent="0.25">
      <c r="A30" s="393"/>
      <c r="B30" s="393"/>
      <c r="C30" s="393"/>
      <c r="D30" s="1055" t="s">
        <v>299</v>
      </c>
      <c r="E30" s="1055"/>
      <c r="F30" s="1055"/>
    </row>
    <row r="31" spans="1:6" ht="13.8" x14ac:dyDescent="0.25">
      <c r="A31" s="393"/>
      <c r="B31" s="393"/>
      <c r="C31" s="393"/>
      <c r="D31" s="1061" t="s">
        <v>300</v>
      </c>
      <c r="E31" s="1061"/>
      <c r="F31" s="1061"/>
    </row>
    <row r="32" spans="1:6" x14ac:dyDescent="0.25">
      <c r="A32" s="333"/>
      <c r="B32" s="333"/>
      <c r="C32" s="333"/>
      <c r="D32" s="333"/>
      <c r="E32" s="333"/>
      <c r="F32" s="333"/>
    </row>
    <row r="33" spans="1:6" x14ac:dyDescent="0.25">
      <c r="A33" s="333"/>
      <c r="B33" s="333"/>
      <c r="C33" s="333"/>
      <c r="D33" s="333"/>
      <c r="E33" s="333"/>
      <c r="F33" s="333"/>
    </row>
    <row r="34" spans="1:6" x14ac:dyDescent="0.25">
      <c r="A34" s="344"/>
      <c r="B34" s="344"/>
      <c r="C34" s="344"/>
      <c r="D34" s="344"/>
      <c r="E34" s="344"/>
      <c r="F34" s="344"/>
    </row>
    <row r="35" spans="1:6" x14ac:dyDescent="0.25">
      <c r="A35" s="333"/>
      <c r="B35" s="333"/>
      <c r="C35" s="333"/>
      <c r="D35" s="333"/>
      <c r="E35" s="333"/>
      <c r="F35" s="333"/>
    </row>
    <row r="36" spans="1:6" x14ac:dyDescent="0.25">
      <c r="A36" s="333"/>
      <c r="B36" s="333"/>
      <c r="C36" s="333"/>
      <c r="D36" s="333"/>
      <c r="E36" s="333"/>
      <c r="F36" s="333"/>
    </row>
    <row r="37" spans="1:6" x14ac:dyDescent="0.25">
      <c r="A37" s="333"/>
      <c r="B37" s="333"/>
      <c r="C37" s="333"/>
      <c r="D37" s="333"/>
      <c r="E37" s="333"/>
      <c r="F37" s="333"/>
    </row>
    <row r="38" spans="1:6" x14ac:dyDescent="0.25">
      <c r="A38" s="333"/>
      <c r="B38" s="333"/>
      <c r="C38" s="333"/>
      <c r="D38" s="333"/>
      <c r="E38" s="333"/>
      <c r="F38" s="333"/>
    </row>
    <row r="39" spans="1:6" x14ac:dyDescent="0.25">
      <c r="A39" s="333"/>
      <c r="B39" s="333"/>
      <c r="C39" s="333"/>
      <c r="D39" s="333"/>
      <c r="E39" s="333"/>
      <c r="F39" s="333"/>
    </row>
    <row r="40" spans="1:6" ht="13.8" thickBot="1" x14ac:dyDescent="0.3">
      <c r="A40" s="333"/>
      <c r="B40" s="333"/>
      <c r="C40" s="333"/>
      <c r="D40" s="333"/>
      <c r="E40" s="333"/>
      <c r="F40" s="333"/>
    </row>
    <row r="41" spans="1:6" x14ac:dyDescent="0.25">
      <c r="A41" s="397" t="s">
        <v>478</v>
      </c>
      <c r="B41" s="398" t="str">
        <f>MID(ID!I2,SEARCH("E - ",ID!I2),LEN(ID!I2))</f>
        <v>E - 050.000 DL</v>
      </c>
      <c r="C41" s="333"/>
      <c r="D41" s="333"/>
      <c r="E41" s="333"/>
      <c r="F41" s="333"/>
    </row>
    <row r="42" spans="1:6" x14ac:dyDescent="0.25">
      <c r="A42" s="399"/>
      <c r="B42" s="400"/>
      <c r="C42" s="333"/>
      <c r="D42" s="333"/>
      <c r="E42" s="333"/>
      <c r="F42" s="333"/>
    </row>
    <row r="43" spans="1:6" ht="26.4" x14ac:dyDescent="0.25">
      <c r="A43" s="401" t="s">
        <v>479</v>
      </c>
      <c r="B43" s="402" t="str">
        <f>ID!A1</f>
        <v>INPUT DATA KALIBRASI PULSE OXYMETER</v>
      </c>
      <c r="C43" s="333"/>
      <c r="D43" s="333"/>
      <c r="E43" s="333"/>
      <c r="F43" s="333"/>
    </row>
    <row r="44" spans="1:6" ht="26.4" x14ac:dyDescent="0.25">
      <c r="A44" s="401" t="s">
        <v>480</v>
      </c>
      <c r="B44" s="403" t="str">
        <f>IF(B43="INPUT DATA KALIBRASI PULSE OXYMETER",B45,B46)</f>
        <v>SERTIFIKAT KALIBRASI</v>
      </c>
      <c r="C44" s="333"/>
      <c r="D44" s="333"/>
      <c r="E44" s="333"/>
      <c r="F44" s="333"/>
    </row>
    <row r="45" spans="1:6" x14ac:dyDescent="0.25">
      <c r="A45" s="401" t="s">
        <v>481</v>
      </c>
      <c r="B45" s="400" t="s">
        <v>283</v>
      </c>
      <c r="C45" s="333"/>
      <c r="D45" s="333"/>
      <c r="E45" s="333"/>
      <c r="F45" s="333"/>
    </row>
    <row r="46" spans="1:6" x14ac:dyDescent="0.25">
      <c r="A46" s="399"/>
      <c r="B46" s="400" t="s">
        <v>482</v>
      </c>
      <c r="C46" s="333"/>
      <c r="D46" s="333"/>
      <c r="E46" s="333"/>
      <c r="F46" s="333"/>
    </row>
    <row r="47" spans="1:6" x14ac:dyDescent="0.25">
      <c r="A47" s="399"/>
      <c r="B47" s="400"/>
      <c r="C47" s="333"/>
      <c r="D47" s="333"/>
      <c r="E47" s="333"/>
      <c r="F47" s="333"/>
    </row>
    <row r="48" spans="1:6" ht="39.6" x14ac:dyDescent="0.25">
      <c r="A48" s="401" t="s">
        <v>483</v>
      </c>
      <c r="B48" s="400" t="str">
        <f>IF(RIGHT(A2,10)=" KALIBRASI","Kalibrasi","Pengujian")</f>
        <v>Kalibrasi</v>
      </c>
      <c r="C48" s="333"/>
      <c r="D48" s="333"/>
      <c r="E48" s="333"/>
      <c r="F48" s="333"/>
    </row>
    <row r="49" spans="1:6" x14ac:dyDescent="0.25">
      <c r="A49" s="399"/>
      <c r="B49" s="400"/>
      <c r="C49" s="333"/>
      <c r="D49" s="333"/>
      <c r="E49" s="333"/>
      <c r="F49" s="333"/>
    </row>
    <row r="50" spans="1:6" ht="27.6" x14ac:dyDescent="0.25">
      <c r="A50" s="401" t="s">
        <v>484</v>
      </c>
      <c r="B50" s="404" t="s">
        <v>295</v>
      </c>
      <c r="C50" s="405"/>
      <c r="D50" s="405"/>
      <c r="E50" s="405"/>
      <c r="F50" s="405"/>
    </row>
    <row r="51" spans="1:6" x14ac:dyDescent="0.25">
      <c r="A51" s="399"/>
      <c r="B51" s="400"/>
      <c r="C51" s="333"/>
      <c r="D51" s="333"/>
      <c r="E51" s="333"/>
      <c r="F51" s="333"/>
    </row>
    <row r="52" spans="1:6" ht="41.4" x14ac:dyDescent="0.25">
      <c r="A52" s="406" t="s">
        <v>485</v>
      </c>
      <c r="B52" s="407">
        <f>DATE(YEAR(D17)+1,MONTH(D17),DAY(D17))</f>
        <v>44254</v>
      </c>
      <c r="C52" s="333"/>
      <c r="D52" s="333"/>
      <c r="E52" s="333"/>
      <c r="F52" s="333"/>
    </row>
    <row r="53" spans="1:6" ht="26.4" x14ac:dyDescent="0.25">
      <c r="A53" s="401" t="s">
        <v>486</v>
      </c>
      <c r="B53" s="408" t="str">
        <f>TEXT(B52,"d mmmm yyyy")</f>
        <v>27 February 2021</v>
      </c>
      <c r="C53" s="333"/>
      <c r="D53" s="333"/>
      <c r="E53" s="333"/>
      <c r="F53" s="333"/>
    </row>
    <row r="54" spans="1:6" x14ac:dyDescent="0.25">
      <c r="A54" s="399"/>
      <c r="B54" s="400"/>
      <c r="C54" s="333"/>
      <c r="D54" s="333"/>
      <c r="E54" s="333"/>
      <c r="F54" s="333"/>
    </row>
    <row r="55" spans="1:6" ht="41.4" x14ac:dyDescent="0.25">
      <c r="A55" s="406" t="s">
        <v>487</v>
      </c>
      <c r="B55" s="409" t="str">
        <f>IF(B44=B45,B56,B57)</f>
        <v>Laik Pakai, disarankan untuk dikalibrasi ulang pada tanggal 27 February 2021</v>
      </c>
      <c r="C55" s="333"/>
      <c r="D55" s="333"/>
      <c r="E55" s="333"/>
      <c r="F55" s="333"/>
    </row>
    <row r="56" spans="1:6" ht="41.4" x14ac:dyDescent="0.25">
      <c r="A56" s="399" t="s">
        <v>488</v>
      </c>
      <c r="B56" s="410" t="str">
        <f>CONCATENATE(B58,B53)</f>
        <v>Laik Pakai, disarankan untuk dikalibrasi ulang pada tanggal 27 February 2021</v>
      </c>
      <c r="C56" s="333"/>
      <c r="D56" s="333"/>
      <c r="E56" s="333"/>
      <c r="F56" s="333"/>
    </row>
    <row r="57" spans="1:6" ht="41.4" x14ac:dyDescent="0.25">
      <c r="A57" s="399"/>
      <c r="B57" s="410" t="str">
        <f>CONCATENATE(B59,B53)</f>
        <v>Laik Pakai, disarankan untuk diuji ulang pada tanggal 27 February 2021</v>
      </c>
      <c r="C57" s="333"/>
      <c r="D57" s="333"/>
      <c r="E57" s="333"/>
      <c r="F57" s="333"/>
    </row>
    <row r="58" spans="1:6" ht="27.6" x14ac:dyDescent="0.25">
      <c r="A58" s="411" t="s">
        <v>481</v>
      </c>
      <c r="B58" s="410" t="s">
        <v>489</v>
      </c>
      <c r="C58" s="333"/>
      <c r="D58" s="333"/>
      <c r="E58" s="333"/>
      <c r="F58" s="333"/>
    </row>
    <row r="59" spans="1:6" ht="28.2" thickBot="1" x14ac:dyDescent="0.3">
      <c r="A59" s="412"/>
      <c r="B59" s="413" t="s">
        <v>490</v>
      </c>
      <c r="C59" s="333"/>
      <c r="D59" s="333"/>
      <c r="E59" s="333"/>
      <c r="F59" s="333"/>
    </row>
  </sheetData>
  <mergeCells count="32">
    <mergeCell ref="D26:F26"/>
    <mergeCell ref="D30:F30"/>
    <mergeCell ref="D31:F31"/>
    <mergeCell ref="A20:B20"/>
    <mergeCell ref="D20:F20"/>
    <mergeCell ref="A21:B21"/>
    <mergeCell ref="D21:F21"/>
    <mergeCell ref="E24:F24"/>
    <mergeCell ref="D25:F25"/>
    <mergeCell ref="A17:B17"/>
    <mergeCell ref="D17:F17"/>
    <mergeCell ref="A18:B18"/>
    <mergeCell ref="D18:F18"/>
    <mergeCell ref="A19:B19"/>
    <mergeCell ref="D19:F19"/>
    <mergeCell ref="A16:B16"/>
    <mergeCell ref="D16:F16"/>
    <mergeCell ref="A9:B9"/>
    <mergeCell ref="D9:F9"/>
    <mergeCell ref="A10:B10"/>
    <mergeCell ref="D10:F10"/>
    <mergeCell ref="D12:E12"/>
    <mergeCell ref="A14:B14"/>
    <mergeCell ref="D14:F14"/>
    <mergeCell ref="A15:B15"/>
    <mergeCell ref="D15:F15"/>
    <mergeCell ref="A2:F2"/>
    <mergeCell ref="A3:F3"/>
    <mergeCell ref="D4:F4"/>
    <mergeCell ref="D6:E6"/>
    <mergeCell ref="A8:B8"/>
    <mergeCell ref="D8:F8"/>
  </mergeCells>
  <dataValidations count="1">
    <dataValidation type="list" allowBlank="1" showInputMessage="1" showErrorMessage="1" sqref="A2:F2" xr:uid="{00000000-0002-0000-0700-000000000000}">
      <formula1>"SERTIFIKAT KALIBRASI,SERTIFIKAT PENGUJIAN"</formula1>
    </dataValidation>
  </dataValidations>
  <pageMargins left="0.7" right="0.7" top="0.75" bottom="0.75" header="0.3" footer="0.3"/>
  <pageSetup paperSize="9" scale="95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R83"/>
  <sheetViews>
    <sheetView topLeftCell="F43" zoomScale="111" zoomScaleNormal="150" workbookViewId="0">
      <selection activeCell="K56" sqref="K56"/>
    </sheetView>
  </sheetViews>
  <sheetFormatPr defaultColWidth="8.6640625" defaultRowHeight="13.2" x14ac:dyDescent="0.25"/>
  <cols>
    <col min="1" max="1" width="8.6640625" style="346"/>
    <col min="2" max="2" width="10.5546875" style="346" customWidth="1"/>
    <col min="3" max="3" width="13.109375" style="346" customWidth="1"/>
    <col min="4" max="4" width="9.88671875" style="346" bestFit="1" customWidth="1"/>
    <col min="5" max="5" width="9.6640625" style="346" bestFit="1" customWidth="1"/>
    <col min="6" max="7" width="11.33203125" style="346" customWidth="1"/>
    <col min="8" max="8" width="10.88671875" style="346" customWidth="1"/>
    <col min="9" max="9" width="11.44140625" style="346" customWidth="1"/>
    <col min="10" max="10" width="10.88671875" style="346" customWidth="1"/>
    <col min="11" max="11" width="10.109375" style="346" customWidth="1"/>
    <col min="12" max="12" width="10.44140625" style="346" customWidth="1"/>
    <col min="13" max="13" width="10.109375" style="346" customWidth="1"/>
    <col min="14" max="14" width="10.88671875" style="346" customWidth="1"/>
    <col min="15" max="16384" width="8.6640625" style="346"/>
  </cols>
  <sheetData>
    <row r="5" spans="2:14" ht="23.4" thickBot="1" x14ac:dyDescent="0.45">
      <c r="B5" s="345" t="s">
        <v>456</v>
      </c>
    </row>
    <row r="6" spans="2:14" ht="13.8" thickBot="1" x14ac:dyDescent="0.3">
      <c r="B6" s="347"/>
      <c r="C6" s="348"/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9"/>
    </row>
    <row r="7" spans="2:14" ht="39.9" customHeight="1" thickBot="1" x14ac:dyDescent="0.3">
      <c r="B7" s="350">
        <f>'DATA SERTIFIKAT(BPM)'!A92</f>
        <v>5</v>
      </c>
      <c r="C7" s="1069" t="str">
        <f>'DATA SERTIFIKAT(BPM)'!B92</f>
        <v>SPO₂ Simulator, Merek : Fluke, Model : SPOT LIGHT, SN : 4404040</v>
      </c>
      <c r="D7" s="1069"/>
      <c r="E7" s="1069"/>
      <c r="I7" s="1066" t="s">
        <v>457</v>
      </c>
      <c r="J7" s="1067"/>
      <c r="K7" s="1067"/>
      <c r="L7" s="1067"/>
      <c r="M7" s="1068"/>
      <c r="N7" s="351"/>
    </row>
    <row r="8" spans="2:14" x14ac:dyDescent="0.25">
      <c r="B8" s="352"/>
      <c r="C8" s="353" t="s">
        <v>9</v>
      </c>
      <c r="D8" s="354" t="s">
        <v>167</v>
      </c>
      <c r="N8" s="355"/>
    </row>
    <row r="9" spans="2:14" x14ac:dyDescent="0.25">
      <c r="B9" s="352"/>
      <c r="C9" s="629">
        <v>0</v>
      </c>
      <c r="D9" s="625">
        <v>1E-3</v>
      </c>
      <c r="N9" s="355"/>
    </row>
    <row r="10" spans="2:14" x14ac:dyDescent="0.25">
      <c r="B10" s="352"/>
      <c r="C10" s="629">
        <v>30</v>
      </c>
      <c r="D10" s="625">
        <f>'DATA SERTIFIKAT(BPM)'!B96</f>
        <v>1E-3</v>
      </c>
      <c r="I10" s="356"/>
      <c r="J10" s="357"/>
      <c r="K10" s="357"/>
      <c r="N10" s="355"/>
    </row>
    <row r="11" spans="2:14" x14ac:dyDescent="0.25">
      <c r="B11" s="352"/>
      <c r="C11" s="629">
        <v>60</v>
      </c>
      <c r="D11" s="625">
        <f>'DATA SERTIFIKAT(BPM)'!B97</f>
        <v>1E-3</v>
      </c>
      <c r="I11" s="346" t="s">
        <v>458</v>
      </c>
      <c r="K11" s="357"/>
      <c r="N11" s="355"/>
    </row>
    <row r="12" spans="2:14" ht="12.9" customHeight="1" x14ac:dyDescent="0.25">
      <c r="B12" s="352"/>
      <c r="C12" s="656">
        <v>120</v>
      </c>
      <c r="D12" s="625">
        <f>'DATA SERTIFIKAT(BPM)'!B98</f>
        <v>1E-3</v>
      </c>
      <c r="I12" s="354" t="s">
        <v>9</v>
      </c>
      <c r="J12" s="358" t="s">
        <v>459</v>
      </c>
      <c r="K12" s="359" t="s">
        <v>167</v>
      </c>
      <c r="L12" s="360" t="s">
        <v>331</v>
      </c>
      <c r="M12" s="354" t="s">
        <v>167</v>
      </c>
      <c r="N12" s="355"/>
    </row>
    <row r="13" spans="2:14" ht="14.4" x14ac:dyDescent="0.3">
      <c r="B13" s="352"/>
      <c r="C13" s="630">
        <v>240</v>
      </c>
      <c r="D13" s="625">
        <f>'DATA SERTIFIKAT(BPM)'!B99</f>
        <v>1E-3</v>
      </c>
      <c r="I13" s="629">
        <v>30</v>
      </c>
      <c r="J13" s="625">
        <f>ID!K82</f>
        <v>30</v>
      </c>
      <c r="K13" s="625">
        <f>FORECAST(J13,$D$9:$D$14,$C$9:$C$14)</f>
        <v>1E-3</v>
      </c>
      <c r="L13" s="625">
        <f>J13+K13</f>
        <v>30.001000000000001</v>
      </c>
      <c r="M13" s="625">
        <f>L13-I13</f>
        <v>1.0000000000012221E-3</v>
      </c>
      <c r="N13" s="355"/>
    </row>
    <row r="14" spans="2:14" x14ac:dyDescent="0.25">
      <c r="B14" s="352"/>
      <c r="C14" s="629">
        <v>250</v>
      </c>
      <c r="D14" s="625">
        <v>1E-3</v>
      </c>
      <c r="I14" s="629">
        <v>60</v>
      </c>
      <c r="J14" s="625">
        <f>ID!K83</f>
        <v>60</v>
      </c>
      <c r="K14" s="625">
        <f t="shared" ref="K14:K16" si="0">FORECAST(J14,$D$9:$D$14,$C$9:$C$14)</f>
        <v>1E-3</v>
      </c>
      <c r="L14" s="625">
        <f t="shared" ref="L14:L16" si="1">J14+K14</f>
        <v>60.000999999999998</v>
      </c>
      <c r="M14" s="625">
        <f t="shared" ref="M14:M16" si="2">L14-I14</f>
        <v>9.9999999999766942E-4</v>
      </c>
      <c r="N14" s="355"/>
    </row>
    <row r="15" spans="2:14" ht="14.4" x14ac:dyDescent="0.3">
      <c r="B15" s="352"/>
      <c r="C15" s="356"/>
      <c r="D15" s="357"/>
      <c r="I15" s="630">
        <v>120</v>
      </c>
      <c r="J15" s="625">
        <f>ID!K84</f>
        <v>120</v>
      </c>
      <c r="K15" s="625">
        <f t="shared" si="0"/>
        <v>1E-3</v>
      </c>
      <c r="L15" s="625">
        <f t="shared" si="1"/>
        <v>120.001</v>
      </c>
      <c r="M15" s="625">
        <f t="shared" si="2"/>
        <v>1.0000000000047748E-3</v>
      </c>
      <c r="N15" s="355"/>
    </row>
    <row r="16" spans="2:14" ht="14.4" x14ac:dyDescent="0.3">
      <c r="B16" s="352"/>
      <c r="C16" s="353" t="s">
        <v>460</v>
      </c>
      <c r="D16" s="354" t="s">
        <v>167</v>
      </c>
      <c r="I16" s="630">
        <v>240</v>
      </c>
      <c r="J16" s="625">
        <f>ID!K85</f>
        <v>240</v>
      </c>
      <c r="K16" s="625">
        <f t="shared" si="0"/>
        <v>1E-3</v>
      </c>
      <c r="L16" s="625">
        <f t="shared" si="1"/>
        <v>240.001</v>
      </c>
      <c r="M16" s="625">
        <f t="shared" si="2"/>
        <v>1.0000000000047748E-3</v>
      </c>
      <c r="N16" s="355"/>
    </row>
    <row r="17" spans="2:14" ht="14.4" x14ac:dyDescent="0.3">
      <c r="B17" s="352"/>
      <c r="C17" s="637">
        <v>101</v>
      </c>
      <c r="D17" s="426">
        <v>9.9999999999999995E-7</v>
      </c>
      <c r="I17" s="626"/>
      <c r="J17" s="416"/>
      <c r="K17" s="417"/>
      <c r="L17" s="417"/>
      <c r="N17" s="355"/>
    </row>
    <row r="18" spans="2:14" ht="15.6" x14ac:dyDescent="0.25">
      <c r="B18" s="352"/>
      <c r="C18" s="659">
        <v>100</v>
      </c>
      <c r="D18" s="426">
        <f>'DATA SERTIFIKAT(O2)'!B144</f>
        <v>9.9999999999999995E-7</v>
      </c>
      <c r="I18" s="356"/>
      <c r="J18" s="357"/>
      <c r="K18" s="361"/>
      <c r="L18" s="361"/>
      <c r="N18" s="355"/>
    </row>
    <row r="19" spans="2:14" ht="15.6" x14ac:dyDescent="0.25">
      <c r="B19" s="352"/>
      <c r="C19" s="659">
        <v>99</v>
      </c>
      <c r="D19" s="426">
        <f>'DATA SERTIFIKAT(O2)'!B143</f>
        <v>9.9999999999999995E-7</v>
      </c>
      <c r="I19" s="353" t="s">
        <v>460</v>
      </c>
      <c r="J19" s="354" t="s">
        <v>461</v>
      </c>
      <c r="K19" s="359" t="s">
        <v>167</v>
      </c>
      <c r="L19" s="359" t="s">
        <v>331</v>
      </c>
      <c r="M19" s="354" t="s">
        <v>167</v>
      </c>
      <c r="N19" s="355"/>
    </row>
    <row r="20" spans="2:14" ht="15.6" x14ac:dyDescent="0.3">
      <c r="B20" s="352"/>
      <c r="C20" s="660">
        <v>98</v>
      </c>
      <c r="D20" s="426">
        <f>'DATA SERTIFIKAT(O2)'!B142</f>
        <v>9.9999999999999995E-7</v>
      </c>
      <c r="I20" s="627">
        <v>100</v>
      </c>
      <c r="J20" s="625">
        <f>ID!K89</f>
        <v>100</v>
      </c>
      <c r="K20" s="625">
        <f>FORECAST(J20,$D$17:$D$25,$C$17:$C$25)</f>
        <v>9.9999999999999995E-7</v>
      </c>
      <c r="L20" s="625">
        <f>J20+K20</f>
        <v>100.000001</v>
      </c>
      <c r="M20" s="637">
        <f>L20-I20</f>
        <v>9.9999999747524271E-7</v>
      </c>
    </row>
    <row r="21" spans="2:14" ht="15.6" x14ac:dyDescent="0.3">
      <c r="B21" s="352"/>
      <c r="C21" s="660">
        <v>97</v>
      </c>
      <c r="D21" s="426">
        <f>'DATA SERTIFIKAT(O2)'!B141</f>
        <v>9.9999999999999995E-7</v>
      </c>
      <c r="I21" s="627">
        <v>99</v>
      </c>
      <c r="J21" s="625">
        <f>ID!K90</f>
        <v>99</v>
      </c>
      <c r="K21" s="625">
        <f t="shared" ref="K21:K26" si="3">FORECAST(J21,$D$17:$D$25,$C$17:$C$25)</f>
        <v>9.9999999999999995E-7</v>
      </c>
      <c r="L21" s="625">
        <f t="shared" ref="L21:L26" si="4">J21+K21</f>
        <v>99.000000999999997</v>
      </c>
      <c r="M21" s="637">
        <f t="shared" ref="M21:M26" si="5">L21-I21</f>
        <v>9.9999999747524271E-7</v>
      </c>
      <c r="N21" s="355"/>
    </row>
    <row r="22" spans="2:14" ht="15.6" x14ac:dyDescent="0.3">
      <c r="B22" s="352"/>
      <c r="C22" s="660">
        <v>95</v>
      </c>
      <c r="D22" s="426">
        <f>'DATA SERTIFIKAT(O2)'!B140</f>
        <v>9.9999999999999995E-7</v>
      </c>
      <c r="I22" s="628">
        <v>98</v>
      </c>
      <c r="J22" s="625">
        <f>ID!K91</f>
        <v>98</v>
      </c>
      <c r="K22" s="625">
        <f t="shared" si="3"/>
        <v>9.9999999999999995E-7</v>
      </c>
      <c r="L22" s="625">
        <f t="shared" si="4"/>
        <v>98.000000999999997</v>
      </c>
      <c r="M22" s="637">
        <f t="shared" si="5"/>
        <v>9.9999999747524271E-7</v>
      </c>
      <c r="N22" s="355"/>
    </row>
    <row r="23" spans="2:14" ht="15.6" x14ac:dyDescent="0.3">
      <c r="B23" s="352"/>
      <c r="C23" s="660">
        <v>90</v>
      </c>
      <c r="D23" s="426">
        <f>'DATA SERTIFIKAT(O2)'!B139</f>
        <v>9.9999999999999995E-7</v>
      </c>
      <c r="I23" s="628">
        <v>97</v>
      </c>
      <c r="J23" s="625">
        <f>ID!K92</f>
        <v>97.166666666666671</v>
      </c>
      <c r="K23" s="625">
        <f t="shared" si="3"/>
        <v>9.9999999999999995E-7</v>
      </c>
      <c r="L23" s="625">
        <f t="shared" si="4"/>
        <v>97.166667666666669</v>
      </c>
      <c r="M23" s="637">
        <f t="shared" si="5"/>
        <v>0.16666766666666888</v>
      </c>
      <c r="N23" s="355"/>
    </row>
    <row r="24" spans="2:14" ht="15.6" x14ac:dyDescent="0.3">
      <c r="B24" s="352"/>
      <c r="C24" s="660">
        <v>85</v>
      </c>
      <c r="D24" s="426">
        <f>'DATA SERTIFIKAT(O2)'!B138</f>
        <v>9.9999999999999995E-7</v>
      </c>
      <c r="I24" s="628">
        <v>95</v>
      </c>
      <c r="J24" s="625">
        <f>ID!K93</f>
        <v>95</v>
      </c>
      <c r="K24" s="625">
        <f t="shared" si="3"/>
        <v>9.9999999999999995E-7</v>
      </c>
      <c r="L24" s="625">
        <f t="shared" si="4"/>
        <v>95.000000999999997</v>
      </c>
      <c r="M24" s="637">
        <f t="shared" si="5"/>
        <v>9.9999999747524271E-7</v>
      </c>
      <c r="N24" s="355"/>
    </row>
    <row r="25" spans="2:14" ht="15.6" x14ac:dyDescent="0.3">
      <c r="B25" s="352"/>
      <c r="C25" s="426">
        <v>80</v>
      </c>
      <c r="D25" s="426">
        <v>9.9999999999999995E-7</v>
      </c>
      <c r="I25" s="628">
        <v>90</v>
      </c>
      <c r="J25" s="625">
        <f>ID!K94</f>
        <v>90</v>
      </c>
      <c r="K25" s="625">
        <f t="shared" si="3"/>
        <v>9.9999999999999995E-7</v>
      </c>
      <c r="L25" s="625">
        <f t="shared" si="4"/>
        <v>90.000000999999997</v>
      </c>
      <c r="M25" s="637">
        <f t="shared" si="5"/>
        <v>9.9999999747524271E-7</v>
      </c>
      <c r="N25" s="355"/>
    </row>
    <row r="26" spans="2:14" ht="15.6" x14ac:dyDescent="0.3">
      <c r="B26" s="352"/>
      <c r="I26" s="628">
        <v>85</v>
      </c>
      <c r="J26" s="625">
        <f>ID!K95</f>
        <v>85</v>
      </c>
      <c r="K26" s="625">
        <f t="shared" si="3"/>
        <v>9.9999999999999995E-7</v>
      </c>
      <c r="L26" s="625">
        <f t="shared" si="4"/>
        <v>85.000000999999997</v>
      </c>
      <c r="M26" s="637">
        <f t="shared" si="5"/>
        <v>9.9999999747524271E-7</v>
      </c>
      <c r="N26" s="355"/>
    </row>
    <row r="27" spans="2:14" x14ac:dyDescent="0.25">
      <c r="B27" s="352"/>
      <c r="I27" s="356"/>
      <c r="J27" s="357"/>
      <c r="K27" s="361"/>
      <c r="L27" s="361"/>
      <c r="N27" s="355"/>
    </row>
    <row r="28" spans="2:14" x14ac:dyDescent="0.25">
      <c r="B28" s="352"/>
      <c r="I28" s="356"/>
      <c r="J28" s="357"/>
      <c r="K28" s="361"/>
      <c r="L28" s="361"/>
      <c r="N28" s="355"/>
    </row>
    <row r="29" spans="2:14" x14ac:dyDescent="0.25">
      <c r="B29" s="352"/>
      <c r="I29" s="356"/>
      <c r="J29" s="357"/>
      <c r="K29" s="361"/>
      <c r="L29" s="361"/>
      <c r="N29" s="355"/>
    </row>
    <row r="30" spans="2:14" x14ac:dyDescent="0.25">
      <c r="B30" s="352"/>
      <c r="I30" s="356"/>
      <c r="J30" s="357"/>
      <c r="K30" s="361"/>
      <c r="L30" s="361"/>
      <c r="N30" s="355"/>
    </row>
    <row r="31" spans="2:14" x14ac:dyDescent="0.25">
      <c r="B31" s="352"/>
      <c r="N31" s="355"/>
    </row>
    <row r="32" spans="2:14" ht="13.8" thickBot="1" x14ac:dyDescent="0.3">
      <c r="B32" s="362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4"/>
    </row>
    <row r="34" spans="2:18" ht="25.2" thickBot="1" x14ac:dyDescent="0.45">
      <c r="B34" s="365" t="s">
        <v>462</v>
      </c>
    </row>
    <row r="35" spans="2:18" ht="13.8" thickBot="1" x14ac:dyDescent="0.3">
      <c r="B35" s="347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8"/>
      <c r="Q35" s="348"/>
      <c r="R35" s="349"/>
    </row>
    <row r="36" spans="2:18" ht="45.9" customHeight="1" thickBot="1" x14ac:dyDescent="0.3">
      <c r="B36" s="366">
        <f>'DB Suhu'!A372</f>
        <v>15</v>
      </c>
      <c r="C36" s="1070" t="str">
        <f>'DB Suhu'!A353</f>
        <v>Digital Thermohygro Barometer : EXTECH, SD700, SN : A.100616</v>
      </c>
      <c r="D36" s="1070"/>
      <c r="E36" s="1070"/>
      <c r="I36" s="1066" t="s">
        <v>457</v>
      </c>
      <c r="J36" s="1067"/>
      <c r="K36" s="1067"/>
      <c r="L36" s="1067"/>
      <c r="M36" s="1067"/>
      <c r="N36" s="1067"/>
      <c r="O36" s="1067"/>
      <c r="P36" s="1067"/>
      <c r="Q36" s="1068"/>
      <c r="R36" s="355"/>
    </row>
    <row r="37" spans="2:18" x14ac:dyDescent="0.25">
      <c r="B37" s="352"/>
      <c r="R37" s="355"/>
    </row>
    <row r="38" spans="2:18" x14ac:dyDescent="0.25">
      <c r="B38" s="352"/>
      <c r="C38" s="367" t="s">
        <v>463</v>
      </c>
      <c r="F38" s="367" t="s">
        <v>228</v>
      </c>
      <c r="I38" s="1071" t="s">
        <v>464</v>
      </c>
      <c r="J38" s="1071"/>
      <c r="K38" s="1071"/>
      <c r="L38" s="1071"/>
      <c r="M38" s="1071"/>
      <c r="N38" s="1071"/>
      <c r="O38" s="1071"/>
      <c r="P38" s="1071"/>
      <c r="Q38" s="1071"/>
      <c r="R38" s="355"/>
    </row>
    <row r="39" spans="2:18" x14ac:dyDescent="0.25">
      <c r="B39" s="352"/>
      <c r="C39" s="354" t="s">
        <v>138</v>
      </c>
      <c r="D39" s="354" t="s">
        <v>167</v>
      </c>
      <c r="F39" s="354" t="s">
        <v>141</v>
      </c>
      <c r="G39" s="354" t="s">
        <v>167</v>
      </c>
      <c r="I39" s="354" t="s">
        <v>227</v>
      </c>
      <c r="J39" s="354" t="s">
        <v>465</v>
      </c>
      <c r="K39" s="354" t="s">
        <v>466</v>
      </c>
      <c r="L39" s="354" t="s">
        <v>170</v>
      </c>
      <c r="N39" s="354" t="s">
        <v>228</v>
      </c>
      <c r="O39" s="354" t="s">
        <v>465</v>
      </c>
      <c r="P39" s="354" t="s">
        <v>466</v>
      </c>
      <c r="Q39" s="354" t="s">
        <v>170</v>
      </c>
      <c r="R39" s="355"/>
    </row>
    <row r="40" spans="2:18" x14ac:dyDescent="0.25">
      <c r="B40" s="352"/>
      <c r="C40" s="662">
        <v>15</v>
      </c>
      <c r="D40" s="426">
        <f>'DB Suhu'!B337</f>
        <v>0.1</v>
      </c>
      <c r="F40" s="661">
        <v>35</v>
      </c>
      <c r="G40" s="359">
        <f>'DB Suhu'!G337</f>
        <v>-1.6</v>
      </c>
      <c r="I40" s="368">
        <f>ID!O15</f>
        <v>36.650000000000006</v>
      </c>
      <c r="J40" s="368">
        <f>FORECAST(I40,D40:D46,C40:C46)</f>
        <v>6.7581043770810201E-2</v>
      </c>
      <c r="K40" s="368">
        <f>I40+J40</f>
        <v>36.717581043770814</v>
      </c>
      <c r="L40" s="368">
        <f>'DB Suhu'!Q341</f>
        <v>0.4</v>
      </c>
      <c r="M40" s="380"/>
      <c r="N40" s="368">
        <f>ID!O16</f>
        <v>59.5</v>
      </c>
      <c r="O40" s="368">
        <f>FORECAST(N40,G40:G46,F40:F46)</f>
        <v>-1.8269405099150142</v>
      </c>
      <c r="P40" s="368">
        <f>N40+O40</f>
        <v>57.673059490084988</v>
      </c>
      <c r="Q40" s="368">
        <f>'DB Suhu'!Q342</f>
        <v>2.2000000000000002</v>
      </c>
      <c r="R40" s="355"/>
    </row>
    <row r="41" spans="2:18" x14ac:dyDescent="0.25">
      <c r="B41" s="352"/>
      <c r="C41" s="662">
        <v>20</v>
      </c>
      <c r="D41" s="426">
        <f>'DB Suhu'!B338</f>
        <v>0.2</v>
      </c>
      <c r="F41" s="661">
        <v>40</v>
      </c>
      <c r="G41" s="359">
        <f>'DB Suhu'!G338</f>
        <v>-1.4</v>
      </c>
      <c r="I41" s="369"/>
      <c r="R41" s="355"/>
    </row>
    <row r="42" spans="2:18" x14ac:dyDescent="0.25">
      <c r="B42" s="352"/>
      <c r="C42" s="662">
        <v>25</v>
      </c>
      <c r="D42" s="426">
        <f>'DB Suhu'!B339</f>
        <v>0.2</v>
      </c>
      <c r="F42" s="661">
        <v>50</v>
      </c>
      <c r="G42" s="359">
        <f>'DB Suhu'!G339</f>
        <v>-1.4</v>
      </c>
      <c r="I42" s="370" t="s">
        <v>467</v>
      </c>
      <c r="R42" s="355"/>
    </row>
    <row r="43" spans="2:18" x14ac:dyDescent="0.25">
      <c r="B43" s="352"/>
      <c r="C43" s="662">
        <v>30</v>
      </c>
      <c r="D43" s="426">
        <f>'DB Suhu'!B340</f>
        <v>0.2</v>
      </c>
      <c r="F43" s="663">
        <v>60</v>
      </c>
      <c r="G43" s="359">
        <f>'DB Suhu'!G340</f>
        <v>-1.5</v>
      </c>
      <c r="I43" s="370" t="s">
        <v>227</v>
      </c>
      <c r="J43" s="346" t="str">
        <f>I48&amp;I46&amp;J48&amp;J46&amp;K48&amp;K46</f>
        <v>( 36.7 ± 0.4 ) °C</v>
      </c>
      <c r="R43" s="355"/>
    </row>
    <row r="44" spans="2:18" x14ac:dyDescent="0.25">
      <c r="B44" s="352"/>
      <c r="C44" s="662">
        <v>35</v>
      </c>
      <c r="D44" s="426">
        <f>'DB Suhu'!B341</f>
        <v>0.1</v>
      </c>
      <c r="F44" s="663">
        <v>70</v>
      </c>
      <c r="G44" s="359">
        <f>'DB Suhu'!G341</f>
        <v>-1.8</v>
      </c>
      <c r="I44" s="370" t="s">
        <v>228</v>
      </c>
      <c r="J44" s="346" t="str">
        <f>I48&amp;I47&amp;J48&amp;J47&amp;K48&amp;K47</f>
        <v>( 57.7 ± 2.2 ) %RH</v>
      </c>
      <c r="R44" s="355"/>
    </row>
    <row r="45" spans="2:18" x14ac:dyDescent="0.25">
      <c r="B45" s="352"/>
      <c r="C45" s="662">
        <v>37</v>
      </c>
      <c r="D45" s="426">
        <f>'DB Suhu'!B342</f>
        <v>9.9999999999999995E-7</v>
      </c>
      <c r="F45" s="663">
        <v>80</v>
      </c>
      <c r="G45" s="359">
        <f>'DB Suhu'!G342</f>
        <v>-2.2999999999999998</v>
      </c>
      <c r="I45" s="369"/>
      <c r="R45" s="355"/>
    </row>
    <row r="46" spans="2:18" ht="15.6" x14ac:dyDescent="0.25">
      <c r="B46" s="352"/>
      <c r="C46" s="662">
        <v>40</v>
      </c>
      <c r="D46" s="426">
        <f>'DB Suhu'!B343</f>
        <v>9.9999999999999995E-7</v>
      </c>
      <c r="F46" s="663">
        <v>90</v>
      </c>
      <c r="G46" s="359">
        <f>'DB Suhu'!G343</f>
        <v>-3</v>
      </c>
      <c r="I46" s="120" t="str">
        <f>TEXT(K40,"0.0")</f>
        <v>36.7</v>
      </c>
      <c r="J46" s="120" t="str">
        <f>TEXT(L40,"0.0")</f>
        <v>0.4</v>
      </c>
      <c r="K46" s="121" t="s">
        <v>367</v>
      </c>
      <c r="M46" s="647">
        <f>K40</f>
        <v>36.717581043770814</v>
      </c>
      <c r="N46" s="664" t="str">
        <f>J48</f>
        <v xml:space="preserve"> ± </v>
      </c>
      <c r="O46" s="647">
        <f>L40</f>
        <v>0.4</v>
      </c>
      <c r="P46" s="346" t="str">
        <f>K46</f>
        <v xml:space="preserve"> °C</v>
      </c>
      <c r="R46" s="355"/>
    </row>
    <row r="47" spans="2:18" ht="15.6" x14ac:dyDescent="0.25">
      <c r="B47" s="352"/>
      <c r="I47" s="120" t="str">
        <f>TEXT(P40,"0.0")</f>
        <v>57.7</v>
      </c>
      <c r="J47" s="120" t="str">
        <f>TEXT(Q40,"0.0")</f>
        <v>2.2</v>
      </c>
      <c r="K47" s="121" t="s">
        <v>368</v>
      </c>
      <c r="M47" s="647">
        <f>N40</f>
        <v>59.5</v>
      </c>
      <c r="N47" s="664" t="str">
        <f>J48</f>
        <v xml:space="preserve"> ± </v>
      </c>
      <c r="O47" s="647">
        <f>Q40</f>
        <v>2.2000000000000002</v>
      </c>
      <c r="P47" s="346" t="str">
        <f>K47</f>
        <v xml:space="preserve"> %RH</v>
      </c>
      <c r="R47" s="355"/>
    </row>
    <row r="48" spans="2:18" ht="15.6" x14ac:dyDescent="0.25">
      <c r="B48" s="352"/>
      <c r="I48" s="122" t="s">
        <v>369</v>
      </c>
      <c r="J48" s="123" t="s">
        <v>370</v>
      </c>
      <c r="K48" s="123" t="s">
        <v>371</v>
      </c>
      <c r="R48" s="355"/>
    </row>
    <row r="49" spans="2:18" ht="13.8" thickBot="1" x14ac:dyDescent="0.3">
      <c r="B49" s="362"/>
      <c r="C49" s="363"/>
      <c r="D49" s="363"/>
      <c r="E49" s="363"/>
      <c r="F49" s="363"/>
      <c r="G49" s="363"/>
      <c r="H49" s="363"/>
      <c r="I49" s="363"/>
      <c r="J49" s="363"/>
      <c r="K49" s="363"/>
      <c r="L49" s="363"/>
      <c r="M49" s="363"/>
      <c r="N49" s="363"/>
      <c r="O49" s="363"/>
      <c r="P49" s="363"/>
      <c r="Q49" s="363"/>
      <c r="R49" s="364"/>
    </row>
    <row r="51" spans="2:18" ht="25.2" thickBot="1" x14ac:dyDescent="0.45">
      <c r="B51" s="365" t="s">
        <v>32</v>
      </c>
    </row>
    <row r="52" spans="2:18" ht="13.8" thickBot="1" x14ac:dyDescent="0.3">
      <c r="B52" s="347"/>
      <c r="C52" s="348"/>
      <c r="D52" s="348"/>
      <c r="E52" s="348"/>
      <c r="F52" s="348"/>
      <c r="G52" s="348"/>
      <c r="H52" s="348"/>
      <c r="I52" s="348"/>
      <c r="J52" s="348"/>
      <c r="K52" s="348"/>
      <c r="L52" s="349"/>
    </row>
    <row r="53" spans="2:18" ht="30.6" thickBot="1" x14ac:dyDescent="0.3">
      <c r="B53" s="371">
        <f>'DB ESA'!A244</f>
        <v>7</v>
      </c>
      <c r="C53" s="1065" t="str">
        <f>'DB ESA'!A234</f>
        <v>Electrical Safety Analyzer, Merek : Fluke, Model : ESA 615, SN : 3699030</v>
      </c>
      <c r="D53" s="1065"/>
      <c r="E53" s="1065"/>
      <c r="F53" s="1065"/>
      <c r="H53" s="1066" t="s">
        <v>457</v>
      </c>
      <c r="I53" s="1067"/>
      <c r="J53" s="1067"/>
      <c r="K53" s="1068"/>
      <c r="L53" s="372"/>
      <c r="M53" s="373"/>
      <c r="N53" s="373"/>
      <c r="O53" s="373"/>
      <c r="P53" s="373"/>
    </row>
    <row r="54" spans="2:18" x14ac:dyDescent="0.25">
      <c r="B54" s="352"/>
      <c r="L54" s="355"/>
    </row>
    <row r="55" spans="2:18" ht="26.4" customHeight="1" thickBot="1" x14ac:dyDescent="0.3">
      <c r="B55" s="352"/>
      <c r="C55" s="374" t="s">
        <v>468</v>
      </c>
      <c r="D55" s="354" t="s">
        <v>167</v>
      </c>
      <c r="E55" s="354" t="s">
        <v>170</v>
      </c>
      <c r="H55" s="360" t="s">
        <v>329</v>
      </c>
      <c r="I55" s="354" t="s">
        <v>167</v>
      </c>
      <c r="J55" s="354" t="s">
        <v>469</v>
      </c>
      <c r="K55" s="354" t="s">
        <v>331</v>
      </c>
      <c r="L55" s="416"/>
    </row>
    <row r="56" spans="2:18" ht="13.8" x14ac:dyDescent="0.25">
      <c r="B56" s="352"/>
      <c r="C56" s="665">
        <v>150</v>
      </c>
      <c r="D56" s="625">
        <f>'DB ESA'!C199</f>
        <v>0.21</v>
      </c>
      <c r="E56" s="636">
        <f>'DB ESA'!E199</f>
        <v>1.2</v>
      </c>
      <c r="F56" s="634"/>
      <c r="H56" s="669" t="str">
        <f>ID!E17</f>
        <v>-</v>
      </c>
      <c r="I56" s="635" t="e">
        <f>FORECAST(H56,D56:D61,C56:C61)</f>
        <v>#VALUE!</v>
      </c>
      <c r="J56" s="635" t="e">
        <f>H56+I56</f>
        <v>#VALUE!</v>
      </c>
      <c r="K56" s="670" t="str">
        <f>IF(H56="-","-",J56)</f>
        <v>-</v>
      </c>
      <c r="L56" s="416"/>
    </row>
    <row r="57" spans="2:18" ht="13.8" x14ac:dyDescent="0.25">
      <c r="B57" s="352"/>
      <c r="C57" s="666">
        <v>180</v>
      </c>
      <c r="D57" s="625">
        <f>'DB ESA'!C200</f>
        <v>0.33</v>
      </c>
      <c r="E57" s="636">
        <f>'DB ESA'!E200</f>
        <v>1.2</v>
      </c>
      <c r="F57" s="634"/>
      <c r="H57" s="669" t="str">
        <f>ID!K26</f>
        <v>-</v>
      </c>
      <c r="I57" s="635" t="e">
        <f>FORECAST(H57,D64:D67,C64:C67)</f>
        <v>#VALUE!</v>
      </c>
      <c r="J57" s="635" t="e">
        <f t="shared" ref="J57:J60" si="6">H57+I57</f>
        <v>#VALUE!</v>
      </c>
      <c r="K57" s="671" t="str">
        <f>IF(H57="OL","OL",IF(H57="NC","NC",IF(H57="OR","OR",IFERROR(J57,"-"))))</f>
        <v>-</v>
      </c>
      <c r="L57" s="416"/>
    </row>
    <row r="58" spans="2:18" ht="14.4" thickBot="1" x14ac:dyDescent="0.3">
      <c r="B58" s="352"/>
      <c r="C58" s="666">
        <v>200</v>
      </c>
      <c r="D58" s="625">
        <f>'DB ESA'!C201</f>
        <v>0.34</v>
      </c>
      <c r="E58" s="636">
        <f>'DB ESA'!E201</f>
        <v>1.2</v>
      </c>
      <c r="F58" s="634"/>
      <c r="H58" s="669" t="str">
        <f>ID!K27</f>
        <v>-</v>
      </c>
      <c r="I58" s="635" t="e">
        <f>FORECAST(H58,D70:D73,C70:C73)</f>
        <v>#VALUE!</v>
      </c>
      <c r="J58" s="635" t="e">
        <f t="shared" si="6"/>
        <v>#VALUE!</v>
      </c>
      <c r="K58" s="671" t="str">
        <f>IF(H58="OL","OL",IF(H58="NC","NC",IF(H58="OR","OR",IFERROR(J58,"-"))))</f>
        <v>-</v>
      </c>
      <c r="L58" s="416"/>
    </row>
    <row r="59" spans="2:18" ht="13.8" x14ac:dyDescent="0.25">
      <c r="B59" s="352"/>
      <c r="C59" s="666">
        <v>220</v>
      </c>
      <c r="D59" s="625">
        <f>'DB ESA'!C202</f>
        <v>0.37</v>
      </c>
      <c r="E59" s="636">
        <f>'DB ESA'!E202</f>
        <v>1.2</v>
      </c>
      <c r="F59" s="634"/>
      <c r="G59" s="376" t="s">
        <v>333</v>
      </c>
      <c r="H59" s="669" t="str">
        <f>ID!K28</f>
        <v>-</v>
      </c>
      <c r="I59" s="635" t="e">
        <f>FORECAST(H59,$D$78:$D$82,$C$78:$C$82)</f>
        <v>#VALUE!</v>
      </c>
      <c r="J59" s="635" t="e">
        <f t="shared" si="6"/>
        <v>#VALUE!</v>
      </c>
      <c r="K59" s="670" t="str">
        <f>IF(H59="-","-",J59)</f>
        <v>-</v>
      </c>
      <c r="L59" s="416"/>
    </row>
    <row r="60" spans="2:18" ht="14.4" thickBot="1" x14ac:dyDescent="0.3">
      <c r="B60" s="352"/>
      <c r="C60" s="666">
        <v>230</v>
      </c>
      <c r="D60" s="625">
        <f>'DB ESA'!C203</f>
        <v>0.47</v>
      </c>
      <c r="E60" s="636">
        <f>'DB ESA'!E203</f>
        <v>1.2</v>
      </c>
      <c r="F60" s="634"/>
      <c r="G60" s="376" t="s">
        <v>150</v>
      </c>
      <c r="H60" s="669">
        <f>ID!Q32</f>
        <v>0</v>
      </c>
      <c r="I60" s="635">
        <f>FORECAST(H60,$D$67:$D$71,$C$67:$C$71)</f>
        <v>-7.6913890247132244E-4</v>
      </c>
      <c r="J60" s="635">
        <f t="shared" si="6"/>
        <v>-7.6913890247132244E-4</v>
      </c>
      <c r="K60" s="672">
        <f>IFERROR(J60,"-")</f>
        <v>-7.6913890247132244E-4</v>
      </c>
      <c r="L60" s="417"/>
    </row>
    <row r="61" spans="2:18" x14ac:dyDescent="0.25">
      <c r="B61" s="352"/>
      <c r="C61" s="666">
        <v>250</v>
      </c>
      <c r="D61" s="625">
        <f>'DB ESA'!C204</f>
        <v>9.9999999999999995E-7</v>
      </c>
      <c r="E61" s="625">
        <f>'DB ESA'!E204</f>
        <v>1.2</v>
      </c>
      <c r="L61" s="355"/>
    </row>
    <row r="62" spans="2:18" x14ac:dyDescent="0.25">
      <c r="B62" s="352"/>
      <c r="G62" s="631"/>
      <c r="H62" s="631"/>
      <c r="I62" s="631"/>
      <c r="J62" s="631"/>
      <c r="K62" s="631"/>
      <c r="L62" s="355"/>
    </row>
    <row r="63" spans="2:18" x14ac:dyDescent="0.25">
      <c r="B63" s="352"/>
      <c r="C63" s="377" t="s">
        <v>470</v>
      </c>
      <c r="D63" s="354" t="s">
        <v>167</v>
      </c>
      <c r="E63" s="354" t="s">
        <v>170</v>
      </c>
      <c r="G63" s="631"/>
      <c r="H63" s="631"/>
      <c r="I63" s="631"/>
      <c r="J63" s="631"/>
      <c r="K63" s="631"/>
      <c r="L63" s="355"/>
    </row>
    <row r="64" spans="2:18" x14ac:dyDescent="0.25">
      <c r="B64" s="352"/>
      <c r="C64" s="667">
        <v>10</v>
      </c>
      <c r="D64" s="658">
        <f>'DB ESA'!C215</f>
        <v>9.9999999999999995E-7</v>
      </c>
      <c r="E64" s="658">
        <f>'DB ESA'!E215</f>
        <v>1.7</v>
      </c>
      <c r="G64" s="631"/>
      <c r="H64" s="631"/>
      <c r="I64" s="631"/>
      <c r="J64" s="631"/>
      <c r="K64" s="631"/>
      <c r="L64" s="355"/>
    </row>
    <row r="65" spans="2:12" x14ac:dyDescent="0.25">
      <c r="B65" s="352"/>
      <c r="C65" s="667">
        <v>20</v>
      </c>
      <c r="D65" s="658">
        <f>'DB ESA'!C216</f>
        <v>0.1</v>
      </c>
      <c r="E65" s="658">
        <f>'DB ESA'!E216</f>
        <v>1.7</v>
      </c>
      <c r="G65" s="631"/>
      <c r="H65" s="631"/>
      <c r="I65" s="631"/>
      <c r="J65" s="631"/>
      <c r="K65" s="631"/>
      <c r="L65" s="355"/>
    </row>
    <row r="66" spans="2:12" x14ac:dyDescent="0.25">
      <c r="B66" s="352"/>
      <c r="C66" s="667">
        <v>50</v>
      </c>
      <c r="D66" s="658">
        <f>'DB ESA'!C217</f>
        <v>0.4</v>
      </c>
      <c r="E66" s="658">
        <f>'DB ESA'!E217</f>
        <v>1.7</v>
      </c>
      <c r="G66" s="632"/>
      <c r="H66" s="633"/>
      <c r="J66" s="631"/>
      <c r="K66" s="631"/>
      <c r="L66" s="355"/>
    </row>
    <row r="67" spans="2:12" x14ac:dyDescent="0.25">
      <c r="B67" s="352"/>
      <c r="C67" s="667">
        <v>100</v>
      </c>
      <c r="D67" s="658">
        <f>'DB ESA'!C218</f>
        <v>1.4</v>
      </c>
      <c r="E67" s="658">
        <f>'DB ESA'!E218</f>
        <v>1.7</v>
      </c>
      <c r="G67" s="631"/>
      <c r="H67" s="633"/>
      <c r="I67" s="633"/>
      <c r="J67" s="631"/>
      <c r="K67" s="631"/>
      <c r="L67" s="355"/>
    </row>
    <row r="68" spans="2:12" x14ac:dyDescent="0.25">
      <c r="B68" s="352"/>
      <c r="G68" s="631"/>
      <c r="H68" s="633"/>
      <c r="I68" s="633"/>
      <c r="J68" s="631"/>
      <c r="K68" s="631"/>
      <c r="L68" s="355"/>
    </row>
    <row r="69" spans="2:12" x14ac:dyDescent="0.25">
      <c r="B69" s="352"/>
      <c r="C69" s="353" t="s">
        <v>315</v>
      </c>
      <c r="D69" s="353" t="s">
        <v>167</v>
      </c>
      <c r="E69" s="353" t="s">
        <v>170</v>
      </c>
      <c r="G69" s="631"/>
      <c r="H69" s="631"/>
      <c r="I69" s="631"/>
      <c r="J69" s="631"/>
      <c r="K69" s="631"/>
      <c r="L69" s="355"/>
    </row>
    <row r="70" spans="2:12" x14ac:dyDescent="0.25">
      <c r="B70" s="352"/>
      <c r="C70" s="668">
        <v>0.01</v>
      </c>
      <c r="D70" s="657">
        <f>'DB ESA'!C221</f>
        <v>9.9999999999999995E-7</v>
      </c>
      <c r="E70" s="657">
        <f>'DB ESA'!E221</f>
        <v>1.2</v>
      </c>
      <c r="G70" s="631"/>
      <c r="H70" s="631"/>
      <c r="I70" s="631"/>
      <c r="J70" s="631"/>
      <c r="K70" s="631"/>
      <c r="L70" s="355"/>
    </row>
    <row r="71" spans="2:12" x14ac:dyDescent="0.25">
      <c r="B71" s="352"/>
      <c r="C71" s="657">
        <v>0.1</v>
      </c>
      <c r="D71" s="657">
        <f>'DB ESA'!C222</f>
        <v>9.9999999999999995E-7</v>
      </c>
      <c r="E71" s="657">
        <f>'DB ESA'!E222</f>
        <v>1.2</v>
      </c>
      <c r="G71" s="632"/>
      <c r="H71" s="633"/>
      <c r="I71" s="633"/>
      <c r="J71" s="631"/>
      <c r="K71" s="631"/>
      <c r="L71" s="355"/>
    </row>
    <row r="72" spans="2:12" x14ac:dyDescent="0.25">
      <c r="B72" s="352"/>
      <c r="C72" s="657">
        <v>1</v>
      </c>
      <c r="D72" s="657">
        <f>'DB ESA'!C223</f>
        <v>-2.3E-3</v>
      </c>
      <c r="E72" s="657">
        <f>'DB ESA'!E223</f>
        <v>1.2</v>
      </c>
      <c r="G72" s="631"/>
      <c r="H72" s="633"/>
      <c r="I72" s="633"/>
      <c r="J72" s="631"/>
      <c r="K72" s="631"/>
      <c r="L72" s="355"/>
    </row>
    <row r="73" spans="2:12" x14ac:dyDescent="0.25">
      <c r="B73" s="352"/>
      <c r="C73" s="657">
        <v>2</v>
      </c>
      <c r="D73" s="657">
        <f>'DB ESA'!C224</f>
        <v>9.9999999999999995E-7</v>
      </c>
      <c r="E73" s="657">
        <f>'DB ESA'!E224</f>
        <v>1.2</v>
      </c>
      <c r="G73" s="631"/>
      <c r="H73" s="633"/>
      <c r="I73" s="633"/>
      <c r="J73" s="631"/>
      <c r="K73" s="631"/>
      <c r="L73" s="355"/>
    </row>
    <row r="74" spans="2:12" x14ac:dyDescent="0.25">
      <c r="B74" s="378"/>
      <c r="G74" s="631"/>
      <c r="H74" s="631"/>
      <c r="I74" s="631"/>
      <c r="J74" s="631"/>
      <c r="K74" s="631"/>
      <c r="L74" s="355"/>
    </row>
    <row r="75" spans="2:12" x14ac:dyDescent="0.25">
      <c r="B75" s="378"/>
      <c r="L75" s="355"/>
    </row>
    <row r="76" spans="2:12" x14ac:dyDescent="0.25">
      <c r="B76" s="352"/>
      <c r="L76" s="355"/>
    </row>
    <row r="77" spans="2:12" ht="26.4" x14ac:dyDescent="0.25">
      <c r="B77" s="352"/>
      <c r="C77" s="377" t="s">
        <v>312</v>
      </c>
      <c r="D77" s="354" t="s">
        <v>167</v>
      </c>
      <c r="E77" s="354" t="s">
        <v>170</v>
      </c>
      <c r="L77" s="355"/>
    </row>
    <row r="78" spans="2:12" x14ac:dyDescent="0.25">
      <c r="B78" s="352"/>
      <c r="C78" s="375">
        <v>0</v>
      </c>
      <c r="D78" s="426">
        <f>'DB ESA'!C207</f>
        <v>9.9999999999999995E-7</v>
      </c>
      <c r="E78" s="426">
        <f>'DB ESA'!E207</f>
        <v>0.59</v>
      </c>
      <c r="L78" s="355"/>
    </row>
    <row r="79" spans="2:12" x14ac:dyDescent="0.25">
      <c r="B79" s="352"/>
      <c r="C79" s="375">
        <v>50</v>
      </c>
      <c r="D79" s="426">
        <f>'DB ESA'!C208</f>
        <v>1.7</v>
      </c>
      <c r="E79" s="426">
        <f>'DB ESA'!E208</f>
        <v>0.59</v>
      </c>
      <c r="L79" s="355"/>
    </row>
    <row r="80" spans="2:12" x14ac:dyDescent="0.25">
      <c r="B80" s="352"/>
      <c r="C80" s="375">
        <v>100</v>
      </c>
      <c r="D80" s="426">
        <f>'DB ESA'!C209</f>
        <v>1.7</v>
      </c>
      <c r="E80" s="426">
        <f>'DB ESA'!E209</f>
        <v>0.59</v>
      </c>
      <c r="L80" s="355"/>
    </row>
    <row r="81" spans="2:12" x14ac:dyDescent="0.25">
      <c r="B81" s="352"/>
      <c r="C81" s="375">
        <v>500</v>
      </c>
      <c r="D81" s="426">
        <f>'DB ESA'!C210</f>
        <v>0.4</v>
      </c>
      <c r="E81" s="426">
        <f>'DB ESA'!E210</f>
        <v>0.59</v>
      </c>
      <c r="L81" s="355"/>
    </row>
    <row r="82" spans="2:12" x14ac:dyDescent="0.25">
      <c r="B82" s="352"/>
      <c r="C82" s="375">
        <v>1000</v>
      </c>
      <c r="D82" s="426">
        <f>'DB ESA'!C211</f>
        <v>3</v>
      </c>
      <c r="E82" s="426">
        <f>'DB ESA'!E211</f>
        <v>0.59</v>
      </c>
      <c r="L82" s="355"/>
    </row>
    <row r="83" spans="2:12" ht="13.8" thickBot="1" x14ac:dyDescent="0.3">
      <c r="B83" s="362"/>
      <c r="C83" s="363"/>
      <c r="D83" s="363"/>
      <c r="E83" s="363"/>
      <c r="F83" s="363"/>
      <c r="G83" s="363"/>
      <c r="H83" s="363"/>
      <c r="I83" s="363"/>
      <c r="J83" s="363"/>
      <c r="K83" s="363"/>
      <c r="L83" s="364"/>
    </row>
  </sheetData>
  <mergeCells count="7">
    <mergeCell ref="C53:F53"/>
    <mergeCell ref="H53:K53"/>
    <mergeCell ref="C7:E7"/>
    <mergeCell ref="I7:M7"/>
    <mergeCell ref="C36:E36"/>
    <mergeCell ref="I36:Q36"/>
    <mergeCell ref="I38:Q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Lembar Kerja</vt:lpstr>
      <vt:lpstr>Riwayat Revisi</vt:lpstr>
      <vt:lpstr>Ketidakpastian BPM</vt:lpstr>
      <vt:lpstr>Ketidakpastian SPO2</vt:lpstr>
      <vt:lpstr>Penyelia</vt:lpstr>
      <vt:lpstr>ID</vt:lpstr>
      <vt:lpstr>LH</vt:lpstr>
      <vt:lpstr>Sertifikat</vt:lpstr>
      <vt:lpstr>FORECAST</vt:lpstr>
      <vt:lpstr>DB ESA</vt:lpstr>
      <vt:lpstr>DB Suhu</vt:lpstr>
      <vt:lpstr>cetik</vt:lpstr>
      <vt:lpstr>kesimpulan</vt:lpstr>
      <vt:lpstr>DATA SERTIFIKAT(BPM)</vt:lpstr>
      <vt:lpstr>DATA SERTIFIKAT(O2)</vt:lpstr>
      <vt:lpstr>ID!Print_Area</vt:lpstr>
      <vt:lpstr>'Ketidakpastian BPM'!Print_Area</vt:lpstr>
      <vt:lpstr>'Ketidakpastian SPO2'!Print_Area</vt:lpstr>
      <vt:lpstr>'Lembar Kerja'!Print_Area</vt:lpstr>
      <vt:lpstr>LH!Print_Area</vt:lpstr>
      <vt:lpstr>Penyelia!Print_Area</vt:lpstr>
      <vt:lpstr>Sertifikat!Print_Area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LPFK Banjarbaru</dc:title>
  <dc:subject/>
  <dc:creator>Isra Mahensa</dc:creator>
  <cp:keywords/>
  <dc:description/>
  <cp:lastModifiedBy>-</cp:lastModifiedBy>
  <cp:revision/>
  <cp:lastPrinted>2022-04-08T01:13:05Z</cp:lastPrinted>
  <dcterms:created xsi:type="dcterms:W3CDTF">2004-10-15T07:18:29Z</dcterms:created>
  <dcterms:modified xsi:type="dcterms:W3CDTF">2022-04-13T04:13:00Z</dcterms:modified>
  <cp:category>Doppler</cp:category>
  <cp:contentStatus/>
</cp:coreProperties>
</file>