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fileSharing readOnlyRecommended="1"/>
  <workbookPr codeName="ThisWorkbook" defaultThemeVersion="124226"/>
  <mc:AlternateContent xmlns:mc="http://schemas.openxmlformats.org/markup-compatibility/2006">
    <mc:Choice Requires="x15">
      <x15ac:absPath xmlns:x15ac="http://schemas.microsoft.com/office/spreadsheetml/2010/11/ac" url="C:\Users\A\Desktop\JANAWI 4 maret 2022\PERUBAHAN EXCELL TAHUN 2022\MARET\TENSIMETER\"/>
    </mc:Choice>
  </mc:AlternateContent>
  <xr:revisionPtr revIDLastSave="0" documentId="13_ncr:1_{3AD7BB57-131B-4267-852B-26443FE4E048}" xr6:coauthVersionLast="47" xr6:coauthVersionMax="47" xr10:uidLastSave="{00000000-0000-0000-0000-000000000000}"/>
  <bookViews>
    <workbookView xWindow="-120" yWindow="-120" windowWidth="20730" windowHeight="11160" activeTab="11" xr2:uid="{00000000-000D-0000-FFFF-FFFF00000000}"/>
  </bookViews>
  <sheets>
    <sheet name="RIWAYAT REVISI" sheetId="29" r:id="rId1"/>
    <sheet name="KETERANGAN" sheetId="23" state="hidden" r:id="rId2"/>
    <sheet name="SERTIFIKAT THERMOHYGROMETER" sheetId="22" state="hidden" r:id="rId3"/>
    <sheet name="SERTIFIKAT DPM" sheetId="20" state="hidden" r:id="rId4"/>
    <sheet name="SERTIFIKAT STOPWATCH" sheetId="25" state="hidden" r:id="rId5"/>
    <sheet name="LK" sheetId="27" r:id="rId6"/>
    <sheet name="ID" sheetId="4" r:id="rId7"/>
    <sheet name="INTERPOLASI  " sheetId="36" state="hidden" r:id="rId8"/>
    <sheet name="DATA 1" sheetId="24" state="hidden" r:id="rId9"/>
    <sheet name="BUDGET NAIK" sheetId="11" r:id="rId10"/>
    <sheet name="BUDGET TURUN" sheetId="26" r:id="rId11"/>
    <sheet name="PENYELIA" sheetId="1" r:id="rId12"/>
    <sheet name="LH" sheetId="28" r:id="rId13"/>
    <sheet name="SERTIFIKAT" sheetId="37" r:id="rId14"/>
    <sheet name="SERTIFIKAT NA" sheetId="32" state="hidden" r:id="rId15"/>
    <sheet name="SURAT KETERANGAN NA" sheetId="33" state="hidden" r:id="rId16"/>
    <sheet name="DB SERTIFIKAT NA" sheetId="34" state="hidden" r:id="rId17"/>
    <sheet name="RESOLUSI STANDAR" sheetId="30" state="hidden" r:id="rId18"/>
  </sheets>
  <definedNames>
    <definedName name="_xlnm._FilterDatabase" localSheetId="6" hidden="1">ID!#REF!</definedName>
    <definedName name="_xlnm.Print_Area" localSheetId="9">'BUDGET NAIK'!$C$4:$Y$51</definedName>
    <definedName name="_xlnm.Print_Area" localSheetId="10">'BUDGET TURUN'!$C$4:$Y$51</definedName>
    <definedName name="_xlnm.Print_Area" localSheetId="6">ID!$A$1:$K$86</definedName>
    <definedName name="_xlnm.Print_Area" localSheetId="12">LH!$A$1:$M$81</definedName>
    <definedName name="_xlnm.Print_Area" localSheetId="5">LK!$A$1:$K$99</definedName>
    <definedName name="_xlnm.Print_Area" localSheetId="11">PENYELIA!$A$1:$O$71</definedName>
    <definedName name="_xlnm.Print_Area" localSheetId="13">SERTIFIKAT!$A$1:$F$33</definedName>
    <definedName name="_xlnm.Print_Area" localSheetId="14">'SERTIFIKAT NA'!$A$1:$G$33</definedName>
    <definedName name="_xlnm.Print_Area" localSheetId="15">'SURAT KETERANGAN NA'!$A$1:$G$33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4" i="4" l="1"/>
  <c r="D43" i="4"/>
  <c r="DM18" i="36"/>
  <c r="DP18" i="36" s="1"/>
  <c r="DF18" i="36"/>
  <c r="DE18" i="36"/>
  <c r="DD18" i="36"/>
  <c r="DC18" i="36"/>
  <c r="DB18" i="36"/>
  <c r="E23" i="4"/>
  <c r="D23" i="4"/>
  <c r="E22" i="4"/>
  <c r="D22" i="4"/>
  <c r="CN24" i="36"/>
  <c r="CQ24" i="36" s="1"/>
  <c r="CR18" i="36"/>
  <c r="CQ18" i="36"/>
  <c r="CP18" i="36"/>
  <c r="CO18" i="36"/>
  <c r="CN18" i="36"/>
  <c r="CG24" i="36"/>
  <c r="CF24" i="36"/>
  <c r="CE24" i="36"/>
  <c r="CD24" i="36"/>
  <c r="CG18" i="36"/>
  <c r="CF18" i="36"/>
  <c r="CC24" i="36"/>
  <c r="CE18" i="36"/>
  <c r="CD18" i="36"/>
  <c r="CC18" i="36"/>
  <c r="B45" i="37"/>
  <c r="B46" i="37" s="1"/>
  <c r="B43" i="37"/>
  <c r="D23" i="37"/>
  <c r="A3" i="37"/>
  <c r="F6" i="37" s="1"/>
  <c r="E26" i="37"/>
  <c r="F11" i="37"/>
  <c r="D11" i="37"/>
  <c r="N38" i="25"/>
  <c r="N39" i="25"/>
  <c r="N40" i="25"/>
  <c r="N41" i="25"/>
  <c r="N42" i="25"/>
  <c r="N43" i="25"/>
  <c r="N44" i="25"/>
  <c r="N45" i="25"/>
  <c r="N46" i="25"/>
  <c r="N47" i="25"/>
  <c r="N48" i="25"/>
  <c r="N49" i="25"/>
  <c r="N50" i="25"/>
  <c r="N51" i="25"/>
  <c r="N52" i="25"/>
  <c r="N53" i="25"/>
  <c r="N54" i="25"/>
  <c r="N55" i="25"/>
  <c r="N56" i="25"/>
  <c r="N57" i="25"/>
  <c r="N58" i="25"/>
  <c r="N59" i="25"/>
  <c r="N60" i="25"/>
  <c r="N61" i="25"/>
  <c r="N62" i="25"/>
  <c r="N63" i="25"/>
  <c r="N64" i="25"/>
  <c r="N65" i="25"/>
  <c r="N66" i="25"/>
  <c r="N67" i="25"/>
  <c r="N68" i="25"/>
  <c r="N69" i="25"/>
  <c r="N70" i="25"/>
  <c r="N71" i="25"/>
  <c r="N72" i="25"/>
  <c r="N73" i="25"/>
  <c r="N74" i="25"/>
  <c r="N75" i="25"/>
  <c r="N76" i="25"/>
  <c r="N77" i="25"/>
  <c r="N78" i="25"/>
  <c r="N79" i="25"/>
  <c r="N80" i="25"/>
  <c r="N81" i="25"/>
  <c r="N82" i="25"/>
  <c r="N83" i="25"/>
  <c r="N84" i="25"/>
  <c r="N85" i="25"/>
  <c r="N86" i="25"/>
  <c r="N87" i="25"/>
  <c r="N88" i="25"/>
  <c r="N89" i="25"/>
  <c r="N90" i="25"/>
  <c r="N91" i="25"/>
  <c r="N92" i="25"/>
  <c r="N93" i="25"/>
  <c r="N94" i="25"/>
  <c r="N95" i="25"/>
  <c r="N96" i="25"/>
  <c r="N97" i="25"/>
  <c r="N98" i="25"/>
  <c r="N99" i="25"/>
  <c r="N100" i="25"/>
  <c r="N101" i="25"/>
  <c r="N102" i="25"/>
  <c r="N103" i="25"/>
  <c r="N104" i="25"/>
  <c r="N105" i="25"/>
  <c r="N106" i="25"/>
  <c r="N107" i="25"/>
  <c r="N108" i="25"/>
  <c r="N109" i="25"/>
  <c r="N110" i="25"/>
  <c r="N111" i="25"/>
  <c r="N112" i="25"/>
  <c r="N113" i="25"/>
  <c r="N114" i="25"/>
  <c r="N115" i="25"/>
  <c r="N116" i="25"/>
  <c r="N117" i="25"/>
  <c r="N118" i="25"/>
  <c r="N119" i="25"/>
  <c r="N120" i="25"/>
  <c r="N121" i="25"/>
  <c r="N122" i="25"/>
  <c r="N123" i="25"/>
  <c r="N124" i="25"/>
  <c r="N125" i="25"/>
  <c r="N126" i="25"/>
  <c r="N127" i="25"/>
  <c r="N128" i="25"/>
  <c r="N129" i="25"/>
  <c r="N130" i="25"/>
  <c r="N131" i="25"/>
  <c r="N132" i="25"/>
  <c r="N133" i="25"/>
  <c r="N134" i="25"/>
  <c r="N135" i="25"/>
  <c r="N136" i="25"/>
  <c r="N137" i="25"/>
  <c r="N138" i="25"/>
  <c r="N139" i="25"/>
  <c r="N140" i="25"/>
  <c r="N141" i="25"/>
  <c r="N142" i="25"/>
  <c r="N143" i="25"/>
  <c r="N144" i="25"/>
  <c r="N145" i="25"/>
  <c r="N146" i="25"/>
  <c r="N147" i="25"/>
  <c r="N148" i="25"/>
  <c r="N149" i="25"/>
  <c r="N150" i="25"/>
  <c r="N151" i="25"/>
  <c r="N152" i="25"/>
  <c r="N153" i="25"/>
  <c r="N154" i="25"/>
  <c r="N155" i="25"/>
  <c r="N156" i="25"/>
  <c r="N157" i="25"/>
  <c r="N158" i="25"/>
  <c r="N159" i="25"/>
  <c r="N160" i="25"/>
  <c r="N161" i="25"/>
  <c r="N162" i="25"/>
  <c r="N163" i="25"/>
  <c r="N164" i="25"/>
  <c r="N165" i="25"/>
  <c r="N166" i="25"/>
  <c r="N167" i="25"/>
  <c r="N168" i="25"/>
  <c r="N169" i="25"/>
  <c r="N170" i="25"/>
  <c r="N171" i="25"/>
  <c r="N172" i="25"/>
  <c r="N173" i="25"/>
  <c r="N174" i="25"/>
  <c r="N175" i="25"/>
  <c r="N176" i="25"/>
  <c r="N177" i="25"/>
  <c r="N178" i="25"/>
  <c r="N179" i="25"/>
  <c r="N180" i="25"/>
  <c r="N181" i="25"/>
  <c r="N182" i="25"/>
  <c r="N183" i="25"/>
  <c r="N184" i="25"/>
  <c r="N185" i="25"/>
  <c r="N186" i="25"/>
  <c r="N187" i="25"/>
  <c r="N188" i="25"/>
  <c r="N189" i="25"/>
  <c r="N190" i="25"/>
  <c r="N191" i="25"/>
  <c r="N192" i="25"/>
  <c r="N193" i="25"/>
  <c r="N194" i="25"/>
  <c r="N195" i="25"/>
  <c r="N196" i="25"/>
  <c r="N197" i="25"/>
  <c r="N198" i="25"/>
  <c r="N199" i="25"/>
  <c r="N200" i="25"/>
  <c r="N201" i="25"/>
  <c r="N202" i="25"/>
  <c r="N203" i="25"/>
  <c r="N204" i="25"/>
  <c r="N205" i="25"/>
  <c r="N206" i="25"/>
  <c r="N207" i="25"/>
  <c r="N208" i="25"/>
  <c r="N209" i="25"/>
  <c r="N210" i="25"/>
  <c r="N211" i="25"/>
  <c r="N212" i="25"/>
  <c r="N213" i="25"/>
  <c r="N214" i="25"/>
  <c r="N215" i="25"/>
  <c r="N216" i="25"/>
  <c r="N217" i="25"/>
  <c r="N218" i="25"/>
  <c r="N219" i="25"/>
  <c r="N220" i="25"/>
  <c r="N221" i="25"/>
  <c r="N222" i="25"/>
  <c r="N223" i="25"/>
  <c r="N224" i="25"/>
  <c r="N225" i="25"/>
  <c r="N226" i="25"/>
  <c r="N227" i="25"/>
  <c r="N228" i="25"/>
  <c r="N229" i="25"/>
  <c r="N230" i="25"/>
  <c r="N231" i="25"/>
  <c r="N232" i="25"/>
  <c r="N233" i="25"/>
  <c r="N234" i="25"/>
  <c r="N235" i="25"/>
  <c r="N236" i="25"/>
  <c r="N237" i="25"/>
  <c r="M237" i="25"/>
  <c r="M223" i="25"/>
  <c r="M224" i="25"/>
  <c r="M225" i="25"/>
  <c r="M226" i="25"/>
  <c r="M227" i="25"/>
  <c r="M228" i="25"/>
  <c r="M229" i="25"/>
  <c r="M230" i="25"/>
  <c r="M231" i="25"/>
  <c r="M232" i="25"/>
  <c r="M233" i="25"/>
  <c r="M234" i="25"/>
  <c r="M235" i="25"/>
  <c r="M236" i="25"/>
  <c r="I173" i="25"/>
  <c r="I172" i="25"/>
  <c r="J47" i="25"/>
  <c r="J46" i="25"/>
  <c r="J45" i="25"/>
  <c r="J44" i="25"/>
  <c r="J40" i="25"/>
  <c r="J39" i="25"/>
  <c r="J38" i="25"/>
  <c r="J37" i="25"/>
  <c r="DO18" i="36" l="1"/>
  <c r="DQ18" i="36"/>
  <c r="DN18" i="36"/>
  <c r="DR18" i="36" s="1"/>
  <c r="DG18" i="36"/>
  <c r="CP24" i="36"/>
  <c r="CR24" i="36"/>
  <c r="CO24" i="36"/>
  <c r="CS24" i="36" s="1"/>
  <c r="CS18" i="36"/>
  <c r="A2" i="37"/>
  <c r="B50" i="37" s="1"/>
  <c r="CH24" i="36" l="1"/>
  <c r="A22" i="37"/>
  <c r="A20" i="37"/>
  <c r="A17" i="37"/>
  <c r="A21" i="37"/>
  <c r="A19" i="37"/>
  <c r="C11" i="4" l="1"/>
  <c r="Q19" i="36" l="1"/>
  <c r="Q20" i="36"/>
  <c r="Q21" i="36"/>
  <c r="Q22" i="36"/>
  <c r="Q23" i="36"/>
  <c r="F19" i="36"/>
  <c r="F20" i="36"/>
  <c r="F21" i="36"/>
  <c r="F22" i="36"/>
  <c r="F23" i="36"/>
  <c r="H69" i="4"/>
  <c r="I69" i="4"/>
  <c r="AG10" i="20" l="1"/>
  <c r="AG12" i="20"/>
  <c r="C9" i="26" l="1"/>
  <c r="M27" i="24" l="1"/>
  <c r="M23" i="24"/>
  <c r="H27" i="24"/>
  <c r="H23" i="24"/>
  <c r="AF10" i="20" l="1"/>
  <c r="F11" i="30"/>
  <c r="F8" i="30"/>
  <c r="F7" i="30"/>
  <c r="G7" i="30"/>
  <c r="G10" i="30"/>
  <c r="G8" i="30"/>
  <c r="F12" i="30"/>
  <c r="F10" i="30"/>
  <c r="F9" i="30"/>
  <c r="G9" i="30" s="1"/>
  <c r="B58" i="28" l="1"/>
  <c r="B57" i="28"/>
  <c r="G17" i="28"/>
  <c r="G16" i="28"/>
  <c r="A3" i="32"/>
  <c r="I1" i="32" s="1"/>
  <c r="A4" i="33"/>
  <c r="D23" i="32"/>
  <c r="D10" i="33"/>
  <c r="D11" i="33"/>
  <c r="B18" i="33"/>
  <c r="G2" i="33" s="1"/>
  <c r="G26" i="33"/>
  <c r="D4" i="32"/>
  <c r="D11" i="32"/>
  <c r="G11" i="32"/>
  <c r="I20" i="32"/>
  <c r="A19" i="32" s="1"/>
  <c r="I22" i="32"/>
  <c r="I23" i="32"/>
  <c r="F26" i="32"/>
  <c r="CB46" i="26"/>
  <c r="CB43" i="26"/>
  <c r="CB31" i="26"/>
  <c r="CB28" i="26"/>
  <c r="CB16" i="11"/>
  <c r="BQ46" i="26"/>
  <c r="BQ43" i="26"/>
  <c r="BQ31" i="26"/>
  <c r="BQ28" i="26"/>
  <c r="CB16" i="26"/>
  <c r="BQ16" i="26"/>
  <c r="CB13" i="26"/>
  <c r="BQ13" i="26"/>
  <c r="CB46" i="11"/>
  <c r="CB43" i="11"/>
  <c r="CB31" i="11"/>
  <c r="CB28" i="11"/>
  <c r="CB13" i="11"/>
  <c r="G6" i="32" l="1"/>
  <c r="D12" i="33" s="1"/>
  <c r="A20" i="32"/>
  <c r="A22" i="32"/>
  <c r="A21" i="32"/>
  <c r="A17" i="32"/>
  <c r="D22" i="32"/>
  <c r="BQ46" i="11"/>
  <c r="BQ43" i="11"/>
  <c r="BQ31" i="11"/>
  <c r="BQ28" i="11"/>
  <c r="BQ16" i="11" l="1"/>
  <c r="BQ13" i="11"/>
  <c r="M69" i="4"/>
  <c r="M70" i="4"/>
  <c r="M71" i="4"/>
  <c r="M72" i="4"/>
  <c r="M73" i="4"/>
  <c r="L69" i="4"/>
  <c r="L70" i="4"/>
  <c r="L71" i="4"/>
  <c r="L72" i="4"/>
  <c r="L73" i="4"/>
  <c r="AD75" i="4"/>
  <c r="AD76" i="4"/>
  <c r="AD77" i="4"/>
  <c r="AD78" i="4"/>
  <c r="AD79" i="4"/>
  <c r="AD71" i="4"/>
  <c r="AD70" i="4"/>
  <c r="AD69" i="4"/>
  <c r="AC79" i="4"/>
  <c r="AC78" i="4"/>
  <c r="AC77" i="4"/>
  <c r="AC76" i="4"/>
  <c r="AC75" i="4"/>
  <c r="AC74" i="4"/>
  <c r="AD74" i="4" s="1"/>
  <c r="AC73" i="4"/>
  <c r="AD73" i="4" s="1"/>
  <c r="AC72" i="4"/>
  <c r="AD72" i="4" s="1"/>
  <c r="AC71" i="4"/>
  <c r="AC70" i="4"/>
  <c r="AC69" i="4"/>
  <c r="I70" i="4"/>
  <c r="I71" i="4"/>
  <c r="I72" i="4"/>
  <c r="I73" i="4"/>
  <c r="H70" i="4"/>
  <c r="H71" i="4"/>
  <c r="H72" i="4"/>
  <c r="H73" i="4"/>
  <c r="AC68" i="4"/>
  <c r="AD68" i="4" s="1"/>
  <c r="X23" i="4"/>
  <c r="AC23" i="4" s="1"/>
  <c r="AD23" i="4" s="1"/>
  <c r="AC54" i="4" l="1"/>
  <c r="AD54" i="4" s="1"/>
  <c r="AC43" i="4"/>
  <c r="AD43" i="4" s="1"/>
  <c r="X22" i="4"/>
  <c r="AC22" i="4" s="1"/>
  <c r="AD22" i="4" s="1"/>
  <c r="AQ9" i="20"/>
  <c r="AL9" i="20"/>
  <c r="G11" i="30"/>
  <c r="G12" i="30"/>
  <c r="G13" i="30"/>
  <c r="G14" i="30"/>
  <c r="G15" i="30"/>
  <c r="G16" i="30"/>
  <c r="G17" i="30"/>
  <c r="G18" i="30"/>
  <c r="G19" i="30"/>
  <c r="G20" i="30"/>
  <c r="G21" i="30"/>
  <c r="G22" i="30"/>
  <c r="G23" i="30"/>
  <c r="G24" i="30"/>
  <c r="G25" i="30"/>
  <c r="G26" i="30"/>
  <c r="G27" i="30"/>
  <c r="G28" i="30"/>
  <c r="G29" i="30"/>
  <c r="G30" i="30"/>
  <c r="F13" i="30"/>
  <c r="F14" i="30"/>
  <c r="F15" i="30"/>
  <c r="F16" i="30"/>
  <c r="F17" i="30"/>
  <c r="F18" i="30"/>
  <c r="F19" i="30"/>
  <c r="F20" i="30"/>
  <c r="F21" i="30"/>
  <c r="F22" i="30"/>
  <c r="F23" i="30"/>
  <c r="F24" i="30"/>
  <c r="F25" i="30"/>
  <c r="F26" i="30"/>
  <c r="F27" i="30"/>
  <c r="F28" i="30"/>
  <c r="F29" i="30"/>
  <c r="F30" i="30"/>
  <c r="BU5" i="20"/>
  <c r="H7" i="30" l="1"/>
  <c r="K7" i="30" s="1"/>
  <c r="H9" i="30"/>
  <c r="H14" i="30"/>
  <c r="H26" i="30"/>
  <c r="H18" i="30"/>
  <c r="H28" i="30"/>
  <c r="H24" i="30"/>
  <c r="H20" i="30"/>
  <c r="H16" i="30"/>
  <c r="H12" i="30"/>
  <c r="H8" i="30"/>
  <c r="H22" i="30"/>
  <c r="H27" i="30"/>
  <c r="H23" i="30"/>
  <c r="H19" i="30"/>
  <c r="H15" i="30"/>
  <c r="H11" i="30"/>
  <c r="H10" i="30"/>
  <c r="H30" i="30"/>
  <c r="H29" i="30"/>
  <c r="H25" i="30"/>
  <c r="H21" i="30"/>
  <c r="H17" i="30"/>
  <c r="H13" i="30"/>
  <c r="F45" i="26" l="1"/>
  <c r="R15" i="26"/>
  <c r="F30" i="11"/>
  <c r="F45" i="11"/>
  <c r="R45" i="26"/>
  <c r="F15" i="26"/>
  <c r="R30" i="11"/>
  <c r="F30" i="26"/>
  <c r="F15" i="11"/>
  <c r="R30" i="26"/>
  <c r="R45" i="11"/>
  <c r="R15" i="11"/>
  <c r="K215" i="22"/>
  <c r="K216" i="22"/>
  <c r="K217" i="22"/>
  <c r="J215" i="22"/>
  <c r="J216" i="22"/>
  <c r="J217" i="22"/>
  <c r="J218" i="22"/>
  <c r="K218" i="22" s="1"/>
  <c r="J219" i="22"/>
  <c r="K219" i="22" s="1"/>
  <c r="J220" i="22"/>
  <c r="K220" i="22" s="1"/>
  <c r="J221" i="22"/>
  <c r="K221" i="22" s="1"/>
  <c r="J222" i="22"/>
  <c r="K222" i="22" s="1"/>
  <c r="J223" i="22"/>
  <c r="K223" i="22" s="1"/>
  <c r="J224" i="22"/>
  <c r="K224" i="22" s="1"/>
  <c r="F14" i="11" l="1"/>
  <c r="AG362" i="20" l="1"/>
  <c r="AG363" i="20"/>
  <c r="AG364" i="20"/>
  <c r="AG365" i="20"/>
  <c r="AG366" i="20"/>
  <c r="AG367" i="20"/>
  <c r="AG368" i="20"/>
  <c r="AG369" i="20"/>
  <c r="AG370" i="20"/>
  <c r="AG371" i="20"/>
  <c r="AG372" i="20"/>
  <c r="AG373" i="20"/>
  <c r="AG374" i="20"/>
  <c r="AG375" i="20"/>
  <c r="AG376" i="20"/>
  <c r="AG377" i="20"/>
  <c r="AG378" i="20"/>
  <c r="AG379" i="20"/>
  <c r="AG380" i="20"/>
  <c r="AG381" i="20"/>
  <c r="AG382" i="20"/>
  <c r="AG383" i="20"/>
  <c r="AG384" i="20"/>
  <c r="AG385" i="20"/>
  <c r="AG386" i="20"/>
  <c r="AG387" i="20"/>
  <c r="AG388" i="20"/>
  <c r="AG389" i="20"/>
  <c r="AG390" i="20"/>
  <c r="AG391" i="20"/>
  <c r="AG392" i="20"/>
  <c r="AG393" i="20"/>
  <c r="AF362" i="20"/>
  <c r="AF363" i="20"/>
  <c r="AF364" i="20"/>
  <c r="AF365" i="20"/>
  <c r="AF366" i="20"/>
  <c r="AF367" i="20"/>
  <c r="AF368" i="20"/>
  <c r="AF369" i="20"/>
  <c r="AF370" i="20"/>
  <c r="AF371" i="20"/>
  <c r="AF372" i="20"/>
  <c r="AF373" i="20"/>
  <c r="AF374" i="20"/>
  <c r="AF375" i="20"/>
  <c r="AF376" i="20"/>
  <c r="AF377" i="20"/>
  <c r="AF378" i="20"/>
  <c r="AF379" i="20"/>
  <c r="AF380" i="20"/>
  <c r="AF381" i="20"/>
  <c r="AF382" i="20"/>
  <c r="AF383" i="20"/>
  <c r="AF384" i="20"/>
  <c r="AF385" i="20"/>
  <c r="AF386" i="20"/>
  <c r="AF387" i="20"/>
  <c r="AF388" i="20"/>
  <c r="AF389" i="20"/>
  <c r="AF390" i="20"/>
  <c r="AF391" i="20"/>
  <c r="AF392" i="20"/>
  <c r="AF393" i="20"/>
  <c r="AG11" i="20" l="1"/>
  <c r="AG13" i="20"/>
  <c r="AG14" i="20"/>
  <c r="AG15" i="20"/>
  <c r="AG16" i="20"/>
  <c r="AG17" i="20"/>
  <c r="AG18" i="20"/>
  <c r="AG19" i="20"/>
  <c r="AG20" i="20"/>
  <c r="AG21" i="20"/>
  <c r="AG22" i="20"/>
  <c r="AG23" i="20"/>
  <c r="AG24" i="20"/>
  <c r="AG25" i="20"/>
  <c r="AG26" i="20"/>
  <c r="AG27" i="20"/>
  <c r="AG28" i="20"/>
  <c r="AG29" i="20"/>
  <c r="AG30" i="20"/>
  <c r="AG31" i="20"/>
  <c r="AG32" i="20"/>
  <c r="AG33" i="20"/>
  <c r="AG34" i="20"/>
  <c r="AG35" i="20"/>
  <c r="AG36" i="20"/>
  <c r="AG37" i="20"/>
  <c r="AG38" i="20"/>
  <c r="AG39" i="20"/>
  <c r="AG40" i="20"/>
  <c r="AG41" i="20"/>
  <c r="AG42" i="20"/>
  <c r="AG43" i="20"/>
  <c r="AG44" i="20"/>
  <c r="AG45" i="20"/>
  <c r="AG46" i="20"/>
  <c r="AG47" i="20"/>
  <c r="AG48" i="20"/>
  <c r="AG49" i="20"/>
  <c r="AG50" i="20"/>
  <c r="AG51" i="20"/>
  <c r="AG52" i="20"/>
  <c r="AG53" i="20"/>
  <c r="AG54" i="20"/>
  <c r="AG55" i="20"/>
  <c r="AG56" i="20"/>
  <c r="AG57" i="20"/>
  <c r="AG58" i="20"/>
  <c r="AG59" i="20"/>
  <c r="AG60" i="20"/>
  <c r="AG61" i="20"/>
  <c r="AG62" i="20"/>
  <c r="AG63" i="20"/>
  <c r="AG64" i="20"/>
  <c r="AG65" i="20"/>
  <c r="AG66" i="20"/>
  <c r="AG67" i="20"/>
  <c r="AG68" i="20"/>
  <c r="AG69" i="20"/>
  <c r="AG70" i="20"/>
  <c r="AG71" i="20"/>
  <c r="AG72" i="20"/>
  <c r="AG73" i="20"/>
  <c r="AG74" i="20"/>
  <c r="AG75" i="20"/>
  <c r="AG76" i="20"/>
  <c r="AG77" i="20"/>
  <c r="AG78" i="20"/>
  <c r="AG79" i="20"/>
  <c r="AG80" i="20"/>
  <c r="AG81" i="20"/>
  <c r="AG82" i="20"/>
  <c r="AG83" i="20"/>
  <c r="AG84" i="20"/>
  <c r="AG85" i="20"/>
  <c r="AG86" i="20"/>
  <c r="AG87" i="20"/>
  <c r="AG88" i="20"/>
  <c r="AG89" i="20"/>
  <c r="AG90" i="20"/>
  <c r="AG91" i="20"/>
  <c r="AG92" i="20"/>
  <c r="AG93" i="20"/>
  <c r="AG94" i="20"/>
  <c r="AG95" i="20"/>
  <c r="AG96" i="20"/>
  <c r="AG97" i="20"/>
  <c r="AG98" i="20"/>
  <c r="AG99" i="20"/>
  <c r="AG100" i="20"/>
  <c r="AG101" i="20"/>
  <c r="AG102" i="20"/>
  <c r="AG103" i="20"/>
  <c r="AG104" i="20"/>
  <c r="AG105" i="20"/>
  <c r="AG106" i="20"/>
  <c r="AG107" i="20"/>
  <c r="AG108" i="20"/>
  <c r="AG116" i="20"/>
  <c r="AG117" i="20"/>
  <c r="AG118" i="20"/>
  <c r="AG119" i="20"/>
  <c r="AG120" i="20"/>
  <c r="AG121" i="20"/>
  <c r="AG122" i="20"/>
  <c r="AG123" i="20"/>
  <c r="AG131" i="20"/>
  <c r="AG132" i="20"/>
  <c r="AG133" i="20"/>
  <c r="AG134" i="20"/>
  <c r="AG135" i="20"/>
  <c r="AG136" i="20"/>
  <c r="AG137" i="20"/>
  <c r="AG138" i="20"/>
  <c r="AG146" i="20"/>
  <c r="AG147" i="20"/>
  <c r="AG148" i="20"/>
  <c r="AG149" i="20"/>
  <c r="AG150" i="20"/>
  <c r="AG151" i="20"/>
  <c r="AG152" i="20"/>
  <c r="AG153" i="20"/>
  <c r="AG154" i="20"/>
  <c r="AG155" i="20"/>
  <c r="AG156" i="20"/>
  <c r="AG157" i="20"/>
  <c r="AG158" i="20"/>
  <c r="AG159" i="20"/>
  <c r="AG160" i="20"/>
  <c r="AG161" i="20"/>
  <c r="AG162" i="20"/>
  <c r="AG163" i="20"/>
  <c r="AG164" i="20"/>
  <c r="AG165" i="20"/>
  <c r="AG166" i="20"/>
  <c r="AG167" i="20"/>
  <c r="AG168" i="20"/>
  <c r="AG169" i="20"/>
  <c r="AG170" i="20"/>
  <c r="AG171" i="20"/>
  <c r="AG172" i="20"/>
  <c r="AG173" i="20"/>
  <c r="AG174" i="20"/>
  <c r="AG175" i="20"/>
  <c r="AG176" i="20"/>
  <c r="AG177" i="20"/>
  <c r="AG178" i="20"/>
  <c r="AG179" i="20"/>
  <c r="AG180" i="20"/>
  <c r="AG181" i="20"/>
  <c r="AG182" i="20"/>
  <c r="AG183" i="20"/>
  <c r="AG187" i="20"/>
  <c r="AG190" i="20"/>
  <c r="AG191" i="20"/>
  <c r="AG192" i="20"/>
  <c r="AG193" i="20"/>
  <c r="AG194" i="20"/>
  <c r="AG195" i="20"/>
  <c r="AG196" i="20"/>
  <c r="AG197" i="20"/>
  <c r="AG198" i="20"/>
  <c r="AG199" i="20"/>
  <c r="AG200" i="20"/>
  <c r="AG201" i="20"/>
  <c r="AG202" i="20"/>
  <c r="AG203" i="20"/>
  <c r="AG204" i="20"/>
  <c r="AG205" i="20"/>
  <c r="AG206" i="20"/>
  <c r="AG207" i="20"/>
  <c r="AG208" i="20"/>
  <c r="AG209" i="20"/>
  <c r="AG210" i="20"/>
  <c r="AG211" i="20"/>
  <c r="AG212" i="20"/>
  <c r="AG213" i="20"/>
  <c r="AG214" i="20"/>
  <c r="AG215" i="20"/>
  <c r="AG216" i="20"/>
  <c r="AG217" i="20"/>
  <c r="AG218" i="20"/>
  <c r="AG219" i="20"/>
  <c r="AG220" i="20"/>
  <c r="AG221" i="20"/>
  <c r="AG222" i="20"/>
  <c r="AG223" i="20"/>
  <c r="AG224" i="20"/>
  <c r="AG225" i="20"/>
  <c r="AG226" i="20"/>
  <c r="AG227" i="20"/>
  <c r="AG228" i="20"/>
  <c r="AG229" i="20"/>
  <c r="AG230" i="20"/>
  <c r="AG231" i="20"/>
  <c r="AG232" i="20"/>
  <c r="AG233" i="20"/>
  <c r="AG234" i="20"/>
  <c r="AG235" i="20"/>
  <c r="AG236" i="20"/>
  <c r="AG237" i="20"/>
  <c r="AG238" i="20"/>
  <c r="AG239" i="20"/>
  <c r="AG240" i="20"/>
  <c r="AG241" i="20"/>
  <c r="AG242" i="20"/>
  <c r="AG243" i="20"/>
  <c r="AG244" i="20"/>
  <c r="AG245" i="20"/>
  <c r="AG246" i="20"/>
  <c r="AG247" i="20"/>
  <c r="AG248" i="20"/>
  <c r="AG249" i="20"/>
  <c r="AG250" i="20"/>
  <c r="AG251" i="20"/>
  <c r="AG252" i="20"/>
  <c r="AG253" i="20"/>
  <c r="AG254" i="20"/>
  <c r="AG255" i="20"/>
  <c r="AG256" i="20"/>
  <c r="AG257" i="20"/>
  <c r="AG258" i="20"/>
  <c r="AG259" i="20"/>
  <c r="AG260" i="20"/>
  <c r="AG261" i="20"/>
  <c r="AG262" i="20"/>
  <c r="AG263" i="20"/>
  <c r="AG264" i="20"/>
  <c r="AG265" i="20"/>
  <c r="AG266" i="20"/>
  <c r="AG267" i="20"/>
  <c r="AG268" i="20"/>
  <c r="AG269" i="20"/>
  <c r="AG270" i="20"/>
  <c r="AG271" i="20"/>
  <c r="AG272" i="20"/>
  <c r="AG273" i="20"/>
  <c r="AG274" i="20"/>
  <c r="AG275" i="20"/>
  <c r="AG276" i="20"/>
  <c r="AG277" i="20"/>
  <c r="AG278" i="20"/>
  <c r="AG279" i="20"/>
  <c r="AG280" i="20"/>
  <c r="AG281" i="20"/>
  <c r="AG282" i="20"/>
  <c r="AG283" i="20"/>
  <c r="AG284" i="20"/>
  <c r="AG285" i="20"/>
  <c r="AG286" i="20"/>
  <c r="AG287" i="20"/>
  <c r="AG288" i="20"/>
  <c r="AG289" i="20"/>
  <c r="AG290" i="20"/>
  <c r="AG291" i="20"/>
  <c r="AG292" i="20"/>
  <c r="AG293" i="20"/>
  <c r="AG294" i="20"/>
  <c r="AG295" i="20"/>
  <c r="AG296" i="20"/>
  <c r="AG297" i="20"/>
  <c r="AG298" i="20"/>
  <c r="AG299" i="20"/>
  <c r="AG300" i="20"/>
  <c r="AG301" i="20"/>
  <c r="AG302" i="20"/>
  <c r="AG303" i="20"/>
  <c r="AG304" i="20"/>
  <c r="AG305" i="20"/>
  <c r="AG306" i="20"/>
  <c r="AG307" i="20"/>
  <c r="AG308" i="20"/>
  <c r="AG309" i="20"/>
  <c r="AG310" i="20"/>
  <c r="AG311" i="20"/>
  <c r="AG312" i="20"/>
  <c r="AG313" i="20"/>
  <c r="AG314" i="20"/>
  <c r="AG315" i="20"/>
  <c r="AG316" i="20"/>
  <c r="AG317" i="20"/>
  <c r="AG318" i="20"/>
  <c r="AG319" i="20"/>
  <c r="AG320" i="20"/>
  <c r="AG321" i="20"/>
  <c r="AG322" i="20"/>
  <c r="AG323" i="20"/>
  <c r="AG324" i="20"/>
  <c r="AG325" i="20"/>
  <c r="AG326" i="20"/>
  <c r="AG327" i="20"/>
  <c r="AG328" i="20"/>
  <c r="AG329" i="20"/>
  <c r="AG330" i="20"/>
  <c r="AG331" i="20"/>
  <c r="AG332" i="20"/>
  <c r="AG333" i="20"/>
  <c r="AG334" i="20"/>
  <c r="AG335" i="20"/>
  <c r="AG336" i="20"/>
  <c r="AG337" i="20"/>
  <c r="AG338" i="20"/>
  <c r="AG339" i="20"/>
  <c r="AG340" i="20"/>
  <c r="AG341" i="20"/>
  <c r="AG342" i="20"/>
  <c r="AG343" i="20"/>
  <c r="AG344" i="20"/>
  <c r="AG345" i="20"/>
  <c r="AG346" i="20"/>
  <c r="AG347" i="20"/>
  <c r="AG348" i="20"/>
  <c r="AG349" i="20"/>
  <c r="AG350" i="20"/>
  <c r="AG351" i="20"/>
  <c r="AG352" i="20"/>
  <c r="AG353" i="20"/>
  <c r="AG354" i="20"/>
  <c r="AG355" i="20"/>
  <c r="AG356" i="20"/>
  <c r="AG357" i="20"/>
  <c r="AG358" i="20"/>
  <c r="AG359" i="20"/>
  <c r="AG360" i="20"/>
  <c r="AG361" i="20"/>
  <c r="AF11" i="20"/>
  <c r="AF12" i="20"/>
  <c r="AF13" i="20"/>
  <c r="AF14" i="20"/>
  <c r="AF15" i="20"/>
  <c r="AF16"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G109" i="20" s="1"/>
  <c r="AF110" i="20"/>
  <c r="AG110" i="20" s="1"/>
  <c r="AF111" i="20"/>
  <c r="AG111" i="20" s="1"/>
  <c r="AF112" i="20"/>
  <c r="AG112" i="20" s="1"/>
  <c r="AF113" i="20"/>
  <c r="AG113" i="20" s="1"/>
  <c r="AF114" i="20"/>
  <c r="AG114" i="20" s="1"/>
  <c r="AF115" i="20"/>
  <c r="AG115" i="20" s="1"/>
  <c r="AF116" i="20"/>
  <c r="AF117" i="20"/>
  <c r="AF118" i="20"/>
  <c r="AF119" i="20"/>
  <c r="AF120" i="20"/>
  <c r="AF121" i="20"/>
  <c r="AF122" i="20"/>
  <c r="AF123" i="20"/>
  <c r="AF124" i="20"/>
  <c r="AG124" i="20" s="1"/>
  <c r="AF125" i="20"/>
  <c r="AG125" i="20" s="1"/>
  <c r="AF126" i="20"/>
  <c r="AG126" i="20" s="1"/>
  <c r="AF127" i="20"/>
  <c r="AG127" i="20" s="1"/>
  <c r="AF128" i="20"/>
  <c r="AG128" i="20" s="1"/>
  <c r="AF129" i="20"/>
  <c r="AG129" i="20" s="1"/>
  <c r="AF130" i="20"/>
  <c r="AG130" i="20" s="1"/>
  <c r="AF131" i="20"/>
  <c r="AF132" i="20"/>
  <c r="AF133" i="20"/>
  <c r="AF134" i="20"/>
  <c r="AF135" i="20"/>
  <c r="AF136" i="20"/>
  <c r="AF137" i="20"/>
  <c r="AF138" i="20"/>
  <c r="AF139" i="20"/>
  <c r="AG139" i="20" s="1"/>
  <c r="AF140" i="20"/>
  <c r="AG140" i="20" s="1"/>
  <c r="AF141" i="20"/>
  <c r="AG141" i="20" s="1"/>
  <c r="AF142" i="20"/>
  <c r="AG142" i="20" s="1"/>
  <c r="AF143" i="20"/>
  <c r="AG143" i="20" s="1"/>
  <c r="AF144" i="20"/>
  <c r="AG144" i="20" s="1"/>
  <c r="AF145" i="20"/>
  <c r="AG145" i="20" s="1"/>
  <c r="AF146" i="20"/>
  <c r="AF147" i="20"/>
  <c r="AF148" i="20"/>
  <c r="AF149" i="20"/>
  <c r="AF150" i="20"/>
  <c r="AF151" i="20"/>
  <c r="AF152" i="20"/>
  <c r="AF153" i="20"/>
  <c r="AF154" i="20"/>
  <c r="AF155" i="20"/>
  <c r="AF156" i="20"/>
  <c r="AF157" i="20"/>
  <c r="AF158" i="20"/>
  <c r="AF159" i="20"/>
  <c r="AF160" i="20"/>
  <c r="AF161" i="20"/>
  <c r="AF162" i="20"/>
  <c r="AF163" i="20"/>
  <c r="AF164" i="20"/>
  <c r="AF165" i="20"/>
  <c r="AF166" i="20"/>
  <c r="AF167" i="20"/>
  <c r="AF168" i="20"/>
  <c r="AF169" i="20"/>
  <c r="AF170" i="20"/>
  <c r="AF171" i="20"/>
  <c r="AF172" i="20"/>
  <c r="AF173" i="20"/>
  <c r="AF174" i="20"/>
  <c r="AF175" i="20"/>
  <c r="AF176" i="20"/>
  <c r="AF177" i="20"/>
  <c r="AF178" i="20"/>
  <c r="AF179" i="20"/>
  <c r="AF180" i="20"/>
  <c r="AF181" i="20"/>
  <c r="AF182" i="20"/>
  <c r="AF183" i="20"/>
  <c r="AF184" i="20"/>
  <c r="AG184" i="20" s="1"/>
  <c r="AF185" i="20"/>
  <c r="AG185" i="20" s="1"/>
  <c r="AF186" i="20"/>
  <c r="AG186" i="20" s="1"/>
  <c r="AF187" i="20"/>
  <c r="AF188" i="20"/>
  <c r="AG188" i="20" s="1"/>
  <c r="AF189" i="20"/>
  <c r="AG189" i="20" s="1"/>
  <c r="AF190" i="20"/>
  <c r="AF191" i="20"/>
  <c r="AF192" i="20"/>
  <c r="AF193" i="20"/>
  <c r="AF194" i="20"/>
  <c r="AF195" i="20"/>
  <c r="AF196" i="20"/>
  <c r="AF197" i="20"/>
  <c r="AF198" i="20"/>
  <c r="AF199" i="20"/>
  <c r="AF200" i="20"/>
  <c r="AF201" i="20"/>
  <c r="AF202" i="20"/>
  <c r="AF203" i="20"/>
  <c r="AF204" i="20"/>
  <c r="AF205" i="20"/>
  <c r="AF206" i="20"/>
  <c r="AF207" i="20"/>
  <c r="AF208" i="20"/>
  <c r="AF209" i="20"/>
  <c r="AF210" i="20"/>
  <c r="AF211" i="20"/>
  <c r="AF212" i="20"/>
  <c r="AF213" i="20"/>
  <c r="AF214" i="20"/>
  <c r="AF215" i="20"/>
  <c r="AF216" i="20"/>
  <c r="AF217" i="20"/>
  <c r="AF218" i="20"/>
  <c r="AF219" i="20"/>
  <c r="AF220" i="20"/>
  <c r="AF221" i="20"/>
  <c r="AF222" i="20"/>
  <c r="AF223" i="20"/>
  <c r="AF224" i="20"/>
  <c r="AF225" i="20"/>
  <c r="AF226" i="20"/>
  <c r="AF227" i="20"/>
  <c r="AF228" i="20"/>
  <c r="AF229" i="20"/>
  <c r="AF230" i="20"/>
  <c r="AF231" i="20"/>
  <c r="AF232" i="20"/>
  <c r="AF233" i="20"/>
  <c r="AF234" i="20"/>
  <c r="AF235" i="20"/>
  <c r="AF236" i="20"/>
  <c r="AF237" i="20"/>
  <c r="AF238" i="20"/>
  <c r="AF239" i="20"/>
  <c r="AF240" i="20"/>
  <c r="AF241" i="20"/>
  <c r="AF242" i="20"/>
  <c r="AF243" i="20"/>
  <c r="AF244" i="20"/>
  <c r="AF245" i="20"/>
  <c r="AF246" i="20"/>
  <c r="AF247" i="20"/>
  <c r="AF248" i="20"/>
  <c r="AF249" i="20"/>
  <c r="AF250" i="20"/>
  <c r="AF251" i="20"/>
  <c r="AF252" i="20"/>
  <c r="AF253" i="20"/>
  <c r="AF254" i="20"/>
  <c r="AF255" i="20"/>
  <c r="AF256" i="20"/>
  <c r="AF257" i="20"/>
  <c r="AF258" i="20"/>
  <c r="AF259" i="20"/>
  <c r="AF260" i="20"/>
  <c r="AF261" i="20"/>
  <c r="AF262" i="20"/>
  <c r="AF263" i="20"/>
  <c r="AF264" i="20"/>
  <c r="AF265" i="20"/>
  <c r="AF266" i="20"/>
  <c r="AF267" i="20"/>
  <c r="AF268" i="20"/>
  <c r="AF269" i="20"/>
  <c r="AF270" i="20"/>
  <c r="AF271" i="20"/>
  <c r="AF272" i="20"/>
  <c r="AF273" i="20"/>
  <c r="AF274" i="20"/>
  <c r="AF275" i="20"/>
  <c r="AF276" i="20"/>
  <c r="AF277" i="20"/>
  <c r="AF278" i="20"/>
  <c r="AF279" i="20"/>
  <c r="AF280" i="20"/>
  <c r="AF281" i="20"/>
  <c r="AF282" i="20"/>
  <c r="AF283" i="20"/>
  <c r="AF284" i="20"/>
  <c r="AF285" i="20"/>
  <c r="AF286" i="20"/>
  <c r="AF287" i="20"/>
  <c r="AF288" i="20"/>
  <c r="AF289" i="20"/>
  <c r="AF290" i="20"/>
  <c r="AF291" i="20"/>
  <c r="AF292" i="20"/>
  <c r="AF293" i="20"/>
  <c r="AF294" i="20"/>
  <c r="AF295" i="20"/>
  <c r="AF296" i="20"/>
  <c r="AF297" i="20"/>
  <c r="AF298" i="20"/>
  <c r="AF299" i="20"/>
  <c r="AF300" i="20"/>
  <c r="AF301" i="20"/>
  <c r="AF302" i="20"/>
  <c r="AF303" i="20"/>
  <c r="AF304" i="20"/>
  <c r="AF305" i="20"/>
  <c r="AF306" i="20"/>
  <c r="AF307" i="20"/>
  <c r="AF308" i="20"/>
  <c r="AF309" i="20"/>
  <c r="AF310" i="20"/>
  <c r="AF311" i="20"/>
  <c r="AF312" i="20"/>
  <c r="AF313" i="20"/>
  <c r="AF314" i="20"/>
  <c r="AF315" i="20"/>
  <c r="AF316" i="20"/>
  <c r="AF317" i="20"/>
  <c r="AF318" i="20"/>
  <c r="AF319" i="20"/>
  <c r="AF320" i="20"/>
  <c r="AF321" i="20"/>
  <c r="AF322" i="20"/>
  <c r="AF323" i="20"/>
  <c r="AF324" i="20"/>
  <c r="AF325" i="20"/>
  <c r="AF326" i="20"/>
  <c r="AF327" i="20"/>
  <c r="AF328" i="20"/>
  <c r="AF329" i="20"/>
  <c r="AF330" i="20"/>
  <c r="AF331" i="20"/>
  <c r="AF332" i="20"/>
  <c r="AF333" i="20"/>
  <c r="AF334" i="20"/>
  <c r="AF335" i="20"/>
  <c r="AF336" i="20"/>
  <c r="AF337" i="20"/>
  <c r="AF338" i="20"/>
  <c r="AF339" i="20"/>
  <c r="AF340" i="20"/>
  <c r="AF341" i="20"/>
  <c r="AF342" i="20"/>
  <c r="AF343" i="20"/>
  <c r="AF344" i="20"/>
  <c r="AF345" i="20"/>
  <c r="AF346" i="20"/>
  <c r="AF347" i="20"/>
  <c r="AF348" i="20"/>
  <c r="AF349" i="20"/>
  <c r="AF350" i="20"/>
  <c r="AF351" i="20"/>
  <c r="AF352" i="20"/>
  <c r="AF353" i="20"/>
  <c r="AF354" i="20"/>
  <c r="AF355" i="20"/>
  <c r="AF356" i="20"/>
  <c r="AF357" i="20"/>
  <c r="AF358" i="20"/>
  <c r="AF359" i="20"/>
  <c r="AF360" i="20"/>
  <c r="AF361" i="20"/>
  <c r="AH16" i="20" l="1"/>
  <c r="AH15" i="20"/>
  <c r="AH10" i="20"/>
  <c r="AV10" i="20" s="1"/>
  <c r="B55" i="28" s="1"/>
  <c r="M38" i="25"/>
  <c r="M39" i="25"/>
  <c r="M40" i="25"/>
  <c r="M41" i="25"/>
  <c r="M42" i="25"/>
  <c r="M43" i="25"/>
  <c r="M44" i="25"/>
  <c r="M45" i="25"/>
  <c r="M46" i="25"/>
  <c r="M47" i="25"/>
  <c r="M48" i="25"/>
  <c r="M49" i="25"/>
  <c r="M50" i="25"/>
  <c r="M51" i="25"/>
  <c r="M52" i="25"/>
  <c r="M53" i="25"/>
  <c r="M54" i="25"/>
  <c r="M55" i="25"/>
  <c r="M56" i="25"/>
  <c r="M57" i="25"/>
  <c r="M58" i="25"/>
  <c r="M59" i="25"/>
  <c r="M60" i="25"/>
  <c r="M61" i="25"/>
  <c r="M62" i="25"/>
  <c r="M63" i="25"/>
  <c r="M64" i="25"/>
  <c r="M65" i="25"/>
  <c r="M66" i="25"/>
  <c r="M67" i="25"/>
  <c r="M68" i="25"/>
  <c r="M69" i="25"/>
  <c r="M70" i="25"/>
  <c r="M71" i="25"/>
  <c r="M72" i="25"/>
  <c r="M73" i="25"/>
  <c r="M74" i="25"/>
  <c r="M75" i="25"/>
  <c r="M76" i="25"/>
  <c r="M77" i="25"/>
  <c r="M78" i="25"/>
  <c r="M79" i="25"/>
  <c r="M80" i="25"/>
  <c r="M81" i="25"/>
  <c r="M82" i="25"/>
  <c r="M83" i="25"/>
  <c r="M84" i="25"/>
  <c r="M85" i="25"/>
  <c r="M86" i="25"/>
  <c r="M87" i="25"/>
  <c r="M88" i="25"/>
  <c r="M89" i="25"/>
  <c r="M90" i="25"/>
  <c r="M91" i="25"/>
  <c r="M92" i="25"/>
  <c r="M93" i="25"/>
  <c r="M94" i="25"/>
  <c r="M95" i="25"/>
  <c r="M96" i="25"/>
  <c r="M97" i="25"/>
  <c r="M98" i="25"/>
  <c r="M99" i="25"/>
  <c r="M100" i="25"/>
  <c r="M101" i="25"/>
  <c r="M102" i="25"/>
  <c r="M103" i="25"/>
  <c r="M104" i="25"/>
  <c r="M105" i="25"/>
  <c r="M106" i="25"/>
  <c r="M107" i="25"/>
  <c r="M108" i="25"/>
  <c r="M109" i="25"/>
  <c r="M110" i="25"/>
  <c r="M111" i="25"/>
  <c r="M112" i="25"/>
  <c r="M113" i="25"/>
  <c r="M114" i="25"/>
  <c r="M115" i="25"/>
  <c r="M116" i="25"/>
  <c r="M117" i="25"/>
  <c r="M118" i="25"/>
  <c r="M119" i="25"/>
  <c r="M120" i="25"/>
  <c r="M121" i="25"/>
  <c r="M122" i="25"/>
  <c r="M123" i="25"/>
  <c r="M124" i="25"/>
  <c r="M125" i="25"/>
  <c r="M126" i="25"/>
  <c r="M127" i="25"/>
  <c r="M128" i="25"/>
  <c r="M129" i="25"/>
  <c r="M130" i="25"/>
  <c r="M131" i="25"/>
  <c r="M132" i="25"/>
  <c r="M133" i="25"/>
  <c r="M134" i="25"/>
  <c r="M135" i="25"/>
  <c r="M136" i="25"/>
  <c r="M137" i="25"/>
  <c r="M138" i="25"/>
  <c r="M139" i="25"/>
  <c r="M140" i="25"/>
  <c r="M141" i="25"/>
  <c r="M142" i="25"/>
  <c r="M143" i="25"/>
  <c r="M144" i="25"/>
  <c r="M145" i="25"/>
  <c r="M146" i="25"/>
  <c r="M147" i="25"/>
  <c r="M148" i="25"/>
  <c r="M149" i="25"/>
  <c r="M150" i="25"/>
  <c r="M151" i="25"/>
  <c r="M152" i="25"/>
  <c r="M153" i="25"/>
  <c r="M154" i="25"/>
  <c r="M155" i="25"/>
  <c r="M156" i="25"/>
  <c r="M157" i="25"/>
  <c r="M158" i="25"/>
  <c r="M159" i="25"/>
  <c r="M160" i="25"/>
  <c r="M161" i="25"/>
  <c r="M162" i="25"/>
  <c r="M163" i="25"/>
  <c r="M164" i="25"/>
  <c r="M165" i="25"/>
  <c r="M166" i="25"/>
  <c r="M167" i="25"/>
  <c r="M168" i="25"/>
  <c r="M169" i="25"/>
  <c r="M170" i="25"/>
  <c r="M171" i="25"/>
  <c r="M172" i="25"/>
  <c r="M173" i="25"/>
  <c r="M174" i="25"/>
  <c r="M175" i="25"/>
  <c r="M176" i="25"/>
  <c r="M177" i="25"/>
  <c r="M178" i="25"/>
  <c r="M179" i="25"/>
  <c r="M180" i="25"/>
  <c r="M181" i="25"/>
  <c r="M182" i="25"/>
  <c r="M183" i="25"/>
  <c r="M184" i="25"/>
  <c r="M185" i="25"/>
  <c r="M186" i="25"/>
  <c r="M187" i="25"/>
  <c r="M188" i="25"/>
  <c r="M189" i="25"/>
  <c r="M190" i="25"/>
  <c r="M191" i="25"/>
  <c r="M192" i="25"/>
  <c r="M193" i="25"/>
  <c r="M194" i="25"/>
  <c r="M195" i="25"/>
  <c r="M196" i="25"/>
  <c r="M197" i="25"/>
  <c r="M198" i="25"/>
  <c r="M199" i="25"/>
  <c r="M200" i="25"/>
  <c r="M201" i="25"/>
  <c r="M202" i="25"/>
  <c r="M203" i="25"/>
  <c r="M204" i="25"/>
  <c r="M205" i="25"/>
  <c r="M206" i="25"/>
  <c r="M207" i="25"/>
  <c r="M208" i="25"/>
  <c r="M209" i="25"/>
  <c r="M210" i="25"/>
  <c r="M211" i="25"/>
  <c r="M212" i="25"/>
  <c r="M213" i="25"/>
  <c r="M214" i="25"/>
  <c r="M215" i="25"/>
  <c r="M216" i="25"/>
  <c r="M217" i="25"/>
  <c r="M218" i="25"/>
  <c r="M219" i="25"/>
  <c r="M220" i="25"/>
  <c r="M221" i="25"/>
  <c r="M222" i="25"/>
  <c r="K15" i="22"/>
  <c r="K16" i="22"/>
  <c r="K17"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85" i="22"/>
  <c r="K86" i="22"/>
  <c r="K87" i="22"/>
  <c r="K88" i="22"/>
  <c r="K89" i="22"/>
  <c r="K90" i="22"/>
  <c r="K91" i="22"/>
  <c r="K92" i="22"/>
  <c r="K93" i="22"/>
  <c r="K94" i="22"/>
  <c r="K95" i="22"/>
  <c r="K96" i="22"/>
  <c r="K97" i="22"/>
  <c r="K98" i="22"/>
  <c r="K99" i="22"/>
  <c r="K100" i="22"/>
  <c r="K101" i="22"/>
  <c r="K102" i="22"/>
  <c r="K103" i="22"/>
  <c r="K104" i="22"/>
  <c r="K105" i="22"/>
  <c r="K106" i="22"/>
  <c r="K107" i="22"/>
  <c r="K108" i="22"/>
  <c r="K109" i="22"/>
  <c r="K110" i="22"/>
  <c r="K111" i="22"/>
  <c r="K112" i="22"/>
  <c r="K113" i="22"/>
  <c r="K114" i="22"/>
  <c r="K115" i="22"/>
  <c r="K116" i="22"/>
  <c r="K117" i="22"/>
  <c r="K118" i="22"/>
  <c r="K119" i="22"/>
  <c r="K120" i="22"/>
  <c r="K121" i="22"/>
  <c r="K122" i="22"/>
  <c r="K123" i="22"/>
  <c r="K124" i="22"/>
  <c r="K125" i="22"/>
  <c r="K126" i="22"/>
  <c r="K127" i="22"/>
  <c r="K128" i="22"/>
  <c r="K129" i="22"/>
  <c r="K130" i="22"/>
  <c r="K131" i="22"/>
  <c r="K132" i="22"/>
  <c r="K133" i="22"/>
  <c r="K134" i="22"/>
  <c r="K135" i="22"/>
  <c r="K136" i="22"/>
  <c r="K137" i="22"/>
  <c r="K138" i="22"/>
  <c r="K139" i="22"/>
  <c r="K140" i="22"/>
  <c r="K141" i="22"/>
  <c r="K142" i="22"/>
  <c r="K143" i="22"/>
  <c r="K144" i="22"/>
  <c r="K145" i="22"/>
  <c r="K146" i="22"/>
  <c r="K147" i="22"/>
  <c r="K148" i="22"/>
  <c r="K149" i="22"/>
  <c r="K150" i="22"/>
  <c r="K151" i="22"/>
  <c r="K152" i="22"/>
  <c r="K153" i="22"/>
  <c r="K154" i="22"/>
  <c r="K155" i="22"/>
  <c r="K156" i="22"/>
  <c r="K157" i="22"/>
  <c r="K158" i="22"/>
  <c r="K159" i="22"/>
  <c r="K160" i="22"/>
  <c r="K161" i="22"/>
  <c r="K162" i="22"/>
  <c r="K163" i="22"/>
  <c r="K164" i="22"/>
  <c r="K165" i="22"/>
  <c r="K166" i="22"/>
  <c r="K167" i="22"/>
  <c r="K168" i="22"/>
  <c r="K169" i="22"/>
  <c r="K170" i="22"/>
  <c r="K171" i="22"/>
  <c r="K172" i="22"/>
  <c r="K173" i="22"/>
  <c r="K174" i="22"/>
  <c r="K175" i="22"/>
  <c r="K176" i="22"/>
  <c r="K177" i="22"/>
  <c r="K178" i="22"/>
  <c r="K179" i="22"/>
  <c r="K180" i="22"/>
  <c r="K181" i="22"/>
  <c r="K182" i="22"/>
  <c r="K183" i="22"/>
  <c r="K184" i="22"/>
  <c r="K185" i="22"/>
  <c r="K186" i="22"/>
  <c r="K187" i="22"/>
  <c r="K188" i="22"/>
  <c r="K189" i="22"/>
  <c r="K190" i="22"/>
  <c r="K191" i="22"/>
  <c r="K192" i="22"/>
  <c r="K193" i="22"/>
  <c r="K194" i="22"/>
  <c r="K195" i="22"/>
  <c r="K196" i="22"/>
  <c r="K197" i="22"/>
  <c r="K198" i="22"/>
  <c r="K199" i="22"/>
  <c r="K200" i="22"/>
  <c r="K201" i="22"/>
  <c r="K202" i="22"/>
  <c r="K203" i="22"/>
  <c r="K204" i="22"/>
  <c r="K205" i="22"/>
  <c r="K206" i="22"/>
  <c r="K207" i="22"/>
  <c r="K208" i="22"/>
  <c r="K209" i="22"/>
  <c r="K210" i="22"/>
  <c r="K211" i="22"/>
  <c r="K212" i="22"/>
  <c r="K213" i="22"/>
  <c r="K214" i="22"/>
  <c r="J9" i="22"/>
  <c r="K9" i="22" s="1"/>
  <c r="J10" i="22"/>
  <c r="K10" i="22" s="1"/>
  <c r="J11" i="22"/>
  <c r="K11" i="22" s="1"/>
  <c r="J12" i="22"/>
  <c r="K12" i="22" s="1"/>
  <c r="J13" i="22"/>
  <c r="K13" i="22" s="1"/>
  <c r="J14" i="22"/>
  <c r="K14" i="22" s="1"/>
  <c r="J15" i="22"/>
  <c r="J16" i="22"/>
  <c r="J17" i="22"/>
  <c r="J18" i="22"/>
  <c r="K18" i="22" s="1"/>
  <c r="J19" i="22"/>
  <c r="K19" i="22" s="1"/>
  <c r="J20" i="22"/>
  <c r="K20" i="22" s="1"/>
  <c r="J21" i="22"/>
  <c r="K21" i="22" s="1"/>
  <c r="J22" i="22"/>
  <c r="K22" i="22" s="1"/>
  <c r="J23" i="22"/>
  <c r="K23" i="22" s="1"/>
  <c r="J24" i="22"/>
  <c r="K24" i="22" s="1"/>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K78" i="22" s="1"/>
  <c r="J79" i="22"/>
  <c r="K79" i="22" s="1"/>
  <c r="J80" i="22"/>
  <c r="K80" i="22" s="1"/>
  <c r="J81" i="22"/>
  <c r="K81" i="22" s="1"/>
  <c r="J82" i="22"/>
  <c r="K82" i="22" s="1"/>
  <c r="J83" i="22"/>
  <c r="K83" i="22" s="1"/>
  <c r="J84" i="22"/>
  <c r="K84" i="22" s="1"/>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AK10" i="20" l="1"/>
  <c r="AL10" i="20"/>
  <c r="AQ10" i="20"/>
  <c r="T72" i="1" l="1"/>
  <c r="T73" i="1" l="1"/>
  <c r="T74" i="1"/>
  <c r="T75" i="1"/>
  <c r="T76" i="1"/>
  <c r="T71" i="1"/>
  <c r="F32" i="1" l="1"/>
  <c r="F28" i="28" s="1"/>
  <c r="F26" i="1"/>
  <c r="F23" i="28" s="1"/>
  <c r="D52" i="4"/>
  <c r="D41" i="4"/>
  <c r="I73" i="1"/>
  <c r="R44" i="26" l="1"/>
  <c r="R29" i="26"/>
  <c r="R14" i="26"/>
  <c r="F44" i="26"/>
  <c r="F29" i="26"/>
  <c r="F14" i="26"/>
  <c r="R44" i="11"/>
  <c r="R29" i="11"/>
  <c r="R14" i="11"/>
  <c r="F44" i="11"/>
  <c r="F29" i="11"/>
  <c r="AS10" i="20" l="1"/>
  <c r="AT10" i="20"/>
  <c r="AR10" i="20"/>
  <c r="S45" i="26" l="1"/>
  <c r="G45" i="26"/>
  <c r="S15" i="26"/>
  <c r="T15" i="26" s="1"/>
  <c r="W15" i="26" s="1"/>
  <c r="G15" i="26"/>
  <c r="H15" i="26" s="1"/>
  <c r="K15" i="26" s="1"/>
  <c r="S30" i="26"/>
  <c r="G30" i="26"/>
  <c r="S45" i="11"/>
  <c r="G45" i="11"/>
  <c r="S30" i="11"/>
  <c r="G30" i="11"/>
  <c r="S15" i="11"/>
  <c r="G15" i="11"/>
  <c r="H45" i="26" l="1"/>
  <c r="K45" i="26" s="1"/>
  <c r="M45" i="26" s="1"/>
  <c r="T45" i="26"/>
  <c r="W45" i="26" s="1"/>
  <c r="Y45" i="26" s="1"/>
  <c r="H30" i="26"/>
  <c r="K30" i="26" s="1"/>
  <c r="L30" i="26" s="1"/>
  <c r="H15" i="11"/>
  <c r="K15" i="11" s="1"/>
  <c r="L15" i="11" s="1"/>
  <c r="T15" i="11"/>
  <c r="W15" i="11" s="1"/>
  <c r="Y15" i="11" s="1"/>
  <c r="T30" i="11"/>
  <c r="W30" i="11" s="1"/>
  <c r="Y30" i="11" s="1"/>
  <c r="T45" i="11"/>
  <c r="W45" i="11" s="1"/>
  <c r="X45" i="11" s="1"/>
  <c r="T30" i="26"/>
  <c r="W30" i="26" s="1"/>
  <c r="X30" i="26" s="1"/>
  <c r="H30" i="11"/>
  <c r="K30" i="11" s="1"/>
  <c r="L30" i="11" s="1"/>
  <c r="H45" i="11"/>
  <c r="K45" i="11" s="1"/>
  <c r="M45" i="11" s="1"/>
  <c r="X15" i="26"/>
  <c r="Y15" i="26"/>
  <c r="M15" i="26"/>
  <c r="L15" i="26"/>
  <c r="X45" i="26" l="1"/>
  <c r="X30" i="11"/>
  <c r="X15" i="11"/>
  <c r="M15" i="11"/>
  <c r="M30" i="26"/>
  <c r="Y45" i="11"/>
  <c r="L45" i="26"/>
  <c r="M30" i="11"/>
  <c r="Y30" i="26"/>
  <c r="L45" i="11"/>
  <c r="L68" i="4" l="1"/>
  <c r="AR46" i="26" l="1"/>
  <c r="AU46" i="26" s="1"/>
  <c r="AV46" i="26" s="1"/>
  <c r="AK46" i="26"/>
  <c r="AJ46" i="26"/>
  <c r="AI46" i="26"/>
  <c r="AF46" i="26"/>
  <c r="AR44" i="26"/>
  <c r="AU44" i="26" s="1"/>
  <c r="AV44" i="26" s="1"/>
  <c r="AK44" i="26"/>
  <c r="AJ44" i="26"/>
  <c r="AI44" i="26"/>
  <c r="AF44" i="26"/>
  <c r="AD44" i="26"/>
  <c r="AR43" i="26"/>
  <c r="AU43" i="26" s="1"/>
  <c r="AK43" i="26"/>
  <c r="AJ43" i="26"/>
  <c r="AI43" i="26"/>
  <c r="AF43" i="26"/>
  <c r="AD43" i="26"/>
  <c r="AT42" i="26"/>
  <c r="AR42" i="26"/>
  <c r="AU42" i="26" s="1"/>
  <c r="AK42" i="26"/>
  <c r="AJ42" i="26"/>
  <c r="AI42" i="26"/>
  <c r="AH42" i="26"/>
  <c r="AF42" i="26"/>
  <c r="AM40" i="26"/>
  <c r="AN39" i="26"/>
  <c r="AB39" i="26"/>
  <c r="AW31" i="26"/>
  <c r="AV31" i="26"/>
  <c r="AU31" i="26"/>
  <c r="AR31" i="26"/>
  <c r="AK31" i="26"/>
  <c r="AJ31" i="26"/>
  <c r="AI31" i="26"/>
  <c r="AF31" i="26"/>
  <c r="AW29" i="26"/>
  <c r="AV29" i="26"/>
  <c r="AU29" i="26"/>
  <c r="AR29" i="26"/>
  <c r="AP29" i="26"/>
  <c r="AK29" i="26"/>
  <c r="AJ29" i="26"/>
  <c r="AI29" i="26"/>
  <c r="AF29" i="26"/>
  <c r="AD29" i="26"/>
  <c r="AW28" i="26"/>
  <c r="AV28" i="26"/>
  <c r="AU28" i="26"/>
  <c r="AR28" i="26"/>
  <c r="AP28" i="26"/>
  <c r="AK28" i="26"/>
  <c r="AJ28" i="26"/>
  <c r="AI28" i="26"/>
  <c r="AF28" i="26"/>
  <c r="AD28" i="26"/>
  <c r="AW27" i="26"/>
  <c r="AV27" i="26"/>
  <c r="AU27" i="26"/>
  <c r="AT27" i="26"/>
  <c r="AR27" i="26"/>
  <c r="AK27" i="26"/>
  <c r="AJ27" i="26"/>
  <c r="AI27" i="26"/>
  <c r="AH27" i="26"/>
  <c r="AF27" i="26"/>
  <c r="AN24" i="26"/>
  <c r="AB24" i="26"/>
  <c r="AW16" i="26"/>
  <c r="AV16" i="26"/>
  <c r="AU16" i="26"/>
  <c r="AR16" i="26"/>
  <c r="AK16" i="26"/>
  <c r="AJ16" i="26"/>
  <c r="AI16" i="26"/>
  <c r="AF16" i="26"/>
  <c r="AW14" i="26"/>
  <c r="AV14" i="26"/>
  <c r="AU14" i="26"/>
  <c r="AR14" i="26"/>
  <c r="AP14" i="26"/>
  <c r="AK14" i="26"/>
  <c r="AJ14" i="26"/>
  <c r="AI14" i="26"/>
  <c r="AF14" i="26"/>
  <c r="AD14" i="26"/>
  <c r="AW13" i="26"/>
  <c r="AV13" i="26"/>
  <c r="AU13" i="26"/>
  <c r="AR13" i="26"/>
  <c r="AP13" i="26"/>
  <c r="AK13" i="26"/>
  <c r="AJ13" i="26"/>
  <c r="AI13" i="26"/>
  <c r="AF13" i="26"/>
  <c r="AD13" i="26"/>
  <c r="AW12" i="26"/>
  <c r="AV12" i="26"/>
  <c r="AU12" i="26"/>
  <c r="AT12" i="26"/>
  <c r="AR12" i="26"/>
  <c r="AK12" i="26"/>
  <c r="AJ12" i="26"/>
  <c r="AI12" i="26"/>
  <c r="AH12" i="26"/>
  <c r="AF12" i="26"/>
  <c r="AN9" i="26"/>
  <c r="AB9" i="26"/>
  <c r="AV32" i="26" l="1"/>
  <c r="AV33" i="26" s="1"/>
  <c r="AW17" i="26"/>
  <c r="AW32" i="26"/>
  <c r="AK17" i="26"/>
  <c r="AK47" i="26"/>
  <c r="AK32" i="26"/>
  <c r="AJ47" i="26"/>
  <c r="AJ48" i="26" s="1"/>
  <c r="AJ17" i="26"/>
  <c r="AJ18" i="26" s="1"/>
  <c r="AV17" i="26"/>
  <c r="AV18" i="26" s="1"/>
  <c r="AV19" i="26" s="1"/>
  <c r="AV20" i="26" s="1"/>
  <c r="AV21" i="26" s="1"/>
  <c r="AJ32" i="26"/>
  <c r="AJ33" i="26" s="1"/>
  <c r="AJ34" i="26" s="1"/>
  <c r="AK35" i="26" s="1"/>
  <c r="AW43" i="26"/>
  <c r="AV43" i="26"/>
  <c r="AV42" i="26"/>
  <c r="AW42" i="26"/>
  <c r="AW44" i="26"/>
  <c r="AW46" i="26"/>
  <c r="AW31" i="11"/>
  <c r="AV31" i="11"/>
  <c r="AU31" i="11"/>
  <c r="AR31" i="11"/>
  <c r="AW29" i="11"/>
  <c r="AV29" i="11"/>
  <c r="AU29" i="11"/>
  <c r="AR29" i="11"/>
  <c r="AP29" i="11"/>
  <c r="AW28" i="11"/>
  <c r="AV28" i="11"/>
  <c r="AU28" i="11"/>
  <c r="AR28" i="11"/>
  <c r="AP28" i="11"/>
  <c r="AW27" i="11"/>
  <c r="AV27" i="11"/>
  <c r="AU27" i="11"/>
  <c r="AT27" i="11"/>
  <c r="AR27" i="11"/>
  <c r="AP13" i="11"/>
  <c r="AW16" i="11"/>
  <c r="AV16" i="11"/>
  <c r="AU16" i="11"/>
  <c r="AR16" i="11"/>
  <c r="AW14" i="11"/>
  <c r="AV14" i="11"/>
  <c r="AU14" i="11"/>
  <c r="AR14" i="11"/>
  <c r="AP14" i="11"/>
  <c r="AW13" i="11"/>
  <c r="AV13" i="11"/>
  <c r="AU13" i="11"/>
  <c r="AR13" i="11"/>
  <c r="AW12" i="11"/>
  <c r="AV12" i="11"/>
  <c r="AU12" i="11"/>
  <c r="AT12" i="11"/>
  <c r="AR12" i="11"/>
  <c r="AK43" i="11"/>
  <c r="AJ43" i="11"/>
  <c r="AI43" i="11"/>
  <c r="AF43" i="11"/>
  <c r="AD43" i="11"/>
  <c r="AK46" i="11"/>
  <c r="AJ46" i="11"/>
  <c r="AI46" i="11"/>
  <c r="AF46" i="11"/>
  <c r="AK44" i="11"/>
  <c r="AJ44" i="11"/>
  <c r="AI44" i="11"/>
  <c r="AF44" i="11"/>
  <c r="AD44" i="11"/>
  <c r="AK42" i="11"/>
  <c r="AJ42" i="11"/>
  <c r="AI42" i="11"/>
  <c r="AH42" i="11"/>
  <c r="AF42" i="11"/>
  <c r="AK29" i="11"/>
  <c r="AJ29" i="11"/>
  <c r="AI29" i="11"/>
  <c r="AF29" i="11"/>
  <c r="AK14" i="11"/>
  <c r="AJ14" i="11"/>
  <c r="AI14" i="11"/>
  <c r="AK28" i="11"/>
  <c r="AJ28" i="11"/>
  <c r="AI28" i="11"/>
  <c r="AF28" i="11"/>
  <c r="AF31" i="11"/>
  <c r="AF27" i="11"/>
  <c r="AD28" i="11"/>
  <c r="AD29" i="11"/>
  <c r="AK31" i="11"/>
  <c r="AJ31" i="11"/>
  <c r="AI31" i="11"/>
  <c r="AK27" i="11"/>
  <c r="AJ27" i="11"/>
  <c r="AI27" i="11"/>
  <c r="AK16" i="11"/>
  <c r="AK13" i="11"/>
  <c r="AK12" i="11"/>
  <c r="AI16" i="11"/>
  <c r="AI13" i="11"/>
  <c r="AI12" i="11"/>
  <c r="AJ16" i="11"/>
  <c r="AJ13" i="11"/>
  <c r="AJ12" i="11"/>
  <c r="AF16" i="11"/>
  <c r="AF14" i="11"/>
  <c r="AF13" i="11"/>
  <c r="AF12" i="11"/>
  <c r="AD14" i="11"/>
  <c r="AD13" i="11"/>
  <c r="AA9" i="26"/>
  <c r="AJ17" i="11" l="1"/>
  <c r="AV34" i="26"/>
  <c r="AV35" i="26" s="1"/>
  <c r="AV36" i="26" s="1"/>
  <c r="AJ49" i="26"/>
  <c r="AJ50" i="26" s="1"/>
  <c r="AJ51" i="26" s="1"/>
  <c r="AV47" i="26"/>
  <c r="AV48" i="26" s="1"/>
  <c r="AJ35" i="26"/>
  <c r="AJ36" i="26" s="1"/>
  <c r="AJ19" i="26"/>
  <c r="AJ20" i="26" s="1"/>
  <c r="AJ21" i="26" s="1"/>
  <c r="AK17" i="11"/>
  <c r="AW47" i="26"/>
  <c r="AV49" i="26" s="1"/>
  <c r="AV50" i="26" s="1"/>
  <c r="AV51" i="26" s="1"/>
  <c r="AR44" i="11" l="1"/>
  <c r="AU44" i="11" s="1"/>
  <c r="AT42" i="11"/>
  <c r="AR42" i="11"/>
  <c r="AU42" i="11" s="1"/>
  <c r="AM40" i="11"/>
  <c r="AN39" i="11"/>
  <c r="AB39" i="11"/>
  <c r="AH27" i="11"/>
  <c r="AN24" i="11"/>
  <c r="AB24" i="11"/>
  <c r="AH12" i="11"/>
  <c r="AN9" i="11"/>
  <c r="AB9" i="11"/>
  <c r="P72" i="1"/>
  <c r="P73" i="1"/>
  <c r="P74" i="1"/>
  <c r="P75" i="1"/>
  <c r="P76" i="1"/>
  <c r="P71" i="1"/>
  <c r="C49" i="1"/>
  <c r="C44" i="28" s="1"/>
  <c r="C48" i="1"/>
  <c r="C43" i="28" s="1"/>
  <c r="A73" i="4"/>
  <c r="O39" i="11" s="1"/>
  <c r="A72" i="4"/>
  <c r="O24" i="26" s="1"/>
  <c r="A71" i="4"/>
  <c r="C51" i="1" s="1"/>
  <c r="C46" i="28" s="1"/>
  <c r="A70" i="4"/>
  <c r="C50" i="1" s="1"/>
  <c r="C45" i="28" s="1"/>
  <c r="A11" i="28"/>
  <c r="A12" i="28"/>
  <c r="A11" i="1"/>
  <c r="A12" i="1"/>
  <c r="A64" i="4"/>
  <c r="A32" i="28" s="1"/>
  <c r="A51" i="4"/>
  <c r="A27" i="28" s="1"/>
  <c r="A40" i="4"/>
  <c r="A25" i="1" s="1"/>
  <c r="A39" i="4"/>
  <c r="A21" i="28" s="1"/>
  <c r="A36" i="4"/>
  <c r="A18" i="28" s="1"/>
  <c r="A18" i="4"/>
  <c r="A15" i="28" s="1"/>
  <c r="AU10" i="20"/>
  <c r="AM9" i="20"/>
  <c r="AN9" i="20"/>
  <c r="AO9" i="20"/>
  <c r="AP9" i="20"/>
  <c r="AR9" i="20"/>
  <c r="AS9" i="20"/>
  <c r="AT9" i="20"/>
  <c r="AU9" i="20"/>
  <c r="AK9" i="20"/>
  <c r="B71" i="1"/>
  <c r="B62" i="28"/>
  <c r="B61" i="28"/>
  <c r="G38" i="28"/>
  <c r="F38" i="28"/>
  <c r="G37" i="28"/>
  <c r="F37" i="28"/>
  <c r="C37" i="28"/>
  <c r="G36" i="28"/>
  <c r="F36" i="28"/>
  <c r="C36" i="28"/>
  <c r="F20" i="28"/>
  <c r="F19" i="28"/>
  <c r="F12" i="28"/>
  <c r="D17" i="37" s="1"/>
  <c r="F11" i="28"/>
  <c r="D21" i="37" s="1"/>
  <c r="F10" i="28"/>
  <c r="D19" i="37" s="1"/>
  <c r="B54" i="37" s="1"/>
  <c r="B55" i="37" s="1"/>
  <c r="A10" i="28"/>
  <c r="F9" i="28"/>
  <c r="D18" i="37" s="1"/>
  <c r="A9" i="28"/>
  <c r="F8" i="28"/>
  <c r="A8" i="28"/>
  <c r="F7" i="28"/>
  <c r="D10" i="37" s="1"/>
  <c r="A7" i="28"/>
  <c r="F6" i="28"/>
  <c r="D9" i="37" s="1"/>
  <c r="A6" i="28"/>
  <c r="F5" i="28"/>
  <c r="D8" i="37" s="1"/>
  <c r="A5" i="28"/>
  <c r="B67" i="28"/>
  <c r="D20" i="37" s="1"/>
  <c r="C15" i="27"/>
  <c r="F5" i="1"/>
  <c r="F6" i="1"/>
  <c r="F7" i="1"/>
  <c r="F8" i="1"/>
  <c r="F9" i="1"/>
  <c r="F10" i="1"/>
  <c r="F11" i="1"/>
  <c r="F12" i="1"/>
  <c r="F4" i="1"/>
  <c r="A5" i="1"/>
  <c r="A6" i="1"/>
  <c r="A7" i="1"/>
  <c r="A8" i="1"/>
  <c r="A9" i="1"/>
  <c r="A10" i="1"/>
  <c r="A4" i="1"/>
  <c r="AM10" i="20"/>
  <c r="AP10" i="20"/>
  <c r="F27" i="26"/>
  <c r="F42" i="26"/>
  <c r="R12" i="26"/>
  <c r="R27" i="26"/>
  <c r="R42" i="26"/>
  <c r="M68" i="4"/>
  <c r="F12" i="26" s="1"/>
  <c r="F27" i="11"/>
  <c r="F42" i="11"/>
  <c r="R12" i="11"/>
  <c r="R27" i="11"/>
  <c r="R42" i="11"/>
  <c r="F12" i="11"/>
  <c r="H68" i="4"/>
  <c r="F18" i="36" s="1"/>
  <c r="I68" i="4"/>
  <c r="Q18" i="36" s="1"/>
  <c r="B67" i="1"/>
  <c r="S46" i="26"/>
  <c r="G46" i="26"/>
  <c r="S44" i="26"/>
  <c r="T44" i="26" s="1"/>
  <c r="W44" i="26" s="1"/>
  <c r="G44" i="26"/>
  <c r="S42" i="26"/>
  <c r="G42" i="26"/>
  <c r="P39" i="26"/>
  <c r="D39" i="26"/>
  <c r="S31" i="26"/>
  <c r="G31" i="26"/>
  <c r="S29" i="26"/>
  <c r="G29" i="26"/>
  <c r="S27" i="26"/>
  <c r="G27" i="26"/>
  <c r="P24" i="26"/>
  <c r="D24" i="26"/>
  <c r="C24" i="26"/>
  <c r="S16" i="26"/>
  <c r="G16" i="26"/>
  <c r="S14" i="26"/>
  <c r="G14" i="26"/>
  <c r="S12" i="26"/>
  <c r="G12" i="26"/>
  <c r="P9" i="26"/>
  <c r="D9" i="26"/>
  <c r="B62" i="1"/>
  <c r="S46" i="11"/>
  <c r="S44" i="11"/>
  <c r="S42" i="11"/>
  <c r="P39" i="11"/>
  <c r="S31" i="11"/>
  <c r="S29" i="11"/>
  <c r="S27" i="11"/>
  <c r="P24" i="11"/>
  <c r="S16" i="11"/>
  <c r="S14" i="11"/>
  <c r="S12" i="11"/>
  <c r="P9" i="11"/>
  <c r="G42" i="11"/>
  <c r="G27" i="11"/>
  <c r="G12" i="11"/>
  <c r="C9" i="11"/>
  <c r="M37" i="25"/>
  <c r="N37" i="25" s="1"/>
  <c r="C16" i="4"/>
  <c r="B63" i="1"/>
  <c r="F19" i="23"/>
  <c r="F20" i="23"/>
  <c r="F21" i="23"/>
  <c r="F16" i="23"/>
  <c r="F17" i="23"/>
  <c r="F18" i="23"/>
  <c r="C24" i="11"/>
  <c r="D39" i="11"/>
  <c r="D24" i="11"/>
  <c r="D9" i="11"/>
  <c r="B66" i="1"/>
  <c r="J8" i="22"/>
  <c r="K8" i="22" s="1"/>
  <c r="F73" i="1"/>
  <c r="AR43" i="11"/>
  <c r="AU43" i="11" s="1"/>
  <c r="AV43" i="11" s="1"/>
  <c r="AR46" i="11"/>
  <c r="AU46" i="11" s="1"/>
  <c r="AK47" i="11"/>
  <c r="AW17" i="11"/>
  <c r="AW32" i="11"/>
  <c r="AJ47" i="11"/>
  <c r="AJ48" i="11" s="1"/>
  <c r="AV17" i="11"/>
  <c r="AV18" i="11" s="1"/>
  <c r="AV32" i="11"/>
  <c r="AV33" i="11" s="1"/>
  <c r="F94" i="4"/>
  <c r="D94" i="4"/>
  <c r="C42" i="1"/>
  <c r="G14" i="11"/>
  <c r="G16" i="11"/>
  <c r="G46" i="11"/>
  <c r="G31" i="11"/>
  <c r="F22" i="1"/>
  <c r="O22" i="1" s="1"/>
  <c r="F21" i="1"/>
  <c r="O21" i="1" s="1"/>
  <c r="G44" i="11"/>
  <c r="G29" i="11"/>
  <c r="H29" i="11" s="1"/>
  <c r="K29" i="11" s="1"/>
  <c r="F43" i="1"/>
  <c r="F42" i="1"/>
  <c r="G43" i="1"/>
  <c r="G42" i="1"/>
  <c r="C94" i="4"/>
  <c r="C41" i="1"/>
  <c r="G41" i="1"/>
  <c r="F41" i="1"/>
  <c r="I36" i="28"/>
  <c r="I38" i="28"/>
  <c r="I37" i="28"/>
  <c r="E95" i="4"/>
  <c r="C95" i="4"/>
  <c r="D95" i="4"/>
  <c r="D12" i="32" l="1"/>
  <c r="D12" i="37"/>
  <c r="O173" i="25"/>
  <c r="O125" i="25"/>
  <c r="O93" i="25"/>
  <c r="O236" i="25"/>
  <c r="O189" i="25"/>
  <c r="O157" i="25"/>
  <c r="O237" i="25"/>
  <c r="O229" i="25"/>
  <c r="O221" i="25"/>
  <c r="O213" i="25"/>
  <c r="O199" i="25"/>
  <c r="O167" i="25"/>
  <c r="O135" i="25"/>
  <c r="O103" i="25"/>
  <c r="O71" i="25"/>
  <c r="O39" i="25"/>
  <c r="O177" i="25"/>
  <c r="O145" i="25"/>
  <c r="O113" i="25"/>
  <c r="O81" i="25"/>
  <c r="O49" i="25"/>
  <c r="O46" i="25"/>
  <c r="O54" i="25"/>
  <c r="O62" i="25"/>
  <c r="O70" i="25"/>
  <c r="O78" i="25"/>
  <c r="O86" i="25"/>
  <c r="O94" i="25"/>
  <c r="O102" i="25"/>
  <c r="O110" i="25"/>
  <c r="O118" i="25"/>
  <c r="O126" i="25"/>
  <c r="O134" i="25"/>
  <c r="O142" i="25"/>
  <c r="O150" i="25"/>
  <c r="O158" i="25"/>
  <c r="O166" i="25"/>
  <c r="O174" i="25"/>
  <c r="O182" i="25"/>
  <c r="O190" i="25"/>
  <c r="O198" i="25"/>
  <c r="O206" i="25"/>
  <c r="O228" i="25"/>
  <c r="O220" i="25"/>
  <c r="O212" i="25"/>
  <c r="O195" i="25"/>
  <c r="O163" i="25"/>
  <c r="O131" i="25"/>
  <c r="O99" i="25"/>
  <c r="O67" i="25"/>
  <c r="O56" i="25"/>
  <c r="O88" i="25"/>
  <c r="O112" i="25"/>
  <c r="O136" i="25"/>
  <c r="O168" i="25"/>
  <c r="O192" i="25"/>
  <c r="O226" i="25"/>
  <c r="O187" i="25"/>
  <c r="O91" i="25"/>
  <c r="O179" i="25"/>
  <c r="O51" i="25"/>
  <c r="O141" i="25"/>
  <c r="O117" i="25"/>
  <c r="O69" i="25"/>
  <c r="O43" i="25"/>
  <c r="O197" i="25"/>
  <c r="O101" i="25"/>
  <c r="O235" i="25"/>
  <c r="O227" i="25"/>
  <c r="O219" i="25"/>
  <c r="O211" i="25"/>
  <c r="O191" i="25"/>
  <c r="O159" i="25"/>
  <c r="O127" i="25"/>
  <c r="O95" i="25"/>
  <c r="O63" i="25"/>
  <c r="O201" i="25"/>
  <c r="O169" i="25"/>
  <c r="O137" i="25"/>
  <c r="O105" i="25"/>
  <c r="O73" i="25"/>
  <c r="O40" i="25"/>
  <c r="O48" i="25"/>
  <c r="O64" i="25"/>
  <c r="O80" i="25"/>
  <c r="O104" i="25"/>
  <c r="O128" i="25"/>
  <c r="O152" i="25"/>
  <c r="O176" i="25"/>
  <c r="O200" i="25"/>
  <c r="O218" i="25"/>
  <c r="O155" i="25"/>
  <c r="O59" i="25"/>
  <c r="O115" i="25"/>
  <c r="O37" i="25"/>
  <c r="O149" i="25"/>
  <c r="O109" i="25"/>
  <c r="O61" i="25"/>
  <c r="O165" i="25"/>
  <c r="O205" i="25"/>
  <c r="O77" i="25"/>
  <c r="O233" i="25"/>
  <c r="O225" i="25"/>
  <c r="O217" i="25"/>
  <c r="O209" i="25"/>
  <c r="O183" i="25"/>
  <c r="O151" i="25"/>
  <c r="O119" i="25"/>
  <c r="O87" i="25"/>
  <c r="O55" i="25"/>
  <c r="O193" i="25"/>
  <c r="O161" i="25"/>
  <c r="O129" i="25"/>
  <c r="O97" i="25"/>
  <c r="O65" i="25"/>
  <c r="O42" i="25"/>
  <c r="O50" i="25"/>
  <c r="O58" i="25"/>
  <c r="O66" i="25"/>
  <c r="O74" i="25"/>
  <c r="O82" i="25"/>
  <c r="O90" i="25"/>
  <c r="O98" i="25"/>
  <c r="O106" i="25"/>
  <c r="O114" i="25"/>
  <c r="O122" i="25"/>
  <c r="O130" i="25"/>
  <c r="O138" i="25"/>
  <c r="O146" i="25"/>
  <c r="O154" i="25"/>
  <c r="O162" i="25"/>
  <c r="O170" i="25"/>
  <c r="O178" i="25"/>
  <c r="O186" i="25"/>
  <c r="O194" i="25"/>
  <c r="O202" i="25"/>
  <c r="O232" i="25"/>
  <c r="O224" i="25"/>
  <c r="O216" i="25"/>
  <c r="O147" i="25"/>
  <c r="O133" i="25"/>
  <c r="O85" i="25"/>
  <c r="O53" i="25"/>
  <c r="O41" i="25"/>
  <c r="O181" i="25"/>
  <c r="O45" i="25"/>
  <c r="O231" i="25"/>
  <c r="O223" i="25"/>
  <c r="O215" i="25"/>
  <c r="O207" i="25"/>
  <c r="O175" i="25"/>
  <c r="O143" i="25"/>
  <c r="O111" i="25"/>
  <c r="O79" i="25"/>
  <c r="O47" i="25"/>
  <c r="O185" i="25"/>
  <c r="O153" i="25"/>
  <c r="O121" i="25"/>
  <c r="O89" i="25"/>
  <c r="O57" i="25"/>
  <c r="O44" i="25"/>
  <c r="O52" i="25"/>
  <c r="O60" i="25"/>
  <c r="O68" i="25"/>
  <c r="O76" i="25"/>
  <c r="O84" i="25"/>
  <c r="O92" i="25"/>
  <c r="O100" i="25"/>
  <c r="O108" i="25"/>
  <c r="O116" i="25"/>
  <c r="O124" i="25"/>
  <c r="O132" i="25"/>
  <c r="O140" i="25"/>
  <c r="O148" i="25"/>
  <c r="O156" i="25"/>
  <c r="O164" i="25"/>
  <c r="O172" i="25"/>
  <c r="O180" i="25"/>
  <c r="O188" i="25"/>
  <c r="O196" i="25"/>
  <c r="O204" i="25"/>
  <c r="O230" i="25"/>
  <c r="O222" i="25"/>
  <c r="O214" i="25"/>
  <c r="O203" i="25"/>
  <c r="O171" i="25"/>
  <c r="O139" i="25"/>
  <c r="O107" i="25"/>
  <c r="O75" i="25"/>
  <c r="O38" i="25"/>
  <c r="O72" i="25"/>
  <c r="O96" i="25"/>
  <c r="O120" i="25"/>
  <c r="O144" i="25"/>
  <c r="O160" i="25"/>
  <c r="O184" i="25"/>
  <c r="O234" i="25"/>
  <c r="O210" i="25"/>
  <c r="O123" i="25"/>
  <c r="O208" i="25"/>
  <c r="O83" i="25"/>
  <c r="B59" i="37"/>
  <c r="B58" i="37"/>
  <c r="D22" i="37" s="1"/>
  <c r="D20" i="32"/>
  <c r="D9" i="32"/>
  <c r="E18" i="33" s="1"/>
  <c r="D21" i="32"/>
  <c r="D8" i="32"/>
  <c r="C18" i="33" s="1"/>
  <c r="D10" i="32"/>
  <c r="F18" i="33" s="1"/>
  <c r="D17" i="32"/>
  <c r="D19" i="32"/>
  <c r="G18" i="33" s="1"/>
  <c r="D18" i="32"/>
  <c r="AO10" i="20"/>
  <c r="AN10" i="20"/>
  <c r="C39" i="11"/>
  <c r="C43" i="1"/>
  <c r="C39" i="26"/>
  <c r="L162" i="22"/>
  <c r="L210" i="22"/>
  <c r="L63" i="22"/>
  <c r="L127" i="22"/>
  <c r="L191" i="22"/>
  <c r="L39" i="22"/>
  <c r="L104" i="22"/>
  <c r="L41" i="22"/>
  <c r="L105" i="22"/>
  <c r="L169" i="22"/>
  <c r="L17" i="22"/>
  <c r="L86" i="22"/>
  <c r="L150" i="22"/>
  <c r="L14" i="22"/>
  <c r="L59" i="22"/>
  <c r="L35" i="22"/>
  <c r="L101" i="22"/>
  <c r="L82" i="22"/>
  <c r="L168" i="22"/>
  <c r="L186" i="22"/>
  <c r="L67" i="22"/>
  <c r="L131" i="22"/>
  <c r="L195" i="22"/>
  <c r="L44" i="22"/>
  <c r="L108" i="22"/>
  <c r="L45" i="22"/>
  <c r="L109" i="22"/>
  <c r="L173" i="22"/>
  <c r="L21" i="22"/>
  <c r="L90" i="22"/>
  <c r="L154" i="22"/>
  <c r="L222" i="22"/>
  <c r="L43" i="22"/>
  <c r="L219" i="22"/>
  <c r="L85" i="22"/>
  <c r="L66" i="22"/>
  <c r="L172" i="22"/>
  <c r="L184" i="22"/>
  <c r="L71" i="22"/>
  <c r="L135" i="22"/>
  <c r="L199" i="22"/>
  <c r="L48" i="22"/>
  <c r="L112" i="22"/>
  <c r="L49" i="22"/>
  <c r="L113" i="22"/>
  <c r="L177" i="22"/>
  <c r="L25" i="22"/>
  <c r="L94" i="22"/>
  <c r="L158" i="22"/>
  <c r="L214" i="22"/>
  <c r="L10" i="22"/>
  <c r="L19" i="22"/>
  <c r="L69" i="22"/>
  <c r="L50" i="22"/>
  <c r="L174" i="22"/>
  <c r="L202" i="22"/>
  <c r="L95" i="22"/>
  <c r="L223" i="22"/>
  <c r="L136" i="22"/>
  <c r="L137" i="22"/>
  <c r="L54" i="22"/>
  <c r="L166" i="22"/>
  <c r="L132" i="22"/>
  <c r="L224" i="22"/>
  <c r="L178" i="22"/>
  <c r="L163" i="22"/>
  <c r="L76" i="22"/>
  <c r="L77" i="22"/>
  <c r="L205" i="22"/>
  <c r="L122" i="22"/>
  <c r="L26" i="22"/>
  <c r="L100" i="22"/>
  <c r="L170" i="22"/>
  <c r="L103" i="22"/>
  <c r="L167" i="22"/>
  <c r="L80" i="22"/>
  <c r="L81" i="22"/>
  <c r="L209" i="22"/>
  <c r="L126" i="22"/>
  <c r="L20" i="22"/>
  <c r="L116" i="22"/>
  <c r="L8" i="22"/>
  <c r="L47" i="22"/>
  <c r="L111" i="22"/>
  <c r="L23" i="22"/>
  <c r="L212" i="22"/>
  <c r="L12" i="22"/>
  <c r="L79" i="22"/>
  <c r="L143" i="22"/>
  <c r="L207" i="22"/>
  <c r="L56" i="22"/>
  <c r="L120" i="22"/>
  <c r="L57" i="22"/>
  <c r="L121" i="22"/>
  <c r="L185" i="22"/>
  <c r="L33" i="22"/>
  <c r="L102" i="22"/>
  <c r="L32" i="22"/>
  <c r="L198" i="22"/>
  <c r="L107" i="22"/>
  <c r="L84" i="22"/>
  <c r="L149" i="22"/>
  <c r="L130" i="22"/>
  <c r="L188" i="22"/>
  <c r="L204" i="22"/>
  <c r="L83" i="22"/>
  <c r="L147" i="22"/>
  <c r="L211" i="22"/>
  <c r="L60" i="22"/>
  <c r="L124" i="22"/>
  <c r="L61" i="22"/>
  <c r="L125" i="22"/>
  <c r="L189" i="22"/>
  <c r="L37" i="22"/>
  <c r="L106" i="22"/>
  <c r="L24" i="22"/>
  <c r="L190" i="22"/>
  <c r="L75" i="22"/>
  <c r="L52" i="22"/>
  <c r="L133" i="22"/>
  <c r="L98" i="22"/>
  <c r="L164" i="22"/>
  <c r="L34" i="22"/>
  <c r="L87" i="22"/>
  <c r="L151" i="22"/>
  <c r="L215" i="22"/>
  <c r="L64" i="22"/>
  <c r="L128" i="22"/>
  <c r="L65" i="22"/>
  <c r="L129" i="22"/>
  <c r="L193" i="22"/>
  <c r="L46" i="22"/>
  <c r="L110" i="22"/>
  <c r="L16" i="22"/>
  <c r="L182" i="22"/>
  <c r="L91" i="22"/>
  <c r="L68" i="22"/>
  <c r="L117" i="22"/>
  <c r="L114" i="22"/>
  <c r="L218" i="22"/>
  <c r="L159" i="22"/>
  <c r="L72" i="22"/>
  <c r="L73" i="22"/>
  <c r="L201" i="22"/>
  <c r="L118" i="22"/>
  <c r="L216" i="22"/>
  <c r="L155" i="22"/>
  <c r="L197" i="22"/>
  <c r="L194" i="22"/>
  <c r="L99" i="22"/>
  <c r="L11" i="22"/>
  <c r="L140" i="22"/>
  <c r="L141" i="22"/>
  <c r="L58" i="22"/>
  <c r="L208" i="22"/>
  <c r="L139" i="22"/>
  <c r="L165" i="22"/>
  <c r="L146" i="22"/>
  <c r="L42" i="22"/>
  <c r="L15" i="22"/>
  <c r="L144" i="22"/>
  <c r="L145" i="22"/>
  <c r="L62" i="22"/>
  <c r="L200" i="22"/>
  <c r="L123" i="22"/>
  <c r="L181" i="22"/>
  <c r="L220" i="22"/>
  <c r="L175" i="22"/>
  <c r="L88" i="22"/>
  <c r="L152" i="22"/>
  <c r="L89" i="22"/>
  <c r="L134" i="22"/>
  <c r="L53" i="22"/>
  <c r="L51" i="22"/>
  <c r="L92" i="22"/>
  <c r="L221" i="22"/>
  <c r="L36" i="22"/>
  <c r="L192" i="22"/>
  <c r="L183" i="22"/>
  <c r="L97" i="22"/>
  <c r="L142" i="22"/>
  <c r="L148" i="22"/>
  <c r="L28" i="22"/>
  <c r="L179" i="22"/>
  <c r="L138" i="22"/>
  <c r="L55" i="22"/>
  <c r="L9" i="22"/>
  <c r="L22" i="22"/>
  <c r="L70" i="22"/>
  <c r="L196" i="22"/>
  <c r="L38" i="22"/>
  <c r="L119" i="22"/>
  <c r="L78" i="22"/>
  <c r="L153" i="22"/>
  <c r="L176" i="22"/>
  <c r="L29" i="22"/>
  <c r="L115" i="22"/>
  <c r="L156" i="22"/>
  <c r="L74" i="22"/>
  <c r="L171" i="22"/>
  <c r="L180" i="22"/>
  <c r="L31" i="22"/>
  <c r="L161" i="22"/>
  <c r="L30" i="22"/>
  <c r="L13" i="22"/>
  <c r="L217" i="22"/>
  <c r="L206" i="22"/>
  <c r="L93" i="22"/>
  <c r="L40" i="22"/>
  <c r="L96" i="22"/>
  <c r="L18" i="22"/>
  <c r="L203" i="22"/>
  <c r="L27" i="22"/>
  <c r="L157" i="22"/>
  <c r="L213" i="22"/>
  <c r="L160" i="22"/>
  <c r="L187" i="22"/>
  <c r="T12" i="11"/>
  <c r="W12" i="11" s="1"/>
  <c r="X12" i="11" s="1"/>
  <c r="AH13" i="20"/>
  <c r="AH17" i="20"/>
  <c r="AH21" i="20"/>
  <c r="AH25" i="20"/>
  <c r="AH29" i="20"/>
  <c r="AH33" i="20"/>
  <c r="AH37" i="20"/>
  <c r="AH41" i="20"/>
  <c r="AH45" i="20"/>
  <c r="AH49" i="20"/>
  <c r="AH53" i="20"/>
  <c r="AH57" i="20"/>
  <c r="AH61" i="20"/>
  <c r="AH65" i="20"/>
  <c r="AH69" i="20"/>
  <c r="AH73" i="20"/>
  <c r="AH77" i="20"/>
  <c r="AH81" i="20"/>
  <c r="AH85" i="20"/>
  <c r="AH89" i="20"/>
  <c r="AH93" i="20"/>
  <c r="AH97" i="20"/>
  <c r="AH101" i="20"/>
  <c r="AH105" i="20"/>
  <c r="AH109" i="20"/>
  <c r="AH113" i="20"/>
  <c r="AH117" i="20"/>
  <c r="AH121" i="20"/>
  <c r="AH125" i="20"/>
  <c r="AH129" i="20"/>
  <c r="AH133" i="20"/>
  <c r="AH137" i="20"/>
  <c r="AH141" i="20"/>
  <c r="AH145" i="20"/>
  <c r="AH149" i="20"/>
  <c r="AH153" i="20"/>
  <c r="AH157" i="20"/>
  <c r="AH161" i="20"/>
  <c r="AH165" i="20"/>
  <c r="AH169" i="20"/>
  <c r="AH173" i="20"/>
  <c r="AH177" i="20"/>
  <c r="AH181" i="20"/>
  <c r="AH185" i="20"/>
  <c r="AH189" i="20"/>
  <c r="AH193" i="20"/>
  <c r="AH197" i="20"/>
  <c r="AH201" i="20"/>
  <c r="AH205" i="20"/>
  <c r="AH209" i="20"/>
  <c r="AH213" i="20"/>
  <c r="AH14" i="20"/>
  <c r="AH11" i="20"/>
  <c r="AP11" i="20" s="1"/>
  <c r="AH19" i="20"/>
  <c r="AH23" i="20"/>
  <c r="AH27" i="20"/>
  <c r="AH31" i="20"/>
  <c r="AH35" i="20"/>
  <c r="AH39" i="20"/>
  <c r="AH43" i="20"/>
  <c r="AH47" i="20"/>
  <c r="AH51" i="20"/>
  <c r="AH55" i="20"/>
  <c r="AH59" i="20"/>
  <c r="AH63" i="20"/>
  <c r="AH67" i="20"/>
  <c r="AH71" i="20"/>
  <c r="AH75" i="20"/>
  <c r="AH79" i="20"/>
  <c r="AH83" i="20"/>
  <c r="AH87" i="20"/>
  <c r="AH91" i="20"/>
  <c r="AH95" i="20"/>
  <c r="AH99" i="20"/>
  <c r="AH103" i="20"/>
  <c r="AH107" i="20"/>
  <c r="AH111" i="20"/>
  <c r="AH115" i="20"/>
  <c r="AH119" i="20"/>
  <c r="AH123" i="20"/>
  <c r="AH127" i="20"/>
  <c r="AH131" i="20"/>
  <c r="AH135" i="20"/>
  <c r="AH139" i="20"/>
  <c r="AH143" i="20"/>
  <c r="AH147" i="20"/>
  <c r="AH151" i="20"/>
  <c r="AH155" i="20"/>
  <c r="AH159" i="20"/>
  <c r="AH163" i="20"/>
  <c r="AH167" i="20"/>
  <c r="AH171" i="20"/>
  <c r="AH175" i="20"/>
  <c r="AH179" i="20"/>
  <c r="AH183" i="20"/>
  <c r="AH187" i="20"/>
  <c r="AH191" i="20"/>
  <c r="AH195" i="20"/>
  <c r="AH199" i="20"/>
  <c r="AH203" i="20"/>
  <c r="AH207" i="20"/>
  <c r="AH211" i="20"/>
  <c r="AH215" i="20"/>
  <c r="AH12" i="20"/>
  <c r="AP12" i="20" s="1"/>
  <c r="AH24" i="20"/>
  <c r="AH32" i="20"/>
  <c r="AH40" i="20"/>
  <c r="AH48" i="20"/>
  <c r="AH56" i="20"/>
  <c r="AH64" i="20"/>
  <c r="AH72" i="20"/>
  <c r="AH80" i="20"/>
  <c r="AH88" i="20"/>
  <c r="AH96" i="20"/>
  <c r="AH104" i="20"/>
  <c r="AH112" i="20"/>
  <c r="AH120" i="20"/>
  <c r="AH128" i="20"/>
  <c r="AH136" i="20"/>
  <c r="AH144" i="20"/>
  <c r="AH152" i="20"/>
  <c r="AH160" i="20"/>
  <c r="AH168" i="20"/>
  <c r="AH176" i="20"/>
  <c r="AH184" i="20"/>
  <c r="AH192" i="20"/>
  <c r="AH200" i="20"/>
  <c r="AH208" i="20"/>
  <c r="AH216" i="20"/>
  <c r="AH220" i="20"/>
  <c r="AH224" i="20"/>
  <c r="AH228" i="20"/>
  <c r="AH232" i="20"/>
  <c r="AH236" i="20"/>
  <c r="AH240" i="20"/>
  <c r="AH244" i="20"/>
  <c r="AH248" i="20"/>
  <c r="AH252" i="20"/>
  <c r="AH256" i="20"/>
  <c r="AH260" i="20"/>
  <c r="AH264" i="20"/>
  <c r="AH268" i="20"/>
  <c r="AH272" i="20"/>
  <c r="AH276" i="20"/>
  <c r="AH280" i="20"/>
  <c r="AH284" i="20"/>
  <c r="AH288" i="20"/>
  <c r="AH292" i="20"/>
  <c r="AH296" i="20"/>
  <c r="AH300" i="20"/>
  <c r="AH304" i="20"/>
  <c r="AH308" i="20"/>
  <c r="AH312" i="20"/>
  <c r="AH316" i="20"/>
  <c r="AH320" i="20"/>
  <c r="AH324" i="20"/>
  <c r="AH328" i="20"/>
  <c r="AH332" i="20"/>
  <c r="AH336" i="20"/>
  <c r="AH340" i="20"/>
  <c r="AH344" i="20"/>
  <c r="AH348" i="20"/>
  <c r="AH352" i="20"/>
  <c r="AH356" i="20"/>
  <c r="AH360" i="20"/>
  <c r="AH364" i="20"/>
  <c r="AH368" i="20"/>
  <c r="AH372" i="20"/>
  <c r="AH376" i="20"/>
  <c r="AH380" i="20"/>
  <c r="AH384" i="20"/>
  <c r="AH388" i="20"/>
  <c r="AH392" i="20"/>
  <c r="AH18" i="20"/>
  <c r="AH26" i="20"/>
  <c r="AH34" i="20"/>
  <c r="AH42" i="20"/>
  <c r="AH50" i="20"/>
  <c r="AH58" i="20"/>
  <c r="AH66" i="20"/>
  <c r="AH74" i="20"/>
  <c r="AH82" i="20"/>
  <c r="AH90" i="20"/>
  <c r="AH98" i="20"/>
  <c r="AH106" i="20"/>
  <c r="AH114" i="20"/>
  <c r="AH122" i="20"/>
  <c r="AH130" i="20"/>
  <c r="AH138" i="20"/>
  <c r="AH146" i="20"/>
  <c r="AH154" i="20"/>
  <c r="AH162" i="20"/>
  <c r="AH170" i="20"/>
  <c r="AH178" i="20"/>
  <c r="AH186" i="20"/>
  <c r="AH194" i="20"/>
  <c r="AH202" i="20"/>
  <c r="AH210" i="20"/>
  <c r="AH217" i="20"/>
  <c r="AH221" i="20"/>
  <c r="AH225" i="20"/>
  <c r="AH229" i="20"/>
  <c r="AH233" i="20"/>
  <c r="AH237" i="20"/>
  <c r="AH241" i="20"/>
  <c r="AH245" i="20"/>
  <c r="AH249" i="20"/>
  <c r="AH253" i="20"/>
  <c r="AH257" i="20"/>
  <c r="AH261" i="20"/>
  <c r="AH265" i="20"/>
  <c r="AH269" i="20"/>
  <c r="AH273" i="20"/>
  <c r="AH277" i="20"/>
  <c r="AH281" i="20"/>
  <c r="AH285" i="20"/>
  <c r="AH289" i="20"/>
  <c r="AH293" i="20"/>
  <c r="AH297" i="20"/>
  <c r="AH301" i="20"/>
  <c r="AH305" i="20"/>
  <c r="AH309" i="20"/>
  <c r="AH313" i="20"/>
  <c r="AH317" i="20"/>
  <c r="AH321" i="20"/>
  <c r="AH325" i="20"/>
  <c r="AH329" i="20"/>
  <c r="AH333" i="20"/>
  <c r="AH337" i="20"/>
  <c r="AH341" i="20"/>
  <c r="AH345" i="20"/>
  <c r="AH349" i="20"/>
  <c r="AH353" i="20"/>
  <c r="AH357" i="20"/>
  <c r="AH361" i="20"/>
  <c r="AH365" i="20"/>
  <c r="AH369" i="20"/>
  <c r="AH373" i="20"/>
  <c r="AH377" i="20"/>
  <c r="AH381" i="20"/>
  <c r="AH385" i="20"/>
  <c r="AH389" i="20"/>
  <c r="AH393" i="20"/>
  <c r="AH20" i="20"/>
  <c r="AH28" i="20"/>
  <c r="AH36" i="20"/>
  <c r="AH44" i="20"/>
  <c r="AH52" i="20"/>
  <c r="AH60" i="20"/>
  <c r="AH68" i="20"/>
  <c r="AH76" i="20"/>
  <c r="AH84" i="20"/>
  <c r="AH92" i="20"/>
  <c r="AH100" i="20"/>
  <c r="AH108" i="20"/>
  <c r="AH116" i="20"/>
  <c r="AH124" i="20"/>
  <c r="AH132" i="20"/>
  <c r="AH140" i="20"/>
  <c r="AH148" i="20"/>
  <c r="AH156" i="20"/>
  <c r="AH164" i="20"/>
  <c r="AH172" i="20"/>
  <c r="AH180" i="20"/>
  <c r="AH188" i="20"/>
  <c r="AH196" i="20"/>
  <c r="AH204" i="20"/>
  <c r="AH212" i="20"/>
  <c r="AH218" i="20"/>
  <c r="AH222" i="20"/>
  <c r="AH226" i="20"/>
  <c r="AH230" i="20"/>
  <c r="AH234" i="20"/>
  <c r="AH238" i="20"/>
  <c r="AH242" i="20"/>
  <c r="AH246" i="20"/>
  <c r="AH250" i="20"/>
  <c r="AH254" i="20"/>
  <c r="AH258" i="20"/>
  <c r="AH262" i="20"/>
  <c r="AH266" i="20"/>
  <c r="AH270" i="20"/>
  <c r="AH274" i="20"/>
  <c r="AH278" i="20"/>
  <c r="AH282" i="20"/>
  <c r="AH286" i="20"/>
  <c r="AH290" i="20"/>
  <c r="AH294" i="20"/>
  <c r="AH298" i="20"/>
  <c r="AH302" i="20"/>
  <c r="AH306" i="20"/>
  <c r="AH310" i="20"/>
  <c r="AH314" i="20"/>
  <c r="AH318" i="20"/>
  <c r="AH322" i="20"/>
  <c r="AH326" i="20"/>
  <c r="AH330" i="20"/>
  <c r="AH334" i="20"/>
  <c r="AH338" i="20"/>
  <c r="AH342" i="20"/>
  <c r="AH346" i="20"/>
  <c r="AH350" i="20"/>
  <c r="AH354" i="20"/>
  <c r="AH358" i="20"/>
  <c r="AH362" i="20"/>
  <c r="AH366" i="20"/>
  <c r="AH370" i="20"/>
  <c r="AH374" i="20"/>
  <c r="AH378" i="20"/>
  <c r="AH382" i="20"/>
  <c r="AH386" i="20"/>
  <c r="AH390" i="20"/>
  <c r="AH22" i="20"/>
  <c r="AH30" i="20"/>
  <c r="AH38" i="20"/>
  <c r="AH46" i="20"/>
  <c r="AH54" i="20"/>
  <c r="AH62" i="20"/>
  <c r="AH70" i="20"/>
  <c r="AH78" i="20"/>
  <c r="AH86" i="20"/>
  <c r="AH94" i="20"/>
  <c r="AH102" i="20"/>
  <c r="AH110" i="20"/>
  <c r="AH118" i="20"/>
  <c r="AH126" i="20"/>
  <c r="AH134" i="20"/>
  <c r="AH142" i="20"/>
  <c r="AH150" i="20"/>
  <c r="AH158" i="20"/>
  <c r="AH166" i="20"/>
  <c r="AH174" i="20"/>
  <c r="AH182" i="20"/>
  <c r="AH190" i="20"/>
  <c r="AH198" i="20"/>
  <c r="AH206" i="20"/>
  <c r="AH214" i="20"/>
  <c r="AH219" i="20"/>
  <c r="AH223" i="20"/>
  <c r="AH227" i="20"/>
  <c r="AH231" i="20"/>
  <c r="AH235" i="20"/>
  <c r="AH239" i="20"/>
  <c r="AH243" i="20"/>
  <c r="AH247" i="20"/>
  <c r="AH251" i="20"/>
  <c r="AH255" i="20"/>
  <c r="AH259" i="20"/>
  <c r="AH263" i="20"/>
  <c r="AH267" i="20"/>
  <c r="AH271" i="20"/>
  <c r="AH275" i="20"/>
  <c r="AH279" i="20"/>
  <c r="AH283" i="20"/>
  <c r="AH287" i="20"/>
  <c r="AH291" i="20"/>
  <c r="AH295" i="20"/>
  <c r="AH299" i="20"/>
  <c r="AH303" i="20"/>
  <c r="AH307" i="20"/>
  <c r="AH311" i="20"/>
  <c r="AH315" i="20"/>
  <c r="AH319" i="20"/>
  <c r="AH323" i="20"/>
  <c r="AH327" i="20"/>
  <c r="AH331" i="20"/>
  <c r="AH335" i="20"/>
  <c r="AH339" i="20"/>
  <c r="AH343" i="20"/>
  <c r="AH347" i="20"/>
  <c r="AH351" i="20"/>
  <c r="AH355" i="20"/>
  <c r="AH359" i="20"/>
  <c r="AH363" i="20"/>
  <c r="AH367" i="20"/>
  <c r="AH371" i="20"/>
  <c r="AH375" i="20"/>
  <c r="AH379" i="20"/>
  <c r="AH383" i="20"/>
  <c r="AH387" i="20"/>
  <c r="AH391" i="20"/>
  <c r="E94" i="4"/>
  <c r="C38" i="28"/>
  <c r="T42" i="26"/>
  <c r="W42" i="26" s="1"/>
  <c r="X42" i="26" s="1"/>
  <c r="H29" i="26"/>
  <c r="K29" i="26" s="1"/>
  <c r="L29" i="26" s="1"/>
  <c r="C53" i="1"/>
  <c r="C48" i="28" s="1"/>
  <c r="O9" i="11"/>
  <c r="T14" i="26"/>
  <c r="W14" i="26" s="1"/>
  <c r="X14" i="26" s="1"/>
  <c r="T29" i="26"/>
  <c r="W29" i="26" s="1"/>
  <c r="Y29" i="26" s="1"/>
  <c r="H19" i="23"/>
  <c r="H14" i="11"/>
  <c r="K14" i="11" s="1"/>
  <c r="L14" i="11" s="1"/>
  <c r="H44" i="11"/>
  <c r="K44" i="11" s="1"/>
  <c r="L44" i="11" s="1"/>
  <c r="T14" i="11"/>
  <c r="W14" i="11" s="1"/>
  <c r="Y14" i="11" s="1"/>
  <c r="H14" i="26"/>
  <c r="K14" i="26" s="1"/>
  <c r="M14" i="26" s="1"/>
  <c r="H44" i="26"/>
  <c r="K44" i="26" s="1"/>
  <c r="M44" i="26" s="1"/>
  <c r="H27" i="26"/>
  <c r="K27" i="26" s="1"/>
  <c r="L27" i="26" s="1"/>
  <c r="H14" i="23"/>
  <c r="K14" i="23" s="1"/>
  <c r="AV34" i="11"/>
  <c r="AV35" i="11" s="1"/>
  <c r="AV36" i="11" s="1"/>
  <c r="AW46" i="11"/>
  <c r="AV46" i="11"/>
  <c r="AW44" i="11"/>
  <c r="AV44" i="11"/>
  <c r="T29" i="11"/>
  <c r="W29" i="11" s="1"/>
  <c r="X29" i="11" s="1"/>
  <c r="T44" i="11"/>
  <c r="W44" i="11" s="1"/>
  <c r="Y44" i="11" s="1"/>
  <c r="AV19" i="11"/>
  <c r="AV20" i="11" s="1"/>
  <c r="AV21" i="11" s="1"/>
  <c r="H17" i="23"/>
  <c r="H21" i="23"/>
  <c r="H15" i="23"/>
  <c r="K15" i="23" s="1"/>
  <c r="X44" i="26"/>
  <c r="Y44" i="26"/>
  <c r="AW42" i="11"/>
  <c r="AV42" i="11"/>
  <c r="L29" i="11"/>
  <c r="M29" i="11"/>
  <c r="AW43" i="11"/>
  <c r="T42" i="11"/>
  <c r="W42" i="11" s="1"/>
  <c r="X42" i="11" s="1"/>
  <c r="H27" i="11"/>
  <c r="K27" i="11" s="1"/>
  <c r="M27" i="11" s="1"/>
  <c r="T12" i="26"/>
  <c r="W12" i="26" s="1"/>
  <c r="Y12" i="26" s="1"/>
  <c r="T27" i="11"/>
  <c r="W27" i="11" s="1"/>
  <c r="Y27" i="11" s="1"/>
  <c r="H12" i="26"/>
  <c r="K12" i="26" s="1"/>
  <c r="M12" i="26" s="1"/>
  <c r="H42" i="26"/>
  <c r="K42" i="26" s="1"/>
  <c r="L42" i="26" s="1"/>
  <c r="H12" i="11"/>
  <c r="K12" i="11" s="1"/>
  <c r="L12" i="11" s="1"/>
  <c r="H42" i="11"/>
  <c r="K42" i="11" s="1"/>
  <c r="M42" i="11" s="1"/>
  <c r="T27" i="26"/>
  <c r="W27" i="26" s="1"/>
  <c r="X27" i="26" s="1"/>
  <c r="O9" i="26"/>
  <c r="C52" i="1"/>
  <c r="C47" i="28" s="1"/>
  <c r="O39" i="26"/>
  <c r="O24" i="11"/>
  <c r="H18" i="23"/>
  <c r="H16" i="23"/>
  <c r="H20" i="23"/>
  <c r="H13" i="23"/>
  <c r="K13" i="23" s="1"/>
  <c r="S48" i="25"/>
  <c r="A22" i="28"/>
  <c r="R48" i="25"/>
  <c r="T48" i="25"/>
  <c r="A16" i="1"/>
  <c r="A31" i="1"/>
  <c r="A20" i="1"/>
  <c r="A37" i="1"/>
  <c r="A24" i="1"/>
  <c r="AJ49" i="11"/>
  <c r="AJ50" i="11" s="1"/>
  <c r="AJ51" i="11" s="1"/>
  <c r="AK32" i="11"/>
  <c r="AJ32" i="11"/>
  <c r="AJ33" i="11" s="1"/>
  <c r="AJ18" i="11"/>
  <c r="R44" i="25" l="1"/>
  <c r="T44" i="25"/>
  <c r="S44" i="25"/>
  <c r="S43" i="25"/>
  <c r="R43" i="25"/>
  <c r="T43" i="25"/>
  <c r="S45" i="25"/>
  <c r="R45" i="25"/>
  <c r="T45" i="25"/>
  <c r="S46" i="25"/>
  <c r="R46" i="25"/>
  <c r="T46" i="25"/>
  <c r="R41" i="25"/>
  <c r="S41" i="25"/>
  <c r="T41" i="25"/>
  <c r="T42" i="25"/>
  <c r="R42" i="25"/>
  <c r="S42" i="25"/>
  <c r="R39" i="25"/>
  <c r="S39" i="25"/>
  <c r="T39" i="25"/>
  <c r="S38" i="25"/>
  <c r="R38" i="25"/>
  <c r="T38" i="25"/>
  <c r="S40" i="25"/>
  <c r="T40" i="25"/>
  <c r="R40" i="25"/>
  <c r="R47" i="25"/>
  <c r="T47" i="25"/>
  <c r="S47" i="25"/>
  <c r="U37" i="25"/>
  <c r="T37" i="25"/>
  <c r="S37" i="25"/>
  <c r="R37" i="25"/>
  <c r="B57" i="37"/>
  <c r="Y12" i="11"/>
  <c r="AO16" i="20"/>
  <c r="E12" i="24" s="1"/>
  <c r="AU16" i="20"/>
  <c r="G12" i="24" s="1"/>
  <c r="AK16" i="20"/>
  <c r="B12" i="24" s="1"/>
  <c r="AP16" i="20"/>
  <c r="D12" i="24" s="1"/>
  <c r="AV16" i="20"/>
  <c r="AS16" i="20"/>
  <c r="F12" i="24" s="1"/>
  <c r="AM16" i="20"/>
  <c r="AQ16" i="20"/>
  <c r="AN16" i="20"/>
  <c r="C12" i="24" s="1"/>
  <c r="AL16" i="20"/>
  <c r="AR16" i="20"/>
  <c r="AT16" i="20"/>
  <c r="H12" i="24" s="1"/>
  <c r="AO15" i="20"/>
  <c r="E11" i="24" s="1"/>
  <c r="AV15" i="20"/>
  <c r="AK15" i="20"/>
  <c r="B11" i="24" s="1"/>
  <c r="AP15" i="20"/>
  <c r="D11" i="24" s="1"/>
  <c r="AU15" i="20"/>
  <c r="G11" i="24" s="1"/>
  <c r="AM15" i="20"/>
  <c r="AS15" i="20"/>
  <c r="F11" i="24" s="1"/>
  <c r="AN15" i="20"/>
  <c r="C11" i="24" s="1"/>
  <c r="AL15" i="20"/>
  <c r="AQ15" i="20"/>
  <c r="AR15" i="20"/>
  <c r="AT15" i="20"/>
  <c r="H11" i="24" s="1"/>
  <c r="AM12" i="20"/>
  <c r="AU12" i="20"/>
  <c r="G8" i="24" s="1"/>
  <c r="AN12" i="20"/>
  <c r="C8" i="24" s="1"/>
  <c r="AV12" i="20"/>
  <c r="D8" i="24"/>
  <c r="AK12" i="20"/>
  <c r="B8" i="24" s="1"/>
  <c r="AS12" i="20"/>
  <c r="F8" i="24" s="1"/>
  <c r="AQ12" i="20"/>
  <c r="AL12" i="20"/>
  <c r="AO12" i="20"/>
  <c r="E8" i="24" s="1"/>
  <c r="AR12" i="20"/>
  <c r="AT12" i="20"/>
  <c r="H8" i="24" s="1"/>
  <c r="AM11" i="20"/>
  <c r="AS11" i="20"/>
  <c r="F7" i="24" s="1"/>
  <c r="AN11" i="20"/>
  <c r="C7" i="24" s="1"/>
  <c r="AU11" i="20"/>
  <c r="G7" i="24" s="1"/>
  <c r="D7" i="24"/>
  <c r="AO11" i="20"/>
  <c r="E7" i="24" s="1"/>
  <c r="AV11" i="20"/>
  <c r="AK11" i="20"/>
  <c r="B7" i="24" s="1"/>
  <c r="AL11" i="20"/>
  <c r="AQ11" i="20"/>
  <c r="AR11" i="20"/>
  <c r="AT11" i="20"/>
  <c r="H7" i="24" s="1"/>
  <c r="AN13" i="20"/>
  <c r="C9" i="24" s="1"/>
  <c r="AU13" i="20"/>
  <c r="G9" i="24" s="1"/>
  <c r="AO13" i="20"/>
  <c r="E9" i="24" s="1"/>
  <c r="AV13" i="20"/>
  <c r="AS13" i="20"/>
  <c r="F9" i="24" s="1"/>
  <c r="AK13" i="20"/>
  <c r="B9" i="24" s="1"/>
  <c r="AP13" i="20"/>
  <c r="D9" i="24" s="1"/>
  <c r="AM13" i="20"/>
  <c r="AQ13" i="20"/>
  <c r="AL13" i="20"/>
  <c r="AR13" i="20"/>
  <c r="AT13" i="20"/>
  <c r="H9" i="24" s="1"/>
  <c r="AN14" i="20"/>
  <c r="C10" i="24" s="1"/>
  <c r="AV14" i="20"/>
  <c r="AP14" i="20"/>
  <c r="D10" i="24" s="1"/>
  <c r="AU14" i="20"/>
  <c r="G10" i="24" s="1"/>
  <c r="AK14" i="20"/>
  <c r="B10" i="24" s="1"/>
  <c r="AS14" i="20"/>
  <c r="F10" i="24" s="1"/>
  <c r="AM14" i="20"/>
  <c r="AQ14" i="20"/>
  <c r="AL14" i="20"/>
  <c r="AO14" i="20"/>
  <c r="E10" i="24" s="1"/>
  <c r="AR14" i="20"/>
  <c r="AT14" i="20"/>
  <c r="H10" i="24" s="1"/>
  <c r="E6" i="24"/>
  <c r="U10" i="22"/>
  <c r="Q10" i="22"/>
  <c r="L8" i="24" s="1"/>
  <c r="R10" i="22"/>
  <c r="M8" i="24" s="1"/>
  <c r="T10" i="22"/>
  <c r="O8" i="24" s="1"/>
  <c r="S10" i="22"/>
  <c r="N8" i="24" s="1"/>
  <c r="O10" i="22"/>
  <c r="J8" i="24" s="1"/>
  <c r="P10" i="22"/>
  <c r="K8" i="24" s="1"/>
  <c r="T12" i="22"/>
  <c r="O10" i="24" s="1"/>
  <c r="P12" i="22"/>
  <c r="K10" i="24" s="1"/>
  <c r="U12" i="22"/>
  <c r="Q12" i="22"/>
  <c r="L10" i="24" s="1"/>
  <c r="R12" i="22"/>
  <c r="M10" i="24" s="1"/>
  <c r="S12" i="22"/>
  <c r="N10" i="24" s="1"/>
  <c r="O12" i="22"/>
  <c r="J10" i="24" s="1"/>
  <c r="S13" i="22"/>
  <c r="N11" i="24" s="1"/>
  <c r="O13" i="22"/>
  <c r="J11" i="24" s="1"/>
  <c r="T13" i="22"/>
  <c r="O11" i="24" s="1"/>
  <c r="P13" i="22"/>
  <c r="K11" i="24" s="1"/>
  <c r="U13" i="22"/>
  <c r="Q13" i="22"/>
  <c r="L11" i="24" s="1"/>
  <c r="R13" i="22"/>
  <c r="M11" i="24" s="1"/>
  <c r="R11" i="22"/>
  <c r="M9" i="24" s="1"/>
  <c r="O11" i="22"/>
  <c r="J9" i="24" s="1"/>
  <c r="U11" i="22"/>
  <c r="Q11" i="22"/>
  <c r="L9" i="24" s="1"/>
  <c r="S11" i="22"/>
  <c r="N9" i="24" s="1"/>
  <c r="T11" i="22"/>
  <c r="O9" i="24" s="1"/>
  <c r="P11" i="22"/>
  <c r="K9" i="24" s="1"/>
  <c r="U9" i="22"/>
  <c r="Q9" i="22"/>
  <c r="L7" i="24" s="1"/>
  <c r="R9" i="22"/>
  <c r="M7" i="24" s="1"/>
  <c r="S9" i="22"/>
  <c r="N7" i="24" s="1"/>
  <c r="O9" i="22"/>
  <c r="J7" i="24" s="1"/>
  <c r="T9" i="22"/>
  <c r="O7" i="24" s="1"/>
  <c r="P9" i="22"/>
  <c r="K7" i="24" s="1"/>
  <c r="S14" i="22"/>
  <c r="N12" i="24" s="1"/>
  <c r="O14" i="22"/>
  <c r="J12" i="24" s="1"/>
  <c r="R14" i="22"/>
  <c r="M12" i="24" s="1"/>
  <c r="T14" i="22"/>
  <c r="O12" i="24" s="1"/>
  <c r="P14" i="22"/>
  <c r="K12" i="24" s="1"/>
  <c r="U14" i="22"/>
  <c r="Q14" i="22"/>
  <c r="L12" i="24" s="1"/>
  <c r="T8" i="22"/>
  <c r="O6" i="24" s="1"/>
  <c r="Q8" i="22"/>
  <c r="L6" i="24" s="1"/>
  <c r="O8" i="22"/>
  <c r="J6" i="24" s="1"/>
  <c r="P8" i="22"/>
  <c r="K6" i="24" s="1"/>
  <c r="U8" i="22"/>
  <c r="S8" i="22"/>
  <c r="N6" i="24" s="1"/>
  <c r="R8" i="22"/>
  <c r="M6" i="24" s="1"/>
  <c r="AV47" i="11"/>
  <c r="AV48" i="11" s="1"/>
  <c r="L14" i="26"/>
  <c r="L44" i="26"/>
  <c r="X29" i="26"/>
  <c r="M44" i="11"/>
  <c r="AN20" i="20"/>
  <c r="AS20" i="20"/>
  <c r="AO20" i="20"/>
  <c r="AT20" i="20"/>
  <c r="AK20" i="20"/>
  <c r="AP20" i="20"/>
  <c r="AU20" i="20"/>
  <c r="AM20" i="20"/>
  <c r="AR20" i="20"/>
  <c r="AV20" i="20"/>
  <c r="AN26" i="20"/>
  <c r="AS26" i="20"/>
  <c r="AO26" i="20"/>
  <c r="AT26" i="20"/>
  <c r="AK26" i="20"/>
  <c r="AP26" i="20"/>
  <c r="AU26" i="20"/>
  <c r="AM26" i="20"/>
  <c r="AR26" i="20"/>
  <c r="AV26" i="20"/>
  <c r="AK27" i="20"/>
  <c r="AP27" i="20"/>
  <c r="AU27" i="20"/>
  <c r="AM27" i="20"/>
  <c r="AR27" i="20"/>
  <c r="AV27" i="20"/>
  <c r="AN27" i="20"/>
  <c r="AS27" i="20"/>
  <c r="AO27" i="20"/>
  <c r="AT27" i="20"/>
  <c r="AN22" i="20"/>
  <c r="AS22" i="20"/>
  <c r="AO22" i="20"/>
  <c r="AT22" i="20"/>
  <c r="AK22" i="20"/>
  <c r="AP22" i="20"/>
  <c r="AU22" i="20"/>
  <c r="AM22" i="20"/>
  <c r="AR22" i="20"/>
  <c r="AV22" i="20"/>
  <c r="AN18" i="20"/>
  <c r="C14" i="24" s="1"/>
  <c r="AS18" i="20"/>
  <c r="F14" i="24" s="1"/>
  <c r="AO18" i="20"/>
  <c r="E14" i="24" s="1"/>
  <c r="AT18" i="20"/>
  <c r="H14" i="24" s="1"/>
  <c r="AK18" i="20"/>
  <c r="B14" i="24" s="1"/>
  <c r="AP18" i="20"/>
  <c r="D14" i="24" s="1"/>
  <c r="AU18" i="20"/>
  <c r="G14" i="24" s="1"/>
  <c r="AM18" i="20"/>
  <c r="AR18" i="20"/>
  <c r="AV18" i="20"/>
  <c r="AK23" i="20"/>
  <c r="AP23" i="20"/>
  <c r="AU23" i="20"/>
  <c r="AM23" i="20"/>
  <c r="AR23" i="20"/>
  <c r="AV23" i="20"/>
  <c r="AN23" i="20"/>
  <c r="AS23" i="20"/>
  <c r="AO23" i="20"/>
  <c r="AT23" i="20"/>
  <c r="AK25" i="20"/>
  <c r="AP25" i="20"/>
  <c r="AU25" i="20"/>
  <c r="AM25" i="20"/>
  <c r="AR25" i="20"/>
  <c r="AV25" i="20"/>
  <c r="AN25" i="20"/>
  <c r="AS25" i="20"/>
  <c r="AO25" i="20"/>
  <c r="AT25" i="20"/>
  <c r="B6" i="24"/>
  <c r="F6" i="24"/>
  <c r="D6" i="24"/>
  <c r="AN28" i="20"/>
  <c r="AS28" i="20"/>
  <c r="AO28" i="20"/>
  <c r="AT28" i="20"/>
  <c r="AK28" i="20"/>
  <c r="AP28" i="20"/>
  <c r="AU28" i="20"/>
  <c r="AM28" i="20"/>
  <c r="AR28" i="20"/>
  <c r="AV28" i="20"/>
  <c r="AN24" i="20"/>
  <c r="AS24" i="20"/>
  <c r="AO24" i="20"/>
  <c r="AT24" i="20"/>
  <c r="AK24" i="20"/>
  <c r="AP24" i="20"/>
  <c r="AU24" i="20"/>
  <c r="AM24" i="20"/>
  <c r="AR24" i="20"/>
  <c r="AV24" i="20"/>
  <c r="AK19" i="20"/>
  <c r="AP19" i="20"/>
  <c r="AU19" i="20"/>
  <c r="AM19" i="20"/>
  <c r="AR19" i="20"/>
  <c r="AV19" i="20"/>
  <c r="AN19" i="20"/>
  <c r="AS19" i="20"/>
  <c r="AO19" i="20"/>
  <c r="AT19" i="20"/>
  <c r="AK21" i="20"/>
  <c r="AP21" i="20"/>
  <c r="AU21" i="20"/>
  <c r="AM21" i="20"/>
  <c r="AR21" i="20"/>
  <c r="AV21" i="20"/>
  <c r="AN21" i="20"/>
  <c r="AS21" i="20"/>
  <c r="AO21" i="20"/>
  <c r="AT21" i="20"/>
  <c r="AK17" i="20"/>
  <c r="B13" i="24" s="1"/>
  <c r="AP17" i="20"/>
  <c r="D13" i="24" s="1"/>
  <c r="AU17" i="20"/>
  <c r="G13" i="24" s="1"/>
  <c r="AM17" i="20"/>
  <c r="AR17" i="20"/>
  <c r="AV17" i="20"/>
  <c r="AN17" i="20"/>
  <c r="C13" i="24" s="1"/>
  <c r="AS17" i="20"/>
  <c r="F13" i="24" s="1"/>
  <c r="AO17" i="20"/>
  <c r="E13" i="24" s="1"/>
  <c r="AT17" i="20"/>
  <c r="H13" i="24" s="1"/>
  <c r="G6" i="24"/>
  <c r="B56" i="28"/>
  <c r="M14" i="11"/>
  <c r="X12" i="26"/>
  <c r="M29" i="26"/>
  <c r="Y29" i="11"/>
  <c r="X14" i="11"/>
  <c r="Y42" i="26"/>
  <c r="C6" i="24"/>
  <c r="H6" i="24"/>
  <c r="Y14" i="26"/>
  <c r="X44" i="11"/>
  <c r="M27" i="26"/>
  <c r="Y27" i="26"/>
  <c r="L12" i="26"/>
  <c r="Y42" i="11"/>
  <c r="M42" i="26"/>
  <c r="L27" i="11"/>
  <c r="L42" i="11"/>
  <c r="X27" i="11"/>
  <c r="M12" i="11"/>
  <c r="AW47" i="11"/>
  <c r="AV49" i="11" s="1"/>
  <c r="AV50" i="11" s="1"/>
  <c r="AV51" i="11" s="1"/>
  <c r="AJ34" i="11"/>
  <c r="AK35" i="11" s="1"/>
  <c r="AJ19" i="11"/>
  <c r="AJ20" i="11" s="1"/>
  <c r="AJ21" i="11" s="1"/>
  <c r="S21" i="36" l="1"/>
  <c r="R22" i="36"/>
  <c r="H22" i="36"/>
  <c r="H20" i="36"/>
  <c r="S20" i="36"/>
  <c r="R19" i="36"/>
  <c r="R23" i="36"/>
  <c r="G22" i="36"/>
  <c r="G20" i="36"/>
  <c r="S23" i="36"/>
  <c r="S19" i="36"/>
  <c r="R20" i="36"/>
  <c r="H23" i="36"/>
  <c r="H21" i="36"/>
  <c r="H19" i="36"/>
  <c r="S22" i="36"/>
  <c r="R21" i="36"/>
  <c r="G23" i="36"/>
  <c r="G21" i="36"/>
  <c r="G19" i="36"/>
  <c r="T21" i="36"/>
  <c r="T23" i="36"/>
  <c r="T22" i="36"/>
  <c r="U22" i="36"/>
  <c r="U19" i="36"/>
  <c r="T20" i="36"/>
  <c r="U21" i="36"/>
  <c r="U23" i="36"/>
  <c r="T19" i="36"/>
  <c r="V19" i="36" s="1"/>
  <c r="U20" i="36"/>
  <c r="R18" i="36"/>
  <c r="I18" i="36"/>
  <c r="S18" i="36"/>
  <c r="H18" i="36"/>
  <c r="U18" i="36"/>
  <c r="G18" i="36"/>
  <c r="T18" i="36"/>
  <c r="V18" i="36" s="1"/>
  <c r="K68" i="4" s="1"/>
  <c r="I19" i="36"/>
  <c r="I22" i="36"/>
  <c r="U89" i="4"/>
  <c r="U90" i="4"/>
  <c r="U91" i="4"/>
  <c r="S86" i="4"/>
  <c r="V85" i="4"/>
  <c r="V90" i="4"/>
  <c r="J19" i="36"/>
  <c r="J22" i="36"/>
  <c r="V91" i="4"/>
  <c r="T86" i="4"/>
  <c r="S89" i="4"/>
  <c r="S90" i="4"/>
  <c r="S91" i="4"/>
  <c r="S92" i="4"/>
  <c r="V93" i="4"/>
  <c r="U86" i="4"/>
  <c r="T83" i="4"/>
  <c r="T84" i="4"/>
  <c r="T85" i="4"/>
  <c r="T93" i="4"/>
  <c r="V84" i="4"/>
  <c r="I23" i="36"/>
  <c r="V89" i="4"/>
  <c r="U93" i="4"/>
  <c r="S84" i="4"/>
  <c r="T89" i="4"/>
  <c r="T90" i="4"/>
  <c r="T91" i="4"/>
  <c r="T92" i="4"/>
  <c r="S93" i="4"/>
  <c r="V86" i="4"/>
  <c r="U83" i="4"/>
  <c r="U84" i="4"/>
  <c r="W84" i="4" s="1"/>
  <c r="U85" i="4"/>
  <c r="U92" i="4"/>
  <c r="V83" i="4"/>
  <c r="J20" i="36"/>
  <c r="V92" i="4"/>
  <c r="S83" i="4"/>
  <c r="S85" i="4"/>
  <c r="J23" i="36"/>
  <c r="I20" i="36"/>
  <c r="J21" i="36"/>
  <c r="J18" i="36"/>
  <c r="V82" i="4"/>
  <c r="T82" i="4"/>
  <c r="I21" i="36"/>
  <c r="K21" i="36" s="1"/>
  <c r="U82" i="4"/>
  <c r="S82" i="4"/>
  <c r="B22" i="24"/>
  <c r="B19" i="24"/>
  <c r="U29" i="25"/>
  <c r="F35" i="1" s="1"/>
  <c r="O35" i="1" s="1"/>
  <c r="J27" i="24"/>
  <c r="J23" i="24"/>
  <c r="O23" i="24"/>
  <c r="O27" i="24"/>
  <c r="B61" i="1"/>
  <c r="T15" i="22"/>
  <c r="Q15" i="22"/>
  <c r="H17" i="1" s="1"/>
  <c r="D48" i="4"/>
  <c r="B60" i="1"/>
  <c r="AJ35" i="11"/>
  <c r="AJ36" i="11" s="1"/>
  <c r="AA9" i="11"/>
  <c r="W85" i="4" l="1"/>
  <c r="V22" i="36"/>
  <c r="K72" i="4" s="1"/>
  <c r="K22" i="36"/>
  <c r="J72" i="4" s="1"/>
  <c r="N72" i="4" s="1"/>
  <c r="H52" i="1" s="1"/>
  <c r="K19" i="36"/>
  <c r="J69" i="4" s="1"/>
  <c r="N69" i="4" s="1"/>
  <c r="H44" i="28" s="1"/>
  <c r="V23" i="36"/>
  <c r="K73" i="4" s="1"/>
  <c r="K23" i="36"/>
  <c r="K69" i="4"/>
  <c r="V21" i="36"/>
  <c r="K71" i="4" s="1"/>
  <c r="K20" i="36"/>
  <c r="V20" i="36"/>
  <c r="K70" i="4" s="1"/>
  <c r="K18" i="36"/>
  <c r="J68" i="4" s="1"/>
  <c r="F48" i="1" s="1"/>
  <c r="F43" i="28" s="1"/>
  <c r="J71" i="4"/>
  <c r="N71" i="4" s="1"/>
  <c r="H51" i="1" s="1"/>
  <c r="O68" i="4"/>
  <c r="I43" i="28" s="1"/>
  <c r="W89" i="4"/>
  <c r="W86" i="4"/>
  <c r="J73" i="4"/>
  <c r="N73" i="4" s="1"/>
  <c r="H48" i="28" s="1"/>
  <c r="W82" i="4"/>
  <c r="J70" i="4"/>
  <c r="N70" i="4" s="1"/>
  <c r="H45" i="28" s="1"/>
  <c r="W83" i="4"/>
  <c r="W92" i="4"/>
  <c r="W91" i="4"/>
  <c r="W93" i="4"/>
  <c r="W90" i="4"/>
  <c r="F22" i="4"/>
  <c r="F23" i="4"/>
  <c r="Q13" i="1"/>
  <c r="H18" i="1"/>
  <c r="H16" i="28"/>
  <c r="Q12" i="1"/>
  <c r="AA10" i="11"/>
  <c r="F29" i="1"/>
  <c r="O29" i="1" s="1"/>
  <c r="F26" i="28"/>
  <c r="F31" i="28"/>
  <c r="O40" i="11" l="1"/>
  <c r="O25" i="11"/>
  <c r="AE22" i="36" s="1"/>
  <c r="H47" i="28"/>
  <c r="O10" i="11"/>
  <c r="BD21" i="36" s="1"/>
  <c r="F52" i="1"/>
  <c r="F47" i="28" s="1"/>
  <c r="C25" i="11"/>
  <c r="BD19" i="36" s="1"/>
  <c r="H53" i="1"/>
  <c r="F53" i="1"/>
  <c r="F48" i="28" s="1"/>
  <c r="BD23" i="36"/>
  <c r="AE23" i="36"/>
  <c r="BD22" i="36"/>
  <c r="H46" i="28"/>
  <c r="N68" i="4"/>
  <c r="H48" i="1" s="1"/>
  <c r="C10" i="11"/>
  <c r="H49" i="1"/>
  <c r="H50" i="1"/>
  <c r="AA25" i="11"/>
  <c r="C40" i="11"/>
  <c r="F51" i="1"/>
  <c r="F46" i="28" s="1"/>
  <c r="F49" i="1"/>
  <c r="F44" i="28" s="1"/>
  <c r="F50" i="1"/>
  <c r="F45" i="28" s="1"/>
  <c r="AA40" i="11"/>
  <c r="C10" i="26"/>
  <c r="G48" i="1"/>
  <c r="G43" i="28" s="1"/>
  <c r="I48" i="1"/>
  <c r="BS13" i="11"/>
  <c r="BS43" i="11"/>
  <c r="BH28" i="11"/>
  <c r="F18" i="1"/>
  <c r="F17" i="28" s="1"/>
  <c r="H17" i="28"/>
  <c r="F17" i="1"/>
  <c r="F16" i="28" s="1"/>
  <c r="BD18" i="36" l="1"/>
  <c r="AE21" i="36"/>
  <c r="BS28" i="11"/>
  <c r="BE22" i="36"/>
  <c r="BF22" i="36"/>
  <c r="BF23" i="36"/>
  <c r="BE23" i="36"/>
  <c r="BF21" i="36"/>
  <c r="BE21" i="36"/>
  <c r="BF19" i="36"/>
  <c r="BE19" i="36"/>
  <c r="AP18" i="36"/>
  <c r="AS18" i="36" s="1"/>
  <c r="BO18" i="36"/>
  <c r="BG18" i="36"/>
  <c r="BE18" i="36"/>
  <c r="BF18" i="36"/>
  <c r="BH13" i="11"/>
  <c r="AE18" i="36"/>
  <c r="AI18" i="36" s="1"/>
  <c r="AG21" i="36"/>
  <c r="AF21" i="36"/>
  <c r="AQ18" i="36"/>
  <c r="AG22" i="36"/>
  <c r="AF22" i="36"/>
  <c r="AF23" i="36"/>
  <c r="AG23" i="36"/>
  <c r="BH13" i="26"/>
  <c r="AE19" i="36"/>
  <c r="AH19" i="36" s="1"/>
  <c r="BD20" i="36"/>
  <c r="AE20" i="36"/>
  <c r="BG19" i="36"/>
  <c r="BH19" i="36"/>
  <c r="AI23" i="36"/>
  <c r="AH23" i="36"/>
  <c r="BH23" i="36"/>
  <c r="BG23" i="36"/>
  <c r="BH43" i="11"/>
  <c r="BG22" i="36"/>
  <c r="BH22" i="36"/>
  <c r="AI19" i="36"/>
  <c r="AH22" i="36"/>
  <c r="AI22" i="36"/>
  <c r="AH21" i="36"/>
  <c r="AI21" i="36"/>
  <c r="BH21" i="36"/>
  <c r="BG21" i="36"/>
  <c r="H43" i="28"/>
  <c r="AR18" i="36" l="1"/>
  <c r="BF20" i="36"/>
  <c r="BE20" i="36"/>
  <c r="BR18" i="36"/>
  <c r="BP18" i="36"/>
  <c r="BQ18" i="36"/>
  <c r="AF19" i="36"/>
  <c r="AG19" i="36"/>
  <c r="AG18" i="36"/>
  <c r="AH18" i="36"/>
  <c r="AF18" i="36"/>
  <c r="AF20" i="36"/>
  <c r="AG20" i="36"/>
  <c r="BS18" i="36"/>
  <c r="AJ21" i="36"/>
  <c r="R13" i="11" s="1"/>
  <c r="T13" i="11" s="1"/>
  <c r="W13" i="11" s="1"/>
  <c r="AJ23" i="36"/>
  <c r="R43" i="11" s="1"/>
  <c r="T43" i="11" s="1"/>
  <c r="W43" i="11" s="1"/>
  <c r="BI21" i="36"/>
  <c r="R16" i="11" s="1"/>
  <c r="T16" i="11" s="1"/>
  <c r="W16" i="11" s="1"/>
  <c r="Y16" i="11" s="1"/>
  <c r="BI19" i="36"/>
  <c r="F31" i="11" s="1"/>
  <c r="H31" i="11" s="1"/>
  <c r="K31" i="11" s="1"/>
  <c r="AJ22" i="36"/>
  <c r="R28" i="11" s="1"/>
  <c r="T28" i="11" s="1"/>
  <c r="W28" i="11" s="1"/>
  <c r="Y28" i="11" s="1"/>
  <c r="AJ19" i="36"/>
  <c r="F28" i="11" s="1"/>
  <c r="H28" i="11" s="1"/>
  <c r="K28" i="11" s="1"/>
  <c r="BI23" i="36"/>
  <c r="R46" i="11" s="1"/>
  <c r="T46" i="11" s="1"/>
  <c r="W46" i="11" s="1"/>
  <c r="Y46" i="11" s="1"/>
  <c r="BH18" i="36"/>
  <c r="BI22" i="36"/>
  <c r="R31" i="11" s="1"/>
  <c r="T31" i="11" s="1"/>
  <c r="W31" i="11" s="1"/>
  <c r="AI20" i="36"/>
  <c r="AH20" i="36"/>
  <c r="BG20" i="36"/>
  <c r="BH20" i="36"/>
  <c r="AT18" i="36"/>
  <c r="CH18" i="36" l="1"/>
  <c r="AJ18" i="36"/>
  <c r="F13" i="11" s="1"/>
  <c r="H13" i="11" s="1"/>
  <c r="K13" i="11" s="1"/>
  <c r="L13" i="11" s="1"/>
  <c r="X28" i="11"/>
  <c r="BT18" i="36"/>
  <c r="F16" i="26" s="1"/>
  <c r="H16" i="26" s="1"/>
  <c r="K16" i="26" s="1"/>
  <c r="AU18" i="36"/>
  <c r="F13" i="26" s="1"/>
  <c r="H13" i="26" s="1"/>
  <c r="K13" i="26" s="1"/>
  <c r="M13" i="26" s="1"/>
  <c r="X16" i="11"/>
  <c r="BI20" i="36"/>
  <c r="F46" i="11" s="1"/>
  <c r="H46" i="11" s="1"/>
  <c r="K46" i="11" s="1"/>
  <c r="M46" i="11" s="1"/>
  <c r="X46" i="11"/>
  <c r="AJ20" i="36"/>
  <c r="F43" i="11" s="1"/>
  <c r="H43" i="11" s="1"/>
  <c r="K43" i="11" s="1"/>
  <c r="BI18" i="36"/>
  <c r="F16" i="11" s="1"/>
  <c r="H16" i="11" s="1"/>
  <c r="K16" i="11" s="1"/>
  <c r="M16" i="11" s="1"/>
  <c r="X31" i="11"/>
  <c r="X32" i="11" s="1"/>
  <c r="X33" i="11" s="1"/>
  <c r="Y31" i="11"/>
  <c r="Y32" i="11" s="1"/>
  <c r="L31" i="11"/>
  <c r="M31" i="11"/>
  <c r="Y43" i="11"/>
  <c r="Y47" i="11" s="1"/>
  <c r="X43" i="11"/>
  <c r="X13" i="11"/>
  <c r="Y13" i="11"/>
  <c r="Y17" i="11" s="1"/>
  <c r="L28" i="11"/>
  <c r="M28" i="11"/>
  <c r="M13" i="11" l="1"/>
  <c r="M16" i="26"/>
  <c r="M17" i="26" s="1"/>
  <c r="L16" i="26"/>
  <c r="X17" i="11"/>
  <c r="X18" i="11" s="1"/>
  <c r="X19" i="11" s="1"/>
  <c r="X20" i="11" s="1"/>
  <c r="X21" i="11" s="1"/>
  <c r="P71" i="4" s="1"/>
  <c r="Q51" i="1" s="1"/>
  <c r="K51" i="1" s="1"/>
  <c r="T51" i="1" s="1"/>
  <c r="L13" i="26"/>
  <c r="L46" i="11"/>
  <c r="X47" i="11"/>
  <c r="X48" i="11" s="1"/>
  <c r="X49" i="11" s="1"/>
  <c r="X50" i="11" s="1"/>
  <c r="X51" i="11" s="1"/>
  <c r="P73" i="4" s="1"/>
  <c r="Q53" i="1" s="1"/>
  <c r="K53" i="1" s="1"/>
  <c r="K48" i="28" s="1"/>
  <c r="X34" i="11"/>
  <c r="X35" i="11" s="1"/>
  <c r="X36" i="11" s="1"/>
  <c r="P72" i="4" s="1"/>
  <c r="Q52" i="1" s="1"/>
  <c r="K52" i="1" s="1"/>
  <c r="T52" i="1" s="1"/>
  <c r="L32" i="11"/>
  <c r="L33" i="11" s="1"/>
  <c r="L16" i="11"/>
  <c r="L17" i="11" s="1"/>
  <c r="L18" i="11" s="1"/>
  <c r="M17" i="11"/>
  <c r="M43" i="11"/>
  <c r="M47" i="11" s="1"/>
  <c r="L43" i="11"/>
  <c r="L47" i="11" s="1"/>
  <c r="L48" i="11" s="1"/>
  <c r="M32" i="11"/>
  <c r="L19" i="11" l="1"/>
  <c r="L20" i="11" s="1"/>
  <c r="L21" i="11" s="1"/>
  <c r="P68" i="4" s="1"/>
  <c r="Q48" i="1" s="1"/>
  <c r="K48" i="1" s="1"/>
  <c r="K43" i="28" s="1"/>
  <c r="L17" i="26"/>
  <c r="L18" i="26" s="1"/>
  <c r="L19" i="26" s="1"/>
  <c r="L20" i="26" s="1"/>
  <c r="L21" i="26" s="1"/>
  <c r="Q68" i="4" s="1"/>
  <c r="R48" i="1" s="1"/>
  <c r="L48" i="1" s="1"/>
  <c r="L34" i="11"/>
  <c r="L35" i="11" s="1"/>
  <c r="L36" i="11" s="1"/>
  <c r="Q42" i="1" s="1"/>
  <c r="I42" i="1" s="1"/>
  <c r="L49" i="11"/>
  <c r="L50" i="11" s="1"/>
  <c r="L51" i="11" s="1"/>
  <c r="K47" i="28"/>
  <c r="L80" i="4"/>
  <c r="L81" i="4"/>
  <c r="W52" i="1"/>
  <c r="K46" i="28"/>
  <c r="T53" i="1"/>
  <c r="W51" i="1"/>
  <c r="T48" i="1" l="1"/>
  <c r="L77" i="4" s="1"/>
  <c r="Q41" i="1"/>
  <c r="I41" i="1" s="1"/>
  <c r="L43" i="28"/>
  <c r="U48" i="1"/>
  <c r="U71" i="1" s="1"/>
  <c r="M35" i="11"/>
  <c r="P69" i="4"/>
  <c r="Q49" i="1" s="1"/>
  <c r="K49" i="1" s="1"/>
  <c r="T49" i="1" s="1"/>
  <c r="P70" i="4"/>
  <c r="Q50" i="1" s="1"/>
  <c r="K50" i="1" s="1"/>
  <c r="Q43" i="1"/>
  <c r="I43" i="1" s="1"/>
  <c r="W48" i="1"/>
  <c r="L82" i="4"/>
  <c r="W53" i="1"/>
  <c r="M77" i="4" l="1"/>
  <c r="X48" i="1"/>
  <c r="Y48" i="1" s="1"/>
  <c r="T50" i="1"/>
  <c r="K45" i="28"/>
  <c r="K44" i="28"/>
  <c r="W49" i="1"/>
  <c r="L78" i="4"/>
  <c r="L79" i="4" l="1"/>
  <c r="W50" i="1"/>
  <c r="G50" i="1"/>
  <c r="G45" i="28" s="1"/>
  <c r="O70" i="4"/>
  <c r="G52" i="1"/>
  <c r="G47" i="28" s="1"/>
  <c r="O72" i="4"/>
  <c r="G49" i="1"/>
  <c r="G44" i="28" s="1"/>
  <c r="O69" i="4"/>
  <c r="G51" i="1"/>
  <c r="G46" i="28" s="1"/>
  <c r="O71" i="4"/>
  <c r="C40" i="26"/>
  <c r="C25" i="26"/>
  <c r="O25" i="26"/>
  <c r="O10" i="26"/>
  <c r="AP19" i="36" l="1"/>
  <c r="BO19" i="36"/>
  <c r="BO22" i="36"/>
  <c r="AP22" i="36"/>
  <c r="AP20" i="36"/>
  <c r="BO20" i="36"/>
  <c r="AP21" i="36"/>
  <c r="BO21" i="36"/>
  <c r="BH43" i="26"/>
  <c r="I51" i="1"/>
  <c r="I46" i="28"/>
  <c r="I52" i="1"/>
  <c r="I47" i="28"/>
  <c r="I49" i="1"/>
  <c r="I44" i="28"/>
  <c r="I50" i="1"/>
  <c r="I45" i="28"/>
  <c r="BH28" i="26"/>
  <c r="BS28" i="26"/>
  <c r="BS13" i="26"/>
  <c r="BQ22" i="36" l="1"/>
  <c r="BP22" i="36"/>
  <c r="BQ21" i="36"/>
  <c r="BP21" i="36"/>
  <c r="BP20" i="36"/>
  <c r="BQ20" i="36"/>
  <c r="BQ19" i="36"/>
  <c r="BP19" i="36"/>
  <c r="AR22" i="36"/>
  <c r="AQ22" i="36"/>
  <c r="AQ21" i="36"/>
  <c r="AR21" i="36"/>
  <c r="AR20" i="36"/>
  <c r="AQ20" i="36"/>
  <c r="AR19" i="36"/>
  <c r="AQ19" i="36"/>
  <c r="BR22" i="36"/>
  <c r="BS22" i="36"/>
  <c r="BS19" i="36"/>
  <c r="BR19" i="36"/>
  <c r="BS21" i="36"/>
  <c r="BR21" i="36"/>
  <c r="AT21" i="36"/>
  <c r="AS21" i="36"/>
  <c r="BS20" i="36"/>
  <c r="BR20" i="36"/>
  <c r="AS20" i="36"/>
  <c r="AT20" i="36"/>
  <c r="AS22" i="36"/>
  <c r="AT22" i="36"/>
  <c r="AS19" i="36"/>
  <c r="AT19" i="36"/>
  <c r="BT22" i="36" l="1"/>
  <c r="R31" i="26" s="1"/>
  <c r="T31" i="26" s="1"/>
  <c r="W31" i="26" s="1"/>
  <c r="BT21" i="36"/>
  <c r="AU21" i="36"/>
  <c r="R13" i="26" s="1"/>
  <c r="T13" i="26" s="1"/>
  <c r="W13" i="26" s="1"/>
  <c r="X13" i="26" s="1"/>
  <c r="AU19" i="36"/>
  <c r="F28" i="26" s="1"/>
  <c r="H28" i="26" s="1"/>
  <c r="K28" i="26" s="1"/>
  <c r="M28" i="26" s="1"/>
  <c r="AU22" i="36"/>
  <c r="R28" i="26" s="1"/>
  <c r="T28" i="26" s="1"/>
  <c r="W28" i="26" s="1"/>
  <c r="BT20" i="36"/>
  <c r="F46" i="26" s="1"/>
  <c r="H46" i="26" s="1"/>
  <c r="K46" i="26" s="1"/>
  <c r="AU20" i="36"/>
  <c r="F43" i="26" s="1"/>
  <c r="H43" i="26" s="1"/>
  <c r="K43" i="26" s="1"/>
  <c r="M43" i="26" s="1"/>
  <c r="BT19" i="36"/>
  <c r="F31" i="26" s="1"/>
  <c r="H31" i="26" s="1"/>
  <c r="K31" i="26" s="1"/>
  <c r="M31" i="26" s="1"/>
  <c r="R16" i="26"/>
  <c r="T16" i="26" s="1"/>
  <c r="W16" i="26" s="1"/>
  <c r="Y13" i="26" l="1"/>
  <c r="L43" i="26"/>
  <c r="M32" i="26"/>
  <c r="L31" i="26"/>
  <c r="L28" i="26"/>
  <c r="X16" i="26"/>
  <c r="X17" i="26" s="1"/>
  <c r="X18" i="26" s="1"/>
  <c r="Y16" i="26"/>
  <c r="Y17" i="26" s="1"/>
  <c r="L46" i="26"/>
  <c r="M46" i="26"/>
  <c r="M47" i="26" s="1"/>
  <c r="Y31" i="26"/>
  <c r="X31" i="26"/>
  <c r="L47" i="26"/>
  <c r="L48" i="26" s="1"/>
  <c r="Y28" i="26"/>
  <c r="X28" i="26"/>
  <c r="X19" i="26" l="1"/>
  <c r="X20" i="26" s="1"/>
  <c r="X21" i="26" s="1"/>
  <c r="Q71" i="4" s="1"/>
  <c r="R51" i="1" s="1"/>
  <c r="L51" i="1" s="1"/>
  <c r="U51" i="1" s="1"/>
  <c r="X51" i="1" s="1"/>
  <c r="Y51" i="1" s="1"/>
  <c r="Y32" i="26"/>
  <c r="L32" i="26"/>
  <c r="L33" i="26" s="1"/>
  <c r="L34" i="26" s="1"/>
  <c r="M35" i="26" s="1"/>
  <c r="X32" i="26"/>
  <c r="X33" i="26" s="1"/>
  <c r="X34" i="26" s="1"/>
  <c r="X35" i="26" s="1"/>
  <c r="X36" i="26" s="1"/>
  <c r="Q72" i="4" s="1"/>
  <c r="R52" i="1" s="1"/>
  <c r="L52" i="1" s="1"/>
  <c r="L47" i="28" s="1"/>
  <c r="L49" i="26"/>
  <c r="L50" i="26" s="1"/>
  <c r="L51" i="26" s="1"/>
  <c r="Q70" i="4" s="1"/>
  <c r="R50" i="1" s="1"/>
  <c r="L50" i="1" s="1"/>
  <c r="U74" i="1" l="1"/>
  <c r="M80" i="4"/>
  <c r="L46" i="28"/>
  <c r="L35" i="26"/>
  <c r="L36" i="26" s="1"/>
  <c r="Q69" i="4" s="1"/>
  <c r="R49" i="1" s="1"/>
  <c r="L49" i="1" s="1"/>
  <c r="U49" i="1" s="1"/>
  <c r="U72" i="1" s="1"/>
  <c r="U52" i="1"/>
  <c r="U75" i="1" s="1"/>
  <c r="L45" i="28"/>
  <c r="U50" i="1"/>
  <c r="O40" i="26"/>
  <c r="O73" i="4"/>
  <c r="G53" i="1"/>
  <c r="G48" i="28" s="1"/>
  <c r="X49" i="1" l="1"/>
  <c r="Y49" i="1" s="1"/>
  <c r="L44" i="28"/>
  <c r="M78" i="4"/>
  <c r="X52" i="1"/>
  <c r="Y52" i="1" s="1"/>
  <c r="M81" i="4"/>
  <c r="X50" i="1"/>
  <c r="Y50" i="1" s="1"/>
  <c r="U73" i="1"/>
  <c r="M79" i="4"/>
  <c r="BO23" i="36"/>
  <c r="AP23" i="36"/>
  <c r="BS43" i="26"/>
  <c r="I53" i="1"/>
  <c r="I48" i="28"/>
  <c r="BQ23" i="36" l="1"/>
  <c r="BP23" i="36"/>
  <c r="AR23" i="36"/>
  <c r="AQ23" i="36"/>
  <c r="BS23" i="36"/>
  <c r="BR23" i="36"/>
  <c r="AT23" i="36"/>
  <c r="AS23" i="36"/>
  <c r="AU23" i="36" l="1"/>
  <c r="R43" i="26" s="1"/>
  <c r="T43" i="26" s="1"/>
  <c r="W43" i="26" s="1"/>
  <c r="X43" i="26" s="1"/>
  <c r="BT23" i="36"/>
  <c r="R46" i="26" s="1"/>
  <c r="T46" i="26" s="1"/>
  <c r="W46" i="26" s="1"/>
  <c r="Y46" i="26" s="1"/>
  <c r="X46" i="26" l="1"/>
  <c r="X47" i="26" s="1"/>
  <c r="X48" i="26" s="1"/>
  <c r="Y43" i="26"/>
  <c r="Y47" i="26" s="1"/>
  <c r="X49" i="26" l="1"/>
  <c r="X50" i="26" s="1"/>
  <c r="X51" i="26" s="1"/>
  <c r="Q73" i="4" s="1"/>
  <c r="R53" i="1" s="1"/>
  <c r="L53" i="1" s="1"/>
  <c r="L48" i="28" s="1"/>
  <c r="U53" i="1" l="1"/>
  <c r="X53" i="1" s="1"/>
  <c r="Y53" i="1" s="1"/>
  <c r="U76" i="1" l="1"/>
  <c r="V71" i="1" s="1"/>
  <c r="Y71" i="1" s="1"/>
  <c r="M82" i="4"/>
  <c r="Y72" i="1" l="1"/>
  <c r="Z71" i="1" s="1"/>
  <c r="W71" i="1" s="1"/>
  <c r="O48" i="1" s="1"/>
  <c r="M73" i="1" s="1"/>
  <c r="K73" i="1" s="1"/>
  <c r="Y73" i="1"/>
  <c r="B69" i="1" l="1"/>
  <c r="B65" i="28" s="1"/>
  <c r="N85" i="4"/>
  <c r="L85" i="4" s="1"/>
  <c r="D2" i="4"/>
  <c r="C5" i="11" s="1"/>
  <c r="N73" i="1"/>
  <c r="A2" i="1" l="1"/>
  <c r="A2" i="28" s="1"/>
  <c r="C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BPFK Banjarbaru</author>
  </authors>
  <commentList>
    <comment ref="R70" authorId="0" shapeId="0" xr:uid="{00000000-0006-0000-0500-000001000000}">
      <text>
        <r>
          <rPr>
            <b/>
            <sz val="9"/>
            <color indexed="81"/>
            <rFont val="Tahoma"/>
            <family val="2"/>
          </rPr>
          <t>BPFK Banjarbaru:</t>
        </r>
        <r>
          <rPr>
            <sz val="9"/>
            <color indexed="81"/>
            <rFont val="Tahoma"/>
            <family val="2"/>
          </rPr>
          <t xml:space="preserve">
Untuk normal</t>
        </r>
      </text>
    </comment>
    <comment ref="S70" authorId="0" shapeId="0" xr:uid="{00000000-0006-0000-0500-000002000000}">
      <text>
        <r>
          <rPr>
            <b/>
            <sz val="9"/>
            <color indexed="81"/>
            <rFont val="Tahoma"/>
            <family val="2"/>
          </rPr>
          <t>BPFK Banjarbaru:</t>
        </r>
        <r>
          <rPr>
            <sz val="9"/>
            <color indexed="81"/>
            <rFont val="Tahoma"/>
            <family val="2"/>
          </rPr>
          <t xml:space="preserve">
Untuk Lansia / Hiprtensi</t>
        </r>
      </text>
    </comment>
    <comment ref="X72" authorId="0" shapeId="0" xr:uid="{5D30D9F6-20B3-4997-9BEF-AD505B1138ED}">
      <text>
        <r>
          <rPr>
            <b/>
            <sz val="9"/>
            <color indexed="81"/>
            <rFont val="Tahoma"/>
            <family val="2"/>
          </rPr>
          <t>BPFK Banjarbaru:</t>
        </r>
        <r>
          <rPr>
            <sz val="9"/>
            <color indexed="81"/>
            <rFont val="Tahoma"/>
            <family val="2"/>
          </rPr>
          <t xml:space="preserve">
Untuk normal</t>
        </r>
      </text>
    </comment>
    <comment ref="M73" authorId="0" shapeId="0" xr:uid="{00000000-0006-0000-0500-000003000000}">
      <text>
        <r>
          <rPr>
            <b/>
            <sz val="9"/>
            <color indexed="81"/>
            <rFont val="Tahoma"/>
            <family val="2"/>
          </rPr>
          <t>BPFK Banjarbaru:</t>
        </r>
        <r>
          <rPr>
            <sz val="9"/>
            <color indexed="81"/>
            <rFont val="Tahoma"/>
            <family val="2"/>
          </rPr>
          <t xml:space="preserve">
Lebarkan cell</t>
        </r>
      </text>
    </comment>
    <comment ref="X73" authorId="0" shapeId="0" xr:uid="{C02F5A1B-623A-4CC1-B712-789F8659CC47}">
      <text>
        <r>
          <rPr>
            <b/>
            <sz val="9"/>
            <color indexed="81"/>
            <rFont val="Tahoma"/>
            <family val="2"/>
          </rPr>
          <t>BPFK Banjarbaru:</t>
        </r>
        <r>
          <rPr>
            <sz val="9"/>
            <color indexed="81"/>
            <rFont val="Tahoma"/>
            <family val="2"/>
          </rPr>
          <t xml:space="preserve">
Untuk Lansia / Hiprtensi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PC-PK</author>
  </authors>
  <commentList>
    <comment ref="D22" authorId="0" shapeId="0" xr:uid="{665F7D9E-4141-4687-93FE-E616D9943C8E}">
      <text>
        <r>
          <rPr>
            <b/>
            <sz val="9"/>
            <color indexed="81"/>
            <rFont val="Tahoma"/>
            <family val="2"/>
          </rPr>
          <t>PC-PK:</t>
        </r>
        <r>
          <rPr>
            <sz val="9"/>
            <color indexed="81"/>
            <rFont val="Tahoma"/>
            <family val="2"/>
          </rPr>
          <t xml:space="preserve">
CONTOH</t>
        </r>
      </text>
    </comment>
  </commentList>
</comments>
</file>

<file path=xl/sharedStrings.xml><?xml version="1.0" encoding="utf-8"?>
<sst xmlns="http://schemas.openxmlformats.org/spreadsheetml/2006/main" count="3537" uniqueCount="791">
  <si>
    <t>:</t>
  </si>
  <si>
    <t>Tanggal Kalibrasi</t>
  </si>
  <si>
    <t>Tempat Kalibrasi</t>
  </si>
  <si>
    <t>No.</t>
  </si>
  <si>
    <t>(mmHg)</t>
  </si>
  <si>
    <t>1.</t>
  </si>
  <si>
    <t>2.</t>
  </si>
  <si>
    <t>3.</t>
  </si>
  <si>
    <t>Alat</t>
  </si>
  <si>
    <t xml:space="preserve">No. Seri         </t>
  </si>
  <si>
    <t>Terbaca</t>
  </si>
  <si>
    <t>Normal</t>
  </si>
  <si>
    <t>IV.</t>
  </si>
  <si>
    <t>Petugas Kalibrasi</t>
  </si>
  <si>
    <t>Divisor</t>
  </si>
  <si>
    <t xml:space="preserve">1. Suhu                                                                        </t>
  </si>
  <si>
    <t>Keterangan</t>
  </si>
  <si>
    <t>Menyetujui,</t>
  </si>
  <si>
    <t>Pembacaan</t>
  </si>
  <si>
    <t>Ketidakpastian  Pengukuran</t>
  </si>
  <si>
    <t>Pembacaan  Standar</t>
  </si>
  <si>
    <t xml:space="preserve">Merek                </t>
  </si>
  <si>
    <t xml:space="preserve">Nama Petugas Kalibrasi  </t>
  </si>
  <si>
    <t>Nama Ruang</t>
  </si>
  <si>
    <t>Kelembaban (% RH)</t>
  </si>
  <si>
    <t xml:space="preserve">2. Kelembaban                                                            </t>
  </si>
  <si>
    <t>Suhu ( °C )</t>
  </si>
  <si>
    <t>Rangga Setya Hantoko</t>
  </si>
  <si>
    <t>Choirul Huda</t>
  </si>
  <si>
    <t>Dani Firmanto</t>
  </si>
  <si>
    <t>Supriyanto</t>
  </si>
  <si>
    <t>1. Fisik</t>
  </si>
  <si>
    <t>: BAIK</t>
  </si>
  <si>
    <t>2. Fungsi</t>
  </si>
  <si>
    <t xml:space="preserve">VI. </t>
  </si>
  <si>
    <t>Kesimpulan</t>
  </si>
  <si>
    <t xml:space="preserve">VII. </t>
  </si>
  <si>
    <t>Toleransi</t>
  </si>
  <si>
    <t>mmHg</t>
  </si>
  <si>
    <t>koreksi Naik</t>
  </si>
  <si>
    <t>Component</t>
  </si>
  <si>
    <t>Units</t>
  </si>
  <si>
    <t>Coverage factor, k, for for CL 95 %</t>
  </si>
  <si>
    <t>U Naik</t>
  </si>
  <si>
    <t>awal</t>
  </si>
  <si>
    <t>akhir</t>
  </si>
  <si>
    <t>mmhg</t>
  </si>
  <si>
    <t>terkoreksi</t>
  </si>
  <si>
    <t>PA</t>
  </si>
  <si>
    <t>Koreksi</t>
  </si>
  <si>
    <t xml:space="preserve">terkoreksi </t>
  </si>
  <si>
    <t>Drift</t>
  </si>
  <si>
    <t>Pembacaan Alat</t>
  </si>
  <si>
    <t>Parameter</t>
  </si>
  <si>
    <t>Kebocoran Tekanan</t>
  </si>
  <si>
    <t>ALAT YANG DIGUNAKAN</t>
  </si>
  <si>
    <t>SIMBOL</t>
  </si>
  <si>
    <t>PA  (°C)</t>
  </si>
  <si>
    <t>PA(%RH)</t>
  </si>
  <si>
    <t>koreksi  (°C)</t>
  </si>
  <si>
    <t>Koreksi  (%RH)</t>
  </si>
  <si>
    <t>U(sh)</t>
  </si>
  <si>
    <t>U(kb)</t>
  </si>
  <si>
    <t>TAHUN :</t>
  </si>
  <si>
    <t>Baik</t>
  </si>
  <si>
    <t>Tidak Baik</t>
  </si>
  <si>
    <t xml:space="preserve">Tanggal Pembuatan laporan </t>
  </si>
  <si>
    <t xml:space="preserve">Pemeriksaan Fisik            </t>
  </si>
  <si>
    <t xml:space="preserve">Pemeriksaan Fungsi       </t>
  </si>
  <si>
    <t xml:space="preserve">Daya Baca Operator UUT </t>
  </si>
  <si>
    <t>Muhammad Zaenuri Sugiasmoro</t>
  </si>
  <si>
    <t>Isra Mahensa</t>
  </si>
  <si>
    <t>Penunjukan Standar</t>
  </si>
  <si>
    <t>Penunjukan Standar Awal</t>
  </si>
  <si>
    <t>Penunjukan Standar Akhir</t>
  </si>
  <si>
    <t>Nilai Rata - Rata</t>
  </si>
  <si>
    <t>Resolusi</t>
  </si>
  <si>
    <t>Laju Kebocoran tekanan dalam 1 menit</t>
  </si>
  <si>
    <t>Laju Kebocoran tekanan Terkoreksi dalam 1 menit</t>
  </si>
  <si>
    <t>u</t>
  </si>
  <si>
    <t>Distribusi</t>
  </si>
  <si>
    <t xml:space="preserve">Pembacaan Standar </t>
  </si>
  <si>
    <t xml:space="preserve">Sertifikat standar </t>
  </si>
  <si>
    <t>Repeatability</t>
  </si>
  <si>
    <t xml:space="preserve">Sums </t>
  </si>
  <si>
    <t>Rectangular</t>
  </si>
  <si>
    <t>Uncertainty Budget u95</t>
  </si>
  <si>
    <t>Kesimpulan :</t>
  </si>
  <si>
    <t>HASIL KALIBRASI SPHYGMOMANOMETER</t>
  </si>
  <si>
    <t>±3 mmHg</t>
  </si>
  <si>
    <t>± (mmHg)</t>
  </si>
  <si>
    <t>Effective degree of freedom</t>
  </si>
  <si>
    <t xml:space="preserve">Dibuat Oleh </t>
  </si>
  <si>
    <t xml:space="preserve">Penyelia   </t>
  </si>
  <si>
    <t>Halaman 2 dari 2 halaman</t>
  </si>
  <si>
    <t>Kepala Instalasi Laboratorium</t>
  </si>
  <si>
    <t>Pengujian dan Kalibrasi</t>
  </si>
  <si>
    <t>Nomor Sertifikat : 44 /</t>
  </si>
  <si>
    <t>Nomor Surat Keterangan : 44 / M -</t>
  </si>
  <si>
    <t>KESIMPULAN</t>
  </si>
  <si>
    <t>P1</t>
  </si>
  <si>
    <t>P2</t>
  </si>
  <si>
    <t>P3</t>
  </si>
  <si>
    <t>max =</t>
  </si>
  <si>
    <t>KETELUSURAN</t>
  </si>
  <si>
    <t>Keterangan :</t>
  </si>
  <si>
    <t/>
  </si>
  <si>
    <t>DEWASA</t>
  </si>
  <si>
    <t>ANAK</t>
  </si>
  <si>
    <t>BAYI</t>
  </si>
  <si>
    <t xml:space="preserve">Handheld NIBP Simulator, Merek : ACCUPULSE PLUS, Model : AH-2  (HH12080311) </t>
  </si>
  <si>
    <t>Sertifikat Thermohygrometer</t>
  </si>
  <si>
    <t>15 Maret 2017</t>
  </si>
  <si>
    <r>
      <t>&lt;</t>
    </r>
    <r>
      <rPr>
        <sz val="10"/>
        <color theme="1"/>
        <rFont val="Calibri"/>
        <family val="2"/>
        <scheme val="minor"/>
      </rPr>
      <t xml:space="preserve"> 15 mmHg</t>
    </r>
  </si>
  <si>
    <r>
      <t>U</t>
    </r>
    <r>
      <rPr>
        <vertAlign val="subscript"/>
        <sz val="10"/>
        <color theme="1"/>
        <rFont val="Calibri"/>
        <family val="2"/>
        <scheme val="minor"/>
      </rPr>
      <t>95</t>
    </r>
  </si>
  <si>
    <r>
      <t>u</t>
    </r>
    <r>
      <rPr>
        <b/>
        <i/>
        <vertAlign val="subscript"/>
        <sz val="12"/>
        <color theme="1"/>
        <rFont val="Calibri"/>
        <family val="2"/>
        <scheme val="minor"/>
      </rPr>
      <t>i</t>
    </r>
  </si>
  <si>
    <r>
      <t>c</t>
    </r>
    <r>
      <rPr>
        <b/>
        <i/>
        <vertAlign val="subscript"/>
        <sz val="12"/>
        <color theme="1"/>
        <rFont val="Calibri"/>
        <family val="2"/>
        <scheme val="minor"/>
      </rPr>
      <t>i</t>
    </r>
  </si>
  <si>
    <r>
      <t>v</t>
    </r>
    <r>
      <rPr>
        <b/>
        <i/>
        <vertAlign val="subscript"/>
        <sz val="12"/>
        <color theme="1"/>
        <rFont val="Calibri"/>
        <family val="2"/>
        <scheme val="minor"/>
      </rPr>
      <t>i</t>
    </r>
  </si>
  <si>
    <r>
      <t>(u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t>
    </r>
  </si>
  <si>
    <r>
      <t>( 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 xml:space="preserve"> ) ^ 2</t>
    </r>
  </si>
  <si>
    <r>
      <t>(u</t>
    </r>
    <r>
      <rPr>
        <b/>
        <vertAlign val="subscript"/>
        <sz val="12"/>
        <color theme="1"/>
        <rFont val="Calibri"/>
        <family val="2"/>
        <scheme val="minor"/>
      </rPr>
      <t>i</t>
    </r>
    <r>
      <rPr>
        <b/>
        <sz val="12"/>
        <color theme="1"/>
        <rFont val="Calibri"/>
        <family val="2"/>
        <scheme val="minor"/>
      </rPr>
      <t>c</t>
    </r>
    <r>
      <rPr>
        <b/>
        <vertAlign val="subscript"/>
        <sz val="12"/>
        <color theme="1"/>
        <rFont val="Calibri"/>
        <family val="2"/>
        <scheme val="minor"/>
      </rPr>
      <t>i</t>
    </r>
    <r>
      <rPr>
        <b/>
        <sz val="12"/>
        <color theme="1"/>
        <rFont val="Calibri"/>
        <family val="2"/>
        <scheme val="minor"/>
      </rPr>
      <t>)^4/v</t>
    </r>
    <r>
      <rPr>
        <b/>
        <vertAlign val="subscript"/>
        <sz val="12"/>
        <color theme="1"/>
        <rFont val="Calibri"/>
        <family val="2"/>
        <scheme val="minor"/>
      </rPr>
      <t>i</t>
    </r>
  </si>
  <si>
    <r>
      <t>Combined Standard uncertainty, u</t>
    </r>
    <r>
      <rPr>
        <i/>
        <vertAlign val="subscript"/>
        <sz val="12"/>
        <color theme="1"/>
        <rFont val="Calibri"/>
        <family val="2"/>
        <scheme val="minor"/>
      </rPr>
      <t xml:space="preserve">c  </t>
    </r>
  </si>
  <si>
    <r>
      <t>Expanded uncertainty, U = k u</t>
    </r>
    <r>
      <rPr>
        <i/>
        <vertAlign val="subscript"/>
        <sz val="12"/>
        <color theme="1"/>
        <rFont val="Calibri"/>
        <family val="2"/>
        <scheme val="minor"/>
      </rPr>
      <t>c</t>
    </r>
    <r>
      <rPr>
        <i/>
        <sz val="12"/>
        <color theme="1"/>
        <rFont val="Calibri"/>
        <family val="2"/>
        <scheme val="minor"/>
      </rPr>
      <t xml:space="preserve">,           (mmHg) </t>
    </r>
  </si>
  <si>
    <r>
      <t>+</t>
    </r>
    <r>
      <rPr>
        <sz val="12"/>
        <color theme="1"/>
        <rFont val="Calibri"/>
        <family val="2"/>
        <scheme val="minor"/>
      </rPr>
      <t xml:space="preserve"> 3 </t>
    </r>
  </si>
  <si>
    <t>KOLOM KETERANGAN :</t>
  </si>
  <si>
    <t>Jenis tensimeter :</t>
  </si>
  <si>
    <t>JENIS TENSIMETER :</t>
  </si>
  <si>
    <t>TENSIMETER DEWASA</t>
  </si>
  <si>
    <t>TENSIMETER ANAK</t>
  </si>
  <si>
    <t>TENSIMETER BAYI</t>
  </si>
  <si>
    <t>60, 120, 150</t>
  </si>
  <si>
    <t>50, 120, 150</t>
  </si>
  <si>
    <t>30, 60, 80</t>
  </si>
  <si>
    <t>RANGGA</t>
  </si>
  <si>
    <t>CHAIRUL HUDA</t>
  </si>
  <si>
    <t>Donny Martha</t>
  </si>
  <si>
    <t>-</t>
  </si>
  <si>
    <t>Tanggal Penerimaan Alat</t>
  </si>
  <si>
    <t>Model</t>
  </si>
  <si>
    <t>Laju Buang Cepat</t>
  </si>
  <si>
    <t xml:space="preserve">Kebocoran Tekanan </t>
  </si>
  <si>
    <t>Laju Buang Cepat tekanan 260 mmHg sampai dengan 15 mmHg</t>
  </si>
  <si>
    <t>Laju Buang Cepat tekanan 260 mmHg sampai dengan 15 mmHg Terkoreksi</t>
  </si>
  <si>
    <r>
      <t>&lt;</t>
    </r>
    <r>
      <rPr>
        <sz val="10"/>
        <color theme="1"/>
        <rFont val="Calibri"/>
        <family val="2"/>
        <scheme val="minor"/>
      </rPr>
      <t xml:space="preserve"> 10 Detik</t>
    </r>
  </si>
  <si>
    <t>NAIK 1</t>
  </si>
  <si>
    <t>TURUN 1</t>
  </si>
  <si>
    <t>NAIK 2</t>
  </si>
  <si>
    <t>TURUN 3</t>
  </si>
  <si>
    <t>DRIFT</t>
  </si>
  <si>
    <t>Setting Waktu (detik)</t>
  </si>
  <si>
    <t>KALIBRATOR</t>
  </si>
  <si>
    <t>DATA SERTIFIKAT STOPWATCH</t>
  </si>
  <si>
    <t>NAIK</t>
  </si>
  <si>
    <t>TURUN</t>
  </si>
  <si>
    <t>DRIFT TURUN</t>
  </si>
  <si>
    <t>U Turun</t>
  </si>
  <si>
    <t>koreksi Turun</t>
  </si>
  <si>
    <t>Nilai rata-rata terkoreksi</t>
  </si>
  <si>
    <t>Naik</t>
  </si>
  <si>
    <t>Turun</t>
  </si>
  <si>
    <t>naik</t>
  </si>
  <si>
    <t>Drift naik</t>
  </si>
  <si>
    <t>Drift turun</t>
  </si>
  <si>
    <t>UNCERTAINTY BUDGET NAIK</t>
  </si>
  <si>
    <r>
      <t>|K| + |U</t>
    </r>
    <r>
      <rPr>
        <sz val="7"/>
        <color theme="0"/>
        <rFont val="Calibri"/>
        <family val="2"/>
        <scheme val="minor"/>
      </rPr>
      <t>95</t>
    </r>
    <r>
      <rPr>
        <sz val="10"/>
        <color theme="0"/>
        <rFont val="Calibri"/>
        <family val="2"/>
        <scheme val="minor"/>
      </rPr>
      <t>|</t>
    </r>
  </si>
  <si>
    <t>(Detik)</t>
  </si>
  <si>
    <r>
      <t>&lt;</t>
    </r>
    <r>
      <rPr>
        <sz val="12"/>
        <color theme="1"/>
        <rFont val="Calibri"/>
        <family val="2"/>
        <scheme val="minor"/>
      </rPr>
      <t xml:space="preserve"> 10</t>
    </r>
  </si>
  <si>
    <t>max U95 = ± 1</t>
  </si>
  <si>
    <t xml:space="preserve">V. </t>
  </si>
  <si>
    <r>
      <t>Uncertainty Budget U</t>
    </r>
    <r>
      <rPr>
        <sz val="8"/>
        <color theme="1"/>
        <rFont val="Calibri"/>
        <family val="2"/>
        <scheme val="minor"/>
      </rPr>
      <t>95</t>
    </r>
  </si>
  <si>
    <t>UNCERTAINTY BUDGET TURUN</t>
  </si>
  <si>
    <t xml:space="preserve"> ≤ 3 </t>
  </si>
  <si>
    <t>KOREKSI</t>
  </si>
  <si>
    <t xml:space="preserve">Nilai rata-rata </t>
  </si>
  <si>
    <t>21.2.2018</t>
  </si>
  <si>
    <t xml:space="preserve">DRIFT NAIK </t>
  </si>
  <si>
    <t>INDUK FILE</t>
  </si>
  <si>
    <t>Sertifikat Kalibrator Tekanan TERBARU</t>
  </si>
  <si>
    <t>INDUK FILE paste</t>
  </si>
  <si>
    <t>Ketidakpastian pengukuran pada tingkat kepercayaan 95 % dengan faktor cakupan k = 2</t>
  </si>
  <si>
    <t>Metode Kerja</t>
  </si>
  <si>
    <t>MK 042-18</t>
  </si>
  <si>
    <t>Bsekarang</t>
  </si>
  <si>
    <t>Bsekarang PASTE</t>
  </si>
  <si>
    <t>KETERANGAN :</t>
  </si>
  <si>
    <r>
      <t>|K| + |U</t>
    </r>
    <r>
      <rPr>
        <sz val="7"/>
        <color theme="1"/>
        <rFont val="Calibri"/>
        <family val="2"/>
        <scheme val="minor"/>
      </rPr>
      <t>95</t>
    </r>
    <r>
      <rPr>
        <sz val="10"/>
        <color theme="1"/>
        <rFont val="Calibri"/>
        <family val="2"/>
        <scheme val="minor"/>
      </rPr>
      <t>|</t>
    </r>
  </si>
  <si>
    <t>Bobot</t>
  </si>
  <si>
    <t>....................................................</t>
  </si>
  <si>
    <t>Toleransi (mmHg)</t>
  </si>
  <si>
    <t>.......................................................................................................................................................................</t>
  </si>
  <si>
    <t>INPUT DATA KALIBRASI SPHYGMOMANOMETER</t>
  </si>
  <si>
    <t>VII.</t>
  </si>
  <si>
    <t>Naik + Turun</t>
  </si>
  <si>
    <t>U95 Naik terbaru</t>
  </si>
  <si>
    <t>U95 Turun terbaru</t>
  </si>
  <si>
    <t>Naik Terbaru</t>
  </si>
  <si>
    <t>Turun Terbaru</t>
  </si>
  <si>
    <t>U95</t>
  </si>
  <si>
    <t>SERTIFIKAT TERBARU</t>
  </si>
  <si>
    <t>Baik / Tidak Baik</t>
  </si>
  <si>
    <t>NAMA</t>
  </si>
  <si>
    <t>PARAF</t>
  </si>
  <si>
    <t>BOBOT (%)</t>
  </si>
  <si>
    <t>LABEL</t>
  </si>
  <si>
    <t>Anak</t>
  </si>
  <si>
    <t>Dewasa</t>
  </si>
  <si>
    <t>Lansia</t>
  </si>
  <si>
    <r>
      <t>&lt;</t>
    </r>
    <r>
      <rPr>
        <sz val="10"/>
        <color theme="1"/>
        <rFont val="Arial"/>
        <family val="2"/>
      </rPr>
      <t xml:space="preserve"> 15 mmHg</t>
    </r>
  </si>
  <si>
    <r>
      <t>&lt;</t>
    </r>
    <r>
      <rPr>
        <sz val="10"/>
        <color theme="1"/>
        <rFont val="Arial"/>
        <family val="2"/>
      </rPr>
      <t xml:space="preserve"> 10 Detik</t>
    </r>
  </si>
  <si>
    <t>SKOR</t>
  </si>
  <si>
    <t>Klasifikasi Sphygmomanometer</t>
  </si>
  <si>
    <t xml:space="preserve">Petugas Kalibrasi  </t>
  </si>
  <si>
    <r>
      <t>&lt;</t>
    </r>
    <r>
      <rPr>
        <sz val="11"/>
        <color theme="1"/>
        <rFont val="Arial"/>
        <family val="2"/>
      </rPr>
      <t xml:space="preserve"> 10</t>
    </r>
  </si>
  <si>
    <r>
      <t>+</t>
    </r>
    <r>
      <rPr>
        <sz val="11"/>
        <color theme="1"/>
        <rFont val="Arial"/>
        <family val="2"/>
      </rPr>
      <t xml:space="preserve"> 3 </t>
    </r>
  </si>
  <si>
    <t>I. Kondisi Ruang</t>
  </si>
  <si>
    <t>III. Pengujian Kinerja</t>
  </si>
  <si>
    <t>A. Pengujian Kebocoran</t>
  </si>
  <si>
    <t>B. Laju Buang Cepat</t>
  </si>
  <si>
    <t>C. Kalibrasi Akurasi Tekanan</t>
  </si>
  <si>
    <t xml:space="preserve"> </t>
  </si>
  <si>
    <t>Score</t>
  </si>
  <si>
    <r>
      <t>u</t>
    </r>
    <r>
      <rPr>
        <b/>
        <i/>
        <vertAlign val="subscript"/>
        <sz val="12"/>
        <color rgb="FFFF0000"/>
        <rFont val="Calibri"/>
        <family val="2"/>
        <scheme val="minor"/>
      </rPr>
      <t>i</t>
    </r>
  </si>
  <si>
    <r>
      <t>c</t>
    </r>
    <r>
      <rPr>
        <b/>
        <i/>
        <vertAlign val="subscript"/>
        <sz val="12"/>
        <color rgb="FFFF0000"/>
        <rFont val="Calibri"/>
        <family val="2"/>
        <scheme val="minor"/>
      </rPr>
      <t>i</t>
    </r>
  </si>
  <si>
    <r>
      <t>v</t>
    </r>
    <r>
      <rPr>
        <b/>
        <i/>
        <vertAlign val="subscript"/>
        <sz val="12"/>
        <color rgb="FFFF0000"/>
        <rFont val="Calibri"/>
        <family val="2"/>
        <scheme val="minor"/>
      </rPr>
      <t>i</t>
    </r>
  </si>
  <si>
    <r>
      <t>(u</t>
    </r>
    <r>
      <rPr>
        <b/>
        <i/>
        <vertAlign val="subscript"/>
        <sz val="12"/>
        <color rgb="FFFF0000"/>
        <rFont val="Calibri"/>
        <family val="2"/>
        <scheme val="minor"/>
      </rPr>
      <t>i</t>
    </r>
    <r>
      <rPr>
        <b/>
        <i/>
        <sz val="12"/>
        <color rgb="FFFF0000"/>
        <rFont val="Calibri"/>
        <family val="2"/>
        <scheme val="minor"/>
      </rPr>
      <t>c</t>
    </r>
    <r>
      <rPr>
        <b/>
        <i/>
        <vertAlign val="subscript"/>
        <sz val="12"/>
        <color rgb="FFFF0000"/>
        <rFont val="Calibri"/>
        <family val="2"/>
        <scheme val="minor"/>
      </rPr>
      <t>i</t>
    </r>
    <r>
      <rPr>
        <b/>
        <i/>
        <sz val="12"/>
        <color rgb="FFFF0000"/>
        <rFont val="Calibri"/>
        <family val="2"/>
        <scheme val="minor"/>
      </rPr>
      <t>)</t>
    </r>
  </si>
  <si>
    <r>
      <t>( u</t>
    </r>
    <r>
      <rPr>
        <b/>
        <i/>
        <vertAlign val="subscript"/>
        <sz val="12"/>
        <color rgb="FFFF0000"/>
        <rFont val="Calibri"/>
        <family val="2"/>
        <scheme val="minor"/>
      </rPr>
      <t>i</t>
    </r>
    <r>
      <rPr>
        <b/>
        <i/>
        <sz val="12"/>
        <color rgb="FFFF0000"/>
        <rFont val="Calibri"/>
        <family val="2"/>
        <scheme val="minor"/>
      </rPr>
      <t>c</t>
    </r>
    <r>
      <rPr>
        <b/>
        <i/>
        <vertAlign val="subscript"/>
        <sz val="12"/>
        <color rgb="FFFF0000"/>
        <rFont val="Calibri"/>
        <family val="2"/>
        <scheme val="minor"/>
      </rPr>
      <t>i</t>
    </r>
    <r>
      <rPr>
        <b/>
        <i/>
        <sz val="12"/>
        <color rgb="FFFF0000"/>
        <rFont val="Calibri"/>
        <family val="2"/>
        <scheme val="minor"/>
      </rPr>
      <t xml:space="preserve"> ) ^ 2</t>
    </r>
  </si>
  <si>
    <r>
      <t>(u</t>
    </r>
    <r>
      <rPr>
        <b/>
        <vertAlign val="subscript"/>
        <sz val="12"/>
        <color rgb="FFFF0000"/>
        <rFont val="Calibri"/>
        <family val="2"/>
        <scheme val="minor"/>
      </rPr>
      <t>i</t>
    </r>
    <r>
      <rPr>
        <b/>
        <sz val="12"/>
        <color rgb="FFFF0000"/>
        <rFont val="Calibri"/>
        <family val="2"/>
        <scheme val="minor"/>
      </rPr>
      <t>c</t>
    </r>
    <r>
      <rPr>
        <b/>
        <vertAlign val="subscript"/>
        <sz val="12"/>
        <color rgb="FFFF0000"/>
        <rFont val="Calibri"/>
        <family val="2"/>
        <scheme val="minor"/>
      </rPr>
      <t>i</t>
    </r>
    <r>
      <rPr>
        <b/>
        <sz val="12"/>
        <color rgb="FFFF0000"/>
        <rFont val="Calibri"/>
        <family val="2"/>
        <scheme val="minor"/>
      </rPr>
      <t>)^4/v</t>
    </r>
    <r>
      <rPr>
        <b/>
        <vertAlign val="subscript"/>
        <sz val="12"/>
        <color rgb="FFFF0000"/>
        <rFont val="Calibri"/>
        <family val="2"/>
        <scheme val="minor"/>
      </rPr>
      <t>i</t>
    </r>
  </si>
  <si>
    <r>
      <t>Combined Standard uncertainty, u</t>
    </r>
    <r>
      <rPr>
        <i/>
        <vertAlign val="subscript"/>
        <sz val="12"/>
        <color rgb="FFFF0000"/>
        <rFont val="Calibri"/>
        <family val="2"/>
        <scheme val="minor"/>
      </rPr>
      <t xml:space="preserve">c  </t>
    </r>
  </si>
  <si>
    <r>
      <t>Expanded uncertainty, U = k u</t>
    </r>
    <r>
      <rPr>
        <i/>
        <vertAlign val="subscript"/>
        <sz val="12"/>
        <color rgb="FFFF0000"/>
        <rFont val="Calibri"/>
        <family val="2"/>
        <scheme val="minor"/>
      </rPr>
      <t>c</t>
    </r>
    <r>
      <rPr>
        <i/>
        <sz val="12"/>
        <color rgb="FFFF0000"/>
        <rFont val="Calibri"/>
        <family val="2"/>
        <scheme val="minor"/>
      </rPr>
      <t xml:space="preserve">,           (mmHg) </t>
    </r>
  </si>
  <si>
    <t>VALIDASI</t>
  </si>
  <si>
    <t>Validasi</t>
  </si>
  <si>
    <t>FIX</t>
  </si>
  <si>
    <t>LEMBAR KERJA KALIBRASI SPHYGMOMANOMETER</t>
  </si>
  <si>
    <t>................................................</t>
  </si>
  <si>
    <t>ICU</t>
  </si>
  <si>
    <t>COSMO Med</t>
  </si>
  <si>
    <t>TURUN 2</t>
  </si>
  <si>
    <t>NAIK 3</t>
  </si>
  <si>
    <t>27.3.2019</t>
  </si>
  <si>
    <t>TANGGAL</t>
  </si>
  <si>
    <t xml:space="preserve">Tanggal Pembuatan Laporan      </t>
  </si>
  <si>
    <t>....................................................mmHg</t>
  </si>
  <si>
    <t>17.7.2019</t>
  </si>
  <si>
    <t>Resolusi Alat</t>
  </si>
  <si>
    <t>Daya Baca Alat standar</t>
  </si>
  <si>
    <t>(1/3)*U95</t>
  </si>
  <si>
    <t>NIP 198008062010121001</t>
  </si>
  <si>
    <t>Alat Ukur Yang Digunakan</t>
  </si>
  <si>
    <t>Alat Ukur Yang Digunakan :</t>
  </si>
  <si>
    <t>II. Pemeriksaan Kondisi Fisik dan Fungsi Alat</t>
  </si>
  <si>
    <t>Alat ukur yang Digunakan :</t>
  </si>
  <si>
    <t>14.11.2019</t>
  </si>
  <si>
    <t>NIBP Simulator, Merek : Rigel Medical, Model : BP-SIM, SN : 12L-0536</t>
  </si>
  <si>
    <t>NIBP Simulator, Merek : Rigel Medical, Model : BP-SIM, SN : 44L-1084</t>
  </si>
  <si>
    <t>NIBP Simulator, Merek : Rigel Medical, Model : BP-SIM, SN : 06L-0610</t>
  </si>
  <si>
    <t>NIBP Simulator, Merek : Rigel Medical, Model : BP-SIM, SN : 12L-0534</t>
  </si>
  <si>
    <t xml:space="preserve">Digital Pressure Meter, Merek : Fluke Biomedical, Model : DPM 4-2G, SN : 1831021 </t>
  </si>
  <si>
    <t>Digital Pressure Meter, Merek : Fluke Biomedical, Model : DPM 4-2G, SN : 1831023</t>
  </si>
  <si>
    <t>koreksi naik</t>
  </si>
  <si>
    <t>koreksi turun</t>
  </si>
  <si>
    <t>Digital Pressure Meter, Merek : Fluke Biomedical, Model : DPM 4-2G, SN : 4414016</t>
  </si>
  <si>
    <t xml:space="preserve">Digital Pressure Meter, Merek : Fluke Biomedical, Model : DPM 4-2G, SN : 4414018 </t>
  </si>
  <si>
    <t>11.2.2020</t>
  </si>
  <si>
    <t>Handheld NIBP Simulator, Merek : ACCUPULSE PLUS, Model : AH-2, SN : HH12080309</t>
  </si>
  <si>
    <t>31.1.2020</t>
  </si>
  <si>
    <t xml:space="preserve">Vital Signs Simulator, Merek : Rigel, Model : UNI-SIM, SN : 05J-0804 </t>
  </si>
  <si>
    <t>10.2.2020</t>
  </si>
  <si>
    <t>25.3.2019</t>
  </si>
  <si>
    <t>9.9.2019</t>
  </si>
  <si>
    <t>Digital Thermohygrometer, Merek : KIMO, Model : KH-210-AO, SN : 15062872</t>
  </si>
  <si>
    <t xml:space="preserve">Digital Thermohygrobarometer, Merek : Greisinger, Model : GFT 200, SN : 34903046 </t>
  </si>
  <si>
    <t>Digital Thermohygrobarometer, Merek : Greisinger, Model : GFTB 200, SN : 34903051</t>
  </si>
  <si>
    <t>Digital Thermohygrobarometer, Merek : EXTECH, Model : SD700, SN : A.100609</t>
  </si>
  <si>
    <t>Digital Thermohygrobarometer, Merek : EXTECH, Model : SD700, SN : A.100611</t>
  </si>
  <si>
    <t>Digital Thermohygrobarometer, Merek : EXTECH, Model : SD700, SN : A.100605</t>
  </si>
  <si>
    <t>22.7.2020</t>
  </si>
  <si>
    <t>Digital Thermohygrobarometer, Merek : Greisinger, Model : GFTB 200, SN : 34903334</t>
  </si>
  <si>
    <t>Digital Thermohygrobarometer, Merek : Greisinger, Model : GFTB 200, SN : 34903050</t>
  </si>
  <si>
    <t>Stopwatch, Merek : Casio, Model : HS - 3, SN : 611Q02R</t>
  </si>
  <si>
    <t>Stopwatch, Merek : Casio, Model : HS - 80TW, SN : 510Q061R</t>
  </si>
  <si>
    <t>Stopwatch, Merek : Extech, Model : 365535, SN : 001380</t>
  </si>
  <si>
    <t>Stopwatch, Merek : Extech, Model : 365535, SN : 001381</t>
  </si>
  <si>
    <t>Stopwatch, Merek : Extech, Model : 365535, SN : 001382</t>
  </si>
  <si>
    <t>Stopwatch, Merek : Extech, Model : 365535, SN : 001383</t>
  </si>
  <si>
    <t>Stopwatch, Merek : Extech, Model : 365535, SN : 001384</t>
  </si>
  <si>
    <t>Stopwatch, Merek : Extech, Model : 365535, SN : 001385</t>
  </si>
  <si>
    <t>Stopwatch, Merek : Extech, Model : 365535, SN : 001386</t>
  </si>
  <si>
    <t>Stopwatch, Merek : Extech, Model : 365535, SN : 001387</t>
  </si>
  <si>
    <t>Stopwatch, Merek : Extech, Model : 365535, SN : 001445</t>
  </si>
  <si>
    <t>Stopwatch, Merek : Extech, Model : 365535, SN : 001452</t>
  </si>
  <si>
    <t>Stopwatch, Merek : Extech, Model : 365535, SN : 005018</t>
  </si>
  <si>
    <t>Digital Pressure Meter, Merek : Fluke Biomedical, Model : DPM 4-1H, SN : 3505042</t>
  </si>
  <si>
    <t>NIBP Simulator, Merek : Rigel Medical, Model : BP-SIM, SN : 12L-0536, 44L-1084, 06L-0610, 12L-0534</t>
  </si>
  <si>
    <t>Digital Thermohygrometer, Merek : KIMO, Model : KH-210-AO, SN : 15062875</t>
  </si>
  <si>
    <t>Digital Thermohygrometer, Merek : KIMO, Model : KH-210-AO, SN : 15062874</t>
  </si>
  <si>
    <t>Digital Thermohygrometer, Merek : KIMO, Model : KH-210-AO, SN : 14082463</t>
  </si>
  <si>
    <t>Digital Thermohygrometer, Merek : Sekonic, Model : ST-50A, SN : HE 01 - 203004</t>
  </si>
  <si>
    <t>Stopwatch, Merek : Casio, Model : HS - 80TW, SN : 510Q06R, 510Q061R, 207Q01R</t>
  </si>
  <si>
    <t>Laju Buang Cepat tekanan 150 mmHg sampai dengan 15 mmHg</t>
  </si>
  <si>
    <t>Laju Buang Cepat tekanan 150 mmHg sampai dengan 15 mmHg Terkoreksi</t>
  </si>
  <si>
    <t>REV : 8 DEC 2020</t>
  </si>
  <si>
    <t>ADL</t>
  </si>
  <si>
    <t>PIL ADL</t>
  </si>
  <si>
    <t>Hasil</t>
  </si>
  <si>
    <t>Dany Firmanto</t>
  </si>
  <si>
    <t>Gusti Arya Dinata</t>
  </si>
  <si>
    <t>Hamdan Syarif</t>
  </si>
  <si>
    <t>Hary Ernanto</t>
  </si>
  <si>
    <t>Muhammad Irfan Husnuzhzhan</t>
  </si>
  <si>
    <t>Muhammad Iqbal Saiful Rahman</t>
  </si>
  <si>
    <t>Fatimah Novrianisa</t>
  </si>
  <si>
    <t>Venna Filosofia</t>
  </si>
  <si>
    <t>Stopwatch, Merek : Extech, Model : 365535, SN : 001449</t>
  </si>
  <si>
    <t>Alat yang dikalibrasi dalam batas toleransi dan dinyatakan LAIK PAKAI, dimana hasil atau skor akhir sama dengan atau melampaui 80% berdasarkan Keputusan Direktur Jenderal Pelayanan Kesehatan No : HK.02.02/V/0412/2020</t>
  </si>
  <si>
    <t>Alat yang dikalibrasi melebihi batas toleransi dan dinyatakan TIDAK LAIK PAKAI, dimana hasil atau skor akhir dibawah 80% berdasarkan Keputusan Direktur Jenderal Pelayanan Kesehatan No : HK.02.02/V/0412/2020</t>
  </si>
  <si>
    <t>Digital Pressure Meter, Merek : Fluke Biomedical, Model : DPM 4-2G, SN : 4813009</t>
  </si>
  <si>
    <t>Digital Pressure Meter, Merek : Fluke Biomedical, Model : DPM 4-2G, SN : 4819018</t>
  </si>
  <si>
    <t>Digital Pressure Meter, Merek : Fluke Biomedical, Model : DPM 4-2G, SN : 4600002</t>
  </si>
  <si>
    <t>Digital Pressure Meter, Merek : Fluke Biomedical, Model : DPM 4-2G, SN : 4821028</t>
  </si>
  <si>
    <t>Digital Thermohygrobarometer, Merek : EXTECH, Model : SD700, SN : A.100586</t>
  </si>
  <si>
    <t>Digital Thermohygrobarometer, Merek : EXTECH, Model : SD700, SN : A.100616</t>
  </si>
  <si>
    <t>Digital Thermohygrobarometer, Merek : EXTECH, Model : SD700, SN : A.100618</t>
  </si>
  <si>
    <t>Digital Thermohygrobarometer, Merek : EXTECH, Model : SD700, SN : A.100617</t>
  </si>
  <si>
    <t>11.11.2020</t>
  </si>
  <si>
    <t xml:space="preserve">Hasil laju buang cepat tertelusur ke satuan SI melalui PT. KALIMAN </t>
  </si>
  <si>
    <t xml:space="preserve">Digital Pressure Meter, Merek : Fluke Biomedical, Model : DPM 4-1H, SN : 3505042, 3534043, 3506049, 3505041   </t>
  </si>
  <si>
    <t xml:space="preserve">Digital Pressure Meter, Merek : Fluke Biomedical, Model : DPM 4-2H, SN : 3787040, 3191005  </t>
  </si>
  <si>
    <t xml:space="preserve">Digital Pressure Meter, Merek : Fluke Biomedical, Model : DPM 4-2G, SN : 4813009, 4819018, 4600002, 4821028, 1831021, 1831023,  4414016, 4414018 </t>
  </si>
  <si>
    <t xml:space="preserve">Digital Thermohygrometer, Merek : KIMO, Model : KH-210-AO, SN : 15062875, 15062874, 14082463, 15062872, 15062873 </t>
  </si>
  <si>
    <t>Digital Thermohygrobarometer, Merek : Greisinger, Model : GFTB 200, SN : 34903051, 34903053, 34904091, 34903334, 34903050</t>
  </si>
  <si>
    <t>Stopwatch, Merek : Extech, Model : 365535, SN : 001380, 001381, 001382, 001383, 001384, 001385, 001386, 001387, 001445, 001452, 005018, 001449</t>
  </si>
  <si>
    <t>Muhammad Arrizal Septiawan</t>
  </si>
  <si>
    <t>Taufik Priawan</t>
  </si>
  <si>
    <t>Septia Khairunnisa</t>
  </si>
  <si>
    <t>Wardimanul Abrar</t>
  </si>
  <si>
    <t>Muhammad Alpian Hadi</t>
  </si>
  <si>
    <t>Achmad Fauzan Adzim</t>
  </si>
  <si>
    <t>Ahmad Ghazali</t>
  </si>
  <si>
    <t>Ryan Rama Chaesar R</t>
  </si>
  <si>
    <t>Siti Fathul Jannah</t>
  </si>
  <si>
    <t>Azhar Alamsyah</t>
  </si>
  <si>
    <t>Sholihatussa'diah</t>
  </si>
  <si>
    <t>Hasil pengujian kebocoran dan kalibrasi akurasi tekanan tertelusur ke Satuan SI melalui PT. KALIMAN</t>
  </si>
  <si>
    <t>Hasil pengujian kebocoran dan kalibrasi akurasi tekanan tertelusur ke Satuan SI melalui SEAWARD</t>
  </si>
  <si>
    <t>Digital Pressure Meter, Merek : Fluke Biomedical, Model : DPM 4-2G, SN : 4821027</t>
  </si>
  <si>
    <t>23.7.2020</t>
  </si>
  <si>
    <t>Digital Pressure Meter, Merek : Fluke Biomedical, Model : DPM 4-2G, SN : 4611021</t>
  </si>
  <si>
    <t>Digital Pressure Meter, Merek : Fluke Biomedical, Model : DPM 4-2G, SN : 4821027,  4611021</t>
  </si>
  <si>
    <t>16.11.2020</t>
  </si>
  <si>
    <r>
      <t>(  Anak     /     Dewasa    )</t>
    </r>
    <r>
      <rPr>
        <vertAlign val="superscript"/>
        <sz val="8"/>
        <color theme="1"/>
        <rFont val="Arial"/>
        <family val="2"/>
      </rPr>
      <t xml:space="preserve"> </t>
    </r>
  </si>
  <si>
    <t>28.1.2019</t>
  </si>
  <si>
    <t>Vital Signs Simulator, Merek : Fluke Biomedical, Model : PROSIM 4, SN : 4416070</t>
  </si>
  <si>
    <t>Vital Signs Simulator, Merek : Fluke Biomedical, Model : PROSIM 4, SN : 4422046</t>
  </si>
  <si>
    <t>Vital Signs Simulator, Merek : Fluke Biomedical, Model : PROSIM 4, SN : 4422046, 4416070</t>
  </si>
  <si>
    <t>Laju Kebocoran tekanan 250 mmHg dalam 1 menit</t>
  </si>
  <si>
    <t>Laju Kebocoran tekanan 150 mmHg dalam 1 menit</t>
  </si>
  <si>
    <t>Laju Kebocoran tekanan 250 mmHg Terkoreksi dalam 1 menit</t>
  </si>
  <si>
    <t>Laju Kebocoran tekanan 150 mmHg Terkoreksi dalam 1 menit</t>
  </si>
  <si>
    <r>
      <t>&lt;</t>
    </r>
    <r>
      <rPr>
        <sz val="12"/>
        <color theme="1"/>
        <rFont val="Calibri"/>
        <family val="2"/>
        <scheme val="minor"/>
      </rPr>
      <t xml:space="preserve"> 15</t>
    </r>
  </si>
  <si>
    <r>
      <t>&lt;</t>
    </r>
    <r>
      <rPr>
        <sz val="11"/>
        <color theme="1"/>
        <rFont val="Arial"/>
        <family val="2"/>
      </rPr>
      <t xml:space="preserve"> 15</t>
    </r>
  </si>
  <si>
    <t>Tanggal</t>
  </si>
  <si>
    <t>Revisi</t>
  </si>
  <si>
    <t>Awal</t>
  </si>
  <si>
    <t>Akhir</t>
  </si>
  <si>
    <t>Toleransi
(mmHg)</t>
  </si>
  <si>
    <t>Pembacaan Alat
(mmHg)</t>
  </si>
  <si>
    <t>dirapikan, masih terhide</t>
  </si>
  <si>
    <r>
      <t>Nomor Sertifikat   /  Nomor Surat keterangan : 44 / …....... / …........ / E - …...........  DL  /  Dt</t>
    </r>
    <r>
      <rPr>
        <i/>
        <vertAlign val="subscript"/>
        <sz val="13"/>
        <color theme="1"/>
        <rFont val="Arial"/>
        <family val="2"/>
      </rPr>
      <t xml:space="preserve"> </t>
    </r>
  </si>
  <si>
    <t>6.4.2021</t>
  </si>
  <si>
    <t>sertifikat terbit 5.2.2021 SN : 12L-0536, 3505042,3534043, 1831023, 1831021</t>
  </si>
  <si>
    <t>5.2.2021</t>
  </si>
  <si>
    <t>Stopwatch, Merek : Casio, Model : HS - 80TW, SN : 611Q02R</t>
  </si>
  <si>
    <t>16.4.2021</t>
  </si>
  <si>
    <t xml:space="preserve">sertifikat terbit 8.2.2021 Stopwatch SN : 611Q02R, 510Q06R </t>
  </si>
  <si>
    <t>Nama</t>
  </si>
  <si>
    <t>Venna</t>
  </si>
  <si>
    <t>Rangga</t>
  </si>
  <si>
    <t>11 / II - 21 / E - 035.66 DL</t>
  </si>
  <si>
    <t>Nomor sertifikat tidak otomatis</t>
  </si>
  <si>
    <t>Sudah otomatis</t>
  </si>
  <si>
    <t>Arya</t>
  </si>
  <si>
    <t>3.6.2021</t>
  </si>
  <si>
    <t>4.6.2021</t>
  </si>
  <si>
    <t>1.4.2021</t>
  </si>
  <si>
    <t>26.3.2021</t>
  </si>
  <si>
    <t>2.6.2021</t>
  </si>
  <si>
    <t>4.3.2021</t>
  </si>
  <si>
    <t>6.9.2019</t>
  </si>
  <si>
    <t>12.7.2019</t>
  </si>
  <si>
    <t>22.1.2018</t>
  </si>
  <si>
    <t>Digital Thermohygrobarometer, Merek : Greisinger, Model : GFTB 202, SN : 34903053</t>
  </si>
  <si>
    <t>Digital Thermohygrobarometer, Merek : EXTECH, Model : SD700, SN : A.100615</t>
  </si>
  <si>
    <t>29.3.2021</t>
  </si>
  <si>
    <t>31.5.2021</t>
  </si>
  <si>
    <t>RESOLUSI</t>
  </si>
  <si>
    <t>26 Juli 2021</t>
  </si>
  <si>
    <t>Belum menambahkan koreksi tahun sebelumnya untuk perhitungan drift</t>
  </si>
  <si>
    <t>Sudah ditambahkan</t>
  </si>
  <si>
    <t>Diman</t>
  </si>
  <si>
    <t>27 Juli 2021</t>
  </si>
  <si>
    <t>Daya baca alat standar pada budget ketidakpastian belum sesuai dengan resolusi standar</t>
  </si>
  <si>
    <t>Sudah disesuailkan dengan resolusi standar</t>
  </si>
  <si>
    <t>12.11.2020</t>
  </si>
  <si>
    <t>Digital Thermohygrobarometer, Merek : EXTECH, Model : SD700, SN : A.100609, A.100611, A.100605, A.100586, A.100616, A.100618, A.100617, A.100615</t>
  </si>
  <si>
    <t>3 Januari 2021</t>
  </si>
  <si>
    <t>3 Januari `2021</t>
  </si>
  <si>
    <t>Hanya DPM-H</t>
  </si>
  <si>
    <t>Manset harap diganti</t>
  </si>
  <si>
    <t>Manset harap dilengkapi</t>
  </si>
  <si>
    <t>Titik ukur atas permintaan pelanggan</t>
  </si>
  <si>
    <t>Alat ukur yang digunakan DPM H, DPM G, BP SIM, AccuPulse, Uni Sim</t>
  </si>
  <si>
    <t>4.1.2021</t>
  </si>
  <si>
    <t>Link nilai rata rata terkoreksi turun (data 1 (c6))</t>
  </si>
  <si>
    <t>Link nilai rata rata terkoreksi turun (data 1 (f6))</t>
  </si>
  <si>
    <t>Digital Thermohygrometer, Merek : Sekonic, Model : ST - 50A, SN : HE 21-000670, HE 21-000669</t>
  </si>
  <si>
    <t>Choirul Huda, S.Tr. Kes</t>
  </si>
  <si>
    <t>SERTIFIKAT LAMA</t>
  </si>
  <si>
    <t>SERTIFIKAT TENGAH</t>
  </si>
  <si>
    <t>Naik Tengah</t>
  </si>
  <si>
    <t>Naik lama</t>
  </si>
  <si>
    <t>Turun Lama</t>
  </si>
  <si>
    <t>Turun Tengah</t>
  </si>
  <si>
    <t>27.1.2022</t>
  </si>
  <si>
    <t>koreksi pada dpm terdiri dari 2 sertifikat</t>
  </si>
  <si>
    <t>sekarang koreksinya  menjadi sertifikat dari 3 tahun terakhir guna kepentingan drift</t>
  </si>
  <si>
    <t>9.3.2017</t>
  </si>
  <si>
    <t>1.9.2021</t>
  </si>
  <si>
    <t>15062874, 2.6.2021</t>
  </si>
  <si>
    <t>3534043, 5.2.2021</t>
  </si>
  <si>
    <t>510Q06R. 8.2.2021</t>
  </si>
  <si>
    <t>0-50</t>
  </si>
  <si>
    <t>50-100</t>
  </si>
  <si>
    <t>100-150</t>
  </si>
  <si>
    <t>150-200</t>
  </si>
  <si>
    <t>200-250</t>
  </si>
  <si>
    <t>drift</t>
  </si>
  <si>
    <t>3.2.2022</t>
  </si>
  <si>
    <t>Validasi rumus excell</t>
  </si>
  <si>
    <t>sudah divalidasi rumus excell</t>
  </si>
  <si>
    <t>23.6.2021</t>
  </si>
  <si>
    <t>31.8.2021</t>
  </si>
  <si>
    <t>Update Sertifikat thermohygrometer KIMO 15062875, 15062873</t>
  </si>
  <si>
    <t>Koreksi sertifikat 2018 (DPM 4-2H 3787040) titik 150, 200, 250 mmhg</t>
  </si>
  <si>
    <t>21.6.2021</t>
  </si>
  <si>
    <t>10.2.2022</t>
  </si>
  <si>
    <t>update sertifikat stopwatch  001385, 001386, 001387, 001381, 001382, 001449</t>
  </si>
  <si>
    <t>DIman</t>
  </si>
  <si>
    <t>Timbangan Dewasa</t>
  </si>
  <si>
    <t>MK 051-18</t>
  </si>
  <si>
    <t>NIP 197806222002122001</t>
  </si>
  <si>
    <t>Yuni Irmawati, SKM., MA</t>
  </si>
  <si>
    <t>Fasilitas Kesehatan Banjarbaru</t>
  </si>
  <si>
    <t>Kepala Loka Pengamanan</t>
  </si>
  <si>
    <t>Banjarbaru,</t>
  </si>
  <si>
    <t>Laboratorium Kalibrasi LPFK Banjarbaru</t>
  </si>
  <si>
    <t xml:space="preserve">: </t>
  </si>
  <si>
    <t>Jalan Brigjend Hasan Basri</t>
  </si>
  <si>
    <t>Alamat Pemilik</t>
  </si>
  <si>
    <t>Negeri</t>
  </si>
  <si>
    <t xml:space="preserve">Identitas Pemilik     : </t>
  </si>
  <si>
    <t>RSUD Datu Sanggul</t>
  </si>
  <si>
    <t>Nama Pemilik      :</t>
  </si>
  <si>
    <t>Kapasitas</t>
  </si>
  <si>
    <t>Nomor Seri</t>
  </si>
  <si>
    <t>Model / Tipe</t>
  </si>
  <si>
    <t>Merek</t>
  </si>
  <si>
    <t xml:space="preserve">Nomor Order           : </t>
  </si>
  <si>
    <t xml:space="preserve">Nama Alat            : </t>
  </si>
  <si>
    <t>ISI DATA DISINI ^^</t>
  </si>
  <si>
    <t>Agustus</t>
  </si>
  <si>
    <t xml:space="preserve">                                                                 </t>
  </si>
  <si>
    <t>Tahun</t>
  </si>
  <si>
    <t>Bulan</t>
  </si>
  <si>
    <t>Tanggal kalibrasi alat</t>
  </si>
  <si>
    <t>SERTIFIKAT KALIBRASI</t>
  </si>
  <si>
    <t>Kepala LPFK Banjarbaru</t>
  </si>
  <si>
    <t xml:space="preserve">           Banjarbaru,</t>
  </si>
  <si>
    <t>Demikian surat keterangan ini dibuat, untuk dapat digunakan bilamana diperlukan.</t>
  </si>
  <si>
    <r>
      <t xml:space="preserve">Dinyatakan </t>
    </r>
    <r>
      <rPr>
        <b/>
        <i/>
        <u/>
        <sz val="12"/>
        <color theme="1"/>
        <rFont val="Times New Roman"/>
        <family val="1"/>
      </rPr>
      <t xml:space="preserve">tidak aman untuk pelayanan </t>
    </r>
    <r>
      <rPr>
        <sz val="12"/>
        <color theme="1"/>
        <rFont val="Times New Roman"/>
        <family val="1"/>
      </rPr>
      <t>dikarenakan pembacaan alat melebihi batas toleransi maksimal yang diijinkan (Hasil Terlampir).</t>
    </r>
  </si>
  <si>
    <t>Serial Number</t>
  </si>
  <si>
    <t>Merk</t>
  </si>
  <si>
    <t>Nama Alat</t>
  </si>
  <si>
    <t>Bahwa alat kesehatan tersebut dibawah ini :</t>
  </si>
  <si>
    <t>Nomor Order</t>
  </si>
  <si>
    <t>Alamat</t>
  </si>
  <si>
    <t>Nama Pemilik Alat</t>
  </si>
  <si>
    <t xml:space="preserve">Dengan ini kami sampaikan bahwa setelah dilakukan pengujian / kalibrasi alat kesehatan oleh tim Loka Pengamanan Fasilitas Kesehatan Banjarbaru, </t>
  </si>
  <si>
    <t>SURAT KETERANGAN</t>
  </si>
  <si>
    <t>MK 141 - 19</t>
  </si>
  <si>
    <t>GM.S - 141-2019 / REV : 0</t>
  </si>
  <si>
    <t>FV.MK - 14</t>
  </si>
  <si>
    <t>FV.S - 14 / REV : 0</t>
  </si>
  <si>
    <t>HFNC</t>
  </si>
  <si>
    <t>KL.MK - 14</t>
  </si>
  <si>
    <t>KL. S - 14 / REV : 0</t>
  </si>
  <si>
    <t>Bedside Monitor with Defibrillator</t>
  </si>
  <si>
    <t>KL.S - 14 / REV : 0</t>
  </si>
  <si>
    <r>
      <t>Defibrillator with ECG with SPO</t>
    </r>
    <r>
      <rPr>
        <sz val="11"/>
        <color theme="1"/>
        <rFont val="Calibri"/>
        <family val="2"/>
      </rPr>
      <t>₂</t>
    </r>
  </si>
  <si>
    <t>MK 081 - 2019</t>
  </si>
  <si>
    <t>SH.S - 081 - 2019 / REV :0</t>
  </si>
  <si>
    <t>Blood Warmer</t>
  </si>
  <si>
    <t>Medical Freezer</t>
  </si>
  <si>
    <t>Stirrer</t>
  </si>
  <si>
    <t>Parafin Bath</t>
  </si>
  <si>
    <t>Mikropipet Multi Channel</t>
  </si>
  <si>
    <t>SK.MK - 09</t>
  </si>
  <si>
    <t>SH.S - 09 / REV : 0</t>
  </si>
  <si>
    <t>Water Bath</t>
  </si>
  <si>
    <t>T.MK - 04 (ECRI 459 - 20010301)</t>
  </si>
  <si>
    <t>T.S - 04 / REV : 0</t>
  </si>
  <si>
    <t>Wall Suction</t>
  </si>
  <si>
    <t>FV.MK - 10</t>
  </si>
  <si>
    <t>FV.S - 10 / REV : 0</t>
  </si>
  <si>
    <t>Ventilator</t>
  </si>
  <si>
    <t>FV.MK - 08 (ECRI 436 - 20010301)</t>
  </si>
  <si>
    <t>FV.S - 08 / REV : 0</t>
  </si>
  <si>
    <t>Vaporizer</t>
  </si>
  <si>
    <t>Vacuum Extractor</t>
  </si>
  <si>
    <t>MK 067 - 18</t>
  </si>
  <si>
    <t>OA.S - 067 - 18 / REV : 0</t>
  </si>
  <si>
    <t>UV Sterilizer</t>
  </si>
  <si>
    <t>UV Lamp</t>
  </si>
  <si>
    <t>MK 065 - 18</t>
  </si>
  <si>
    <t>OA.S - 065 - 18 / REV : 0</t>
  </si>
  <si>
    <t>USG</t>
  </si>
  <si>
    <t>KL.MK - 10</t>
  </si>
  <si>
    <t>KL.S - 11 / REV : 0</t>
  </si>
  <si>
    <t>Ultrasound Therapy</t>
  </si>
  <si>
    <t>MK 054 - 18</t>
  </si>
  <si>
    <t>WF.S - 054-18 / REV : 1</t>
  </si>
  <si>
    <t>Treadmill with ECG</t>
  </si>
  <si>
    <t>Treadmill</t>
  </si>
  <si>
    <t>GM.MK - 07</t>
  </si>
  <si>
    <t>GM.S - 07 / REV : 1</t>
  </si>
  <si>
    <t>Traction Unit</t>
  </si>
  <si>
    <t>GM.S - 051-18 / REV : 0</t>
  </si>
  <si>
    <t>Timbangan Bayi</t>
  </si>
  <si>
    <t>SH.MK - 11</t>
  </si>
  <si>
    <t>SH.S - 11 / REV : 0</t>
  </si>
  <si>
    <t>Thermometer Klinik</t>
  </si>
  <si>
    <t>MK 047 - 18</t>
  </si>
  <si>
    <t>FV.S - 047-18 / REV : 0</t>
  </si>
  <si>
    <t>Syringe Pump</t>
  </si>
  <si>
    <t>Suction Thorax</t>
  </si>
  <si>
    <t>MK 044 - 18</t>
  </si>
  <si>
    <t>SH.S - 044-18 / REV : 1</t>
  </si>
  <si>
    <t>Sterilisator Kering</t>
  </si>
  <si>
    <t>SH.MK - 08</t>
  </si>
  <si>
    <t>SH.LHU - 08 / REV.0</t>
  </si>
  <si>
    <t>Sterilisator Basah</t>
  </si>
  <si>
    <t>FV.MK - 04</t>
  </si>
  <si>
    <t>FV.S - 04 / REV : 0</t>
  </si>
  <si>
    <t>Spirometer</t>
  </si>
  <si>
    <t>MK 042 - 18</t>
  </si>
  <si>
    <t>T.S - 042 - 18 / REV : 1</t>
  </si>
  <si>
    <t>Sphygmomanometer</t>
  </si>
  <si>
    <t>Short Wave Diathermi</t>
  </si>
  <si>
    <t>MK 041-18</t>
  </si>
  <si>
    <t>OA.S - 041-18 / REV : 1</t>
  </si>
  <si>
    <t>Pulse Oxymeter</t>
  </si>
  <si>
    <t>MK 038 - 18</t>
  </si>
  <si>
    <t>OA.S - 038-18 / REV : 0</t>
  </si>
  <si>
    <t>Phototherapy</t>
  </si>
  <si>
    <t>MK 036 - 18</t>
  </si>
  <si>
    <t>SH.S - 036-18 /REV : 0</t>
  </si>
  <si>
    <t>Oven</t>
  </si>
  <si>
    <t>MK 037 - 18</t>
  </si>
  <si>
    <t>FV.S - 037-18 / REV : 0</t>
  </si>
  <si>
    <t>Oxygen Concentrator</t>
  </si>
  <si>
    <t>MK 035 - 18</t>
  </si>
  <si>
    <t>FV.S - 035-18 / REV : 0</t>
  </si>
  <si>
    <t>Nebulizer</t>
  </si>
  <si>
    <t>FV.MK - 13</t>
  </si>
  <si>
    <t>FV.S - 13 / REV : 0</t>
  </si>
  <si>
    <t>Mikropipet Variable</t>
  </si>
  <si>
    <t>MK 114 - 2019</t>
  </si>
  <si>
    <t>FV.S - 114-19 / REV : 0</t>
  </si>
  <si>
    <t>Mikropipet Fixed</t>
  </si>
  <si>
    <t>FV.MK - 07</t>
  </si>
  <si>
    <t>FV.S - 07 / REV : 0</t>
  </si>
  <si>
    <t>Anesthesi Unit</t>
  </si>
  <si>
    <t>OA.MK - 06 (IEC 60601 - 2 41)</t>
  </si>
  <si>
    <t>OA.S - 06 / REV : 0</t>
  </si>
  <si>
    <t>Lampu Operasi (Mobile Type)</t>
  </si>
  <si>
    <t>MK 029 - 18</t>
  </si>
  <si>
    <t>OA.S - 029-18 / REV : 0</t>
  </si>
  <si>
    <t>Lampu Operasi (Ceiling Type)</t>
  </si>
  <si>
    <t>MK 040-18</t>
  </si>
  <si>
    <t>WF.S - 040-18 / REV : 1</t>
  </si>
  <si>
    <t>Rotator</t>
  </si>
  <si>
    <t>SH.MK - 07</t>
  </si>
  <si>
    <t>SH.S - 07 / REV : 0</t>
  </si>
  <si>
    <t>Laboratorium Refrigerator</t>
  </si>
  <si>
    <t>MK 028 - 18</t>
  </si>
  <si>
    <t>SH.S - 028 - 18 / REV : 1</t>
  </si>
  <si>
    <t>Inkubator Laboratorium</t>
  </si>
  <si>
    <t>MK 027-18</t>
  </si>
  <si>
    <t>FV.S - 027-18 / REV : 0</t>
  </si>
  <si>
    <t>Infusion Pump</t>
  </si>
  <si>
    <t>SH.MK - 04</t>
  </si>
  <si>
    <t>SH.S - 04 / REV : 0</t>
  </si>
  <si>
    <t>Infant Warmer</t>
  </si>
  <si>
    <t>Heart Rate Monitor</t>
  </si>
  <si>
    <t>OA.MK - 011</t>
  </si>
  <si>
    <t>OA.S - 011 / REV : 0</t>
  </si>
  <si>
    <t>Head Lamp</t>
  </si>
  <si>
    <t>FV.MK - 12</t>
  </si>
  <si>
    <t>FV.S - 12 / REV : 0</t>
  </si>
  <si>
    <t>Hemodialisa</t>
  </si>
  <si>
    <t>MK 025 - 18</t>
  </si>
  <si>
    <t>FV.S - 025-18 / REV : 0</t>
  </si>
  <si>
    <t>Flowmeter</t>
  </si>
  <si>
    <t>OA.MK - 04</t>
  </si>
  <si>
    <t>OA.S - 04 / REV : 0</t>
  </si>
  <si>
    <t>Examination Lamp</t>
  </si>
  <si>
    <t>KL.MK - 06</t>
  </si>
  <si>
    <t>KL.S - 06 / REV : 0</t>
  </si>
  <si>
    <t>Electrosurgery Unit</t>
  </si>
  <si>
    <t>KL.MK - 11</t>
  </si>
  <si>
    <t>Elektro Stimulator</t>
  </si>
  <si>
    <t>MK 021 - 18</t>
  </si>
  <si>
    <t>KL.S - 021-18 / REV : 1</t>
  </si>
  <si>
    <t>EEG</t>
  </si>
  <si>
    <t>MK 020 - 18</t>
  </si>
  <si>
    <t>KL.S - 020-18 / REV : 0</t>
  </si>
  <si>
    <t>Electrocardiograph</t>
  </si>
  <si>
    <t>MK 024 - 18</t>
  </si>
  <si>
    <t>OA.S - 024 - 18 / REV : 1</t>
  </si>
  <si>
    <t>Fetal Doppler</t>
  </si>
  <si>
    <t>GM.MK - 03</t>
  </si>
  <si>
    <t>GM.S - 03 / REV : 0</t>
  </si>
  <si>
    <t>Dental Unit</t>
  </si>
  <si>
    <t>KL.MK - 03</t>
  </si>
  <si>
    <t>KL.S - 03 / REV : 0</t>
  </si>
  <si>
    <t>Defibrillator with ECG</t>
  </si>
  <si>
    <t>Defibrillator Monitor</t>
  </si>
  <si>
    <t>Defibrillator</t>
  </si>
  <si>
    <t>MK 015 - 18</t>
  </si>
  <si>
    <t>OA.S - 015-18 / REV : 1</t>
  </si>
  <si>
    <t>CTG</t>
  </si>
  <si>
    <t>Desember</t>
  </si>
  <si>
    <t>MK 017-18</t>
  </si>
  <si>
    <t>FV.S 017-18 / REV : 0</t>
  </si>
  <si>
    <t>CPAP</t>
  </si>
  <si>
    <t>November</t>
  </si>
  <si>
    <t>MK 016 - 18</t>
  </si>
  <si>
    <t>WF.S - 016-18 / REV : 0</t>
  </si>
  <si>
    <t>Centrifuge Refrigerator</t>
  </si>
  <si>
    <t xml:space="preserve">Oktober </t>
  </si>
  <si>
    <t>Centrifuge</t>
  </si>
  <si>
    <t>September</t>
  </si>
  <si>
    <t>MK 014 - 18</t>
  </si>
  <si>
    <t>T.S 014-18 / REV : 1</t>
  </si>
  <si>
    <t>Blood Pressure Monitor</t>
  </si>
  <si>
    <t>SH.MK - 03</t>
  </si>
  <si>
    <t>SH.S - 03 / REV : 0</t>
  </si>
  <si>
    <t>Blood Bank</t>
  </si>
  <si>
    <t xml:space="preserve">Juli </t>
  </si>
  <si>
    <t>KL.MK - 05</t>
  </si>
  <si>
    <t>KL.S - 05 / REV : 0</t>
  </si>
  <si>
    <t>Patient Monitor</t>
  </si>
  <si>
    <t>Juni</t>
  </si>
  <si>
    <t>SH.MK - 02</t>
  </si>
  <si>
    <t>SH.S - 02 / REV : 0</t>
  </si>
  <si>
    <t>Baby Incubator</t>
  </si>
  <si>
    <t>Mei</t>
  </si>
  <si>
    <t>SH.MK - 01</t>
  </si>
  <si>
    <t>SH.S - 01 / REV : 0</t>
  </si>
  <si>
    <t>Autoclave</t>
  </si>
  <si>
    <t xml:space="preserve">April </t>
  </si>
  <si>
    <t>MK 007 - 18</t>
  </si>
  <si>
    <t>OA.S - 007-18 / REV : 1</t>
  </si>
  <si>
    <t>Audiometer</t>
  </si>
  <si>
    <t xml:space="preserve">Maret </t>
  </si>
  <si>
    <t>FV.MK - 09</t>
  </si>
  <si>
    <t>FV. S - 09 / REV : 0</t>
  </si>
  <si>
    <t>Anasthesi Ventilator</t>
  </si>
  <si>
    <t xml:space="preserve">Februari </t>
  </si>
  <si>
    <t>MK 004 - 18</t>
  </si>
  <si>
    <t>GM.S - 004-18 / REV : 1</t>
  </si>
  <si>
    <t>Analitical Balance</t>
  </si>
  <si>
    <t>Januari</t>
  </si>
  <si>
    <t>MK 046 - 18</t>
  </si>
  <si>
    <t>T.S - 046 - 18 / REV : 1</t>
  </si>
  <si>
    <t>Suction Pump</t>
  </si>
  <si>
    <t>Kode MK</t>
  </si>
  <si>
    <t>Kode Alat</t>
  </si>
  <si>
    <t>No</t>
  </si>
  <si>
    <t>Menambahkan sheet Sertifikat</t>
  </si>
  <si>
    <t>11.2.2022</t>
  </si>
  <si>
    <t>Rev 15 : 14.2.2022</t>
  </si>
  <si>
    <t>VK</t>
  </si>
  <si>
    <t xml:space="preserve">Hasil Kalibrasi Sphygmomanometer </t>
  </si>
  <si>
    <t>2.3.2022</t>
  </si>
  <si>
    <t>T.042-18</t>
  </si>
  <si>
    <t>Perubahan misal : T.ID-042-18/Rev:1</t>
  </si>
  <si>
    <t>menjadi misal : T.ID-042-18</t>
  </si>
  <si>
    <t>Merubah menjadi huruf kapital : HASIL KALIBRASI SPHYGMOMANOMETER</t>
  </si>
  <si>
    <t xml:space="preserve"> ˚C</t>
  </si>
  <si>
    <t>±</t>
  </si>
  <si>
    <t xml:space="preserve"> % RH</t>
  </si>
  <si>
    <t xml:space="preserve"> ˚C, %RH</t>
  </si>
  <si>
    <t>dibuat terpisah dari angka</t>
  </si>
  <si>
    <t>4.3.2022</t>
  </si>
  <si>
    <t>Digital Pressure Meter, Merek : Fluke Biomedical, Model : DPM 4-1H, SN : 3534043</t>
  </si>
  <si>
    <t>Digital Pressure Meter, Merek : Fluke Biomedical, Model : DPM 4-1H, SN : 3506049</t>
  </si>
  <si>
    <t>Digital Pressure Meter, Merek : Fluke Biomedical, Model : DPM 4-1H, SN : 3505041</t>
  </si>
  <si>
    <t>Digital Pressure Meter, Merek : Fluke Biomedical, Model : DPM 4-2H, SN : 3787040</t>
  </si>
  <si>
    <t>Digital Pressure Meter, Merek : Fluke Biomedical, Model : DPM 4-2H, SN : 3191005</t>
  </si>
  <si>
    <t>Vital Signs Simulator, Merek : Rigel, Model : UNI-SIM, SN : 05J-0804</t>
  </si>
  <si>
    <t>Jalan ABC</t>
  </si>
  <si>
    <t>NOMOR ORDER</t>
  </si>
  <si>
    <t>KUNCI KOP SERTIFIKAT</t>
  </si>
  <si>
    <t>PENENTU KOP SERTIFIKAT</t>
  </si>
  <si>
    <t>BAHAN</t>
  </si>
  <si>
    <t>SERTIFIKAT PENGUJIAN</t>
  </si>
  <si>
    <t>BAHAN RUANGAN &amp; PENANGGUNG JAWAB</t>
  </si>
  <si>
    <t>NAMA RUANGAN PADA INPUT DATA</t>
  </si>
  <si>
    <t>MENAMBAH 1 TAHUN SEBELUMNYA</t>
  </si>
  <si>
    <t>MERUBAH DARI ANGKA KE HURUF</t>
  </si>
  <si>
    <t>HASIL KALIBRASI</t>
  </si>
  <si>
    <t>BAHAN GABUNGAN</t>
  </si>
  <si>
    <t xml:space="preserve">Laik Pakai, disarankan untuk dikalibrasi ulang pada tanggal </t>
  </si>
  <si>
    <t xml:space="preserve">Laik Pakai, disarankan untuk diuji ulang pada tanggal </t>
  </si>
  <si>
    <t>Digital Thermohygrometer, Merek : Sekonic, Model : ST - 50A, SN : HE 21-000670</t>
  </si>
  <si>
    <t>Digital Thermohygrometer, Merek : Sekonic, Model : ST - 50A, SN : HE 21-000669</t>
  </si>
  <si>
    <t>Digital Thermohygrobarometer, Merek : Greisinger, Model : GFT 200, SN : 34903046</t>
  </si>
  <si>
    <t>Digital Thermohygrometer, Merek : KIMO, Model : KH-210-AO, SN : 15062873</t>
  </si>
  <si>
    <t>Digital Thermohygrobarometer, Merek : Greisinger, Model : GFTB 200, SN : 34904091</t>
  </si>
  <si>
    <t>Digital Thermohygrobarometer, Merek : Greisinger, Model : GFTB 200, SN : 34903053</t>
  </si>
  <si>
    <t>Stopwatch, Merek : Casio, Model : HS - 80TW, SN : 510Q06R</t>
  </si>
  <si>
    <t>Manset dan Bulb harap diganti</t>
  </si>
  <si>
    <t>Bulb harap diganti</t>
  </si>
  <si>
    <t xml:space="preserve">Bulb harap dilengkapi </t>
  </si>
  <si>
    <t>Manset dan bulb harap dilengkapi</t>
  </si>
  <si>
    <t>Bulb harap dilengkapi</t>
  </si>
  <si>
    <t>Suhu koreksi</t>
  </si>
  <si>
    <t>Suhu Awal</t>
  </si>
  <si>
    <t xml:space="preserve">Suhu Akhir </t>
  </si>
  <si>
    <t>Kelembapan Awal</t>
  </si>
  <si>
    <t>Kelembapan Koreksi</t>
  </si>
  <si>
    <t>Kelembapan Akhir</t>
  </si>
  <si>
    <t>U naik</t>
  </si>
  <si>
    <t>Digital Pressure Meter, Merek : Fluke Biomedical, Model : DPM 4-2G, SN : 4414018</t>
  </si>
  <si>
    <t>Digital Pressure Meter, Merek : Fluke Biomedical, Model : DPM 4-2G, SN : 1831021</t>
  </si>
  <si>
    <t>H68+(FORECAST(H68,INDEX('DATA 1'!$C$6:$C$14,MATCH(H68,'DATA 1'!$B$6:$B$14,1)):INDEX('DATA 1'!$C$6:$C$14,MATCH(H68,'DATA 1'!$B$6:$B$14,1)+1),INDEX('DATA 1'!$B$6:$B$14,MATCH(H68,'DATA 1'!$B$6:$B$14,1)):INDEX('DATA 1'!$B$6:$B$14,MATCH(H68,'DATA 1'!$B$6:$B$14,1)+1)))</t>
  </si>
  <si>
    <t>INDEX('DATA 1'!$C$6:$C$14,MATCH(H68,'DATA 1'!$B$6:$B$14,1))</t>
  </si>
  <si>
    <t>INDEX('DATA 1'!$C$6:$C$14,MATCH(H68,'DATA 1'!$B$6:$B$14,1)+1)</t>
  </si>
  <si>
    <t>INDEX('DATA 1'!$B$6:$B$14,MATCH(H68,'DATA 1'!$B$6:$B$14,1))</t>
  </si>
  <si>
    <t>INDEX('DATA 1'!$B$6:$B$14,MATCH(H68,'DATA 1'!$B$6:$B$14,1)+1)</t>
  </si>
  <si>
    <t>FORECAST(H68,S81:T81,U81:V81)</t>
  </si>
  <si>
    <t>KUNCI :</t>
  </si>
  <si>
    <t>INDEX('DATA 1'!$C$6:$C$14,MATCH(I68,'DATA 1'!$B$6:$B$14,1))</t>
  </si>
  <si>
    <t>INDEX('DATA 1'!$C$6:$C$14,MATCH(I68,'DATA 1'!$B$6:$B$14,1)+1)</t>
  </si>
  <si>
    <t>INDEX('DATA 1'!$B$6:$B$14,MATCH(I68,'DATA 1'!$B$6:$B$14,1))</t>
  </si>
  <si>
    <t>INDEX('DATA 1'!$B$6:$B$14,MATCH(I68,'DATA 1'!$B$6:$B$14,1)+1)</t>
  </si>
  <si>
    <t>FORECAST(I68,S88:T88,U88:V88)</t>
  </si>
  <si>
    <t>X1</t>
  </si>
  <si>
    <t>Y1</t>
  </si>
  <si>
    <t>Y2</t>
  </si>
  <si>
    <t>X2</t>
  </si>
  <si>
    <t>DRIFT NAIK</t>
  </si>
  <si>
    <t>X</t>
  </si>
  <si>
    <t>INTERPOLASI (Y)</t>
  </si>
  <si>
    <t>BAB : INTERPOLASI PENGHASIL NILAI RATA RATA TERKOREKSI</t>
  </si>
  <si>
    <t>INTERPOLASI KOREKSI NAIK</t>
  </si>
  <si>
    <t>INTERPOLASI KOREKSI TURUN</t>
  </si>
  <si>
    <t>INTERPOLASI U95 NAIK</t>
  </si>
  <si>
    <t>INTERPOLASI U95 TURUN</t>
  </si>
  <si>
    <t>UNCERTAINTY BUDGET  (SERTIFIKAT STANDAR)</t>
  </si>
  <si>
    <t>UNCERTAINTY BUDGET  (DRIFT)</t>
  </si>
  <si>
    <t>update sertifikat tensimeter 3534043 (10.2.2022), 3505042 (9.2.2022), 3787040 (8.3.2022), 3191005 (9.3.2022), A.100605 (2.3.2022), A.100609 (4.3.2022), A.100611 (4.3.2022), 001380 (7.2.2022), 001381 (2.3.2022), 001382 (7.2.2022), 001383 (7.2.2022), 001384 (7.2.2022), 001385 (2.3.2022), 001386 (2.3.2022), 001387 (7.2.2022), 001445 (7.2.2022), 001449 (7.2.2022), 001452 (2.3.2022), 005018 (7.2.2022), 510Q06R (7.2.2022), 605Q11R (2.3.2022), 510Q06R (7.2.2022)</t>
  </si>
  <si>
    <t>6.4.2022 dan 11.4.2022</t>
  </si>
  <si>
    <t>LAMA</t>
  </si>
  <si>
    <t>TENGAH</t>
  </si>
  <si>
    <t>BARU</t>
  </si>
  <si>
    <t>9.3.2022</t>
  </si>
  <si>
    <t>9.2.2022</t>
  </si>
  <si>
    <t>8.3.2022</t>
  </si>
  <si>
    <t>7.2.2022</t>
  </si>
  <si>
    <t>Stopwatch, Merek : Casio, Model : HS - 80TW, SN : 605Q11R</t>
  </si>
  <si>
    <t>11.4.2022</t>
  </si>
  <si>
    <t>merombak interpolasi forecast pada tiap sheet ke kolom interpolasi</t>
  </si>
  <si>
    <t>OA.042-18</t>
  </si>
  <si>
    <t>KOREKSI SUHU AWAL</t>
  </si>
  <si>
    <t>KOREKSI SUHU AKHIR</t>
  </si>
  <si>
    <t>KOREKSI KELEMBABAN AWAL</t>
  </si>
  <si>
    <t>KONDISI SUHU RUANG</t>
  </si>
  <si>
    <t>KOREKSI SERTIFIKAT DPM TURUN</t>
  </si>
  <si>
    <t>PENGUJIAN KEBOCORAN</t>
  </si>
  <si>
    <t>LAJU BUANG CEPAT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</si>
</sst>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164" formatCode="0.0"/>
    <numFmt numFmtId="165" formatCode="0.0000"/>
    <numFmt numFmtId="166" formatCode="\±\ \ 0.0"/>
    <numFmt numFmtId="167" formatCode="0.0\ \ \ \°\C"/>
    <numFmt numFmtId="168" formatCode="0.0\ \ &quot;% RH&quot;"/>
    <numFmt numFmtId="169" formatCode="0.0\ \ \±\ \ "/>
    <numFmt numFmtId="170" formatCode="0.00\ \°\C"/>
    <numFmt numFmtId="171" formatCode="0.000"/>
    <numFmt numFmtId="172" formatCode="0.000000000"/>
    <numFmt numFmtId="173" formatCode="0\ &quot;mmHg&quot;"/>
    <numFmt numFmtId="174" formatCode="0\ \ &quot;mmHg&quot;"/>
    <numFmt numFmtId="175" formatCode="0.00000"/>
    <numFmt numFmtId="176" formatCode="0.0\ &quot;%&quot;"/>
    <numFmt numFmtId="177" formatCode="0.00\ &quot;%&quot;"/>
    <numFmt numFmtId="178" formatCode="0.000000000000"/>
    <numFmt numFmtId="179" formatCode="0.0000000000000"/>
    <numFmt numFmtId="180" formatCode="dd/mm/yyyy;@"/>
    <numFmt numFmtId="181" formatCode="[$-421]dd\ mmmm\ yyyy;@"/>
    <numFmt numFmtId="182" formatCode="\ 0.000\ &quot;interpolasi&quot;"/>
    <numFmt numFmtId="183" formatCode="0.000\ &quot;interpolasi&quot;\ "/>
    <numFmt numFmtId="184" formatCode="0.000\ &quot;rata terkoreksi&quot;"/>
    <numFmt numFmtId="185" formatCode="0.0\ &quot;X1&quot;\ "/>
    <numFmt numFmtId="186" formatCode="0.0\ &quot;Y1&quot;\ "/>
    <numFmt numFmtId="187" formatCode="0.0\ &quot;X2&quot;\ "/>
    <numFmt numFmtId="188" formatCode="0.0\ &quot;Y2&quot;\ "/>
    <numFmt numFmtId="189" formatCode="0.0\ &quot;akhir&quot;"/>
    <numFmt numFmtId="190" formatCode="0.000\ &quot;average&quot;\ "/>
    <numFmt numFmtId="191" formatCode="0.0\ &quot;awal&quot;\ "/>
    <numFmt numFmtId="192" formatCode="0.000\ &quot;laju kebocoran&quot;\ "/>
    <numFmt numFmtId="193" formatCode="0.00\ &quot;Y2&quot;\ "/>
    <numFmt numFmtId="194" formatCode="0.000\ &quot;Y2&quot;\ "/>
    <numFmt numFmtId="195" formatCode="0.000\ &quot;Laju buang&quot;\ "/>
    <numFmt numFmtId="196" formatCode="0.000\ &quot;average naik&quot;\ "/>
    <numFmt numFmtId="197" formatCode="0.000\ &quot;average turun&quot;\ "/>
    <numFmt numFmtId="198" formatCode="0.000\ &quot;rata terkoreksi naik&quot;"/>
    <numFmt numFmtId="199" formatCode="0.0000\ &quot;interpolasi&quot;\ "/>
    <numFmt numFmtId="200" formatCode="0.000&quot;rata terkoreksi turun&quot;"/>
    <numFmt numFmtId="201" formatCode="[$-C09]d\ mmmm\ yyyy;@"/>
    <numFmt numFmtId="202" formatCode="[$-F800]dddd\,\ mmmm\ dd\,\ yyyy"/>
    <numFmt numFmtId="203" formatCode="0\ &quot;BPM&quot;"/>
  </numFmts>
  <fonts count="135" x14ac:knownFonts="1">
    <font>
      <sz val="10"/>
      <name val="Arial"/>
    </font>
    <font>
      <sz val="11"/>
      <color theme="1"/>
      <name val="Calibri"/>
      <family val="2"/>
      <scheme val="minor"/>
    </font>
    <font>
      <sz val="11"/>
      <color theme="1"/>
      <name val="Calibri"/>
      <family val="2"/>
      <scheme val="minor"/>
    </font>
    <font>
      <sz val="12"/>
      <color theme="1"/>
      <name val="Calibri"/>
      <family val="2"/>
      <scheme val="minor"/>
    </font>
    <font>
      <sz val="10"/>
      <name val="Times New Roman"/>
      <family val="1"/>
    </font>
    <font>
      <sz val="8"/>
      <name val="Arial"/>
      <family val="2"/>
    </font>
    <font>
      <sz val="10"/>
      <name val="Arial"/>
      <family val="2"/>
    </font>
    <font>
      <sz val="10"/>
      <color theme="1"/>
      <name val="Times New Roman"/>
      <family val="1"/>
    </font>
    <font>
      <b/>
      <sz val="10"/>
      <name val="Arial"/>
      <family val="2"/>
    </font>
    <font>
      <b/>
      <sz val="10"/>
      <name val="Times New Roman"/>
      <family val="1"/>
    </font>
    <font>
      <sz val="12"/>
      <name val="Calibri"/>
      <family val="2"/>
      <scheme val="minor"/>
    </font>
    <font>
      <b/>
      <vertAlign val="superscript"/>
      <sz val="12"/>
      <name val="Calibri"/>
      <family val="2"/>
    </font>
    <font>
      <sz val="12"/>
      <color theme="1"/>
      <name val="Calibri"/>
      <family val="2"/>
      <scheme val="minor"/>
    </font>
    <font>
      <i/>
      <sz val="12"/>
      <color theme="1"/>
      <name val="Calibri"/>
      <family val="2"/>
      <scheme val="minor"/>
    </font>
    <font>
      <b/>
      <sz val="8"/>
      <name val="Times New Roman"/>
      <family val="1"/>
    </font>
    <font>
      <b/>
      <sz val="8"/>
      <color theme="1"/>
      <name val="Times New Roman"/>
      <family val="1"/>
    </font>
    <font>
      <b/>
      <sz val="10"/>
      <color theme="1"/>
      <name val="Calibri"/>
      <family val="2"/>
      <scheme val="minor"/>
    </font>
    <font>
      <sz val="8"/>
      <name val="Calibri"/>
      <family val="2"/>
      <scheme val="minor"/>
    </font>
    <font>
      <sz val="10"/>
      <color theme="1"/>
      <name val="Calibri"/>
      <family val="2"/>
      <scheme val="minor"/>
    </font>
    <font>
      <i/>
      <sz val="8"/>
      <color theme="1"/>
      <name val="Tahoma"/>
      <family val="2"/>
    </font>
    <font>
      <sz val="8"/>
      <name val="Tahoma"/>
      <family val="2"/>
    </font>
    <font>
      <b/>
      <sz val="8"/>
      <name val="Tahoma"/>
      <family val="2"/>
    </font>
    <font>
      <b/>
      <sz val="8"/>
      <color theme="1"/>
      <name val="Tahoma"/>
      <family val="2"/>
    </font>
    <font>
      <b/>
      <u/>
      <sz val="14"/>
      <color theme="1"/>
      <name val="Calibri"/>
      <family val="2"/>
      <scheme val="minor"/>
    </font>
    <font>
      <i/>
      <sz val="13"/>
      <color theme="1"/>
      <name val="Calibri"/>
      <family val="2"/>
      <scheme val="minor"/>
    </font>
    <font>
      <b/>
      <i/>
      <sz val="13"/>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u/>
      <sz val="10"/>
      <color theme="1"/>
      <name val="Calibri"/>
      <family val="2"/>
      <scheme val="minor"/>
    </font>
    <font>
      <vertAlign val="subscript"/>
      <sz val="10"/>
      <color theme="1"/>
      <name val="Calibri"/>
      <family val="2"/>
      <scheme val="minor"/>
    </font>
    <font>
      <sz val="10"/>
      <color theme="1"/>
      <name val="Arial"/>
      <family val="2"/>
    </font>
    <font>
      <sz val="8"/>
      <color theme="1"/>
      <name val="Calibri"/>
      <family val="2"/>
      <scheme val="minor"/>
    </font>
    <font>
      <b/>
      <sz val="13"/>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
      <i/>
      <vertAlign val="subscript"/>
      <sz val="12"/>
      <color theme="1"/>
      <name val="Calibri"/>
      <family val="2"/>
      <scheme val="minor"/>
    </font>
    <font>
      <sz val="13"/>
      <color theme="1"/>
      <name val="Calibri"/>
      <family val="2"/>
      <scheme val="minor"/>
    </font>
    <font>
      <b/>
      <sz val="10"/>
      <color theme="1"/>
      <name val="Arial"/>
      <family val="2"/>
    </font>
    <font>
      <sz val="12"/>
      <color theme="1"/>
      <name val="Calibri"/>
      <family val="2"/>
    </font>
    <font>
      <b/>
      <u/>
      <sz val="10"/>
      <color theme="1"/>
      <name val="Arial"/>
      <family val="2"/>
    </font>
    <font>
      <sz val="8"/>
      <name val="Times New Roman"/>
      <family val="1"/>
    </font>
    <font>
      <b/>
      <u/>
      <sz val="13"/>
      <color theme="1"/>
      <name val="Calibri"/>
      <family val="2"/>
      <scheme val="minor"/>
    </font>
    <font>
      <sz val="12"/>
      <color rgb="FFFF0000"/>
      <name val="Calibri"/>
      <family val="2"/>
      <scheme val="minor"/>
    </font>
    <font>
      <b/>
      <sz val="10"/>
      <color rgb="FFFF0000"/>
      <name val="Calibri"/>
      <family val="2"/>
      <scheme val="minor"/>
    </font>
    <font>
      <sz val="10"/>
      <color rgb="FFFF0000"/>
      <name val="Calibri"/>
      <family val="2"/>
      <scheme val="minor"/>
    </font>
    <font>
      <b/>
      <sz val="12"/>
      <color rgb="FFFF0000"/>
      <name val="Calibri"/>
      <family val="2"/>
      <scheme val="minor"/>
    </font>
    <font>
      <i/>
      <sz val="12"/>
      <color rgb="FFFF0000"/>
      <name val="Calibri"/>
      <family val="2"/>
      <scheme val="minor"/>
    </font>
    <font>
      <sz val="10"/>
      <color rgb="FFFF0000"/>
      <name val="Arial"/>
      <family val="2"/>
    </font>
    <font>
      <b/>
      <sz val="16"/>
      <name val="Calibri"/>
      <family val="2"/>
      <scheme val="minor"/>
    </font>
    <font>
      <b/>
      <sz val="11"/>
      <name val="Calibri"/>
      <family val="2"/>
      <scheme val="minor"/>
    </font>
    <font>
      <b/>
      <sz val="8"/>
      <name val="Calibri"/>
      <family val="2"/>
      <scheme val="minor"/>
    </font>
    <font>
      <b/>
      <sz val="10"/>
      <name val="Calibri"/>
      <family val="2"/>
      <scheme val="minor"/>
    </font>
    <font>
      <sz val="11"/>
      <name val="Arial"/>
      <family val="2"/>
    </font>
    <font>
      <b/>
      <sz val="10"/>
      <color rgb="FFFF0000"/>
      <name val="Times New Roman"/>
      <family val="1"/>
    </font>
    <font>
      <b/>
      <sz val="10"/>
      <color rgb="FFFF0000"/>
      <name val="Arial"/>
      <family val="2"/>
    </font>
    <font>
      <b/>
      <u/>
      <sz val="16"/>
      <name val="Calibri"/>
      <family val="2"/>
      <scheme val="minor"/>
    </font>
    <font>
      <sz val="12"/>
      <name val="Arial"/>
      <family val="2"/>
    </font>
    <font>
      <sz val="11"/>
      <color theme="1"/>
      <name val="Calibri"/>
      <family val="2"/>
      <scheme val="minor"/>
    </font>
    <font>
      <sz val="12"/>
      <color theme="0"/>
      <name val="Calibri"/>
      <family val="2"/>
      <scheme val="minor"/>
    </font>
    <font>
      <b/>
      <sz val="12"/>
      <color theme="0"/>
      <name val="Calibri"/>
      <family val="2"/>
      <scheme val="minor"/>
    </font>
    <font>
      <sz val="10"/>
      <color theme="0"/>
      <name val="Calibri"/>
      <family val="2"/>
      <scheme val="minor"/>
    </font>
    <font>
      <sz val="7"/>
      <color theme="0"/>
      <name val="Calibri"/>
      <family val="2"/>
      <scheme val="minor"/>
    </font>
    <font>
      <sz val="10"/>
      <color theme="0"/>
      <name val="Arial"/>
      <family val="2"/>
    </font>
    <font>
      <b/>
      <sz val="10"/>
      <color rgb="FFC00000"/>
      <name val="Arial"/>
      <family val="2"/>
    </font>
    <font>
      <b/>
      <sz val="10"/>
      <color rgb="FF00B0F0"/>
      <name val="Arial"/>
      <family val="2"/>
    </font>
    <font>
      <sz val="10"/>
      <color rgb="FF00B0F0"/>
      <name val="Arial"/>
      <family val="2"/>
    </font>
    <font>
      <b/>
      <sz val="10"/>
      <color theme="1"/>
      <name val="Times New Roman"/>
      <family val="1"/>
    </font>
    <font>
      <b/>
      <u/>
      <sz val="14"/>
      <color rgb="FFFF0000"/>
      <name val="Arial"/>
      <family val="2"/>
    </font>
    <font>
      <sz val="7"/>
      <color theme="1"/>
      <name val="Calibri"/>
      <family val="2"/>
      <scheme val="minor"/>
    </font>
    <font>
      <sz val="8"/>
      <color theme="1"/>
      <name val="Arial"/>
      <family val="2"/>
    </font>
    <font>
      <b/>
      <sz val="28"/>
      <color theme="1"/>
      <name val="Wingdings 2"/>
      <family val="1"/>
      <charset val="2"/>
    </font>
    <font>
      <sz val="9"/>
      <color indexed="81"/>
      <name val="Tahoma"/>
      <family val="2"/>
    </font>
    <font>
      <b/>
      <sz val="9"/>
      <color indexed="81"/>
      <name val="Tahoma"/>
      <family val="2"/>
    </font>
    <font>
      <b/>
      <u/>
      <sz val="14"/>
      <color theme="1"/>
      <name val="Arial"/>
      <family val="2"/>
    </font>
    <font>
      <b/>
      <i/>
      <sz val="13"/>
      <color theme="1"/>
      <name val="Arial"/>
      <family val="2"/>
    </font>
    <font>
      <b/>
      <u/>
      <sz val="13"/>
      <color theme="1"/>
      <name val="Arial"/>
      <family val="2"/>
    </font>
    <font>
      <sz val="12"/>
      <color theme="1"/>
      <name val="Arial"/>
      <family val="2"/>
    </font>
    <font>
      <b/>
      <sz val="12"/>
      <color theme="1"/>
      <name val="Arial"/>
      <family val="2"/>
    </font>
    <font>
      <sz val="11"/>
      <color theme="1"/>
      <name val="Arial"/>
      <family val="2"/>
    </font>
    <font>
      <b/>
      <vertAlign val="superscript"/>
      <sz val="12"/>
      <name val="Arial"/>
      <family val="2"/>
    </font>
    <font>
      <i/>
      <sz val="12"/>
      <color theme="1"/>
      <name val="Arial"/>
      <family val="2"/>
    </font>
    <font>
      <u/>
      <sz val="10"/>
      <color theme="1"/>
      <name val="Arial"/>
      <family val="2"/>
    </font>
    <font>
      <b/>
      <sz val="12"/>
      <name val="Arial"/>
      <family val="2"/>
    </font>
    <font>
      <sz val="12"/>
      <color theme="0"/>
      <name val="Arial"/>
      <family val="2"/>
    </font>
    <font>
      <b/>
      <u/>
      <sz val="12"/>
      <color theme="1"/>
      <name val="Arial"/>
      <family val="2"/>
    </font>
    <font>
      <sz val="13"/>
      <color theme="1"/>
      <name val="Arial"/>
      <family val="2"/>
    </font>
    <font>
      <b/>
      <sz val="13"/>
      <color theme="1"/>
      <name val="Arial"/>
      <family val="2"/>
    </font>
    <font>
      <b/>
      <sz val="11"/>
      <color theme="1"/>
      <name val="Arial"/>
      <family val="2"/>
    </font>
    <font>
      <u/>
      <sz val="11"/>
      <color theme="1"/>
      <name val="Arial"/>
      <family val="2"/>
    </font>
    <font>
      <sz val="11"/>
      <color theme="0"/>
      <name val="Arial"/>
      <family val="2"/>
    </font>
    <font>
      <b/>
      <sz val="11"/>
      <name val="Arial"/>
      <family val="2"/>
    </font>
    <font>
      <vertAlign val="superscript"/>
      <sz val="10"/>
      <color theme="1"/>
      <name val="Arial"/>
      <family val="2"/>
    </font>
    <font>
      <sz val="8"/>
      <color rgb="FFFF0000"/>
      <name val="Calibri"/>
      <family val="2"/>
      <scheme val="minor"/>
    </font>
    <font>
      <b/>
      <i/>
      <sz val="12"/>
      <color rgb="FFFF0000"/>
      <name val="Calibri"/>
      <family val="2"/>
      <scheme val="minor"/>
    </font>
    <font>
      <b/>
      <i/>
      <vertAlign val="subscript"/>
      <sz val="12"/>
      <color rgb="FFFF0000"/>
      <name val="Calibri"/>
      <family val="2"/>
      <scheme val="minor"/>
    </font>
    <font>
      <b/>
      <vertAlign val="subscript"/>
      <sz val="12"/>
      <color rgb="FFFF0000"/>
      <name val="Calibri"/>
      <family val="2"/>
      <scheme val="minor"/>
    </font>
    <font>
      <i/>
      <vertAlign val="subscript"/>
      <sz val="12"/>
      <color rgb="FFFF0000"/>
      <name val="Calibri"/>
      <family val="2"/>
      <scheme val="minor"/>
    </font>
    <font>
      <b/>
      <sz val="12"/>
      <color rgb="FFFF0000"/>
      <name val="Arial"/>
      <family val="2"/>
    </font>
    <font>
      <sz val="8"/>
      <color theme="0"/>
      <name val="Calibri"/>
      <family val="2"/>
      <scheme val="minor"/>
    </font>
    <font>
      <i/>
      <sz val="13"/>
      <color theme="1"/>
      <name val="Arial"/>
      <family val="2"/>
    </font>
    <font>
      <i/>
      <vertAlign val="subscript"/>
      <sz val="13"/>
      <color theme="1"/>
      <name val="Arial"/>
      <family val="2"/>
    </font>
    <font>
      <vertAlign val="superscript"/>
      <sz val="8"/>
      <color theme="1"/>
      <name val="Arial"/>
      <family val="2"/>
    </font>
    <font>
      <b/>
      <sz val="10"/>
      <color rgb="FF002060"/>
      <name val="Arial"/>
      <family val="2"/>
    </font>
    <font>
      <b/>
      <sz val="8"/>
      <color rgb="FF00B0F0"/>
      <name val="Times New Roman"/>
      <family val="1"/>
    </font>
    <font>
      <sz val="10"/>
      <color rgb="FF002060"/>
      <name val="Arial"/>
      <family val="2"/>
    </font>
    <font>
      <b/>
      <sz val="8"/>
      <color rgb="FF002060"/>
      <name val="Times New Roman"/>
      <family val="1"/>
    </font>
    <font>
      <b/>
      <sz val="11"/>
      <color theme="1"/>
      <name val="Calibri"/>
      <family val="2"/>
      <scheme val="minor"/>
    </font>
    <font>
      <sz val="10"/>
      <color theme="1"/>
      <name val="Calibri"/>
      <family val="2"/>
    </font>
    <font>
      <sz val="10"/>
      <color theme="0" tint="-0.249977111117893"/>
      <name val="Arial"/>
      <family val="2"/>
    </font>
    <font>
      <sz val="8"/>
      <name val="Arial"/>
      <family val="2"/>
    </font>
    <font>
      <sz val="8"/>
      <color theme="1"/>
      <name val="Tahoma"/>
      <family val="2"/>
    </font>
    <font>
      <i/>
      <sz val="10"/>
      <color theme="1"/>
      <name val="Tahoma"/>
      <family val="2"/>
    </font>
    <font>
      <sz val="10"/>
      <color theme="1"/>
      <name val="Tahoma"/>
      <family val="2"/>
    </font>
    <font>
      <b/>
      <sz val="11"/>
      <color theme="0"/>
      <name val="Calibri"/>
      <family val="2"/>
      <scheme val="minor"/>
    </font>
    <font>
      <sz val="11"/>
      <color theme="0"/>
      <name val="Calibri"/>
      <family val="2"/>
      <scheme val="minor"/>
    </font>
    <font>
      <sz val="11"/>
      <color theme="1"/>
      <name val="Calibri"/>
      <family val="2"/>
      <charset val="1"/>
      <scheme val="minor"/>
    </font>
    <font>
      <sz val="11"/>
      <name val="Times New Roman"/>
      <family val="1"/>
    </font>
    <font>
      <b/>
      <sz val="11"/>
      <name val="Times New Roman"/>
      <family val="1"/>
    </font>
    <font>
      <b/>
      <sz val="11"/>
      <color theme="1"/>
      <name val="Calibri"/>
      <family val="2"/>
      <charset val="1"/>
      <scheme val="minor"/>
    </font>
    <font>
      <sz val="10"/>
      <color theme="1"/>
      <name val="Calibri"/>
      <family val="2"/>
      <charset val="1"/>
      <scheme val="minor"/>
    </font>
    <font>
      <b/>
      <sz val="11"/>
      <color theme="1"/>
      <name val="Times New Roman"/>
      <family val="1"/>
    </font>
    <font>
      <sz val="9"/>
      <name val="Calibri"/>
      <family val="2"/>
      <scheme val="minor"/>
    </font>
    <font>
      <b/>
      <u/>
      <sz val="24"/>
      <name val="Times New Roman"/>
      <family val="1"/>
    </font>
    <font>
      <sz val="12"/>
      <color theme="1"/>
      <name val="Times New Roman"/>
      <family val="1"/>
    </font>
    <font>
      <b/>
      <sz val="12"/>
      <color theme="1"/>
      <name val="Times New Roman"/>
      <family val="1"/>
    </font>
    <font>
      <b/>
      <i/>
      <u/>
      <sz val="12"/>
      <color theme="1"/>
      <name val="Times New Roman"/>
      <family val="1"/>
    </font>
    <font>
      <b/>
      <u/>
      <sz val="18"/>
      <color theme="1"/>
      <name val="Times New Roman"/>
      <family val="1"/>
    </font>
    <font>
      <sz val="8"/>
      <color theme="1"/>
      <name val="Times New Roman"/>
      <family val="1"/>
    </font>
    <font>
      <sz val="11"/>
      <color theme="1"/>
      <name val="Times New Roman"/>
      <family val="1"/>
    </font>
    <font>
      <sz val="11"/>
      <color theme="1"/>
      <name val="Calibri"/>
      <family val="2"/>
    </font>
    <font>
      <sz val="10"/>
      <color theme="5" tint="-0.249977111117893"/>
      <name val="Arial"/>
      <family val="2"/>
    </font>
    <font>
      <sz val="11"/>
      <color theme="5" tint="-0.249977111117893"/>
      <name val="Times New Roman"/>
      <family val="1"/>
    </font>
    <font>
      <sz val="10"/>
      <name val="Calibri"/>
      <family val="2"/>
      <scheme val="minor"/>
    </font>
  </fonts>
  <fills count="1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9"/>
        <bgColor indexed="64"/>
      </patternFill>
    </fill>
    <fill>
      <patternFill patternType="solid">
        <fgColor rgb="FF7030A0"/>
        <bgColor indexed="64"/>
      </patternFill>
    </fill>
    <fill>
      <patternFill patternType="solid">
        <fgColor theme="1"/>
        <bgColor indexed="64"/>
      </patternFill>
    </fill>
    <fill>
      <patternFill patternType="solid">
        <fgColor rgb="FF00FF00"/>
        <bgColor indexed="64"/>
      </patternFill>
    </fill>
    <fill>
      <patternFill patternType="solid">
        <fgColor theme="9" tint="-0.249977111117893"/>
        <bgColor indexed="64"/>
      </patternFill>
    </fill>
    <fill>
      <patternFill patternType="solid">
        <fgColor rgb="FFFF0066"/>
        <bgColor indexed="64"/>
      </patternFill>
    </fill>
    <fill>
      <patternFill patternType="solid">
        <fgColor rgb="FF92D050"/>
        <bgColor indexed="64"/>
      </patternFill>
    </fill>
    <fill>
      <patternFill patternType="solid">
        <fgColor rgb="FFD9E1F2"/>
        <bgColor indexed="64"/>
      </patternFill>
    </fill>
    <fill>
      <patternFill patternType="solid">
        <fgColor rgb="FF4472C4"/>
        <bgColor indexed="64"/>
      </patternFill>
    </fill>
    <fill>
      <patternFill patternType="solid">
        <fgColor theme="4"/>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medium">
        <color indexed="64"/>
      </top>
      <bottom/>
      <diagonal/>
    </border>
  </borders>
  <cellStyleXfs count="8">
    <xf numFmtId="0" fontId="0" fillId="0" borderId="0"/>
    <xf numFmtId="0" fontId="6" fillId="0" borderId="0"/>
    <xf numFmtId="0" fontId="6" fillId="0" borderId="0"/>
    <xf numFmtId="0" fontId="6" fillId="0" borderId="0"/>
    <xf numFmtId="0" fontId="6" fillId="0" borderId="0"/>
    <xf numFmtId="0" fontId="2" fillId="0" borderId="0"/>
    <xf numFmtId="0" fontId="117" fillId="0" borderId="0"/>
    <xf numFmtId="0" fontId="6" fillId="0" borderId="0"/>
  </cellStyleXfs>
  <cellXfs count="1476">
    <xf numFmtId="0" fontId="0" fillId="0" borderId="0" xfId="0"/>
    <xf numFmtId="1" fontId="0" fillId="0" borderId="1" xfId="0" applyNumberFormat="1" applyBorder="1" applyProtection="1">
      <protection hidden="1"/>
    </xf>
    <xf numFmtId="1" fontId="0" fillId="0" borderId="0" xfId="0" applyNumberFormat="1" applyProtection="1">
      <protection hidden="1"/>
    </xf>
    <xf numFmtId="1" fontId="8" fillId="0" borderId="1" xfId="0" applyNumberFormat="1" applyFont="1" applyBorder="1" applyAlignment="1" applyProtection="1">
      <alignment horizontal="center"/>
      <protection hidden="1"/>
    </xf>
    <xf numFmtId="1" fontId="4" fillId="0" borderId="1" xfId="0" applyNumberFormat="1" applyFont="1" applyBorder="1" applyAlignment="1" applyProtection="1">
      <alignment horizontal="left"/>
      <protection hidden="1"/>
    </xf>
    <xf numFmtId="1" fontId="9" fillId="0" borderId="3" xfId="0" applyNumberFormat="1" applyFont="1" applyBorder="1" applyAlignment="1" applyProtection="1">
      <alignment horizontal="center" vertical="center"/>
      <protection hidden="1"/>
    </xf>
    <xf numFmtId="1" fontId="6" fillId="0" borderId="1" xfId="0" applyNumberFormat="1" applyFont="1" applyBorder="1" applyAlignment="1" applyProtection="1">
      <alignment horizontal="center"/>
      <protection hidden="1"/>
    </xf>
    <xf numFmtId="1" fontId="0" fillId="0" borderId="0" xfId="0" applyNumberFormat="1" applyAlignment="1" applyProtection="1">
      <alignment horizontal="center"/>
      <protection hidden="1"/>
    </xf>
    <xf numFmtId="1" fontId="9" fillId="0" borderId="1" xfId="0" applyNumberFormat="1" applyFont="1" applyBorder="1" applyAlignment="1" applyProtection="1">
      <alignment horizontal="center" vertical="center"/>
      <protection hidden="1"/>
    </xf>
    <xf numFmtId="1" fontId="4" fillId="0" borderId="12" xfId="0" applyNumberFormat="1" applyFont="1" applyBorder="1" applyAlignment="1" applyProtection="1">
      <alignment horizontal="left"/>
      <protection hidden="1"/>
    </xf>
    <xf numFmtId="1" fontId="0" fillId="4" borderId="0" xfId="0" applyNumberFormat="1" applyFill="1" applyProtection="1">
      <protection hidden="1"/>
    </xf>
    <xf numFmtId="1" fontId="4" fillId="0" borderId="12" xfId="0" applyNumberFormat="1" applyFont="1" applyBorder="1" applyProtection="1">
      <protection hidden="1"/>
    </xf>
    <xf numFmtId="164" fontId="6" fillId="0" borderId="1" xfId="0" applyNumberFormat="1" applyFont="1" applyBorder="1" applyAlignment="1" applyProtection="1">
      <alignment horizontal="right"/>
      <protection hidden="1"/>
    </xf>
    <xf numFmtId="1" fontId="0" fillId="3" borderId="0" xfId="0" applyNumberFormat="1" applyFill="1" applyProtection="1">
      <protection hidden="1"/>
    </xf>
    <xf numFmtId="164" fontId="0" fillId="0" borderId="0" xfId="0" applyNumberFormat="1" applyProtection="1">
      <protection hidden="1"/>
    </xf>
    <xf numFmtId="164" fontId="0" fillId="4" borderId="0" xfId="0" applyNumberFormat="1" applyFill="1" applyProtection="1">
      <protection hidden="1"/>
    </xf>
    <xf numFmtId="2" fontId="13" fillId="3" borderId="0" xfId="3" applyNumberFormat="1" applyFont="1" applyFill="1" applyAlignment="1" applyProtection="1">
      <alignment horizontal="right" vertical="center" wrapText="1"/>
      <protection hidden="1"/>
    </xf>
    <xf numFmtId="1" fontId="4" fillId="3" borderId="1" xfId="0" applyNumberFormat="1" applyFont="1" applyFill="1" applyBorder="1" applyAlignment="1" applyProtection="1">
      <alignment horizontal="left"/>
      <protection hidden="1"/>
    </xf>
    <xf numFmtId="0" fontId="11" fillId="3" borderId="0" xfId="0" applyFont="1" applyFill="1" applyAlignment="1" applyProtection="1">
      <alignment horizontal="left" vertical="center"/>
      <protection hidden="1"/>
    </xf>
    <xf numFmtId="0" fontId="12" fillId="3" borderId="0" xfId="0" applyFont="1" applyFill="1" applyAlignment="1" applyProtection="1">
      <alignment horizontal="center" vertical="center"/>
      <protection locked="0"/>
    </xf>
    <xf numFmtId="0" fontId="20" fillId="0" borderId="0" xfId="0" applyFont="1" applyProtection="1">
      <protection hidden="1"/>
    </xf>
    <xf numFmtId="0" fontId="21" fillId="0" borderId="1" xfId="0" applyFont="1" applyBorder="1" applyAlignment="1" applyProtection="1">
      <alignment horizontal="center"/>
      <protection hidden="1"/>
    </xf>
    <xf numFmtId="0" fontId="22" fillId="3" borderId="1" xfId="0" applyFont="1" applyFill="1" applyBorder="1" applyAlignment="1" applyProtection="1">
      <alignment horizontal="center"/>
      <protection hidden="1"/>
    </xf>
    <xf numFmtId="0" fontId="20" fillId="0" borderId="1" xfId="0" applyFont="1" applyBorder="1" applyAlignment="1" applyProtection="1">
      <alignment horizontal="center"/>
      <protection hidden="1"/>
    </xf>
    <xf numFmtId="0" fontId="21" fillId="0" borderId="1" xfId="0" applyFont="1" applyBorder="1" applyAlignment="1" applyProtection="1">
      <alignment horizontal="center" vertical="center"/>
      <protection hidden="1"/>
    </xf>
    <xf numFmtId="0" fontId="20" fillId="0" borderId="1" xfId="0" applyFont="1" applyBorder="1" applyProtection="1">
      <protection hidden="1"/>
    </xf>
    <xf numFmtId="164" fontId="20" fillId="0" borderId="1" xfId="0" applyNumberFormat="1" applyFont="1" applyBorder="1" applyProtection="1">
      <protection hidden="1"/>
    </xf>
    <xf numFmtId="0" fontId="20" fillId="0" borderId="0" xfId="0" applyFont="1" applyAlignment="1" applyProtection="1">
      <alignment horizontal="right"/>
      <protection hidden="1"/>
    </xf>
    <xf numFmtId="0" fontId="20" fillId="4" borderId="0" xfId="0" applyFont="1" applyFill="1" applyProtection="1">
      <protection hidden="1"/>
    </xf>
    <xf numFmtId="0" fontId="20" fillId="6" borderId="0" xfId="0" applyFont="1" applyFill="1" applyProtection="1">
      <protection hidden="1"/>
    </xf>
    <xf numFmtId="0" fontId="20" fillId="3" borderId="0" xfId="0" applyFont="1" applyFill="1" applyProtection="1">
      <protection hidden="1"/>
    </xf>
    <xf numFmtId="1" fontId="0" fillId="6" borderId="0" xfId="0" applyNumberFormat="1" applyFill="1" applyProtection="1">
      <protection hidden="1"/>
    </xf>
    <xf numFmtId="0" fontId="23" fillId="3" borderId="0" xfId="0" applyFont="1" applyFill="1" applyAlignment="1" applyProtection="1">
      <alignment vertical="center"/>
      <protection hidden="1"/>
    </xf>
    <xf numFmtId="0" fontId="23" fillId="3" borderId="0" xfId="0" applyFont="1" applyFill="1" applyAlignment="1" applyProtection="1">
      <alignment vertical="center"/>
      <protection locked="0"/>
    </xf>
    <xf numFmtId="0" fontId="12" fillId="3" borderId="0" xfId="0" applyFont="1" applyFill="1" applyAlignment="1" applyProtection="1">
      <alignment vertical="center"/>
      <protection locked="0"/>
    </xf>
    <xf numFmtId="0" fontId="12" fillId="3" borderId="0" xfId="0" applyFont="1" applyFill="1" applyAlignment="1" applyProtection="1">
      <alignment vertical="center"/>
      <protection hidden="1"/>
    </xf>
    <xf numFmtId="0" fontId="12" fillId="3" borderId="0" xfId="0" quotePrefix="1" applyFont="1" applyFill="1" applyAlignment="1" applyProtection="1">
      <alignment vertical="center"/>
      <protection locked="0"/>
    </xf>
    <xf numFmtId="0" fontId="25" fillId="3" borderId="0" xfId="0" applyFont="1" applyFill="1" applyAlignment="1" applyProtection="1">
      <alignment vertical="center"/>
      <protection locked="0"/>
    </xf>
    <xf numFmtId="0" fontId="26" fillId="3" borderId="0" xfId="0" applyFont="1" applyFill="1" applyAlignment="1" applyProtection="1">
      <alignment vertical="center"/>
      <protection locked="0"/>
    </xf>
    <xf numFmtId="0" fontId="25" fillId="3" borderId="0" xfId="0" applyFont="1" applyFill="1" applyAlignment="1" applyProtection="1">
      <alignment horizontal="center" vertical="center"/>
      <protection locked="0"/>
    </xf>
    <xf numFmtId="0" fontId="12" fillId="3" borderId="0" xfId="0" applyFont="1" applyFill="1" applyAlignment="1" applyProtection="1">
      <alignment horizontal="left" vertical="center"/>
      <protection hidden="1"/>
    </xf>
    <xf numFmtId="0" fontId="27" fillId="3" borderId="0" xfId="0" applyFont="1" applyFill="1" applyAlignment="1" applyProtection="1">
      <alignment horizontal="right" vertical="center"/>
      <protection hidden="1"/>
    </xf>
    <xf numFmtId="0" fontId="27" fillId="3" borderId="0" xfId="0" applyFont="1" applyFill="1" applyAlignment="1" applyProtection="1">
      <alignment horizontal="left" vertical="center"/>
      <protection locked="0"/>
    </xf>
    <xf numFmtId="170" fontId="12" fillId="3" borderId="0" xfId="0" applyNumberFormat="1" applyFont="1" applyFill="1" applyAlignment="1" applyProtection="1">
      <alignment horizontal="left" vertical="center"/>
      <protection locked="0"/>
    </xf>
    <xf numFmtId="164" fontId="12" fillId="3" borderId="0" xfId="0" applyNumberFormat="1" applyFont="1" applyFill="1" applyAlignment="1" applyProtection="1">
      <alignment horizontal="left" vertical="center"/>
      <protection hidden="1"/>
    </xf>
    <xf numFmtId="170" fontId="12" fillId="3" borderId="0" xfId="0" applyNumberFormat="1" applyFont="1" applyFill="1" applyAlignment="1" applyProtection="1">
      <alignment horizontal="left" vertical="center"/>
      <protection hidden="1"/>
    </xf>
    <xf numFmtId="171" fontId="12" fillId="3" borderId="0" xfId="0" applyNumberFormat="1" applyFont="1" applyFill="1" applyAlignment="1" applyProtection="1">
      <alignment vertical="center"/>
      <protection hidden="1"/>
    </xf>
    <xf numFmtId="2" fontId="12" fillId="3" borderId="0" xfId="0" applyNumberFormat="1" applyFont="1" applyFill="1" applyAlignment="1" applyProtection="1">
      <alignment vertical="center"/>
      <protection hidden="1"/>
    </xf>
    <xf numFmtId="0" fontId="12" fillId="3" borderId="0" xfId="0" applyFont="1" applyFill="1" applyAlignment="1" applyProtection="1">
      <alignment horizontal="right" vertical="center"/>
      <protection locked="0"/>
    </xf>
    <xf numFmtId="0" fontId="18" fillId="3" borderId="7" xfId="0" applyFont="1" applyFill="1" applyBorder="1" applyAlignment="1" applyProtection="1">
      <alignment vertical="center"/>
      <protection hidden="1"/>
    </xf>
    <xf numFmtId="0" fontId="18" fillId="3" borderId="1" xfId="0" applyFont="1" applyFill="1" applyBorder="1" applyAlignment="1" applyProtection="1">
      <alignment vertical="center"/>
      <protection hidden="1"/>
    </xf>
    <xf numFmtId="164" fontId="12" fillId="3" borderId="0" xfId="0" applyNumberFormat="1" applyFont="1" applyFill="1" applyAlignment="1" applyProtection="1">
      <alignment horizontal="center" vertical="center"/>
      <protection locked="0"/>
    </xf>
    <xf numFmtId="0" fontId="12" fillId="3" borderId="0" xfId="0" applyFont="1" applyFill="1" applyAlignment="1" applyProtection="1">
      <alignment horizontal="center" vertical="center" wrapText="1"/>
      <protection hidden="1"/>
    </xf>
    <xf numFmtId="164" fontId="12" fillId="3" borderId="0" xfId="0" applyNumberFormat="1" applyFont="1" applyFill="1" applyAlignment="1" applyProtection="1">
      <alignment horizontal="center" vertical="center"/>
      <protection hidden="1"/>
    </xf>
    <xf numFmtId="0" fontId="28" fillId="3" borderId="0" xfId="0" quotePrefix="1" applyFont="1" applyFill="1" applyAlignment="1" applyProtection="1">
      <alignment horizontal="center" vertical="center"/>
      <protection hidden="1"/>
    </xf>
    <xf numFmtId="0" fontId="12" fillId="3" borderId="0" xfId="0" applyFont="1" applyFill="1" applyAlignment="1" applyProtection="1">
      <alignment horizontal="center" vertical="center"/>
      <protection hidden="1"/>
    </xf>
    <xf numFmtId="0" fontId="18" fillId="3" borderId="6" xfId="0" applyFont="1" applyFill="1" applyBorder="1" applyAlignment="1" applyProtection="1">
      <alignment horizontal="center" vertical="center"/>
      <protection hidden="1"/>
    </xf>
    <xf numFmtId="0" fontId="18" fillId="3" borderId="8" xfId="0" applyFont="1" applyFill="1" applyBorder="1" applyAlignment="1" applyProtection="1">
      <alignment horizontal="center" vertical="center"/>
      <protection hidden="1"/>
    </xf>
    <xf numFmtId="1" fontId="16" fillId="3" borderId="4" xfId="0" applyNumberFormat="1" applyFont="1" applyFill="1" applyBorder="1" applyAlignment="1" applyProtection="1">
      <alignment horizontal="center" vertical="center" wrapText="1"/>
      <protection locked="0"/>
    </xf>
    <xf numFmtId="0" fontId="12" fillId="3" borderId="0" xfId="0" applyFont="1" applyFill="1" applyAlignment="1" applyProtection="1">
      <alignment horizontal="center" vertical="center" wrapText="1"/>
      <protection locked="0"/>
    </xf>
    <xf numFmtId="164" fontId="12" fillId="3" borderId="0" xfId="0" applyNumberFormat="1" applyFont="1" applyFill="1" applyAlignment="1" applyProtection="1">
      <alignment horizontal="right" vertical="center" wrapText="1"/>
      <protection locked="0"/>
    </xf>
    <xf numFmtId="2" fontId="12" fillId="3" borderId="0" xfId="0" applyNumberFormat="1" applyFont="1" applyFill="1" applyAlignment="1" applyProtection="1">
      <alignment horizontal="right" vertical="center" wrapText="1"/>
      <protection locked="0"/>
    </xf>
    <xf numFmtId="2" fontId="12" fillId="3" borderId="0" xfId="0" applyNumberFormat="1" applyFont="1" applyFill="1" applyAlignment="1" applyProtection="1">
      <alignment horizontal="right" vertical="center"/>
      <protection locked="0"/>
    </xf>
    <xf numFmtId="171" fontId="12" fillId="3" borderId="0" xfId="0" applyNumberFormat="1" applyFont="1" applyFill="1" applyAlignment="1" applyProtection="1">
      <alignment horizontal="right" vertical="center"/>
      <protection locked="0"/>
    </xf>
    <xf numFmtId="0" fontId="12" fillId="3" borderId="0" xfId="0" applyFont="1" applyFill="1" applyAlignment="1" applyProtection="1">
      <alignment horizontal="left" vertical="center"/>
      <protection locked="0"/>
    </xf>
    <xf numFmtId="164" fontId="12" fillId="3" borderId="0" xfId="0" applyNumberFormat="1" applyFont="1" applyFill="1" applyAlignment="1" applyProtection="1">
      <alignment horizontal="center" vertical="center" wrapText="1"/>
      <protection locked="0"/>
    </xf>
    <xf numFmtId="164" fontId="12" fillId="3" borderId="0" xfId="0" applyNumberFormat="1" applyFont="1" applyFill="1" applyAlignment="1" applyProtection="1">
      <alignment horizontal="right" vertical="center"/>
      <protection locked="0"/>
    </xf>
    <xf numFmtId="0" fontId="26" fillId="3" borderId="0" xfId="0" applyFont="1" applyFill="1" applyProtection="1">
      <protection locked="0"/>
    </xf>
    <xf numFmtId="0" fontId="12" fillId="0" borderId="0" xfId="0" applyFont="1" applyProtection="1">
      <protection locked="0"/>
    </xf>
    <xf numFmtId="0" fontId="12" fillId="3" borderId="0" xfId="0" applyFont="1" applyFill="1" applyProtection="1">
      <protection hidden="1"/>
    </xf>
    <xf numFmtId="0" fontId="12" fillId="3" borderId="0" xfId="0" applyFont="1" applyFill="1" applyAlignment="1" applyProtection="1">
      <alignment horizontal="left"/>
      <protection hidden="1"/>
    </xf>
    <xf numFmtId="0" fontId="12" fillId="3" borderId="0" xfId="0" applyFont="1" applyFill="1" applyAlignment="1" applyProtection="1">
      <alignment horizontal="center"/>
      <protection hidden="1"/>
    </xf>
    <xf numFmtId="2" fontId="12" fillId="3" borderId="0" xfId="0" applyNumberFormat="1" applyFont="1" applyFill="1" applyAlignment="1" applyProtection="1">
      <alignment horizontal="center"/>
      <protection hidden="1"/>
    </xf>
    <xf numFmtId="0" fontId="12" fillId="3" borderId="0" xfId="0" applyFont="1" applyFill="1" applyProtection="1">
      <protection locked="0"/>
    </xf>
    <xf numFmtId="0" fontId="12" fillId="3" borderId="0" xfId="0" applyFont="1" applyFill="1" applyAlignment="1" applyProtection="1">
      <alignment horizontal="left"/>
      <protection locked="0"/>
    </xf>
    <xf numFmtId="1" fontId="12" fillId="3" borderId="0" xfId="0" applyNumberFormat="1" applyFont="1" applyFill="1" applyProtection="1">
      <protection locked="0"/>
    </xf>
    <xf numFmtId="0" fontId="12" fillId="3" borderId="0" xfId="0" applyFont="1" applyFill="1" applyAlignment="1" applyProtection="1">
      <alignment horizontal="center"/>
      <protection locked="0"/>
    </xf>
    <xf numFmtId="2" fontId="12" fillId="3" borderId="0" xfId="0" applyNumberFormat="1" applyFont="1" applyFill="1" applyAlignment="1" applyProtection="1">
      <alignment horizontal="center"/>
      <protection locked="0"/>
    </xf>
    <xf numFmtId="0" fontId="12" fillId="2" borderId="0" xfId="0" applyFont="1" applyFill="1" applyAlignment="1" applyProtection="1">
      <alignment vertical="top" wrapText="1"/>
      <protection locked="0"/>
    </xf>
    <xf numFmtId="0" fontId="31" fillId="0" borderId="0" xfId="0" applyFont="1" applyProtection="1">
      <protection hidden="1"/>
    </xf>
    <xf numFmtId="0" fontId="31" fillId="3" borderId="0" xfId="0" applyFont="1" applyFill="1" applyProtection="1">
      <protection hidden="1"/>
    </xf>
    <xf numFmtId="1" fontId="31" fillId="3" borderId="0" xfId="0" applyNumberFormat="1" applyFont="1" applyFill="1" applyProtection="1">
      <protection hidden="1"/>
    </xf>
    <xf numFmtId="0" fontId="40" fillId="0" borderId="0" xfId="0" applyFont="1" applyAlignment="1">
      <alignment vertical="center"/>
    </xf>
    <xf numFmtId="0" fontId="31" fillId="0" borderId="0" xfId="0" applyFont="1"/>
    <xf numFmtId="0" fontId="41" fillId="0" borderId="0" xfId="0" applyFont="1" applyProtection="1">
      <protection hidden="1"/>
    </xf>
    <xf numFmtId="0" fontId="16" fillId="3" borderId="3" xfId="0" applyFont="1" applyFill="1" applyBorder="1" applyAlignment="1" applyProtection="1">
      <alignment horizontal="center" vertical="center"/>
      <protection hidden="1"/>
    </xf>
    <xf numFmtId="0" fontId="27" fillId="3" borderId="2" xfId="0" applyFont="1" applyFill="1" applyBorder="1" applyAlignment="1" applyProtection="1">
      <alignment vertical="center"/>
      <protection hidden="1"/>
    </xf>
    <xf numFmtId="0" fontId="39" fillId="4" borderId="1" xfId="0" applyFont="1" applyFill="1" applyBorder="1" applyAlignment="1" applyProtection="1">
      <alignment horizontal="center"/>
      <protection hidden="1"/>
    </xf>
    <xf numFmtId="0" fontId="31" fillId="4" borderId="0" xfId="0" applyFont="1" applyFill="1" applyProtection="1">
      <protection hidden="1"/>
    </xf>
    <xf numFmtId="0" fontId="41" fillId="4" borderId="1" xfId="0" applyFont="1" applyFill="1" applyBorder="1" applyProtection="1">
      <protection hidden="1"/>
    </xf>
    <xf numFmtId="0" fontId="31" fillId="4" borderId="1" xfId="0" applyFont="1" applyFill="1" applyBorder="1" applyProtection="1">
      <protection hidden="1"/>
    </xf>
    <xf numFmtId="0" fontId="40" fillId="4" borderId="1" xfId="0" applyFont="1" applyFill="1" applyBorder="1" applyAlignment="1">
      <alignment vertical="center"/>
    </xf>
    <xf numFmtId="0" fontId="31" fillId="6" borderId="0" xfId="0" applyFont="1" applyFill="1" applyProtection="1">
      <protection hidden="1"/>
    </xf>
    <xf numFmtId="1" fontId="31" fillId="4" borderId="0" xfId="0" applyNumberFormat="1" applyFont="1" applyFill="1" applyProtection="1">
      <protection hidden="1"/>
    </xf>
    <xf numFmtId="2" fontId="18" fillId="3" borderId="1" xfId="0" applyNumberFormat="1" applyFont="1" applyFill="1" applyBorder="1" applyAlignment="1" applyProtection="1">
      <alignment horizontal="center" vertical="center"/>
      <protection hidden="1"/>
    </xf>
    <xf numFmtId="0" fontId="31" fillId="0" borderId="0" xfId="0" quotePrefix="1" applyFont="1" applyProtection="1">
      <protection hidden="1"/>
    </xf>
    <xf numFmtId="1" fontId="4" fillId="0" borderId="1" xfId="0" applyNumberFormat="1" applyFont="1" applyBorder="1" applyProtection="1">
      <protection hidden="1"/>
    </xf>
    <xf numFmtId="164" fontId="6" fillId="4" borderId="1" xfId="0" applyNumberFormat="1" applyFont="1" applyFill="1" applyBorder="1" applyAlignment="1" applyProtection="1">
      <alignment horizontal="right"/>
      <protection hidden="1"/>
    </xf>
    <xf numFmtId="164" fontId="4" fillId="4" borderId="1" xfId="0" applyNumberFormat="1" applyFont="1" applyFill="1" applyBorder="1" applyAlignment="1" applyProtection="1">
      <alignment horizontal="right"/>
      <protection hidden="1"/>
    </xf>
    <xf numFmtId="0" fontId="3" fillId="3" borderId="0" xfId="0" applyFont="1" applyFill="1" applyAlignment="1" applyProtection="1">
      <alignment vertical="center"/>
      <protection locked="0"/>
    </xf>
    <xf numFmtId="0" fontId="3" fillId="3" borderId="0" xfId="0" applyFont="1" applyFill="1" applyAlignment="1" applyProtection="1">
      <alignment horizontal="right" vertical="center"/>
      <protection locked="0"/>
    </xf>
    <xf numFmtId="0" fontId="27" fillId="3" borderId="0" xfId="0" applyFont="1" applyFill="1" applyAlignment="1" applyProtection="1">
      <alignment horizontal="left" vertical="center"/>
      <protection hidden="1"/>
    </xf>
    <xf numFmtId="164" fontId="12" fillId="3" borderId="0" xfId="0" applyNumberFormat="1" applyFont="1" applyFill="1" applyAlignment="1" applyProtection="1">
      <alignment horizontal="left" vertical="center" wrapText="1"/>
      <protection locked="0"/>
    </xf>
    <xf numFmtId="0" fontId="43" fillId="3" borderId="0" xfId="0" applyFont="1" applyFill="1" applyAlignment="1" applyProtection="1">
      <alignment horizontal="left" vertical="top"/>
      <protection locked="0"/>
    </xf>
    <xf numFmtId="0" fontId="3" fillId="3" borderId="0" xfId="0" applyFont="1" applyFill="1" applyAlignment="1" applyProtection="1">
      <alignment horizontal="left" vertical="center"/>
      <protection hidden="1"/>
    </xf>
    <xf numFmtId="165" fontId="18" fillId="3" borderId="0" xfId="0" applyNumberFormat="1" applyFont="1" applyFill="1" applyAlignment="1" applyProtection="1">
      <alignment horizontal="center" vertical="center"/>
      <protection hidden="1"/>
    </xf>
    <xf numFmtId="0" fontId="18" fillId="3" borderId="5" xfId="0" applyFont="1" applyFill="1" applyBorder="1" applyAlignment="1" applyProtection="1">
      <alignment vertical="center" wrapText="1"/>
      <protection hidden="1"/>
    </xf>
    <xf numFmtId="2" fontId="18" fillId="3" borderId="8" xfId="0" applyNumberFormat="1" applyFont="1" applyFill="1" applyBorder="1" applyAlignment="1" applyProtection="1">
      <alignment vertical="center"/>
      <protection hidden="1"/>
    </xf>
    <xf numFmtId="2" fontId="18" fillId="3" borderId="6" xfId="0" applyNumberFormat="1" applyFont="1" applyFill="1" applyBorder="1" applyAlignment="1" applyProtection="1">
      <alignment vertical="center"/>
      <protection hidden="1"/>
    </xf>
    <xf numFmtId="0" fontId="29" fillId="3" borderId="5" xfId="0" quotePrefix="1" applyFont="1" applyFill="1" applyBorder="1" applyAlignment="1" applyProtection="1">
      <alignment vertical="center"/>
      <protection hidden="1"/>
    </xf>
    <xf numFmtId="0" fontId="18" fillId="3" borderId="7" xfId="0" applyFont="1" applyFill="1" applyBorder="1" applyAlignment="1" applyProtection="1">
      <alignment vertical="center" wrapText="1"/>
      <protection hidden="1"/>
    </xf>
    <xf numFmtId="2" fontId="18" fillId="3" borderId="4" xfId="0" applyNumberFormat="1" applyFont="1" applyFill="1" applyBorder="1" applyAlignment="1" applyProtection="1">
      <alignment vertical="center"/>
      <protection hidden="1"/>
    </xf>
    <xf numFmtId="2" fontId="18" fillId="3" borderId="9" xfId="0" applyNumberFormat="1" applyFont="1" applyFill="1" applyBorder="1" applyAlignment="1" applyProtection="1">
      <alignment vertical="center"/>
      <protection hidden="1"/>
    </xf>
    <xf numFmtId="0" fontId="29" fillId="3" borderId="7" xfId="0" quotePrefix="1" applyFont="1" applyFill="1" applyBorder="1" applyAlignment="1" applyProtection="1">
      <alignment vertical="center"/>
      <protection hidden="1"/>
    </xf>
    <xf numFmtId="0" fontId="18" fillId="3" borderId="11" xfId="0" applyFont="1" applyFill="1" applyBorder="1" applyAlignment="1" applyProtection="1">
      <alignment vertical="center" wrapText="1"/>
      <protection hidden="1"/>
    </xf>
    <xf numFmtId="2" fontId="18" fillId="3" borderId="11" xfId="0" applyNumberFormat="1" applyFont="1" applyFill="1" applyBorder="1" applyAlignment="1" applyProtection="1">
      <alignment vertical="center"/>
      <protection hidden="1"/>
    </xf>
    <xf numFmtId="0" fontId="29" fillId="3" borderId="11" xfId="0" quotePrefix="1" applyFont="1" applyFill="1" applyBorder="1" applyAlignment="1" applyProtection="1">
      <alignment vertical="center"/>
      <protection hidden="1"/>
    </xf>
    <xf numFmtId="0" fontId="44" fillId="3" borderId="0" xfId="0" applyFont="1" applyFill="1" applyAlignment="1" applyProtection="1">
      <alignment vertical="center"/>
      <protection hidden="1"/>
    </xf>
    <xf numFmtId="0" fontId="44" fillId="3" borderId="0" xfId="0" applyFont="1" applyFill="1" applyAlignment="1" applyProtection="1">
      <alignment horizontal="left" vertical="center"/>
      <protection hidden="1"/>
    </xf>
    <xf numFmtId="0" fontId="44" fillId="3" borderId="0" xfId="0" applyFont="1" applyFill="1" applyAlignment="1" applyProtection="1">
      <alignment vertical="center"/>
      <protection locked="0"/>
    </xf>
    <xf numFmtId="0" fontId="46" fillId="3" borderId="1" xfId="0" applyFont="1" applyFill="1" applyBorder="1" applyAlignment="1" applyProtection="1">
      <alignment horizontal="center" vertical="center"/>
      <protection hidden="1"/>
    </xf>
    <xf numFmtId="0" fontId="46" fillId="3" borderId="1" xfId="0" applyFont="1" applyFill="1" applyBorder="1" applyAlignment="1" applyProtection="1">
      <alignment horizontal="center" vertical="center" wrapText="1"/>
      <protection hidden="1"/>
    </xf>
    <xf numFmtId="164" fontId="46" fillId="3" borderId="1" xfId="0" applyNumberFormat="1" applyFont="1" applyFill="1" applyBorder="1" applyAlignment="1" applyProtection="1">
      <alignment horizontal="center" vertical="center"/>
      <protection hidden="1"/>
    </xf>
    <xf numFmtId="0" fontId="44" fillId="3" borderId="0" xfId="0" applyFont="1" applyFill="1" applyAlignment="1" applyProtection="1">
      <alignment horizontal="center" vertical="center"/>
      <protection locked="0"/>
    </xf>
    <xf numFmtId="164" fontId="44" fillId="3" borderId="0" xfId="0" applyNumberFormat="1" applyFont="1" applyFill="1" applyAlignment="1" applyProtection="1">
      <alignment vertical="center"/>
      <protection hidden="1"/>
    </xf>
    <xf numFmtId="2" fontId="48" fillId="3" borderId="11" xfId="3" applyNumberFormat="1" applyFont="1" applyFill="1" applyBorder="1" applyAlignment="1" applyProtection="1">
      <alignment horizontal="right" vertical="center" wrapText="1"/>
      <protection hidden="1"/>
    </xf>
    <xf numFmtId="171" fontId="44" fillId="3" borderId="0" xfId="0" applyNumberFormat="1" applyFont="1" applyFill="1" applyAlignment="1" applyProtection="1">
      <alignment vertical="center"/>
      <protection hidden="1"/>
    </xf>
    <xf numFmtId="2" fontId="44" fillId="3" borderId="0" xfId="0" applyNumberFormat="1" applyFont="1" applyFill="1" applyAlignment="1" applyProtection="1">
      <alignment vertical="center"/>
      <protection hidden="1"/>
    </xf>
    <xf numFmtId="2" fontId="48" fillId="3" borderId="0" xfId="3" applyNumberFormat="1" applyFont="1" applyFill="1" applyAlignment="1" applyProtection="1">
      <alignment horizontal="right" vertical="center" wrapText="1"/>
      <protection hidden="1"/>
    </xf>
    <xf numFmtId="0" fontId="49" fillId="0" borderId="0" xfId="0" applyFont="1"/>
    <xf numFmtId="0" fontId="18" fillId="3" borderId="0" xfId="0" applyFont="1" applyFill="1" applyAlignment="1" applyProtection="1">
      <alignment vertical="center" wrapText="1"/>
      <protection hidden="1"/>
    </xf>
    <xf numFmtId="2" fontId="18" fillId="3" borderId="0" xfId="0" applyNumberFormat="1" applyFont="1" applyFill="1" applyAlignment="1" applyProtection="1">
      <alignment vertical="center"/>
      <protection hidden="1"/>
    </xf>
    <xf numFmtId="0" fontId="29" fillId="3" borderId="0" xfId="0" quotePrefix="1" applyFont="1" applyFill="1" applyAlignment="1" applyProtection="1">
      <alignment vertical="center"/>
      <protection hidden="1"/>
    </xf>
    <xf numFmtId="0" fontId="27" fillId="3" borderId="0" xfId="0" applyFont="1" applyFill="1" applyAlignment="1" applyProtection="1">
      <alignment vertical="center" wrapText="1"/>
      <protection hidden="1"/>
    </xf>
    <xf numFmtId="0" fontId="17" fillId="0" borderId="0" xfId="0" applyFont="1"/>
    <xf numFmtId="171" fontId="17" fillId="0" borderId="1" xfId="0" applyNumberFormat="1" applyFont="1" applyBorder="1" applyAlignment="1">
      <alignment horizontal="center"/>
    </xf>
    <xf numFmtId="171" fontId="17" fillId="0" borderId="1" xfId="0" applyNumberFormat="1" applyFont="1" applyBorder="1" applyAlignment="1">
      <alignment horizontal="center" vertical="center"/>
    </xf>
    <xf numFmtId="0" fontId="52" fillId="0" borderId="5" xfId="0" applyFont="1" applyBorder="1" applyAlignment="1">
      <alignment horizontal="center" vertical="center"/>
    </xf>
    <xf numFmtId="0" fontId="52" fillId="0" borderId="2" xfId="0" applyFont="1" applyBorder="1" applyAlignment="1">
      <alignment horizontal="center" vertical="center"/>
    </xf>
    <xf numFmtId="0" fontId="51" fillId="0" borderId="0" xfId="0" applyFont="1"/>
    <xf numFmtId="0" fontId="52" fillId="0" borderId="0" xfId="0" applyFont="1" applyAlignment="1">
      <alignment horizontal="center" vertical="center"/>
    </xf>
    <xf numFmtId="2" fontId="17" fillId="0" borderId="0" xfId="0" applyNumberFormat="1" applyFont="1" applyAlignment="1">
      <alignment horizontal="center"/>
    </xf>
    <xf numFmtId="2" fontId="17" fillId="0" borderId="0" xfId="0" applyNumberFormat="1" applyFont="1" applyAlignment="1">
      <alignment horizontal="center" vertical="center"/>
    </xf>
    <xf numFmtId="2" fontId="17" fillId="0" borderId="0" xfId="4" applyNumberFormat="1" applyFont="1" applyAlignment="1">
      <alignment horizontal="center" vertical="center"/>
    </xf>
    <xf numFmtId="0" fontId="53" fillId="0" borderId="0" xfId="0" applyFont="1"/>
    <xf numFmtId="171" fontId="17" fillId="0" borderId="0" xfId="0" applyNumberFormat="1" applyFont="1" applyAlignment="1">
      <alignment horizontal="center"/>
    </xf>
    <xf numFmtId="171" fontId="17" fillId="0" borderId="0" xfId="0" applyNumberFormat="1" applyFont="1" applyAlignment="1">
      <alignment horizontal="center" vertical="center"/>
    </xf>
    <xf numFmtId="171" fontId="17" fillId="0" borderId="0" xfId="4" applyNumberFormat="1" applyFont="1" applyAlignment="1">
      <alignment horizontal="center" vertical="center"/>
    </xf>
    <xf numFmtId="0" fontId="52" fillId="0" borderId="0" xfId="4" applyFont="1" applyAlignment="1">
      <alignment horizontal="center" vertical="center"/>
    </xf>
    <xf numFmtId="0" fontId="17" fillId="0" borderId="0" xfId="0" applyFont="1" applyAlignment="1">
      <alignment horizontal="center"/>
    </xf>
    <xf numFmtId="0" fontId="17" fillId="0" borderId="0" xfId="4" applyFont="1" applyAlignment="1">
      <alignment horizontal="center" vertical="center"/>
    </xf>
    <xf numFmtId="0" fontId="6" fillId="0" borderId="0" xfId="0" applyFont="1"/>
    <xf numFmtId="1" fontId="6" fillId="0" borderId="13" xfId="0" applyNumberFormat="1" applyFont="1" applyBorder="1" applyAlignment="1" applyProtection="1">
      <alignment horizontal="center"/>
      <protection hidden="1"/>
    </xf>
    <xf numFmtId="0" fontId="17" fillId="0" borderId="1" xfId="0" applyFont="1" applyBorder="1" applyAlignment="1">
      <alignment horizontal="left" vertical="center"/>
    </xf>
    <xf numFmtId="171" fontId="17" fillId="4" borderId="1" xfId="0" applyNumberFormat="1" applyFont="1" applyFill="1" applyBorder="1" applyAlignment="1">
      <alignment horizontal="center" vertical="center"/>
    </xf>
    <xf numFmtId="171" fontId="17" fillId="4" borderId="1" xfId="0" applyNumberFormat="1" applyFont="1" applyFill="1" applyBorder="1" applyAlignment="1">
      <alignment horizontal="center"/>
    </xf>
    <xf numFmtId="0" fontId="17" fillId="4" borderId="1" xfId="0" applyFont="1" applyFill="1" applyBorder="1" applyAlignment="1">
      <alignment horizontal="left" vertical="center"/>
    </xf>
    <xf numFmtId="0" fontId="0" fillId="4" borderId="0" xfId="0" applyFill="1"/>
    <xf numFmtId="1" fontId="6" fillId="0" borderId="1" xfId="0" applyNumberFormat="1" applyFont="1" applyBorder="1" applyProtection="1">
      <protection hidden="1"/>
    </xf>
    <xf numFmtId="0" fontId="52" fillId="0" borderId="1" xfId="4" applyFont="1" applyBorder="1" applyAlignment="1">
      <alignment horizontal="center" vertical="center" wrapText="1"/>
    </xf>
    <xf numFmtId="164" fontId="56" fillId="0" borderId="1" xfId="0" applyNumberFormat="1" applyFont="1" applyBorder="1" applyAlignment="1" applyProtection="1">
      <alignment horizontal="right"/>
      <protection hidden="1"/>
    </xf>
    <xf numFmtId="164" fontId="6" fillId="4" borderId="15" xfId="0" applyNumberFormat="1" applyFont="1" applyFill="1" applyBorder="1" applyAlignment="1" applyProtection="1">
      <alignment horizontal="right"/>
      <protection hidden="1"/>
    </xf>
    <xf numFmtId="164" fontId="4" fillId="4" borderId="15" xfId="0" applyNumberFormat="1" applyFont="1" applyFill="1" applyBorder="1" applyAlignment="1" applyProtection="1">
      <alignment horizontal="right"/>
      <protection hidden="1"/>
    </xf>
    <xf numFmtId="1" fontId="14" fillId="7" borderId="1" xfId="0" applyNumberFormat="1" applyFont="1" applyFill="1" applyBorder="1" applyAlignment="1" applyProtection="1">
      <alignment horizontal="center"/>
      <protection hidden="1"/>
    </xf>
    <xf numFmtId="1" fontId="14" fillId="8" borderId="1" xfId="0" applyNumberFormat="1" applyFont="1" applyFill="1" applyBorder="1" applyAlignment="1" applyProtection="1">
      <alignment horizontal="center"/>
      <protection hidden="1"/>
    </xf>
    <xf numFmtId="0" fontId="47" fillId="3" borderId="0" xfId="0" applyFont="1" applyFill="1" applyAlignment="1" applyProtection="1">
      <alignment vertical="center"/>
      <protection hidden="1"/>
    </xf>
    <xf numFmtId="0" fontId="3" fillId="3" borderId="0" xfId="0" applyFont="1" applyFill="1" applyAlignment="1" applyProtection="1">
      <alignment horizontal="center" vertical="center" wrapText="1"/>
      <protection locked="0"/>
    </xf>
    <xf numFmtId="0" fontId="18" fillId="3" borderId="1" xfId="0" applyFont="1" applyFill="1" applyBorder="1" applyAlignment="1" applyProtection="1">
      <alignment horizontal="center" wrapText="1"/>
      <protection locked="0"/>
    </xf>
    <xf numFmtId="0" fontId="18" fillId="3" borderId="1" xfId="0" applyFont="1" applyFill="1" applyBorder="1" applyAlignment="1" applyProtection="1">
      <alignment horizontal="center" vertical="center" wrapText="1"/>
      <protection locked="0"/>
    </xf>
    <xf numFmtId="164" fontId="3" fillId="3" borderId="0" xfId="0" applyNumberFormat="1" applyFont="1" applyFill="1" applyAlignment="1" applyProtection="1">
      <alignment horizontal="right" vertical="center" wrapText="1"/>
      <protection locked="0"/>
    </xf>
    <xf numFmtId="0" fontId="59" fillId="3" borderId="0" xfId="0" applyFont="1" applyFill="1" applyAlignment="1" applyProtection="1">
      <alignment vertical="center"/>
      <protection locked="0"/>
    </xf>
    <xf numFmtId="0" fontId="60" fillId="3" borderId="0" xfId="0" applyFont="1" applyFill="1" applyAlignment="1" applyProtection="1">
      <alignment vertical="center"/>
      <protection locked="0"/>
    </xf>
    <xf numFmtId="164" fontId="61" fillId="3" borderId="0" xfId="0" applyNumberFormat="1" applyFont="1" applyFill="1" applyAlignment="1" applyProtection="1">
      <alignment horizontal="left" vertical="center"/>
      <protection hidden="1"/>
    </xf>
    <xf numFmtId="0" fontId="60" fillId="3" borderId="0" xfId="0" applyFont="1" applyFill="1" applyAlignment="1" applyProtection="1">
      <alignment vertical="center"/>
      <protection hidden="1"/>
    </xf>
    <xf numFmtId="164" fontId="60" fillId="3" borderId="0" xfId="0" applyNumberFormat="1" applyFont="1" applyFill="1" applyAlignment="1" applyProtection="1">
      <alignment horizontal="right" vertical="center"/>
      <protection hidden="1"/>
    </xf>
    <xf numFmtId="164" fontId="62" fillId="3" borderId="1" xfId="0" applyNumberFormat="1" applyFont="1" applyFill="1" applyBorder="1" applyAlignment="1" applyProtection="1">
      <alignment horizontal="center" vertical="center" wrapText="1"/>
      <protection hidden="1"/>
    </xf>
    <xf numFmtId="0" fontId="62" fillId="3" borderId="1" xfId="0" applyFont="1" applyFill="1" applyBorder="1" applyAlignment="1" applyProtection="1">
      <alignment horizontal="center" vertical="center"/>
      <protection hidden="1"/>
    </xf>
    <xf numFmtId="1" fontId="62" fillId="3" borderId="1" xfId="0" applyNumberFormat="1" applyFont="1" applyFill="1" applyBorder="1" applyAlignment="1" applyProtection="1">
      <alignment horizontal="center" vertical="center"/>
      <protection hidden="1"/>
    </xf>
    <xf numFmtId="164" fontId="62" fillId="3" borderId="1" xfId="0" applyNumberFormat="1" applyFont="1" applyFill="1" applyBorder="1" applyAlignment="1" applyProtection="1">
      <alignment horizontal="center" vertical="center"/>
      <protection hidden="1"/>
    </xf>
    <xf numFmtId="0" fontId="62" fillId="3" borderId="1" xfId="0" applyFont="1" applyFill="1" applyBorder="1" applyAlignment="1" applyProtection="1">
      <alignment horizontal="center" vertical="center" wrapText="1"/>
      <protection hidden="1"/>
    </xf>
    <xf numFmtId="0" fontId="60" fillId="3" borderId="11" xfId="0" applyFont="1" applyFill="1" applyBorder="1" applyAlignment="1" applyProtection="1">
      <alignment horizontal="left" vertical="center"/>
      <protection locked="0"/>
    </xf>
    <xf numFmtId="0" fontId="64" fillId="3" borderId="11" xfId="0" applyFont="1" applyFill="1" applyBorder="1" applyAlignment="1" applyProtection="1">
      <alignment horizontal="center" vertical="center"/>
      <protection locked="0"/>
    </xf>
    <xf numFmtId="0" fontId="60" fillId="3" borderId="0" xfId="0" applyFont="1" applyFill="1" applyAlignment="1" applyProtection="1">
      <alignment vertical="center" wrapText="1"/>
      <protection locked="0"/>
    </xf>
    <xf numFmtId="0" fontId="60" fillId="3" borderId="0" xfId="0" quotePrefix="1" applyFont="1" applyFill="1" applyAlignment="1" applyProtection="1">
      <alignment vertical="center"/>
      <protection locked="0"/>
    </xf>
    <xf numFmtId="175" fontId="18" fillId="3" borderId="1" xfId="0" applyNumberFormat="1" applyFont="1" applyFill="1" applyBorder="1" applyAlignment="1" applyProtection="1">
      <alignment horizontal="right" vertical="center" wrapText="1"/>
      <protection locked="0"/>
    </xf>
    <xf numFmtId="0" fontId="24" fillId="3" borderId="0" xfId="0" applyFont="1" applyFill="1" applyAlignment="1" applyProtection="1">
      <alignment vertical="center"/>
      <protection locked="0"/>
    </xf>
    <xf numFmtId="167" fontId="12" fillId="3" borderId="0" xfId="0" quotePrefix="1" applyNumberFormat="1" applyFont="1" applyFill="1" applyAlignment="1" applyProtection="1">
      <alignment horizontal="left" vertical="center"/>
      <protection locked="0"/>
    </xf>
    <xf numFmtId="164" fontId="18" fillId="3" borderId="8" xfId="0" applyNumberFormat="1" applyFont="1" applyFill="1" applyBorder="1" applyAlignment="1" applyProtection="1">
      <alignment vertical="center"/>
      <protection locked="0"/>
    </xf>
    <xf numFmtId="164" fontId="18" fillId="3" borderId="6" xfId="0" applyNumberFormat="1" applyFont="1" applyFill="1" applyBorder="1" applyAlignment="1" applyProtection="1">
      <alignment vertical="center"/>
      <protection locked="0"/>
    </xf>
    <xf numFmtId="164" fontId="18" fillId="3" borderId="4" xfId="0" applyNumberFormat="1" applyFont="1" applyFill="1" applyBorder="1" applyAlignment="1" applyProtection="1">
      <alignment vertical="center"/>
      <protection locked="0"/>
    </xf>
    <xf numFmtId="164" fontId="18" fillId="3" borderId="9" xfId="0" applyNumberFormat="1" applyFont="1" applyFill="1" applyBorder="1" applyAlignment="1" applyProtection="1">
      <alignment vertical="center"/>
      <protection locked="0"/>
    </xf>
    <xf numFmtId="164" fontId="18" fillId="3" borderId="11" xfId="0" applyNumberFormat="1" applyFont="1" applyFill="1" applyBorder="1" applyAlignment="1" applyProtection="1">
      <alignment vertical="center"/>
      <protection locked="0"/>
    </xf>
    <xf numFmtId="164" fontId="18" fillId="3" borderId="0" xfId="0" applyNumberFormat="1" applyFont="1" applyFill="1" applyAlignment="1" applyProtection="1">
      <alignment vertical="center"/>
      <protection locked="0"/>
    </xf>
    <xf numFmtId="175" fontId="18" fillId="3" borderId="1" xfId="0" applyNumberFormat="1" applyFont="1" applyFill="1" applyBorder="1" applyAlignment="1" applyProtection="1">
      <alignment horizontal="center" vertical="center" wrapText="1"/>
      <protection locked="0"/>
    </xf>
    <xf numFmtId="164" fontId="66" fillId="0" borderId="1" xfId="0" applyNumberFormat="1" applyFont="1" applyBorder="1" applyAlignment="1" applyProtection="1">
      <alignment horizontal="right"/>
      <protection hidden="1"/>
    </xf>
    <xf numFmtId="0" fontId="3" fillId="3" borderId="13" xfId="0" applyFont="1" applyFill="1" applyBorder="1" applyAlignment="1" applyProtection="1">
      <alignment horizontal="center"/>
      <protection hidden="1"/>
    </xf>
    <xf numFmtId="0" fontId="12" fillId="0" borderId="0" xfId="0" applyFont="1" applyAlignment="1" applyProtection="1">
      <alignment vertical="top"/>
      <protection locked="0"/>
    </xf>
    <xf numFmtId="164" fontId="66" fillId="3" borderId="1" xfId="0" applyNumberFormat="1" applyFont="1" applyFill="1" applyBorder="1" applyAlignment="1" applyProtection="1">
      <alignment horizontal="right"/>
      <protection hidden="1"/>
    </xf>
    <xf numFmtId="1" fontId="15" fillId="4" borderId="1" xfId="0" applyNumberFormat="1" applyFont="1" applyFill="1" applyBorder="1" applyAlignment="1" applyProtection="1">
      <alignment horizontal="center"/>
      <protection hidden="1"/>
    </xf>
    <xf numFmtId="164" fontId="66" fillId="4" borderId="1" xfId="0" applyNumberFormat="1" applyFont="1" applyFill="1" applyBorder="1" applyAlignment="1" applyProtection="1">
      <alignment horizontal="right"/>
      <protection hidden="1"/>
    </xf>
    <xf numFmtId="164" fontId="56" fillId="4" borderId="1" xfId="0" applyNumberFormat="1" applyFont="1" applyFill="1" applyBorder="1" applyAlignment="1" applyProtection="1">
      <alignment horizontal="right"/>
      <protection hidden="1"/>
    </xf>
    <xf numFmtId="164" fontId="4" fillId="4" borderId="13" xfId="0" applyNumberFormat="1" applyFont="1" applyFill="1" applyBorder="1" applyAlignment="1" applyProtection="1">
      <alignment horizontal="right"/>
      <protection hidden="1"/>
    </xf>
    <xf numFmtId="1" fontId="4" fillId="4" borderId="1" xfId="0" quotePrefix="1" applyNumberFormat="1" applyFont="1" applyFill="1" applyBorder="1" applyAlignment="1" applyProtection="1">
      <alignment horizontal="center"/>
      <protection hidden="1"/>
    </xf>
    <xf numFmtId="0" fontId="18" fillId="3" borderId="0" xfId="0" applyFont="1" applyFill="1" applyAlignment="1" applyProtection="1">
      <alignment wrapText="1"/>
      <protection locked="0"/>
    </xf>
    <xf numFmtId="0" fontId="16" fillId="3" borderId="0" xfId="0" applyFont="1" applyFill="1" applyAlignment="1" applyProtection="1">
      <alignment horizontal="center" vertical="center"/>
      <protection hidden="1"/>
    </xf>
    <xf numFmtId="0" fontId="18" fillId="3" borderId="0" xfId="0" applyFont="1" applyFill="1" applyAlignment="1" applyProtection="1">
      <alignment horizontal="center" wrapText="1"/>
      <protection locked="0"/>
    </xf>
    <xf numFmtId="1" fontId="16" fillId="3" borderId="0" xfId="0" applyNumberFormat="1" applyFont="1" applyFill="1" applyAlignment="1" applyProtection="1">
      <alignment horizontal="center" vertical="center" wrapText="1"/>
      <protection locked="0"/>
    </xf>
    <xf numFmtId="164" fontId="18" fillId="3" borderId="0" xfId="0" applyNumberFormat="1" applyFont="1" applyFill="1" applyAlignment="1" applyProtection="1">
      <alignment horizontal="right" vertical="center"/>
      <protection hidden="1"/>
    </xf>
    <xf numFmtId="175" fontId="18" fillId="3" borderId="1" xfId="0" applyNumberFormat="1" applyFont="1" applyFill="1" applyBorder="1" applyAlignment="1" applyProtection="1">
      <alignment vertical="center" wrapText="1"/>
      <protection hidden="1"/>
    </xf>
    <xf numFmtId="1" fontId="68" fillId="0" borderId="1" xfId="0" applyNumberFormat="1" applyFont="1" applyBorder="1" applyAlignment="1" applyProtection="1">
      <alignment horizontal="center"/>
      <protection hidden="1"/>
    </xf>
    <xf numFmtId="1" fontId="42" fillId="8" borderId="1" xfId="0" quotePrefix="1" applyNumberFormat="1" applyFont="1" applyFill="1" applyBorder="1" applyAlignment="1" applyProtection="1">
      <alignment horizontal="left" vertical="center"/>
      <protection hidden="1"/>
    </xf>
    <xf numFmtId="1" fontId="42" fillId="7" borderId="1" xfId="0" quotePrefix="1" applyNumberFormat="1" applyFont="1" applyFill="1" applyBorder="1" applyAlignment="1" applyProtection="1">
      <alignment horizontal="left" vertical="center"/>
      <protection hidden="1"/>
    </xf>
    <xf numFmtId="164" fontId="55" fillId="4" borderId="1" xfId="0" applyNumberFormat="1" applyFont="1" applyFill="1" applyBorder="1" applyAlignment="1" applyProtection="1">
      <alignment horizontal="right"/>
      <protection hidden="1"/>
    </xf>
    <xf numFmtId="1" fontId="67" fillId="0" borderId="0" xfId="0" applyNumberFormat="1" applyFont="1" applyProtection="1">
      <protection hidden="1"/>
    </xf>
    <xf numFmtId="171" fontId="17" fillId="7" borderId="1" xfId="0" applyNumberFormat="1" applyFont="1" applyFill="1" applyBorder="1" applyAlignment="1">
      <alignment horizontal="center"/>
    </xf>
    <xf numFmtId="0" fontId="52" fillId="7" borderId="8" xfId="0" applyFont="1" applyFill="1" applyBorder="1" applyAlignment="1">
      <alignment horizontal="center" vertical="center"/>
    </xf>
    <xf numFmtId="0" fontId="52" fillId="7" borderId="1" xfId="0" applyFont="1" applyFill="1" applyBorder="1" applyAlignment="1">
      <alignment horizontal="center" vertical="center" wrapText="1"/>
    </xf>
    <xf numFmtId="0" fontId="58" fillId="0" borderId="0" xfId="0" applyFont="1" applyAlignment="1">
      <alignment horizontal="center" vertical="center" wrapText="1"/>
    </xf>
    <xf numFmtId="0" fontId="10" fillId="0" borderId="0" xfId="0" applyFont="1" applyAlignment="1">
      <alignment horizontal="center" vertical="center"/>
    </xf>
    <xf numFmtId="0" fontId="52" fillId="4" borderId="0" xfId="0" applyFont="1" applyFill="1" applyAlignment="1">
      <alignment horizontal="center" vertical="center"/>
    </xf>
    <xf numFmtId="171" fontId="17" fillId="4" borderId="0" xfId="0" applyNumberFormat="1" applyFont="1" applyFill="1" applyAlignment="1">
      <alignment horizontal="center" vertical="center"/>
    </xf>
    <xf numFmtId="171" fontId="17" fillId="7" borderId="1" xfId="0" applyNumberFormat="1" applyFont="1" applyFill="1" applyBorder="1" applyAlignment="1">
      <alignment horizontal="center" vertical="center"/>
    </xf>
    <xf numFmtId="177" fontId="12" fillId="3" borderId="0" xfId="0" applyNumberFormat="1" applyFont="1" applyFill="1" applyProtection="1">
      <protection locked="0"/>
    </xf>
    <xf numFmtId="0" fontId="64" fillId="3" borderId="0" xfId="0" applyFont="1" applyFill="1" applyAlignment="1" applyProtection="1">
      <alignment horizontal="center" vertical="center"/>
      <protection locked="0"/>
    </xf>
    <xf numFmtId="1" fontId="60" fillId="3" borderId="0" xfId="0" applyNumberFormat="1" applyFont="1" applyFill="1" applyAlignment="1" applyProtection="1">
      <alignment horizontal="left"/>
      <protection locked="0"/>
    </xf>
    <xf numFmtId="1" fontId="4" fillId="0" borderId="0" xfId="0" applyNumberFormat="1" applyFont="1" applyProtection="1">
      <protection hidden="1"/>
    </xf>
    <xf numFmtId="1" fontId="15" fillId="0" borderId="1" xfId="0" applyNumberFormat="1" applyFont="1" applyBorder="1" applyAlignment="1" applyProtection="1">
      <alignment horizontal="center"/>
      <protection hidden="1"/>
    </xf>
    <xf numFmtId="1" fontId="39" fillId="0" borderId="0" xfId="0" applyNumberFormat="1" applyFont="1" applyProtection="1">
      <protection hidden="1"/>
    </xf>
    <xf numFmtId="1" fontId="68" fillId="3" borderId="2" xfId="0" applyNumberFormat="1" applyFont="1" applyFill="1" applyBorder="1" applyAlignment="1" applyProtection="1">
      <alignment vertical="center"/>
      <protection hidden="1"/>
    </xf>
    <xf numFmtId="1" fontId="39" fillId="0" borderId="0" xfId="0" applyNumberFormat="1" applyFont="1" applyAlignment="1" applyProtection="1">
      <alignment horizontal="center"/>
      <protection hidden="1"/>
    </xf>
    <xf numFmtId="1" fontId="39" fillId="0" borderId="1" xfId="0" applyNumberFormat="1" applyFont="1" applyBorder="1" applyAlignment="1" applyProtection="1">
      <alignment horizontal="center"/>
      <protection hidden="1"/>
    </xf>
    <xf numFmtId="1" fontId="39" fillId="3" borderId="1" xfId="0" applyNumberFormat="1" applyFont="1" applyFill="1" applyBorder="1" applyAlignment="1" applyProtection="1">
      <alignment horizontal="center"/>
      <protection hidden="1"/>
    </xf>
    <xf numFmtId="1" fontId="39" fillId="3" borderId="11" xfId="0" applyNumberFormat="1" applyFont="1" applyFill="1" applyBorder="1" applyProtection="1">
      <protection hidden="1"/>
    </xf>
    <xf numFmtId="1" fontId="68" fillId="0" borderId="1" xfId="0" quotePrefix="1" applyNumberFormat="1" applyFont="1" applyBorder="1" applyAlignment="1" applyProtection="1">
      <alignment horizontal="center"/>
      <protection hidden="1"/>
    </xf>
    <xf numFmtId="1" fontId="39" fillId="3" borderId="0" xfId="0" applyNumberFormat="1" applyFont="1" applyFill="1" applyProtection="1">
      <protection hidden="1"/>
    </xf>
    <xf numFmtId="1" fontId="14" fillId="4" borderId="1" xfId="0" applyNumberFormat="1" applyFont="1" applyFill="1" applyBorder="1" applyAlignment="1" applyProtection="1">
      <alignment horizontal="center"/>
      <protection hidden="1"/>
    </xf>
    <xf numFmtId="1" fontId="6" fillId="3" borderId="0" xfId="0" applyNumberFormat="1" applyFont="1" applyFill="1" applyProtection="1">
      <protection hidden="1"/>
    </xf>
    <xf numFmtId="1" fontId="8" fillId="3" borderId="0" xfId="0" applyNumberFormat="1" applyFont="1" applyFill="1" applyProtection="1">
      <protection hidden="1"/>
    </xf>
    <xf numFmtId="164" fontId="65" fillId="0" borderId="0" xfId="0" applyNumberFormat="1" applyFont="1" applyAlignment="1" applyProtection="1">
      <alignment horizontal="right"/>
      <protection hidden="1"/>
    </xf>
    <xf numFmtId="0" fontId="52" fillId="0" borderId="10" xfId="0" applyFont="1" applyBorder="1" applyAlignment="1">
      <alignment horizontal="center" vertical="center"/>
    </xf>
    <xf numFmtId="164" fontId="66" fillId="0" borderId="10" xfId="0" applyNumberFormat="1" applyFont="1" applyBorder="1" applyAlignment="1" applyProtection="1">
      <alignment horizontal="right"/>
      <protection hidden="1"/>
    </xf>
    <xf numFmtId="164" fontId="56" fillId="0" borderId="10" xfId="0" applyNumberFormat="1" applyFont="1" applyBorder="1" applyAlignment="1" applyProtection="1">
      <alignment horizontal="right"/>
      <protection hidden="1"/>
    </xf>
    <xf numFmtId="164" fontId="66" fillId="3" borderId="10" xfId="0" applyNumberFormat="1" applyFont="1" applyFill="1" applyBorder="1" applyAlignment="1" applyProtection="1">
      <alignment horizontal="right"/>
      <protection hidden="1"/>
    </xf>
    <xf numFmtId="0" fontId="27" fillId="3" borderId="0" xfId="0" applyFont="1" applyFill="1" applyAlignment="1" applyProtection="1">
      <alignment vertical="center"/>
      <protection hidden="1"/>
    </xf>
    <xf numFmtId="0" fontId="76" fillId="3" borderId="0" xfId="0" applyFont="1" applyFill="1" applyAlignment="1" applyProtection="1">
      <alignment horizontal="center" vertical="center"/>
      <protection locked="0"/>
    </xf>
    <xf numFmtId="0" fontId="77" fillId="3" borderId="0" xfId="0" applyFont="1" applyFill="1" applyAlignment="1" applyProtection="1">
      <alignment horizontal="left" vertical="top"/>
      <protection locked="0"/>
    </xf>
    <xf numFmtId="0" fontId="78" fillId="3" borderId="0" xfId="0" applyFont="1" applyFill="1" applyAlignment="1" applyProtection="1">
      <alignment horizontal="left" vertical="center"/>
      <protection hidden="1"/>
    </xf>
    <xf numFmtId="0" fontId="79" fillId="3" borderId="0" xfId="0" applyFont="1" applyFill="1" applyAlignment="1" applyProtection="1">
      <alignment horizontal="right" vertical="center"/>
      <protection hidden="1"/>
    </xf>
    <xf numFmtId="0" fontId="78" fillId="3" borderId="0" xfId="0" applyFont="1" applyFill="1" applyAlignment="1" applyProtection="1">
      <alignment horizontal="left" vertical="top"/>
      <protection locked="0"/>
    </xf>
    <xf numFmtId="0" fontId="78" fillId="3" borderId="0" xfId="0" applyFont="1" applyFill="1" applyAlignment="1" applyProtection="1">
      <alignment vertical="center"/>
      <protection locked="0"/>
    </xf>
    <xf numFmtId="0" fontId="78" fillId="3" borderId="0" xfId="0" applyFont="1" applyFill="1" applyAlignment="1" applyProtection="1">
      <alignment horizontal="left" vertical="center"/>
      <protection locked="0"/>
    </xf>
    <xf numFmtId="0" fontId="79" fillId="3" borderId="0" xfId="0" applyFont="1" applyFill="1" applyAlignment="1" applyProtection="1">
      <alignment horizontal="left" vertical="center"/>
      <protection locked="0"/>
    </xf>
    <xf numFmtId="0" fontId="80" fillId="3" borderId="0" xfId="0" applyFont="1" applyFill="1" applyAlignment="1" applyProtection="1">
      <alignment vertical="center"/>
      <protection locked="0"/>
    </xf>
    <xf numFmtId="0" fontId="78" fillId="3" borderId="0" xfId="0" applyFont="1" applyFill="1" applyAlignment="1" applyProtection="1">
      <alignment horizontal="right" vertical="center"/>
      <protection locked="0"/>
    </xf>
    <xf numFmtId="0" fontId="78" fillId="3" borderId="0" xfId="0" applyFont="1" applyFill="1" applyAlignment="1" applyProtection="1">
      <alignment vertical="center"/>
      <protection hidden="1"/>
    </xf>
    <xf numFmtId="0" fontId="78" fillId="3" borderId="0" xfId="0" quotePrefix="1" applyFont="1" applyFill="1" applyAlignment="1" applyProtection="1">
      <alignment vertical="center"/>
      <protection locked="0"/>
    </xf>
    <xf numFmtId="167" fontId="78" fillId="3" borderId="0" xfId="0" quotePrefix="1" applyNumberFormat="1" applyFont="1" applyFill="1" applyAlignment="1" applyProtection="1">
      <alignment horizontal="left" vertical="center"/>
      <protection locked="0"/>
    </xf>
    <xf numFmtId="170" fontId="78" fillId="3" borderId="0" xfId="0" applyNumberFormat="1" applyFont="1" applyFill="1" applyAlignment="1" applyProtection="1">
      <alignment horizontal="left" vertical="center"/>
      <protection locked="0"/>
    </xf>
    <xf numFmtId="164" fontId="78" fillId="3" borderId="0" xfId="0" applyNumberFormat="1" applyFont="1" applyFill="1" applyAlignment="1" applyProtection="1">
      <alignment horizontal="left" vertical="center"/>
      <protection hidden="1"/>
    </xf>
    <xf numFmtId="170" fontId="78" fillId="3" borderId="0" xfId="0" applyNumberFormat="1" applyFont="1" applyFill="1" applyAlignment="1" applyProtection="1">
      <alignment horizontal="left" vertical="center"/>
      <protection hidden="1"/>
    </xf>
    <xf numFmtId="0" fontId="79" fillId="3" borderId="0" xfId="0" applyFont="1" applyFill="1" applyAlignment="1" applyProtection="1">
      <alignment horizontal="left" vertical="center"/>
      <protection hidden="1"/>
    </xf>
    <xf numFmtId="0" fontId="78" fillId="3" borderId="12" xfId="0" applyFont="1" applyFill="1" applyBorder="1" applyAlignment="1" applyProtection="1">
      <alignment vertical="center"/>
      <protection hidden="1"/>
    </xf>
    <xf numFmtId="0" fontId="31" fillId="3" borderId="7" xfId="0" applyFont="1" applyFill="1" applyBorder="1" applyAlignment="1" applyProtection="1">
      <alignment vertical="center"/>
      <protection hidden="1"/>
    </xf>
    <xf numFmtId="0" fontId="31" fillId="3" borderId="7" xfId="0" applyFont="1" applyFill="1" applyBorder="1" applyAlignment="1" applyProtection="1">
      <alignment horizontal="center" vertical="center"/>
      <protection hidden="1"/>
    </xf>
    <xf numFmtId="0" fontId="31" fillId="3" borderId="1" xfId="0" applyFont="1" applyFill="1" applyBorder="1" applyAlignment="1" applyProtection="1">
      <alignment vertical="center"/>
      <protection hidden="1"/>
    </xf>
    <xf numFmtId="164" fontId="31" fillId="3" borderId="1" xfId="0" applyNumberFormat="1" applyFont="1" applyFill="1" applyBorder="1" applyAlignment="1" applyProtection="1">
      <alignment horizontal="center" vertical="center"/>
      <protection locked="0"/>
    </xf>
    <xf numFmtId="0" fontId="78" fillId="3" borderId="0" xfId="0" applyFont="1" applyFill="1" applyAlignment="1" applyProtection="1">
      <alignment horizontal="center" vertical="center"/>
      <protection locked="0"/>
    </xf>
    <xf numFmtId="164" fontId="78" fillId="3" borderId="0" xfId="0" applyNumberFormat="1" applyFont="1" applyFill="1" applyAlignment="1" applyProtection="1">
      <alignment horizontal="center" vertical="center"/>
      <protection locked="0"/>
    </xf>
    <xf numFmtId="0" fontId="78" fillId="3" borderId="0" xfId="0" applyFont="1" applyFill="1" applyAlignment="1" applyProtection="1">
      <alignment horizontal="center" vertical="center" wrapText="1"/>
      <protection hidden="1"/>
    </xf>
    <xf numFmtId="0" fontId="79" fillId="3" borderId="0" xfId="0" applyFont="1" applyFill="1" applyAlignment="1" applyProtection="1">
      <alignment vertical="center"/>
      <protection hidden="1"/>
    </xf>
    <xf numFmtId="165" fontId="31" fillId="3" borderId="0" xfId="0" applyNumberFormat="1" applyFont="1" applyFill="1" applyAlignment="1" applyProtection="1">
      <alignment horizontal="center" vertical="center"/>
      <protection hidden="1"/>
    </xf>
    <xf numFmtId="2" fontId="78" fillId="3" borderId="0" xfId="0" applyNumberFormat="1" applyFont="1" applyFill="1" applyAlignment="1" applyProtection="1">
      <alignment vertical="center"/>
      <protection hidden="1"/>
    </xf>
    <xf numFmtId="2" fontId="82" fillId="3" borderId="0" xfId="3" applyNumberFormat="1" applyFont="1" applyFill="1" applyAlignment="1" applyProtection="1">
      <alignment horizontal="right" vertical="center" wrapText="1"/>
      <protection hidden="1"/>
    </xf>
    <xf numFmtId="171" fontId="78" fillId="3" borderId="0" xfId="0" applyNumberFormat="1" applyFont="1" applyFill="1" applyAlignment="1" applyProtection="1">
      <alignment vertical="center"/>
      <protection hidden="1"/>
    </xf>
    <xf numFmtId="0" fontId="31" fillId="3" borderId="1" xfId="0" applyFont="1" applyFill="1" applyBorder="1" applyAlignment="1" applyProtection="1">
      <alignment horizontal="center" vertical="center"/>
      <protection locked="0"/>
    </xf>
    <xf numFmtId="0" fontId="78" fillId="3" borderId="0" xfId="0" applyFont="1" applyFill="1" applyAlignment="1" applyProtection="1">
      <alignment horizontal="center" vertical="center"/>
      <protection hidden="1"/>
    </xf>
    <xf numFmtId="0" fontId="78" fillId="3" borderId="0" xfId="0" applyFont="1" applyFill="1" applyAlignment="1" applyProtection="1">
      <alignment horizontal="right" vertical="center" wrapText="1"/>
      <protection hidden="1"/>
    </xf>
    <xf numFmtId="164" fontId="78" fillId="3" borderId="0" xfId="0" applyNumberFormat="1" applyFont="1" applyFill="1" applyAlignment="1" applyProtection="1">
      <alignment horizontal="right" vertical="center"/>
      <protection locked="0"/>
    </xf>
    <xf numFmtId="1" fontId="78" fillId="3" borderId="0" xfId="0" applyNumberFormat="1" applyFont="1" applyFill="1" applyAlignment="1" applyProtection="1">
      <alignment horizontal="right" vertical="center"/>
      <protection locked="0"/>
    </xf>
    <xf numFmtId="1" fontId="78" fillId="3" borderId="0" xfId="0" applyNumberFormat="1" applyFont="1" applyFill="1" applyAlignment="1" applyProtection="1">
      <alignment horizontal="right" vertical="center" wrapText="1"/>
      <protection hidden="1"/>
    </xf>
    <xf numFmtId="0" fontId="31" fillId="3" borderId="5" xfId="0" applyFont="1" applyFill="1" applyBorder="1" applyAlignment="1" applyProtection="1">
      <alignment vertical="center" wrapText="1"/>
      <protection hidden="1"/>
    </xf>
    <xf numFmtId="164" fontId="31" fillId="3" borderId="8" xfId="0" applyNumberFormat="1" applyFont="1" applyFill="1" applyBorder="1" applyAlignment="1" applyProtection="1">
      <alignment vertical="center"/>
      <protection locked="0"/>
    </xf>
    <xf numFmtId="164" fontId="31" fillId="3" borderId="6" xfId="0" applyNumberFormat="1" applyFont="1" applyFill="1" applyBorder="1" applyAlignment="1" applyProtection="1">
      <alignment vertical="center"/>
      <protection locked="0"/>
    </xf>
    <xf numFmtId="0" fontId="83" fillId="3" borderId="5" xfId="0" quotePrefix="1" applyFont="1" applyFill="1" applyBorder="1" applyAlignment="1" applyProtection="1">
      <alignment vertical="center"/>
      <protection hidden="1"/>
    </xf>
    <xf numFmtId="0" fontId="31" fillId="3" borderId="7" xfId="0" applyFont="1" applyFill="1" applyBorder="1" applyAlignment="1" applyProtection="1">
      <alignment vertical="center" wrapText="1"/>
      <protection hidden="1"/>
    </xf>
    <xf numFmtId="164" fontId="31" fillId="3" borderId="4" xfId="0" applyNumberFormat="1" applyFont="1" applyFill="1" applyBorder="1" applyAlignment="1" applyProtection="1">
      <alignment vertical="center"/>
      <protection locked="0"/>
    </xf>
    <xf numFmtId="164" fontId="31" fillId="3" borderId="9" xfId="0" applyNumberFormat="1" applyFont="1" applyFill="1" applyBorder="1" applyAlignment="1" applyProtection="1">
      <alignment vertical="center"/>
      <protection locked="0"/>
    </xf>
    <xf numFmtId="0" fontId="83" fillId="3" borderId="7" xfId="0" quotePrefix="1" applyFont="1" applyFill="1" applyBorder="1" applyAlignment="1" applyProtection="1">
      <alignment vertical="center"/>
      <protection hidden="1"/>
    </xf>
    <xf numFmtId="0" fontId="31" fillId="3" borderId="11" xfId="0" applyFont="1" applyFill="1" applyBorder="1" applyAlignment="1" applyProtection="1">
      <alignment vertical="center" wrapText="1"/>
      <protection hidden="1"/>
    </xf>
    <xf numFmtId="164" fontId="31" fillId="3" borderId="11" xfId="0" applyNumberFormat="1" applyFont="1" applyFill="1" applyBorder="1" applyAlignment="1" applyProtection="1">
      <alignment vertical="center"/>
      <protection locked="0"/>
    </xf>
    <xf numFmtId="2" fontId="31" fillId="3" borderId="11" xfId="0" applyNumberFormat="1" applyFont="1" applyFill="1" applyBorder="1" applyAlignment="1" applyProtection="1">
      <alignment vertical="center"/>
      <protection hidden="1"/>
    </xf>
    <xf numFmtId="2" fontId="31" fillId="3" borderId="0" xfId="0" applyNumberFormat="1" applyFont="1" applyFill="1" applyAlignment="1" applyProtection="1">
      <alignment vertical="center"/>
      <protection hidden="1"/>
    </xf>
    <xf numFmtId="0" fontId="83" fillId="3" borderId="0" xfId="0" quotePrefix="1" applyFont="1" applyFill="1" applyAlignment="1" applyProtection="1">
      <alignment vertical="center"/>
      <protection hidden="1"/>
    </xf>
    <xf numFmtId="164" fontId="31" fillId="3" borderId="0" xfId="0" applyNumberFormat="1" applyFont="1" applyFill="1" applyAlignment="1" applyProtection="1">
      <alignment vertical="center"/>
      <protection locked="0"/>
    </xf>
    <xf numFmtId="0" fontId="31" fillId="3" borderId="0" xfId="0" applyFont="1" applyFill="1" applyAlignment="1" applyProtection="1">
      <alignment vertical="center" wrapText="1"/>
      <protection hidden="1"/>
    </xf>
    <xf numFmtId="0" fontId="79" fillId="3" borderId="2" xfId="0" applyFont="1" applyFill="1" applyBorder="1" applyAlignment="1" applyProtection="1">
      <alignment vertical="center"/>
      <protection hidden="1"/>
    </xf>
    <xf numFmtId="0" fontId="78" fillId="3" borderId="0" xfId="0" applyFont="1" applyFill="1" applyAlignment="1" applyProtection="1">
      <alignment horizontal="right" vertical="center"/>
      <protection hidden="1"/>
    </xf>
    <xf numFmtId="0" fontId="39" fillId="3" borderId="0" xfId="0" applyFont="1" applyFill="1" applyAlignment="1" applyProtection="1">
      <alignment horizontal="center" vertical="center"/>
      <protection hidden="1"/>
    </xf>
    <xf numFmtId="0" fontId="78" fillId="3" borderId="0" xfId="0" applyFont="1" applyFill="1" applyAlignment="1" applyProtection="1">
      <alignment horizontal="center" vertical="center" wrapText="1"/>
      <protection locked="0"/>
    </xf>
    <xf numFmtId="164" fontId="78" fillId="3" borderId="0" xfId="0" applyNumberFormat="1" applyFont="1" applyFill="1" applyAlignment="1" applyProtection="1">
      <alignment horizontal="right" vertical="center" wrapText="1"/>
      <protection locked="0"/>
    </xf>
    <xf numFmtId="0" fontId="79" fillId="3" borderId="0" xfId="0" applyFont="1" applyFill="1" applyAlignment="1" applyProtection="1">
      <alignment horizontal="right"/>
      <protection hidden="1"/>
    </xf>
    <xf numFmtId="0" fontId="78" fillId="3" borderId="0" xfId="0" applyFont="1" applyFill="1" applyAlignment="1" applyProtection="1">
      <alignment horizontal="left"/>
      <protection locked="0"/>
    </xf>
    <xf numFmtId="0" fontId="31" fillId="3" borderId="0" xfId="0" applyFont="1" applyFill="1" applyAlignment="1" applyProtection="1">
      <alignment horizontal="center" wrapText="1"/>
      <protection locked="0"/>
    </xf>
    <xf numFmtId="0" fontId="78" fillId="3" borderId="0" xfId="0" quotePrefix="1" applyFont="1" applyFill="1" applyAlignment="1" applyProtection="1">
      <alignment horizontal="left" vertical="center"/>
      <protection locked="0"/>
    </xf>
    <xf numFmtId="164" fontId="31" fillId="3" borderId="0" xfId="0" applyNumberFormat="1" applyFont="1" applyFill="1" applyAlignment="1" applyProtection="1">
      <alignment horizontal="right" vertical="center"/>
      <protection hidden="1"/>
    </xf>
    <xf numFmtId="0" fontId="39" fillId="3" borderId="0" xfId="0" applyFont="1" applyFill="1" applyAlignment="1" applyProtection="1">
      <alignment horizontal="center" vertical="center"/>
      <protection locked="0"/>
    </xf>
    <xf numFmtId="0" fontId="58" fillId="3" borderId="0" xfId="0" applyFont="1" applyFill="1" applyAlignment="1" applyProtection="1">
      <alignment vertical="center"/>
      <protection locked="0"/>
    </xf>
    <xf numFmtId="0" fontId="58" fillId="3" borderId="0" xfId="0" applyFont="1" applyFill="1" applyAlignment="1" applyProtection="1">
      <alignment horizontal="right" vertical="center" wrapText="1"/>
      <protection hidden="1"/>
    </xf>
    <xf numFmtId="0" fontId="58" fillId="3" borderId="0" xfId="0" applyFont="1" applyFill="1" applyAlignment="1" applyProtection="1">
      <alignment vertical="center"/>
      <protection hidden="1"/>
    </xf>
    <xf numFmtId="2" fontId="78" fillId="3" borderId="0" xfId="0" applyNumberFormat="1" applyFont="1" applyFill="1" applyAlignment="1" applyProtection="1">
      <alignment horizontal="right" vertical="center"/>
      <protection locked="0"/>
    </xf>
    <xf numFmtId="171" fontId="78" fillId="3" borderId="0" xfId="0" applyNumberFormat="1" applyFont="1" applyFill="1" applyAlignment="1" applyProtection="1">
      <alignment horizontal="right" vertical="center"/>
      <protection locked="0"/>
    </xf>
    <xf numFmtId="0" fontId="64" fillId="3" borderId="0" xfId="0" applyFont="1" applyFill="1" applyAlignment="1" applyProtection="1">
      <alignment horizontal="center" vertical="center"/>
      <protection hidden="1"/>
    </xf>
    <xf numFmtId="1" fontId="64" fillId="3" borderId="0" xfId="0" applyNumberFormat="1" applyFont="1" applyFill="1" applyAlignment="1" applyProtection="1">
      <alignment horizontal="center" vertical="center"/>
      <protection hidden="1"/>
    </xf>
    <xf numFmtId="0" fontId="85" fillId="3" borderId="0" xfId="0" applyFont="1" applyFill="1" applyAlignment="1" applyProtection="1">
      <alignment vertical="center"/>
      <protection locked="0"/>
    </xf>
    <xf numFmtId="164" fontId="64" fillId="3" borderId="0" xfId="0" applyNumberFormat="1" applyFont="1" applyFill="1" applyAlignment="1" applyProtection="1">
      <alignment horizontal="center" vertical="center"/>
      <protection hidden="1"/>
    </xf>
    <xf numFmtId="0" fontId="64" fillId="3" borderId="0" xfId="0" applyFont="1" applyFill="1" applyAlignment="1" applyProtection="1">
      <alignment horizontal="center" vertical="center" wrapText="1"/>
      <protection hidden="1"/>
    </xf>
    <xf numFmtId="0" fontId="85" fillId="3" borderId="0" xfId="0" applyFont="1" applyFill="1" applyAlignment="1" applyProtection="1">
      <alignment horizontal="left" vertical="center"/>
      <protection locked="0"/>
    </xf>
    <xf numFmtId="0" fontId="85" fillId="3" borderId="0" xfId="0" applyFont="1" applyFill="1" applyAlignment="1" applyProtection="1">
      <alignment vertical="center" wrapText="1"/>
      <protection locked="0"/>
    </xf>
    <xf numFmtId="0" fontId="85" fillId="3" borderId="0" xfId="0" quotePrefix="1" applyFont="1" applyFill="1" applyAlignment="1" applyProtection="1">
      <alignment vertical="center"/>
      <protection locked="0"/>
    </xf>
    <xf numFmtId="0" fontId="79" fillId="3" borderId="0" xfId="0" applyFont="1" applyFill="1" applyAlignment="1" applyProtection="1">
      <alignment horizontal="left"/>
      <protection hidden="1"/>
    </xf>
    <xf numFmtId="0" fontId="79" fillId="3" borderId="2" xfId="0" applyFont="1" applyFill="1" applyBorder="1" applyProtection="1">
      <protection hidden="1"/>
    </xf>
    <xf numFmtId="171" fontId="78" fillId="3" borderId="1" xfId="0" applyNumberFormat="1" applyFont="1" applyFill="1" applyBorder="1" applyAlignment="1" applyProtection="1">
      <alignment horizontal="center" vertical="center"/>
      <protection hidden="1"/>
    </xf>
    <xf numFmtId="164" fontId="78" fillId="3" borderId="1" xfId="0" applyNumberFormat="1" applyFont="1" applyFill="1" applyBorder="1" applyAlignment="1" applyProtection="1">
      <alignment horizontal="center" vertical="center"/>
      <protection locked="0"/>
    </xf>
    <xf numFmtId="0" fontId="80" fillId="3" borderId="1" xfId="0" applyFont="1" applyFill="1" applyBorder="1" applyAlignment="1" applyProtection="1">
      <alignment horizontal="center" vertical="center"/>
      <protection hidden="1"/>
    </xf>
    <xf numFmtId="164" fontId="79" fillId="3" borderId="0" xfId="0" applyNumberFormat="1" applyFont="1" applyFill="1" applyAlignment="1" applyProtection="1">
      <alignment horizontal="right" vertical="center"/>
      <protection hidden="1"/>
    </xf>
    <xf numFmtId="0" fontId="78" fillId="0" borderId="0" xfId="0" applyFont="1" applyProtection="1">
      <protection locked="0"/>
    </xf>
    <xf numFmtId="0" fontId="78" fillId="0" borderId="0" xfId="0" applyFont="1" applyAlignment="1" applyProtection="1">
      <alignment horizontal="left"/>
      <protection locked="0"/>
    </xf>
    <xf numFmtId="164" fontId="78" fillId="0" borderId="0" xfId="0" applyNumberFormat="1" applyFont="1" applyProtection="1">
      <protection locked="0"/>
    </xf>
    <xf numFmtId="0" fontId="80" fillId="2" borderId="0" xfId="0" applyFont="1" applyFill="1" applyAlignment="1" applyProtection="1">
      <alignment horizontal="left"/>
      <protection hidden="1"/>
    </xf>
    <xf numFmtId="0" fontId="80" fillId="2" borderId="0" xfId="0" applyFont="1" applyFill="1" applyProtection="1">
      <protection hidden="1"/>
    </xf>
    <xf numFmtId="0" fontId="80" fillId="0" borderId="0" xfId="0" applyFont="1" applyProtection="1">
      <protection hidden="1"/>
    </xf>
    <xf numFmtId="0" fontId="80" fillId="0" borderId="0" xfId="0" applyFont="1" applyProtection="1">
      <protection locked="0"/>
    </xf>
    <xf numFmtId="0" fontId="89" fillId="2" borderId="0" xfId="0" applyFont="1" applyFill="1" applyAlignment="1" applyProtection="1">
      <alignment horizontal="left"/>
      <protection hidden="1"/>
    </xf>
    <xf numFmtId="0" fontId="89" fillId="0" borderId="0" xfId="0" applyFont="1" applyAlignment="1" applyProtection="1">
      <alignment horizontal="left"/>
      <protection hidden="1"/>
    </xf>
    <xf numFmtId="0" fontId="89" fillId="0" borderId="0" xfId="0" applyFont="1" applyProtection="1">
      <protection hidden="1"/>
    </xf>
    <xf numFmtId="0" fontId="80" fillId="0" borderId="0" xfId="0" applyFont="1" applyAlignment="1" applyProtection="1">
      <alignment horizontal="left"/>
      <protection hidden="1"/>
    </xf>
    <xf numFmtId="0" fontId="80" fillId="2" borderId="0" xfId="0" applyFont="1" applyFill="1" applyAlignment="1" applyProtection="1">
      <alignment horizontal="center"/>
      <protection hidden="1"/>
    </xf>
    <xf numFmtId="0" fontId="89" fillId="2" borderId="0" xfId="0" applyFont="1" applyFill="1" applyAlignment="1" applyProtection="1">
      <alignment horizontal="center"/>
      <protection hidden="1"/>
    </xf>
    <xf numFmtId="0" fontId="80" fillId="2" borderId="7" xfId="0" applyFont="1" applyFill="1" applyBorder="1" applyAlignment="1" applyProtection="1">
      <alignment horizontal="center"/>
      <protection hidden="1"/>
    </xf>
    <xf numFmtId="0" fontId="90" fillId="0" borderId="1" xfId="0" quotePrefix="1" applyFont="1" applyBorder="1" applyAlignment="1" applyProtection="1">
      <alignment horizontal="center" vertical="center" wrapText="1"/>
      <protection hidden="1"/>
    </xf>
    <xf numFmtId="0" fontId="89" fillId="2" borderId="0" xfId="0" applyFont="1" applyFill="1" applyProtection="1">
      <protection hidden="1"/>
    </xf>
    <xf numFmtId="166" fontId="80" fillId="2" borderId="7" xfId="0" applyNumberFormat="1" applyFont="1" applyFill="1" applyBorder="1" applyAlignment="1" applyProtection="1">
      <alignment horizontal="center" vertical="center"/>
      <protection hidden="1"/>
    </xf>
    <xf numFmtId="164" fontId="80" fillId="0" borderId="1" xfId="0" applyNumberFormat="1" applyFont="1" applyBorder="1" applyAlignment="1" applyProtection="1">
      <alignment horizontal="center"/>
      <protection hidden="1"/>
    </xf>
    <xf numFmtId="0" fontId="80" fillId="3" borderId="0" xfId="0" applyFont="1" applyFill="1" applyAlignment="1" applyProtection="1">
      <alignment horizontal="center"/>
      <protection hidden="1"/>
    </xf>
    <xf numFmtId="164" fontId="80" fillId="0" borderId="0" xfId="0" applyNumberFormat="1" applyFont="1" applyAlignment="1" applyProtection="1">
      <alignment horizontal="center"/>
      <protection hidden="1"/>
    </xf>
    <xf numFmtId="166" fontId="90" fillId="2" borderId="0" xfId="0" quotePrefix="1" applyNumberFormat="1" applyFont="1" applyFill="1" applyAlignment="1" applyProtection="1">
      <alignment horizontal="center" vertical="center"/>
      <protection hidden="1"/>
    </xf>
    <xf numFmtId="164" fontId="80" fillId="2" borderId="0" xfId="0" applyNumberFormat="1" applyFont="1" applyFill="1" applyAlignment="1">
      <alignment horizontal="center" vertical="center"/>
    </xf>
    <xf numFmtId="0" fontId="80" fillId="2" borderId="0" xfId="0" applyFont="1" applyFill="1" applyAlignment="1" applyProtection="1">
      <alignment horizontal="left" vertical="top"/>
      <protection hidden="1"/>
    </xf>
    <xf numFmtId="1" fontId="80" fillId="2" borderId="3" xfId="0" applyNumberFormat="1" applyFont="1" applyFill="1" applyBorder="1" applyAlignment="1" applyProtection="1">
      <alignment horizontal="center"/>
      <protection hidden="1"/>
    </xf>
    <xf numFmtId="0" fontId="80" fillId="3" borderId="13" xfId="0" applyFont="1" applyFill="1" applyBorder="1" applyAlignment="1" applyProtection="1">
      <alignment horizontal="center"/>
      <protection hidden="1"/>
    </xf>
    <xf numFmtId="0" fontId="80" fillId="0" borderId="5" xfId="0" applyFont="1" applyBorder="1" applyAlignment="1" applyProtection="1">
      <alignment vertical="center" wrapText="1"/>
      <protection hidden="1"/>
    </xf>
    <xf numFmtId="0" fontId="80" fillId="0" borderId="10" xfId="0" applyFont="1" applyBorder="1" applyAlignment="1" applyProtection="1">
      <alignment vertical="center" wrapText="1"/>
      <protection hidden="1"/>
    </xf>
    <xf numFmtId="0" fontId="80" fillId="0" borderId="10" xfId="0" applyFont="1" applyBorder="1" applyAlignment="1" applyProtection="1">
      <alignment horizontal="center" vertical="center" wrapText="1"/>
      <protection hidden="1"/>
    </xf>
    <xf numFmtId="0" fontId="91" fillId="0" borderId="10" xfId="0" applyFont="1" applyBorder="1" applyAlignment="1" applyProtection="1">
      <alignment horizontal="center" vertical="center" wrapText="1"/>
      <protection hidden="1"/>
    </xf>
    <xf numFmtId="0" fontId="80" fillId="0" borderId="7" xfId="0" applyFont="1" applyBorder="1" applyAlignment="1" applyProtection="1">
      <alignment vertical="center" wrapText="1"/>
      <protection hidden="1"/>
    </xf>
    <xf numFmtId="2" fontId="80" fillId="2" borderId="0" xfId="0" applyNumberFormat="1" applyFont="1" applyFill="1" applyAlignment="1" applyProtection="1">
      <alignment horizontal="center"/>
      <protection hidden="1"/>
    </xf>
    <xf numFmtId="0" fontId="80" fillId="3" borderId="0" xfId="0" applyFont="1" applyFill="1" applyProtection="1">
      <protection locked="0"/>
    </xf>
    <xf numFmtId="0" fontId="80" fillId="0" borderId="0" xfId="1" applyFont="1" applyAlignment="1" applyProtection="1">
      <alignment horizontal="left" vertical="center"/>
      <protection locked="0"/>
    </xf>
    <xf numFmtId="0" fontId="80" fillId="3" borderId="0" xfId="0" applyFont="1" applyFill="1" applyAlignment="1" applyProtection="1">
      <alignment horizontal="left"/>
      <protection locked="0"/>
    </xf>
    <xf numFmtId="0" fontId="80" fillId="3" borderId="0" xfId="0" applyFont="1" applyFill="1" applyAlignment="1" applyProtection="1">
      <alignment horizontal="center"/>
      <protection locked="0"/>
    </xf>
    <xf numFmtId="2" fontId="80" fillId="3" borderId="0" xfId="0" applyNumberFormat="1" applyFont="1" applyFill="1" applyAlignment="1" applyProtection="1">
      <alignment horizontal="center"/>
      <protection locked="0"/>
    </xf>
    <xf numFmtId="1" fontId="80" fillId="3" borderId="0" xfId="0" applyNumberFormat="1" applyFont="1" applyFill="1" applyProtection="1">
      <protection locked="0"/>
    </xf>
    <xf numFmtId="0" fontId="80" fillId="2" borderId="0" xfId="0" applyFont="1" applyFill="1" applyProtection="1">
      <protection locked="0"/>
    </xf>
    <xf numFmtId="0" fontId="80" fillId="2" borderId="0" xfId="0" applyFont="1" applyFill="1" applyAlignment="1" applyProtection="1">
      <alignment horizontal="left"/>
      <protection locked="0"/>
    </xf>
    <xf numFmtId="0" fontId="80" fillId="2" borderId="0" xfId="0" applyFont="1" applyFill="1" applyAlignment="1" applyProtection="1">
      <alignment horizontal="center"/>
      <protection locked="0"/>
    </xf>
    <xf numFmtId="2" fontId="80" fillId="2" borderId="0" xfId="0" applyNumberFormat="1" applyFont="1" applyFill="1" applyAlignment="1" applyProtection="1">
      <alignment horizontal="center"/>
      <protection locked="0"/>
    </xf>
    <xf numFmtId="0" fontId="80" fillId="2" borderId="0" xfId="0" applyFont="1" applyFill="1" applyAlignment="1" applyProtection="1">
      <alignment vertical="top"/>
      <protection locked="0"/>
    </xf>
    <xf numFmtId="0" fontId="54" fillId="3" borderId="0" xfId="0" applyFont="1" applyFill="1" applyAlignment="1" applyProtection="1">
      <alignment vertical="center"/>
      <protection locked="0"/>
    </xf>
    <xf numFmtId="0" fontId="80" fillId="0" borderId="0" xfId="0" applyFont="1" applyAlignment="1" applyProtection="1">
      <alignment horizontal="left"/>
      <protection locked="0"/>
    </xf>
    <xf numFmtId="0" fontId="54" fillId="3" borderId="0" xfId="0" applyFont="1" applyFill="1" applyAlignment="1" applyProtection="1">
      <alignment horizontal="center" vertical="center"/>
      <protection locked="0"/>
    </xf>
    <xf numFmtId="0" fontId="92" fillId="3" borderId="0" xfId="1" applyFont="1" applyFill="1" applyAlignment="1" applyProtection="1">
      <alignment vertical="center"/>
      <protection locked="0"/>
    </xf>
    <xf numFmtId="0" fontId="79" fillId="3" borderId="0" xfId="0" applyFont="1" applyFill="1" applyProtection="1">
      <protection hidden="1"/>
    </xf>
    <xf numFmtId="0" fontId="3" fillId="3" borderId="0" xfId="0" applyFont="1" applyFill="1" applyAlignment="1" applyProtection="1">
      <alignment vertical="center"/>
      <protection hidden="1"/>
    </xf>
    <xf numFmtId="0" fontId="93" fillId="3" borderId="0" xfId="0" applyFont="1" applyFill="1" applyAlignment="1" applyProtection="1">
      <alignment vertical="center"/>
      <protection hidden="1"/>
    </xf>
    <xf numFmtId="164" fontId="44" fillId="3" borderId="0" xfId="0" applyNumberFormat="1" applyFont="1" applyFill="1" applyAlignment="1" applyProtection="1">
      <alignment horizontal="left" vertical="center" wrapText="1"/>
      <protection locked="0"/>
    </xf>
    <xf numFmtId="0" fontId="5" fillId="0" borderId="0" xfId="0" applyFont="1" applyAlignment="1" applyProtection="1">
      <alignment horizontal="right"/>
      <protection locked="0"/>
    </xf>
    <xf numFmtId="0" fontId="91" fillId="0" borderId="0" xfId="0" applyFont="1" applyAlignment="1" applyProtection="1">
      <alignment horizontal="left"/>
      <protection locked="0"/>
    </xf>
    <xf numFmtId="0" fontId="79" fillId="3" borderId="0" xfId="0" applyFont="1" applyFill="1" applyAlignment="1" applyProtection="1">
      <alignment horizontal="right" vertical="center"/>
      <protection locked="0"/>
    </xf>
    <xf numFmtId="0" fontId="84" fillId="0" borderId="0" xfId="0" applyFont="1"/>
    <xf numFmtId="0" fontId="31" fillId="3" borderId="0" xfId="0" applyFont="1" applyFill="1" applyBorder="1" applyAlignment="1" applyProtection="1">
      <alignment horizontal="center"/>
      <protection locked="0"/>
    </xf>
    <xf numFmtId="0" fontId="78" fillId="3" borderId="0" xfId="0" applyFont="1" applyFill="1" applyBorder="1" applyAlignment="1" applyProtection="1">
      <alignment vertical="center"/>
      <protection locked="0"/>
    </xf>
    <xf numFmtId="0" fontId="58" fillId="3" borderId="5" xfId="0" applyFont="1" applyFill="1" applyBorder="1" applyAlignment="1" applyProtection="1">
      <alignment vertical="center"/>
      <protection locked="0"/>
    </xf>
    <xf numFmtId="164" fontId="64" fillId="3" borderId="7" xfId="0" applyNumberFormat="1" applyFont="1" applyFill="1" applyBorder="1" applyAlignment="1" applyProtection="1">
      <alignment horizontal="center" vertical="center" wrapText="1"/>
      <protection hidden="1"/>
    </xf>
    <xf numFmtId="0" fontId="31" fillId="3" borderId="0" xfId="0" applyFont="1" applyFill="1" applyAlignment="1" applyProtection="1">
      <alignment vertical="center"/>
      <protection hidden="1"/>
    </xf>
    <xf numFmtId="0" fontId="39" fillId="3" borderId="0" xfId="0" applyFont="1" applyFill="1" applyAlignment="1" applyProtection="1">
      <alignment horizontal="right" vertical="center"/>
      <protection hidden="1"/>
    </xf>
    <xf numFmtId="0" fontId="31" fillId="3" borderId="0" xfId="0" applyFont="1" applyFill="1" applyAlignment="1" applyProtection="1">
      <alignment vertical="center"/>
      <protection locked="0"/>
    </xf>
    <xf numFmtId="0" fontId="89" fillId="3" borderId="3" xfId="0" applyFont="1" applyFill="1" applyBorder="1" applyAlignment="1" applyProtection="1">
      <alignment horizontal="center" vertical="center"/>
      <protection hidden="1"/>
    </xf>
    <xf numFmtId="0" fontId="80" fillId="3" borderId="3" xfId="0" applyFont="1" applyFill="1" applyBorder="1" applyAlignment="1" applyProtection="1">
      <alignment horizontal="center" vertical="center"/>
      <protection hidden="1"/>
    </xf>
    <xf numFmtId="1" fontId="89" fillId="3" borderId="4" xfId="0" applyNumberFormat="1" applyFont="1" applyFill="1" applyBorder="1" applyAlignment="1" applyProtection="1">
      <alignment horizontal="center" vertical="center" wrapText="1"/>
      <protection locked="0"/>
    </xf>
    <xf numFmtId="164" fontId="89" fillId="3" borderId="4" xfId="0" applyNumberFormat="1" applyFont="1" applyFill="1" applyBorder="1" applyAlignment="1" applyProtection="1">
      <alignment horizontal="center" vertical="center" wrapText="1"/>
      <protection locked="0"/>
    </xf>
    <xf numFmtId="164" fontId="89" fillId="3" borderId="7" xfId="0" applyNumberFormat="1" applyFont="1" applyFill="1" applyBorder="1" applyAlignment="1" applyProtection="1">
      <alignment horizontal="center" vertical="center" wrapText="1"/>
      <protection locked="0"/>
    </xf>
    <xf numFmtId="1" fontId="89" fillId="3" borderId="1" xfId="0" applyNumberFormat="1" applyFont="1" applyFill="1" applyBorder="1" applyAlignment="1" applyProtection="1">
      <alignment horizontal="center" vertical="center" wrapText="1"/>
      <protection locked="0"/>
    </xf>
    <xf numFmtId="164" fontId="89" fillId="3" borderId="1" xfId="0" applyNumberFormat="1" applyFont="1" applyFill="1" applyBorder="1" applyAlignment="1" applyProtection="1">
      <alignment horizontal="center" vertical="center" wrapText="1"/>
      <protection locked="0"/>
    </xf>
    <xf numFmtId="164" fontId="3" fillId="3" borderId="0" xfId="0" applyNumberFormat="1" applyFont="1" applyFill="1" applyAlignment="1" applyProtection="1">
      <alignment horizontal="center" vertical="center"/>
      <protection locked="0"/>
    </xf>
    <xf numFmtId="164" fontId="12" fillId="3" borderId="0" xfId="0" applyNumberFormat="1" applyFont="1" applyFill="1" applyAlignment="1" applyProtection="1">
      <alignment horizontal="left" vertical="center" wrapText="1"/>
      <protection locked="0"/>
    </xf>
    <xf numFmtId="0" fontId="3" fillId="3" borderId="1" xfId="0" applyFont="1" applyFill="1" applyBorder="1" applyAlignment="1" applyProtection="1">
      <alignment horizontal="center" vertical="center"/>
      <protection locked="0"/>
    </xf>
    <xf numFmtId="0" fontId="18" fillId="3" borderId="5" xfId="0" applyFont="1" applyFill="1" applyBorder="1" applyAlignment="1" applyProtection="1">
      <alignment horizontal="center" vertical="center"/>
      <protection hidden="1"/>
    </xf>
    <xf numFmtId="0" fontId="18" fillId="3" borderId="7" xfId="0" applyFont="1" applyFill="1" applyBorder="1" applyAlignment="1" applyProtection="1">
      <alignment horizontal="center" vertical="center"/>
      <protection hidden="1"/>
    </xf>
    <xf numFmtId="164" fontId="47" fillId="3" borderId="0" xfId="0" applyNumberFormat="1" applyFont="1" applyFill="1" applyBorder="1" applyAlignment="1" applyProtection="1">
      <alignment horizontal="center" vertical="center" wrapText="1"/>
      <protection locked="0"/>
    </xf>
    <xf numFmtId="0" fontId="3" fillId="3" borderId="0" xfId="0" applyFont="1" applyFill="1" applyProtection="1">
      <protection locked="0"/>
    </xf>
    <xf numFmtId="167" fontId="12" fillId="3" borderId="0" xfId="0" applyNumberFormat="1" applyFont="1" applyFill="1" applyAlignment="1" applyProtection="1">
      <alignment horizontal="left" vertical="center"/>
      <protection hidden="1"/>
    </xf>
    <xf numFmtId="168" fontId="12" fillId="3" borderId="0" xfId="0" applyNumberFormat="1" applyFont="1" applyFill="1" applyAlignment="1" applyProtection="1">
      <alignment horizontal="left" vertical="center"/>
      <protection hidden="1"/>
    </xf>
    <xf numFmtId="0" fontId="27" fillId="3" borderId="0" xfId="0" applyFont="1" applyFill="1" applyAlignment="1" applyProtection="1">
      <alignment horizontal="left"/>
      <protection hidden="1"/>
    </xf>
    <xf numFmtId="169" fontId="12" fillId="3" borderId="0" xfId="0" quotePrefix="1" applyNumberFormat="1" applyFont="1" applyFill="1" applyAlignment="1" applyProtection="1">
      <alignment horizontal="right"/>
      <protection hidden="1"/>
    </xf>
    <xf numFmtId="0" fontId="27" fillId="3" borderId="0" xfId="0" applyFont="1" applyFill="1" applyProtection="1">
      <protection hidden="1"/>
    </xf>
    <xf numFmtId="0" fontId="27" fillId="3" borderId="0" xfId="0" applyFont="1" applyFill="1" applyAlignment="1" applyProtection="1">
      <alignment horizontal="center"/>
      <protection hidden="1"/>
    </xf>
    <xf numFmtId="0" fontId="12" fillId="3" borderId="7" xfId="0" applyFont="1" applyFill="1" applyBorder="1" applyAlignment="1" applyProtection="1">
      <alignment horizontal="center"/>
      <protection hidden="1"/>
    </xf>
    <xf numFmtId="0" fontId="28" fillId="3" borderId="1" xfId="0" quotePrefix="1" applyFont="1" applyFill="1" applyBorder="1" applyAlignment="1" applyProtection="1">
      <alignment horizontal="center" vertical="center" wrapText="1"/>
      <protection hidden="1"/>
    </xf>
    <xf numFmtId="0" fontId="5" fillId="3" borderId="1" xfId="0" applyFont="1" applyFill="1" applyBorder="1" applyAlignment="1">
      <alignment horizontal="right"/>
    </xf>
    <xf numFmtId="0" fontId="3" fillId="3" borderId="7" xfId="0" applyFont="1" applyFill="1" applyBorder="1" applyAlignment="1" applyProtection="1">
      <alignment horizontal="center"/>
      <protection hidden="1"/>
    </xf>
    <xf numFmtId="166" fontId="12" fillId="3" borderId="7" xfId="0" applyNumberFormat="1" applyFont="1" applyFill="1" applyBorder="1" applyAlignment="1" applyProtection="1">
      <alignment horizontal="center" vertical="center"/>
      <protection hidden="1"/>
    </xf>
    <xf numFmtId="164" fontId="12" fillId="3" borderId="1" xfId="0" applyNumberFormat="1" applyFont="1" applyFill="1" applyBorder="1" applyAlignment="1" applyProtection="1">
      <alignment horizontal="center"/>
      <protection hidden="1"/>
    </xf>
    <xf numFmtId="171" fontId="12" fillId="3" borderId="1" xfId="0" applyNumberFormat="1" applyFont="1" applyFill="1" applyBorder="1" applyAlignment="1" applyProtection="1">
      <alignment horizontal="center"/>
      <protection hidden="1"/>
    </xf>
    <xf numFmtId="164" fontId="12" fillId="3" borderId="0" xfId="0" applyNumberFormat="1" applyFont="1" applyFill="1" applyAlignment="1" applyProtection="1">
      <alignment horizontal="center"/>
      <protection hidden="1"/>
    </xf>
    <xf numFmtId="166" fontId="28" fillId="3" borderId="0" xfId="0" quotePrefix="1" applyNumberFormat="1" applyFont="1" applyFill="1" applyAlignment="1" applyProtection="1">
      <alignment horizontal="center" vertical="center"/>
      <protection hidden="1"/>
    </xf>
    <xf numFmtId="164" fontId="12" fillId="3" borderId="0" xfId="0" applyNumberFormat="1" applyFont="1" applyFill="1" applyAlignment="1">
      <alignment horizontal="center" vertical="center"/>
    </xf>
    <xf numFmtId="171" fontId="12" fillId="3" borderId="0" xfId="0" applyNumberFormat="1" applyFont="1" applyFill="1" applyAlignment="1" applyProtection="1">
      <alignment horizontal="center"/>
      <protection hidden="1"/>
    </xf>
    <xf numFmtId="0" fontId="12" fillId="3" borderId="0" xfId="0" applyFont="1" applyFill="1" applyAlignment="1" applyProtection="1">
      <alignment horizontal="left" vertical="top"/>
      <protection hidden="1"/>
    </xf>
    <xf numFmtId="0" fontId="12" fillId="3" borderId="0" xfId="0" applyFont="1" applyFill="1" applyAlignment="1" applyProtection="1">
      <alignment vertical="top"/>
      <protection locked="0"/>
    </xf>
    <xf numFmtId="0" fontId="3" fillId="3" borderId="12" xfId="0" applyFont="1" applyFill="1" applyBorder="1" applyAlignment="1" applyProtection="1">
      <alignment horizontal="center" vertical="center"/>
      <protection hidden="1"/>
    </xf>
    <xf numFmtId="0" fontId="3" fillId="3" borderId="11" xfId="0" applyFont="1" applyFill="1" applyBorder="1" applyAlignment="1" applyProtection="1">
      <alignment horizontal="center" vertical="center"/>
      <protection hidden="1"/>
    </xf>
    <xf numFmtId="0" fontId="3" fillId="3" borderId="14" xfId="0" applyFont="1" applyFill="1" applyBorder="1" applyAlignment="1" applyProtection="1">
      <alignment horizontal="center" vertical="center"/>
      <protection hidden="1"/>
    </xf>
    <xf numFmtId="0" fontId="3" fillId="3" borderId="10" xfId="0" applyFont="1" applyFill="1" applyBorder="1" applyAlignment="1" applyProtection="1">
      <alignment horizontal="center" vertical="top" wrapText="1"/>
      <protection hidden="1"/>
    </xf>
    <xf numFmtId="0" fontId="3" fillId="3" borderId="7" xfId="0" applyFont="1" applyFill="1" applyBorder="1" applyAlignment="1" applyProtection="1">
      <alignment horizontal="center" vertical="top" wrapText="1"/>
      <protection hidden="1"/>
    </xf>
    <xf numFmtId="166" fontId="3" fillId="3" borderId="7" xfId="0" applyNumberFormat="1" applyFont="1" applyFill="1" applyBorder="1" applyAlignment="1" applyProtection="1">
      <alignment horizontal="center" vertical="center"/>
      <protection hidden="1"/>
    </xf>
    <xf numFmtId="171" fontId="3" fillId="3" borderId="1" xfId="0" applyNumberFormat="1" applyFont="1" applyFill="1" applyBorder="1" applyAlignment="1" applyProtection="1">
      <alignment horizontal="center"/>
      <protection hidden="1"/>
    </xf>
    <xf numFmtId="0" fontId="3" fillId="3" borderId="1" xfId="0" applyFont="1" applyFill="1" applyBorder="1" applyAlignment="1" applyProtection="1">
      <alignment horizontal="center"/>
      <protection hidden="1"/>
    </xf>
    <xf numFmtId="1" fontId="3" fillId="3" borderId="3" xfId="0" applyNumberFormat="1" applyFont="1" applyFill="1" applyBorder="1" applyAlignment="1" applyProtection="1">
      <alignment horizontal="center"/>
      <protection hidden="1"/>
    </xf>
    <xf numFmtId="0" fontId="3" fillId="3" borderId="15" xfId="0" applyFont="1" applyFill="1" applyBorder="1" applyAlignment="1" applyProtection="1">
      <alignment horizontal="center"/>
      <protection hidden="1"/>
    </xf>
    <xf numFmtId="164" fontId="3" fillId="3" borderId="1" xfId="0" applyNumberFormat="1" applyFont="1" applyFill="1" applyBorder="1" applyAlignment="1" applyProtection="1">
      <alignment horizontal="center"/>
      <protection hidden="1"/>
    </xf>
    <xf numFmtId="164" fontId="3" fillId="3" borderId="1" xfId="0" quotePrefix="1" applyNumberFormat="1" applyFont="1" applyFill="1" applyBorder="1" applyAlignment="1" applyProtection="1">
      <alignment horizontal="center" vertical="center"/>
      <protection hidden="1"/>
    </xf>
    <xf numFmtId="0" fontId="40" fillId="3" borderId="5" xfId="0" applyFont="1" applyFill="1" applyBorder="1" applyAlignment="1" applyProtection="1">
      <alignment vertical="center" wrapText="1"/>
      <protection hidden="1"/>
    </xf>
    <xf numFmtId="164" fontId="12" fillId="3" borderId="1" xfId="0" applyNumberFormat="1" applyFont="1" applyFill="1" applyBorder="1" applyProtection="1">
      <protection locked="0"/>
    </xf>
    <xf numFmtId="0" fontId="3" fillId="3" borderId="10" xfId="0" applyFont="1" applyFill="1" applyBorder="1" applyAlignment="1" applyProtection="1">
      <alignment vertical="center" wrapText="1"/>
      <protection hidden="1"/>
    </xf>
    <xf numFmtId="0" fontId="3" fillId="3" borderId="10" xfId="0" applyFont="1" applyFill="1" applyBorder="1" applyAlignment="1" applyProtection="1">
      <alignment horizontal="center" vertical="center" wrapText="1"/>
      <protection hidden="1"/>
    </xf>
    <xf numFmtId="0" fontId="60" fillId="3" borderId="10" xfId="0" applyFont="1" applyFill="1" applyBorder="1" applyAlignment="1" applyProtection="1">
      <alignment horizontal="center" vertical="center" wrapText="1"/>
      <protection hidden="1"/>
    </xf>
    <xf numFmtId="0" fontId="3" fillId="3" borderId="7" xfId="0" applyFont="1" applyFill="1" applyBorder="1" applyAlignment="1" applyProtection="1">
      <alignment vertical="center" wrapText="1"/>
      <protection hidden="1"/>
    </xf>
    <xf numFmtId="0" fontId="3" fillId="3" borderId="0" xfId="1" applyFont="1" applyFill="1" applyAlignment="1" applyProtection="1">
      <alignment horizontal="left" vertical="center"/>
      <protection locked="0"/>
    </xf>
    <xf numFmtId="0" fontId="12" fillId="3" borderId="0" xfId="0" applyFont="1" applyFill="1" applyAlignment="1" applyProtection="1">
      <alignment vertical="top" wrapText="1"/>
      <protection locked="0"/>
    </xf>
    <xf numFmtId="0" fontId="27" fillId="3" borderId="0" xfId="0" applyFont="1" applyFill="1" applyProtection="1">
      <protection locked="0"/>
    </xf>
    <xf numFmtId="0" fontId="27" fillId="3" borderId="1" xfId="0" applyFont="1" applyFill="1" applyBorder="1" applyAlignment="1" applyProtection="1">
      <alignment horizontal="center" vertical="top"/>
      <protection locked="0"/>
    </xf>
    <xf numFmtId="0" fontId="18" fillId="3" borderId="4" xfId="0" quotePrefix="1" applyFont="1" applyFill="1" applyBorder="1" applyProtection="1">
      <protection locked="0"/>
    </xf>
    <xf numFmtId="0" fontId="18" fillId="3" borderId="9" xfId="0" applyFont="1" applyFill="1" applyBorder="1" applyProtection="1">
      <protection locked="0"/>
    </xf>
    <xf numFmtId="0" fontId="18" fillId="3" borderId="2" xfId="0" applyFont="1" applyFill="1" applyBorder="1" applyProtection="1">
      <protection locked="0"/>
    </xf>
    <xf numFmtId="0" fontId="18" fillId="3" borderId="15" xfId="0" applyFont="1" applyFill="1" applyBorder="1" applyProtection="1">
      <protection locked="0"/>
    </xf>
    <xf numFmtId="0" fontId="18" fillId="3" borderId="13" xfId="0" applyFont="1" applyFill="1" applyBorder="1" applyProtection="1">
      <protection locked="0"/>
    </xf>
    <xf numFmtId="14" fontId="18" fillId="3" borderId="1" xfId="2" applyNumberFormat="1" applyFont="1" applyFill="1" applyBorder="1" applyAlignment="1" applyProtection="1">
      <alignment horizontal="center"/>
      <protection locked="0"/>
    </xf>
    <xf numFmtId="0" fontId="18" fillId="3" borderId="3" xfId="0" applyFont="1" applyFill="1" applyBorder="1" applyProtection="1">
      <protection locked="0"/>
    </xf>
    <xf numFmtId="164" fontId="12" fillId="3" borderId="0" xfId="0" applyNumberFormat="1" applyFont="1" applyFill="1" applyProtection="1">
      <protection locked="0"/>
    </xf>
    <xf numFmtId="164" fontId="45" fillId="3" borderId="0" xfId="0" applyNumberFormat="1" applyFont="1" applyFill="1" applyBorder="1" applyAlignment="1" applyProtection="1">
      <alignment horizontal="center" vertical="center" wrapText="1"/>
      <protection locked="0"/>
    </xf>
    <xf numFmtId="0" fontId="3" fillId="3" borderId="0" xfId="0" applyFont="1" applyFill="1" applyAlignment="1" applyProtection="1">
      <alignment horizontal="left"/>
      <protection locked="0"/>
    </xf>
    <xf numFmtId="164" fontId="18" fillId="3" borderId="0" xfId="0" applyNumberFormat="1" applyFont="1" applyFill="1" applyAlignment="1" applyProtection="1">
      <alignment horizontal="center" vertical="center"/>
      <protection hidden="1"/>
    </xf>
    <xf numFmtId="0" fontId="80" fillId="3" borderId="7" xfId="0" applyFont="1" applyFill="1" applyBorder="1" applyAlignment="1" applyProtection="1">
      <alignment horizontal="center" vertical="center"/>
      <protection hidden="1"/>
    </xf>
    <xf numFmtId="0" fontId="80" fillId="3" borderId="4" xfId="0" applyFont="1" applyFill="1" applyBorder="1" applyAlignment="1" applyProtection="1">
      <alignment horizontal="center" vertical="center" wrapText="1"/>
      <protection hidden="1"/>
    </xf>
    <xf numFmtId="0" fontId="80" fillId="3" borderId="2" xfId="0" applyFont="1" applyFill="1" applyBorder="1" applyAlignment="1" applyProtection="1">
      <alignment horizontal="center" vertical="center" wrapText="1"/>
      <protection hidden="1"/>
    </xf>
    <xf numFmtId="0" fontId="80" fillId="3" borderId="9" xfId="0" applyFont="1" applyFill="1" applyBorder="1" applyAlignment="1" applyProtection="1">
      <alignment horizontal="center" vertical="center" wrapText="1"/>
      <protection hidden="1"/>
    </xf>
    <xf numFmtId="0" fontId="80" fillId="3" borderId="10" xfId="0" applyFont="1" applyFill="1" applyBorder="1" applyAlignment="1" applyProtection="1">
      <alignment vertical="center"/>
      <protection hidden="1"/>
    </xf>
    <xf numFmtId="0" fontId="80" fillId="3" borderId="4" xfId="0" applyFont="1" applyFill="1" applyBorder="1" applyAlignment="1" applyProtection="1">
      <alignment horizontal="center" vertical="center"/>
      <protection hidden="1"/>
    </xf>
    <xf numFmtId="0" fontId="89" fillId="3" borderId="4" xfId="0" applyFont="1" applyFill="1" applyBorder="1" applyAlignment="1" applyProtection="1">
      <alignment horizontal="center" vertical="center"/>
      <protection hidden="1"/>
    </xf>
    <xf numFmtId="0" fontId="80" fillId="3" borderId="1" xfId="0" applyFont="1" applyFill="1" applyBorder="1" applyAlignment="1" applyProtection="1">
      <alignment vertical="center"/>
      <protection hidden="1"/>
    </xf>
    <xf numFmtId="0" fontId="12" fillId="3" borderId="0" xfId="0" applyFont="1" applyFill="1" applyAlignment="1" applyProtection="1">
      <alignment horizontal="center"/>
      <protection hidden="1"/>
    </xf>
    <xf numFmtId="0" fontId="12" fillId="3" borderId="1" xfId="0" applyFont="1" applyFill="1" applyBorder="1" applyAlignment="1" applyProtection="1">
      <alignment horizontal="center"/>
      <protection hidden="1"/>
    </xf>
    <xf numFmtId="0" fontId="27" fillId="3" borderId="0" xfId="0" applyFont="1" applyFill="1" applyAlignment="1" applyProtection="1">
      <alignment horizontal="left"/>
      <protection locked="0"/>
    </xf>
    <xf numFmtId="0" fontId="3" fillId="3" borderId="5" xfId="0" applyFont="1" applyFill="1" applyBorder="1" applyAlignment="1" applyProtection="1">
      <alignment horizontal="center" vertical="center" wrapText="1"/>
      <protection hidden="1"/>
    </xf>
    <xf numFmtId="0" fontId="12" fillId="3" borderId="0" xfId="0" applyFont="1" applyFill="1" applyAlignment="1" applyProtection="1">
      <alignment horizontal="left"/>
      <protection hidden="1"/>
    </xf>
    <xf numFmtId="0" fontId="3" fillId="3" borderId="7" xfId="0" applyFont="1" applyFill="1" applyBorder="1" applyAlignment="1" applyProtection="1">
      <alignment horizontal="center" vertical="center"/>
      <protection hidden="1"/>
    </xf>
    <xf numFmtId="0" fontId="12" fillId="3" borderId="7" xfId="0" applyFont="1" applyFill="1" applyBorder="1" applyAlignment="1" applyProtection="1">
      <alignment horizontal="center" vertical="center"/>
      <protection hidden="1"/>
    </xf>
    <xf numFmtId="0" fontId="80" fillId="2" borderId="7" xfId="0" applyFont="1" applyFill="1" applyBorder="1" applyAlignment="1" applyProtection="1">
      <alignment horizontal="center" vertical="center"/>
      <protection hidden="1"/>
    </xf>
    <xf numFmtId="0" fontId="80" fillId="2" borderId="0" xfId="0" applyFont="1" applyFill="1" applyAlignment="1" applyProtection="1">
      <alignment horizontal="center"/>
      <protection hidden="1"/>
    </xf>
    <xf numFmtId="0" fontId="89" fillId="2" borderId="0" xfId="0" applyFont="1" applyFill="1" applyAlignment="1" applyProtection="1">
      <alignment horizontal="left"/>
      <protection locked="0"/>
    </xf>
    <xf numFmtId="0" fontId="80" fillId="2" borderId="1" xfId="0" applyFont="1" applyFill="1" applyBorder="1" applyAlignment="1" applyProtection="1">
      <alignment horizontal="center"/>
      <protection hidden="1"/>
    </xf>
    <xf numFmtId="0" fontId="80" fillId="2" borderId="15" xfId="0" applyFont="1" applyFill="1" applyBorder="1" applyAlignment="1" applyProtection="1">
      <alignment horizontal="center"/>
      <protection hidden="1"/>
    </xf>
    <xf numFmtId="0" fontId="80" fillId="2" borderId="0" xfId="0" applyFont="1" applyFill="1" applyAlignment="1" applyProtection="1">
      <alignment horizontal="left"/>
      <protection hidden="1"/>
    </xf>
    <xf numFmtId="0" fontId="78" fillId="0" borderId="0" xfId="0" applyFont="1" applyProtection="1">
      <protection hidden="1"/>
    </xf>
    <xf numFmtId="0" fontId="78" fillId="0" borderId="0" xfId="0" applyFont="1" applyAlignment="1" applyProtection="1">
      <alignment horizontal="left"/>
      <protection hidden="1"/>
    </xf>
    <xf numFmtId="164" fontId="80" fillId="2" borderId="1" xfId="0" applyNumberFormat="1" applyFont="1" applyFill="1" applyBorder="1" applyAlignment="1" applyProtection="1">
      <alignment horizontal="center" vertical="center"/>
      <protection hidden="1"/>
    </xf>
    <xf numFmtId="164" fontId="80" fillId="2" borderId="0" xfId="0" applyNumberFormat="1" applyFont="1" applyFill="1" applyAlignment="1" applyProtection="1">
      <alignment horizontal="center" vertical="center"/>
      <protection hidden="1"/>
    </xf>
    <xf numFmtId="0" fontId="80" fillId="3" borderId="5" xfId="0" applyFont="1" applyFill="1" applyBorder="1" applyAlignment="1" applyProtection="1">
      <alignment horizontal="center" wrapText="1"/>
      <protection hidden="1"/>
    </xf>
    <xf numFmtId="0" fontId="89" fillId="2" borderId="0" xfId="0" applyFont="1" applyFill="1" applyAlignment="1" applyProtection="1">
      <alignment horizontal="center"/>
      <protection locked="0"/>
    </xf>
    <xf numFmtId="0" fontId="89" fillId="2" borderId="0" xfId="0" applyFont="1" applyFill="1" applyProtection="1">
      <protection locked="0"/>
    </xf>
    <xf numFmtId="0" fontId="80" fillId="3" borderId="0" xfId="0" applyFont="1" applyFill="1" applyAlignment="1" applyProtection="1">
      <alignment horizontal="left" vertical="top" wrapText="1"/>
      <protection locked="0"/>
    </xf>
    <xf numFmtId="0" fontId="26" fillId="3" borderId="0" xfId="0" applyFont="1" applyFill="1" applyProtection="1">
      <protection hidden="1"/>
    </xf>
    <xf numFmtId="0" fontId="3" fillId="3" borderId="1" xfId="0" quotePrefix="1" applyFont="1" applyFill="1" applyBorder="1" applyProtection="1">
      <protection hidden="1"/>
    </xf>
    <xf numFmtId="0" fontId="3" fillId="3" borderId="0" xfId="0" applyFont="1" applyFill="1" applyAlignment="1" applyProtection="1">
      <alignment horizontal="center" vertical="center"/>
      <protection hidden="1"/>
    </xf>
    <xf numFmtId="0" fontId="71" fillId="3" borderId="0" xfId="0" applyFont="1" applyFill="1" applyProtection="1">
      <protection hidden="1"/>
    </xf>
    <xf numFmtId="164" fontId="12" fillId="3" borderId="1" xfId="0" applyNumberFormat="1" applyFont="1" applyFill="1" applyBorder="1" applyAlignment="1" applyProtection="1">
      <alignment horizontal="center" vertical="center"/>
      <protection hidden="1"/>
    </xf>
    <xf numFmtId="0" fontId="12" fillId="3" borderId="0" xfId="0" applyFont="1" applyFill="1" applyAlignment="1" applyProtection="1">
      <alignment vertical="top"/>
      <protection hidden="1"/>
    </xf>
    <xf numFmtId="0" fontId="3" fillId="3" borderId="5" xfId="0" applyFont="1" applyFill="1" applyBorder="1" applyAlignment="1" applyProtection="1">
      <alignment horizontal="center" wrapText="1"/>
      <protection hidden="1"/>
    </xf>
    <xf numFmtId="0" fontId="32" fillId="3" borderId="1" xfId="0" applyFont="1" applyFill="1" applyBorder="1" applyAlignment="1" applyProtection="1">
      <alignment horizontal="center"/>
      <protection hidden="1"/>
    </xf>
    <xf numFmtId="0" fontId="32" fillId="3" borderId="1" xfId="0" applyFont="1" applyFill="1" applyBorder="1" applyProtection="1">
      <protection hidden="1"/>
    </xf>
    <xf numFmtId="164" fontId="3" fillId="3" borderId="1" xfId="0" applyNumberFormat="1" applyFont="1" applyFill="1" applyBorder="1" applyAlignment="1" applyProtection="1">
      <alignment horizontal="center" vertical="center"/>
      <protection hidden="1"/>
    </xf>
    <xf numFmtId="2" fontId="12" fillId="3" borderId="1" xfId="0" applyNumberFormat="1" applyFont="1" applyFill="1" applyBorder="1" applyProtection="1">
      <protection hidden="1"/>
    </xf>
    <xf numFmtId="0" fontId="32" fillId="3" borderId="1" xfId="0" applyFont="1" applyFill="1" applyBorder="1" applyAlignment="1" applyProtection="1">
      <alignment horizontal="right"/>
      <protection hidden="1"/>
    </xf>
    <xf numFmtId="0" fontId="27" fillId="3" borderId="0" xfId="0" applyFont="1" applyFill="1" applyAlignment="1" applyProtection="1">
      <alignment horizontal="center"/>
      <protection locked="0"/>
    </xf>
    <xf numFmtId="0" fontId="86" fillId="2" borderId="0" xfId="0" applyFont="1" applyFill="1" applyAlignment="1" applyProtection="1">
      <alignment horizontal="left" vertical="center"/>
      <protection locked="0"/>
    </xf>
    <xf numFmtId="0" fontId="87" fillId="2" borderId="0" xfId="0" applyFont="1" applyFill="1" applyAlignment="1" applyProtection="1">
      <alignment horizontal="center" vertical="center"/>
      <protection locked="0"/>
    </xf>
    <xf numFmtId="0" fontId="87" fillId="2" borderId="0" xfId="0" applyFont="1" applyFill="1" applyProtection="1">
      <protection locked="0"/>
    </xf>
    <xf numFmtId="0" fontId="88" fillId="2" borderId="0" xfId="0" applyFont="1" applyFill="1" applyAlignment="1" applyProtection="1">
      <alignment horizontal="center"/>
      <protection locked="0"/>
    </xf>
    <xf numFmtId="173" fontId="80" fillId="2" borderId="0" xfId="0" applyNumberFormat="1" applyFont="1" applyFill="1" applyAlignment="1" applyProtection="1">
      <alignment horizontal="left"/>
      <protection locked="0"/>
    </xf>
    <xf numFmtId="0" fontId="26" fillId="3" borderId="0" xfId="0" applyFont="1" applyFill="1" applyAlignment="1" applyProtection="1">
      <alignment horizontal="left" vertical="center"/>
      <protection locked="0"/>
    </xf>
    <xf numFmtId="0" fontId="38" fillId="3" borderId="0" xfId="0" applyFont="1" applyFill="1" applyAlignment="1" applyProtection="1">
      <alignment horizontal="center" vertical="center"/>
      <protection locked="0"/>
    </xf>
    <xf numFmtId="0" fontId="38" fillId="3" borderId="0" xfId="0" applyFont="1" applyFill="1" applyProtection="1">
      <protection locked="0"/>
    </xf>
    <xf numFmtId="0" fontId="33" fillId="3" borderId="0" xfId="0" applyFont="1" applyFill="1" applyAlignment="1" applyProtection="1">
      <alignment horizontal="center"/>
      <protection locked="0"/>
    </xf>
    <xf numFmtId="173" fontId="12" fillId="3" borderId="0" xfId="0" applyNumberFormat="1" applyFont="1" applyFill="1" applyAlignment="1" applyProtection="1">
      <alignment horizontal="left"/>
      <protection locked="0"/>
    </xf>
    <xf numFmtId="0" fontId="18" fillId="3" borderId="0" xfId="0" applyFont="1" applyFill="1" applyBorder="1" applyAlignment="1" applyProtection="1">
      <alignment horizontal="center" vertical="center"/>
      <protection locked="0"/>
    </xf>
    <xf numFmtId="0" fontId="12" fillId="3" borderId="0" xfId="0" applyFont="1" applyFill="1" applyBorder="1" applyAlignment="1" applyProtection="1">
      <alignment vertical="center"/>
      <protection locked="0"/>
    </xf>
    <xf numFmtId="2" fontId="12" fillId="3" borderId="0" xfId="0" applyNumberFormat="1" applyFont="1" applyFill="1" applyBorder="1" applyAlignment="1" applyProtection="1">
      <alignment vertical="center" wrapText="1"/>
      <protection locked="0"/>
    </xf>
    <xf numFmtId="171" fontId="18" fillId="3" borderId="1" xfId="0" applyNumberFormat="1" applyFont="1" applyFill="1" applyBorder="1" applyAlignment="1" applyProtection="1">
      <alignment horizontal="right" vertical="center" wrapText="1"/>
      <protection locked="0"/>
    </xf>
    <xf numFmtId="2" fontId="18" fillId="3" borderId="1" xfId="0" applyNumberFormat="1" applyFont="1" applyFill="1" applyBorder="1" applyAlignment="1" applyProtection="1">
      <alignment horizontal="center" vertical="center" wrapText="1"/>
      <protection locked="0"/>
    </xf>
    <xf numFmtId="2" fontId="3" fillId="3" borderId="1" xfId="0" applyNumberFormat="1" applyFont="1" applyFill="1" applyBorder="1" applyAlignment="1" applyProtection="1">
      <alignment horizontal="center"/>
      <protection hidden="1"/>
    </xf>
    <xf numFmtId="164" fontId="12" fillId="3" borderId="1" xfId="0" applyNumberFormat="1" applyFont="1" applyFill="1" applyBorder="1" applyProtection="1">
      <protection hidden="1"/>
    </xf>
    <xf numFmtId="2" fontId="6" fillId="9" borderId="1" xfId="0" applyNumberFormat="1" applyFont="1" applyFill="1" applyBorder="1" applyAlignment="1" applyProtection="1">
      <alignment horizontal="right"/>
      <protection hidden="1"/>
    </xf>
    <xf numFmtId="164" fontId="3" fillId="2" borderId="1" xfId="0" applyNumberFormat="1" applyFont="1" applyFill="1" applyBorder="1" applyAlignment="1" applyProtection="1">
      <alignment horizontal="center" vertical="center"/>
    </xf>
    <xf numFmtId="0" fontId="54" fillId="0" borderId="0" xfId="0" applyFont="1" applyAlignment="1" applyProtection="1">
      <alignment vertical="center"/>
      <protection locked="0"/>
    </xf>
    <xf numFmtId="0" fontId="80" fillId="0" borderId="0" xfId="0" applyFont="1" applyAlignment="1" applyProtection="1">
      <alignment vertical="center"/>
      <protection locked="0"/>
    </xf>
    <xf numFmtId="180" fontId="18" fillId="3" borderId="1" xfId="2" applyNumberFormat="1" applyFont="1" applyFill="1" applyBorder="1" applyAlignment="1" applyProtection="1">
      <alignment horizontal="center"/>
      <protection locked="0"/>
    </xf>
    <xf numFmtId="180" fontId="3" fillId="3" borderId="0" xfId="0" applyNumberFormat="1" applyFont="1" applyFill="1" applyAlignment="1" applyProtection="1">
      <alignment horizontal="left"/>
      <protection locked="0"/>
    </xf>
    <xf numFmtId="0" fontId="27" fillId="3" borderId="2" xfId="0" applyFont="1" applyFill="1" applyBorder="1" applyAlignment="1" applyProtection="1">
      <alignment horizontal="left" vertical="center"/>
      <protection hidden="1"/>
    </xf>
    <xf numFmtId="0" fontId="18" fillId="3" borderId="8" xfId="0" applyFont="1" applyFill="1" applyBorder="1" applyAlignment="1" applyProtection="1">
      <alignment horizontal="center" vertical="center" wrapText="1"/>
      <protection hidden="1"/>
    </xf>
    <xf numFmtId="0" fontId="18" fillId="3" borderId="6" xfId="0" applyFont="1" applyFill="1" applyBorder="1" applyAlignment="1" applyProtection="1">
      <alignment horizontal="center" vertical="center" wrapText="1"/>
      <protection hidden="1"/>
    </xf>
    <xf numFmtId="0" fontId="18" fillId="3" borderId="4" xfId="0" applyFont="1" applyFill="1" applyBorder="1" applyAlignment="1" applyProtection="1">
      <alignment horizontal="center" vertical="center" wrapText="1"/>
      <protection hidden="1"/>
    </xf>
    <xf numFmtId="0" fontId="18" fillId="3" borderId="9" xfId="0" applyFont="1" applyFill="1" applyBorder="1" applyAlignment="1" applyProtection="1">
      <alignment horizontal="center" vertical="center" wrapText="1"/>
      <protection hidden="1"/>
    </xf>
    <xf numFmtId="2" fontId="56" fillId="4" borderId="1" xfId="0" applyNumberFormat="1" applyFont="1" applyFill="1" applyBorder="1" applyAlignment="1" applyProtection="1">
      <alignment horizontal="right"/>
      <protection hidden="1"/>
    </xf>
    <xf numFmtId="2" fontId="4" fillId="4" borderId="1" xfId="0" quotePrefix="1" applyNumberFormat="1" applyFont="1" applyFill="1" applyBorder="1" applyAlignment="1" applyProtection="1">
      <alignment horizontal="center"/>
      <protection hidden="1"/>
    </xf>
    <xf numFmtId="2" fontId="66" fillId="4" borderId="1" xfId="0" applyNumberFormat="1" applyFont="1" applyFill="1" applyBorder="1" applyAlignment="1" applyProtection="1">
      <alignment horizontal="right"/>
      <protection hidden="1"/>
    </xf>
    <xf numFmtId="164" fontId="104" fillId="0" borderId="1" xfId="0" applyNumberFormat="1" applyFont="1" applyBorder="1" applyAlignment="1" applyProtection="1">
      <alignment horizontal="right"/>
      <protection hidden="1"/>
    </xf>
    <xf numFmtId="1" fontId="0" fillId="10" borderId="0" xfId="0" applyNumberFormat="1" applyFill="1" applyProtection="1">
      <protection hidden="1"/>
    </xf>
    <xf numFmtId="1" fontId="39" fillId="10" borderId="0" xfId="0" applyNumberFormat="1" applyFont="1" applyFill="1" applyProtection="1">
      <protection hidden="1"/>
    </xf>
    <xf numFmtId="1" fontId="67" fillId="0" borderId="0" xfId="0" applyNumberFormat="1" applyFont="1" applyAlignment="1" applyProtection="1">
      <alignment horizontal="center"/>
      <protection hidden="1"/>
    </xf>
    <xf numFmtId="1" fontId="67" fillId="3" borderId="0" xfId="0" applyNumberFormat="1" applyFont="1" applyFill="1" applyProtection="1">
      <protection hidden="1"/>
    </xf>
    <xf numFmtId="1" fontId="66" fillId="3" borderId="0" xfId="0" applyNumberFormat="1" applyFont="1" applyFill="1" applyProtection="1">
      <protection hidden="1"/>
    </xf>
    <xf numFmtId="1" fontId="105" fillId="0" borderId="1" xfId="0" applyNumberFormat="1" applyFont="1" applyBorder="1" applyAlignment="1" applyProtection="1">
      <alignment horizontal="center"/>
      <protection hidden="1"/>
    </xf>
    <xf numFmtId="1" fontId="67" fillId="10" borderId="0" xfId="0" applyNumberFormat="1" applyFont="1" applyFill="1" applyProtection="1">
      <protection hidden="1"/>
    </xf>
    <xf numFmtId="1" fontId="106" fillId="0" borderId="0" xfId="0" applyNumberFormat="1" applyFont="1" applyProtection="1">
      <protection hidden="1"/>
    </xf>
    <xf numFmtId="1" fontId="106" fillId="0" borderId="0" xfId="0" applyNumberFormat="1" applyFont="1" applyAlignment="1" applyProtection="1">
      <alignment horizontal="center"/>
      <protection hidden="1"/>
    </xf>
    <xf numFmtId="1" fontId="106" fillId="3" borderId="0" xfId="0" applyNumberFormat="1" applyFont="1" applyFill="1" applyProtection="1">
      <protection hidden="1"/>
    </xf>
    <xf numFmtId="1" fontId="104" fillId="3" borderId="0" xfId="0" applyNumberFormat="1" applyFont="1" applyFill="1" applyProtection="1">
      <protection hidden="1"/>
    </xf>
    <xf numFmtId="1" fontId="107" fillId="0" borderId="1" xfId="0" applyNumberFormat="1" applyFont="1" applyBorder="1" applyAlignment="1" applyProtection="1">
      <alignment horizontal="center"/>
      <protection hidden="1"/>
    </xf>
    <xf numFmtId="1" fontId="106" fillId="10" borderId="0" xfId="0" applyNumberFormat="1" applyFont="1" applyFill="1" applyProtection="1">
      <protection hidden="1"/>
    </xf>
    <xf numFmtId="164" fontId="104" fillId="3" borderId="1" xfId="0" applyNumberFormat="1" applyFont="1" applyFill="1" applyBorder="1" applyAlignment="1" applyProtection="1">
      <alignment horizontal="right"/>
      <protection hidden="1"/>
    </xf>
    <xf numFmtId="2" fontId="0" fillId="9" borderId="0" xfId="0" applyNumberFormat="1" applyFill="1" applyProtection="1">
      <protection hidden="1"/>
    </xf>
    <xf numFmtId="2" fontId="14" fillId="9" borderId="1" xfId="0" applyNumberFormat="1" applyFont="1" applyFill="1" applyBorder="1" applyAlignment="1" applyProtection="1">
      <alignment horizontal="center"/>
      <protection hidden="1"/>
    </xf>
    <xf numFmtId="2" fontId="4" fillId="9" borderId="0" xfId="0" quotePrefix="1" applyNumberFormat="1" applyFont="1" applyFill="1" applyAlignment="1" applyProtection="1">
      <alignment horizontal="left" vertical="center"/>
      <protection hidden="1"/>
    </xf>
    <xf numFmtId="2" fontId="0" fillId="10" borderId="0" xfId="0" applyNumberFormat="1" applyFill="1" applyProtection="1">
      <protection hidden="1"/>
    </xf>
    <xf numFmtId="2" fontId="0" fillId="9" borderId="1" xfId="0" applyNumberFormat="1" applyFill="1" applyBorder="1" applyProtection="1">
      <protection hidden="1"/>
    </xf>
    <xf numFmtId="2" fontId="0" fillId="9" borderId="13" xfId="0" applyNumberFormat="1" applyFill="1" applyBorder="1" applyProtection="1">
      <protection hidden="1"/>
    </xf>
    <xf numFmtId="2" fontId="4" fillId="9" borderId="0" xfId="0" quotePrefix="1" applyNumberFormat="1" applyFont="1" applyFill="1" applyAlignment="1" applyProtection="1">
      <alignment horizontal="center" vertical="center"/>
      <protection hidden="1"/>
    </xf>
    <xf numFmtId="2" fontId="4" fillId="9" borderId="1" xfId="0" applyNumberFormat="1" applyFont="1" applyFill="1" applyBorder="1" applyAlignment="1" applyProtection="1">
      <alignment horizontal="right"/>
      <protection hidden="1"/>
    </xf>
    <xf numFmtId="2" fontId="4" fillId="9" borderId="1" xfId="0" quotePrefix="1" applyNumberFormat="1" applyFont="1" applyFill="1" applyBorder="1" applyAlignment="1" applyProtection="1">
      <alignment horizontal="center"/>
      <protection hidden="1"/>
    </xf>
    <xf numFmtId="2" fontId="4" fillId="9" borderId="1" xfId="0" quotePrefix="1" applyNumberFormat="1" applyFont="1" applyFill="1" applyBorder="1" applyAlignment="1" applyProtection="1">
      <alignment horizontal="right"/>
      <protection hidden="1"/>
    </xf>
    <xf numFmtId="2" fontId="6" fillId="9" borderId="15" xfId="0" applyNumberFormat="1" applyFont="1" applyFill="1" applyBorder="1" applyAlignment="1" applyProtection="1">
      <alignment horizontal="right"/>
      <protection hidden="1"/>
    </xf>
    <xf numFmtId="2" fontId="4" fillId="9" borderId="15" xfId="0" applyNumberFormat="1" applyFont="1" applyFill="1" applyBorder="1" applyAlignment="1" applyProtection="1">
      <alignment horizontal="right"/>
      <protection hidden="1"/>
    </xf>
    <xf numFmtId="2" fontId="66" fillId="9" borderId="1" xfId="0" applyNumberFormat="1" applyFont="1" applyFill="1" applyBorder="1" applyAlignment="1" applyProtection="1">
      <alignment horizontal="right"/>
      <protection hidden="1"/>
    </xf>
    <xf numFmtId="1" fontId="4" fillId="10" borderId="1" xfId="0" applyNumberFormat="1" applyFont="1" applyFill="1" applyBorder="1" applyAlignment="1" applyProtection="1">
      <alignment horizontal="left"/>
      <protection hidden="1"/>
    </xf>
    <xf numFmtId="1" fontId="4" fillId="10" borderId="0" xfId="0" applyNumberFormat="1" applyFont="1" applyFill="1" applyBorder="1" applyAlignment="1" applyProtection="1">
      <alignment horizontal="left"/>
      <protection hidden="1"/>
    </xf>
    <xf numFmtId="0" fontId="22" fillId="3" borderId="1" xfId="0" applyFont="1" applyFill="1" applyBorder="1" applyAlignment="1">
      <alignment horizontal="center"/>
    </xf>
    <xf numFmtId="0" fontId="21" fillId="0" borderId="3" xfId="0" applyFont="1" applyBorder="1" applyAlignment="1">
      <alignment vertical="center"/>
    </xf>
    <xf numFmtId="0" fontId="21" fillId="0" borderId="1" xfId="0" applyFont="1" applyBorder="1" applyAlignment="1">
      <alignment horizontal="center"/>
    </xf>
    <xf numFmtId="164" fontId="19" fillId="5" borderId="1" xfId="3" applyNumberFormat="1" applyFont="1" applyFill="1" applyBorder="1" applyAlignment="1">
      <alignment horizontal="center" vertical="center" wrapText="1"/>
    </xf>
    <xf numFmtId="164" fontId="19" fillId="0" borderId="1" xfId="3" applyNumberFormat="1" applyFont="1" applyBorder="1" applyAlignment="1">
      <alignment horizontal="right" vertical="center"/>
    </xf>
    <xf numFmtId="0" fontId="20" fillId="0" borderId="1" xfId="0" applyFont="1" applyBorder="1" applyAlignment="1">
      <alignment horizontal="right"/>
    </xf>
    <xf numFmtId="0" fontId="20" fillId="0" borderId="1" xfId="0" applyFont="1" applyBorder="1" applyAlignment="1">
      <alignment horizontal="left"/>
    </xf>
    <xf numFmtId="164" fontId="19" fillId="0" borderId="1" xfId="3" applyNumberFormat="1" applyFont="1" applyBorder="1" applyAlignment="1">
      <alignment horizontal="right" vertical="center" wrapText="1"/>
    </xf>
    <xf numFmtId="164" fontId="20" fillId="5" borderId="1" xfId="0" applyNumberFormat="1" applyFont="1" applyFill="1" applyBorder="1" applyAlignment="1">
      <alignment horizontal="center"/>
    </xf>
    <xf numFmtId="164" fontId="20" fillId="0" borderId="1" xfId="0" applyNumberFormat="1" applyFont="1" applyBorder="1"/>
    <xf numFmtId="0" fontId="20" fillId="0" borderId="1" xfId="0" applyFont="1" applyBorder="1"/>
    <xf numFmtId="0" fontId="20" fillId="0" borderId="0" xfId="0" applyFont="1"/>
    <xf numFmtId="0" fontId="20" fillId="4" borderId="0" xfId="0" applyFont="1" applyFill="1"/>
    <xf numFmtId="164" fontId="4" fillId="0" borderId="1" xfId="0" quotePrefix="1" applyNumberFormat="1" applyFont="1" applyBorder="1" applyAlignment="1">
      <alignment horizontal="right"/>
    </xf>
    <xf numFmtId="14" fontId="20" fillId="7" borderId="6" xfId="0" quotePrefix="1" applyNumberFormat="1" applyFont="1" applyFill="1" applyBorder="1" applyAlignment="1">
      <alignment horizontal="left" vertical="center"/>
    </xf>
    <xf numFmtId="164" fontId="20" fillId="0" borderId="1" xfId="0" applyNumberFormat="1" applyFont="1" applyBorder="1" applyAlignment="1">
      <alignment horizontal="right"/>
    </xf>
    <xf numFmtId="171" fontId="17" fillId="0" borderId="0" xfId="0" applyNumberFormat="1" applyFont="1" applyBorder="1" applyAlignment="1">
      <alignment horizontal="center" vertical="center"/>
    </xf>
    <xf numFmtId="171" fontId="17" fillId="4" borderId="0" xfId="0" applyNumberFormat="1" applyFont="1" applyFill="1" applyBorder="1" applyAlignment="1">
      <alignment horizontal="center" vertical="center"/>
    </xf>
    <xf numFmtId="0" fontId="0" fillId="0" borderId="1" xfId="0" applyBorder="1"/>
    <xf numFmtId="0" fontId="17" fillId="0" borderId="1" xfId="4" applyFont="1" applyBorder="1" applyAlignment="1">
      <alignment horizontal="center" vertical="center"/>
    </xf>
    <xf numFmtId="171" fontId="17" fillId="0" borderId="1" xfId="4" applyNumberFormat="1" applyFont="1" applyBorder="1" applyAlignment="1">
      <alignment horizontal="center" vertical="center"/>
    </xf>
    <xf numFmtId="0" fontId="17" fillId="4" borderId="1" xfId="4" applyFont="1" applyFill="1" applyBorder="1" applyAlignment="1">
      <alignment horizontal="center" vertical="center"/>
    </xf>
    <xf numFmtId="171" fontId="17" fillId="4" borderId="1" xfId="4" applyNumberFormat="1" applyFont="1" applyFill="1" applyBorder="1" applyAlignment="1">
      <alignment horizontal="center" vertical="center"/>
    </xf>
    <xf numFmtId="0" fontId="0" fillId="11" borderId="1" xfId="0" applyFill="1" applyBorder="1"/>
    <xf numFmtId="0" fontId="0" fillId="3" borderId="1" xfId="0" applyFill="1" applyBorder="1"/>
    <xf numFmtId="0" fontId="108" fillId="3" borderId="0" xfId="0" applyFont="1" applyFill="1" applyAlignment="1" applyProtection="1">
      <alignment horizontal="left" vertical="center"/>
      <protection locked="0"/>
    </xf>
    <xf numFmtId="0" fontId="20" fillId="0" borderId="0" xfId="0" applyFont="1" applyBorder="1" applyAlignment="1">
      <alignment horizontal="left"/>
    </xf>
    <xf numFmtId="0" fontId="20" fillId="0" borderId="0" xfId="0" applyFont="1" applyBorder="1" applyProtection="1">
      <protection hidden="1"/>
    </xf>
    <xf numFmtId="1" fontId="6" fillId="3" borderId="0" xfId="0" applyNumberFormat="1" applyFont="1" applyFill="1" applyBorder="1" applyAlignment="1" applyProtection="1">
      <alignment horizontal="left"/>
      <protection hidden="1"/>
    </xf>
    <xf numFmtId="1" fontId="6" fillId="3" borderId="0" xfId="0" applyNumberFormat="1" applyFont="1" applyFill="1" applyBorder="1" applyProtection="1">
      <protection hidden="1"/>
    </xf>
    <xf numFmtId="0" fontId="6" fillId="3" borderId="0" xfId="0" applyFont="1" applyFill="1" applyBorder="1" applyAlignment="1">
      <alignment horizontal="left"/>
    </xf>
    <xf numFmtId="0" fontId="6" fillId="3" borderId="0" xfId="0" applyFont="1" applyFill="1" applyBorder="1" applyAlignment="1">
      <alignment horizontal="left" vertical="center"/>
    </xf>
    <xf numFmtId="0" fontId="84" fillId="3" borderId="0" xfId="0" applyFont="1" applyFill="1" applyAlignment="1" applyProtection="1">
      <alignment horizontal="left" vertical="center"/>
      <protection hidden="1"/>
    </xf>
    <xf numFmtId="0" fontId="18" fillId="3" borderId="1" xfId="0" applyFont="1" applyFill="1" applyBorder="1" applyAlignment="1" applyProtection="1">
      <alignment vertical="center" wrapText="1"/>
      <protection hidden="1"/>
    </xf>
    <xf numFmtId="0" fontId="18" fillId="3" borderId="8" xfId="0" applyFont="1" applyFill="1" applyBorder="1" applyAlignment="1" applyProtection="1">
      <alignment vertical="center" wrapText="1"/>
      <protection hidden="1"/>
    </xf>
    <xf numFmtId="0" fontId="18" fillId="3" borderId="6" xfId="0" applyFont="1" applyFill="1" applyBorder="1" applyAlignment="1" applyProtection="1">
      <alignment vertical="center" wrapText="1"/>
      <protection hidden="1"/>
    </xf>
    <xf numFmtId="0" fontId="18" fillId="3" borderId="9" xfId="0" applyFont="1" applyFill="1" applyBorder="1" applyAlignment="1" applyProtection="1">
      <alignment vertical="center" wrapText="1"/>
      <protection hidden="1"/>
    </xf>
    <xf numFmtId="0" fontId="3" fillId="3" borderId="1" xfId="0" applyFont="1" applyFill="1" applyBorder="1" applyAlignment="1" applyProtection="1">
      <alignment horizontal="right" vertical="center"/>
      <protection locked="0"/>
    </xf>
    <xf numFmtId="164" fontId="27" fillId="3" borderId="1" xfId="0" applyNumberFormat="1" applyFont="1" applyFill="1" applyBorder="1" applyAlignment="1" applyProtection="1">
      <alignment horizontal="right" vertical="center"/>
      <protection locked="0"/>
    </xf>
    <xf numFmtId="164" fontId="92" fillId="0" borderId="1" xfId="4" applyNumberFormat="1" applyFont="1" applyBorder="1" applyAlignment="1" applyProtection="1">
      <alignment horizontal="right" vertical="center"/>
      <protection locked="0"/>
    </xf>
    <xf numFmtId="0" fontId="3" fillId="3" borderId="0" xfId="0" applyFont="1" applyFill="1" applyAlignment="1" applyProtection="1">
      <alignment horizontal="center"/>
      <protection locked="0"/>
    </xf>
    <xf numFmtId="9" fontId="3" fillId="3" borderId="0" xfId="0" applyNumberFormat="1" applyFont="1" applyFill="1" applyAlignment="1" applyProtection="1">
      <alignment horizontal="center"/>
      <protection locked="0"/>
    </xf>
    <xf numFmtId="0" fontId="109" fillId="4" borderId="1" xfId="0" quotePrefix="1" applyFont="1" applyFill="1" applyBorder="1" applyAlignment="1">
      <alignment horizontal="left" vertical="center"/>
    </xf>
    <xf numFmtId="0" fontId="80" fillId="3" borderId="12" xfId="0" applyFont="1" applyFill="1" applyBorder="1" applyAlignment="1" applyProtection="1">
      <alignment horizontal="center" vertical="center"/>
      <protection locked="0"/>
    </xf>
    <xf numFmtId="0" fontId="80" fillId="3" borderId="0" xfId="0" applyFont="1" applyFill="1" applyBorder="1" applyAlignment="1" applyProtection="1">
      <alignment horizontal="center" vertical="center"/>
      <protection locked="0"/>
    </xf>
    <xf numFmtId="0" fontId="80" fillId="3" borderId="0" xfId="0" applyFont="1" applyFill="1" applyBorder="1" applyAlignment="1" applyProtection="1">
      <alignment horizontal="center" vertical="center"/>
      <protection hidden="1"/>
    </xf>
    <xf numFmtId="0" fontId="54" fillId="0" borderId="12" xfId="0" applyFont="1" applyBorder="1" applyAlignment="1">
      <alignment horizontal="center" vertical="center"/>
    </xf>
    <xf numFmtId="0" fontId="54" fillId="0" borderId="0" xfId="0" applyFont="1" applyBorder="1" applyAlignment="1">
      <alignment horizontal="center" vertical="center"/>
    </xf>
    <xf numFmtId="0" fontId="92" fillId="0" borderId="0" xfId="0" applyFont="1" applyBorder="1" applyAlignment="1">
      <alignment horizontal="center" vertical="center"/>
    </xf>
    <xf numFmtId="0" fontId="92" fillId="0" borderId="12" xfId="0" applyFont="1" applyBorder="1" applyAlignment="1">
      <alignment horizontal="center" vertical="center"/>
    </xf>
    <xf numFmtId="0" fontId="6" fillId="0" borderId="1" xfId="0" applyFont="1" applyBorder="1"/>
    <xf numFmtId="1" fontId="4" fillId="10" borderId="13" xfId="0" applyNumberFormat="1" applyFont="1" applyFill="1" applyBorder="1" applyAlignment="1" applyProtection="1">
      <alignment horizontal="left"/>
      <protection hidden="1"/>
    </xf>
    <xf numFmtId="1" fontId="4" fillId="0" borderId="0" xfId="0" applyNumberFormat="1" applyFont="1" applyBorder="1" applyAlignment="1" applyProtection="1">
      <alignment horizontal="left"/>
      <protection hidden="1"/>
    </xf>
    <xf numFmtId="0" fontId="6" fillId="0" borderId="0" xfId="0" applyFont="1" applyBorder="1" applyAlignment="1">
      <alignment horizontal="left"/>
    </xf>
    <xf numFmtId="0" fontId="32" fillId="0" borderId="0" xfId="0" applyFont="1" applyProtection="1"/>
    <xf numFmtId="1" fontId="3" fillId="3" borderId="0" xfId="0" applyNumberFormat="1" applyFont="1" applyFill="1" applyProtection="1"/>
    <xf numFmtId="179" fontId="3" fillId="3" borderId="0" xfId="0" applyNumberFormat="1" applyFont="1" applyFill="1" applyProtection="1"/>
    <xf numFmtId="1" fontId="33" fillId="3" borderId="0" xfId="0" applyNumberFormat="1" applyFont="1" applyFill="1" applyProtection="1"/>
    <xf numFmtId="1" fontId="27" fillId="3" borderId="3" xfId="0" applyNumberFormat="1" applyFont="1" applyFill="1" applyBorder="1" applyProtection="1"/>
    <xf numFmtId="1" fontId="27" fillId="3" borderId="13" xfId="0" applyNumberFormat="1" applyFont="1" applyFill="1" applyBorder="1" applyProtection="1"/>
    <xf numFmtId="1" fontId="27" fillId="3" borderId="3" xfId="0" applyNumberFormat="1" applyFont="1" applyFill="1" applyBorder="1" applyAlignment="1" applyProtection="1">
      <alignment horizontal="right" wrapText="1"/>
    </xf>
    <xf numFmtId="1" fontId="27" fillId="3" borderId="13" xfId="0" applyNumberFormat="1" applyFont="1" applyFill="1" applyBorder="1" applyAlignment="1" applyProtection="1">
      <alignment horizontal="left" wrapText="1"/>
    </xf>
    <xf numFmtId="1" fontId="3" fillId="3" borderId="0" xfId="0" applyNumberFormat="1" applyFont="1" applyFill="1" applyAlignment="1" applyProtection="1">
      <alignment horizontal="left" wrapText="1"/>
    </xf>
    <xf numFmtId="1" fontId="13" fillId="3" borderId="0" xfId="0" applyNumberFormat="1" applyFont="1" applyFill="1" applyAlignment="1" applyProtection="1">
      <alignment horizontal="left" wrapText="1"/>
    </xf>
    <xf numFmtId="172" fontId="13" fillId="3" borderId="0" xfId="0" applyNumberFormat="1" applyFont="1" applyFill="1" applyAlignment="1" applyProtection="1">
      <alignment horizontal="right" wrapText="1"/>
    </xf>
    <xf numFmtId="172" fontId="3" fillId="3" borderId="0" xfId="0" applyNumberFormat="1" applyFont="1" applyFill="1" applyAlignment="1" applyProtection="1">
      <alignment horizontal="right" wrapText="1"/>
    </xf>
    <xf numFmtId="1" fontId="47" fillId="3" borderId="3" xfId="0" applyNumberFormat="1" applyFont="1" applyFill="1" applyBorder="1" applyProtection="1"/>
    <xf numFmtId="1" fontId="47" fillId="3" borderId="13" xfId="0" applyNumberFormat="1" applyFont="1" applyFill="1" applyBorder="1" applyProtection="1"/>
    <xf numFmtId="1" fontId="44" fillId="3" borderId="0" xfId="0" applyNumberFormat="1" applyFont="1" applyFill="1" applyProtection="1"/>
    <xf numFmtId="179" fontId="44" fillId="3" borderId="0" xfId="0" applyNumberFormat="1" applyFont="1" applyFill="1" applyProtection="1"/>
    <xf numFmtId="1" fontId="47" fillId="3" borderId="3" xfId="0" applyNumberFormat="1" applyFont="1" applyFill="1" applyBorder="1" applyAlignment="1" applyProtection="1">
      <alignment horizontal="right" wrapText="1"/>
    </xf>
    <xf numFmtId="1" fontId="47" fillId="3" borderId="13" xfId="0" applyNumberFormat="1" applyFont="1" applyFill="1" applyBorder="1" applyAlignment="1" applyProtection="1">
      <alignment horizontal="left" wrapText="1"/>
    </xf>
    <xf numFmtId="1" fontId="44" fillId="3" borderId="0" xfId="0" applyNumberFormat="1" applyFont="1" applyFill="1" applyAlignment="1" applyProtection="1">
      <alignment horizontal="left" wrapText="1"/>
    </xf>
    <xf numFmtId="1" fontId="48" fillId="3" borderId="0" xfId="0" applyNumberFormat="1" applyFont="1" applyFill="1" applyAlignment="1" applyProtection="1">
      <alignment horizontal="left" wrapText="1"/>
    </xf>
    <xf numFmtId="172" fontId="48" fillId="3" borderId="0" xfId="0" applyNumberFormat="1" applyFont="1" applyFill="1" applyAlignment="1" applyProtection="1">
      <alignment horizontal="right" wrapText="1"/>
    </xf>
    <xf numFmtId="172" fontId="44" fillId="3" borderId="0" xfId="0" applyNumberFormat="1" applyFont="1" applyFill="1" applyAlignment="1" applyProtection="1">
      <alignment horizontal="right" wrapText="1"/>
    </xf>
    <xf numFmtId="164" fontId="100" fillId="3" borderId="0" xfId="0" applyNumberFormat="1" applyFont="1" applyFill="1" applyAlignment="1" applyProtection="1">
      <alignment horizontal="right"/>
    </xf>
    <xf numFmtId="1" fontId="100" fillId="3" borderId="0" xfId="0" applyNumberFormat="1" applyFont="1" applyFill="1" applyProtection="1"/>
    <xf numFmtId="164" fontId="94" fillId="3" borderId="0" xfId="0" applyNumberFormat="1" applyFont="1" applyFill="1" applyAlignment="1" applyProtection="1">
      <alignment horizontal="right"/>
    </xf>
    <xf numFmtId="1" fontId="94" fillId="3" borderId="0" xfId="0" applyNumberFormat="1" applyFont="1" applyFill="1" applyProtection="1"/>
    <xf numFmtId="1" fontId="34" fillId="3" borderId="16" xfId="0" applyNumberFormat="1" applyFont="1" applyFill="1" applyBorder="1" applyAlignment="1" applyProtection="1">
      <alignment horizontal="center" wrapText="1"/>
    </xf>
    <xf numFmtId="1" fontId="27" fillId="3" borderId="16" xfId="0" applyNumberFormat="1" applyFont="1" applyFill="1" applyBorder="1" applyAlignment="1" applyProtection="1">
      <alignment horizontal="center" wrapText="1"/>
    </xf>
    <xf numFmtId="1" fontId="27" fillId="3" borderId="0" xfId="0" applyNumberFormat="1" applyFont="1" applyFill="1" applyProtection="1"/>
    <xf numFmtId="1" fontId="95" fillId="3" borderId="16" xfId="0" applyNumberFormat="1" applyFont="1" applyFill="1" applyBorder="1" applyAlignment="1" applyProtection="1">
      <alignment horizontal="center" wrapText="1"/>
    </xf>
    <xf numFmtId="179" fontId="47" fillId="3" borderId="16" xfId="0" applyNumberFormat="1" applyFont="1" applyFill="1" applyBorder="1" applyAlignment="1" applyProtection="1">
      <alignment horizontal="center" wrapText="1"/>
    </xf>
    <xf numFmtId="1" fontId="47" fillId="3" borderId="0" xfId="0" applyNumberFormat="1" applyFont="1" applyFill="1" applyProtection="1"/>
    <xf numFmtId="1" fontId="47" fillId="3" borderId="16" xfId="0" applyNumberFormat="1" applyFont="1" applyFill="1" applyBorder="1" applyAlignment="1" applyProtection="1">
      <alignment horizontal="center" wrapText="1"/>
    </xf>
    <xf numFmtId="0" fontId="18" fillId="3" borderId="0" xfId="0" applyFont="1" applyFill="1" applyBorder="1" applyAlignment="1" applyProtection="1">
      <alignment horizontal="center" vertical="top" wrapText="1"/>
    </xf>
    <xf numFmtId="1" fontId="3" fillId="3" borderId="16" xfId="0" applyNumberFormat="1" applyFont="1" applyFill="1" applyBorder="1" applyAlignment="1" applyProtection="1">
      <alignment horizontal="left" wrapText="1"/>
    </xf>
    <xf numFmtId="1" fontId="3" fillId="3" borderId="16" xfId="0" applyNumberFormat="1" applyFont="1" applyFill="1" applyBorder="1" applyAlignment="1" applyProtection="1">
      <alignment horizontal="center"/>
    </xf>
    <xf numFmtId="1" fontId="3" fillId="3" borderId="16" xfId="0" applyNumberFormat="1" applyFont="1" applyFill="1" applyBorder="1" applyAlignment="1" applyProtection="1">
      <alignment horizontal="center" wrapText="1"/>
    </xf>
    <xf numFmtId="165" fontId="3" fillId="3" borderId="16" xfId="0" applyNumberFormat="1" applyFont="1" applyFill="1" applyBorder="1" applyAlignment="1" applyProtection="1">
      <alignment horizontal="right" wrapText="1"/>
    </xf>
    <xf numFmtId="1" fontId="3" fillId="3" borderId="16" xfId="0" applyNumberFormat="1" applyFont="1" applyFill="1" applyBorder="1" applyAlignment="1" applyProtection="1">
      <alignment horizontal="right" wrapText="1"/>
    </xf>
    <xf numFmtId="172" fontId="3" fillId="3" borderId="16" xfId="0" applyNumberFormat="1" applyFont="1" applyFill="1" applyBorder="1" applyAlignment="1" applyProtection="1">
      <alignment horizontal="right" wrapText="1"/>
    </xf>
    <xf numFmtId="1" fontId="44" fillId="3" borderId="16" xfId="0" applyNumberFormat="1" applyFont="1" applyFill="1" applyBorder="1" applyAlignment="1" applyProtection="1">
      <alignment horizontal="left" wrapText="1"/>
    </xf>
    <xf numFmtId="1" fontId="44" fillId="3" borderId="16" xfId="0" applyNumberFormat="1" applyFont="1" applyFill="1" applyBorder="1" applyAlignment="1" applyProtection="1">
      <alignment horizontal="center"/>
    </xf>
    <xf numFmtId="1" fontId="44" fillId="3" borderId="16" xfId="0" applyNumberFormat="1" applyFont="1" applyFill="1" applyBorder="1" applyAlignment="1" applyProtection="1">
      <alignment horizontal="center" wrapText="1"/>
    </xf>
    <xf numFmtId="165" fontId="44" fillId="3" borderId="16" xfId="0" applyNumberFormat="1" applyFont="1" applyFill="1" applyBorder="1" applyAlignment="1" applyProtection="1">
      <alignment horizontal="right" wrapText="1"/>
    </xf>
    <xf numFmtId="1" fontId="44" fillId="3" borderId="16" xfId="0" applyNumberFormat="1" applyFont="1" applyFill="1" applyBorder="1" applyAlignment="1" applyProtection="1">
      <alignment horizontal="right" wrapText="1"/>
    </xf>
    <xf numFmtId="172" fontId="44" fillId="3" borderId="16" xfId="0" applyNumberFormat="1" applyFont="1" applyFill="1" applyBorder="1" applyAlignment="1" applyProtection="1">
      <alignment horizontal="right" wrapText="1"/>
    </xf>
    <xf numFmtId="179" fontId="44" fillId="3" borderId="16" xfId="0" applyNumberFormat="1" applyFont="1" applyFill="1" applyBorder="1" applyAlignment="1" applyProtection="1">
      <alignment horizontal="right" wrapText="1"/>
    </xf>
    <xf numFmtId="165" fontId="44" fillId="3" borderId="1" xfId="0" applyNumberFormat="1" applyFont="1" applyFill="1" applyBorder="1" applyProtection="1"/>
    <xf numFmtId="0" fontId="18" fillId="3" borderId="0" xfId="0" applyFont="1" applyFill="1" applyBorder="1" applyAlignment="1" applyProtection="1">
      <alignment horizontal="center" vertical="center" wrapText="1"/>
    </xf>
    <xf numFmtId="178" fontId="44" fillId="3" borderId="16" xfId="0" applyNumberFormat="1" applyFont="1" applyFill="1" applyBorder="1" applyAlignment="1" applyProtection="1">
      <alignment horizontal="right" wrapText="1"/>
    </xf>
    <xf numFmtId="164" fontId="18" fillId="3" borderId="0" xfId="0" applyNumberFormat="1" applyFont="1" applyFill="1" applyBorder="1" applyAlignment="1" applyProtection="1">
      <alignment horizontal="center" vertical="center" wrapText="1"/>
    </xf>
    <xf numFmtId="165" fontId="3" fillId="3" borderId="0" xfId="0" applyNumberFormat="1" applyFont="1" applyFill="1" applyBorder="1" applyAlignment="1" applyProtection="1">
      <alignment horizontal="right" wrapText="1"/>
    </xf>
    <xf numFmtId="165" fontId="44" fillId="3" borderId="0" xfId="0" applyNumberFormat="1" applyFont="1" applyFill="1" applyBorder="1" applyAlignment="1" applyProtection="1">
      <alignment horizontal="right" wrapText="1"/>
    </xf>
    <xf numFmtId="1" fontId="3" fillId="3" borderId="17" xfId="0" applyNumberFormat="1" applyFont="1" applyFill="1" applyBorder="1" applyAlignment="1" applyProtection="1">
      <alignment horizontal="left" wrapText="1"/>
    </xf>
    <xf numFmtId="1" fontId="13" fillId="3" borderId="19" xfId="0" applyNumberFormat="1" applyFont="1" applyFill="1" applyBorder="1" applyAlignment="1" applyProtection="1">
      <alignment horizontal="left" wrapText="1"/>
    </xf>
    <xf numFmtId="1" fontId="13" fillId="3" borderId="20" xfId="0" applyNumberFormat="1" applyFont="1" applyFill="1" applyBorder="1" applyAlignment="1" applyProtection="1">
      <alignment horizontal="left" wrapText="1"/>
    </xf>
    <xf numFmtId="1" fontId="13" fillId="3" borderId="18" xfId="0" applyNumberFormat="1" applyFont="1" applyFill="1" applyBorder="1" applyAlignment="1" applyProtection="1">
      <alignment horizontal="left" wrapText="1"/>
    </xf>
    <xf numFmtId="172" fontId="13" fillId="3" borderId="16" xfId="0" applyNumberFormat="1" applyFont="1" applyFill="1" applyBorder="1" applyAlignment="1" applyProtection="1">
      <alignment horizontal="right" wrapText="1"/>
    </xf>
    <xf numFmtId="1" fontId="44" fillId="3" borderId="17" xfId="0" applyNumberFormat="1" applyFont="1" applyFill="1" applyBorder="1" applyAlignment="1" applyProtection="1">
      <alignment horizontal="left" wrapText="1"/>
    </xf>
    <xf numFmtId="1" fontId="48" fillId="3" borderId="19" xfId="0" applyNumberFormat="1" applyFont="1" applyFill="1" applyBorder="1" applyAlignment="1" applyProtection="1">
      <alignment horizontal="left" wrapText="1"/>
    </xf>
    <xf numFmtId="1" fontId="48" fillId="3" borderId="20" xfId="0" applyNumberFormat="1" applyFont="1" applyFill="1" applyBorder="1" applyAlignment="1" applyProtection="1">
      <alignment horizontal="left" wrapText="1"/>
    </xf>
    <xf numFmtId="1" fontId="48" fillId="3" borderId="18" xfId="0" applyNumberFormat="1" applyFont="1" applyFill="1" applyBorder="1" applyAlignment="1" applyProtection="1">
      <alignment horizontal="left" wrapText="1"/>
    </xf>
    <xf numFmtId="179" fontId="48" fillId="3" borderId="16" xfId="0" applyNumberFormat="1" applyFont="1" applyFill="1" applyBorder="1" applyAlignment="1" applyProtection="1">
      <alignment horizontal="right" wrapText="1"/>
    </xf>
    <xf numFmtId="172" fontId="48" fillId="3" borderId="16" xfId="0" applyNumberFormat="1" applyFont="1" applyFill="1" applyBorder="1" applyAlignment="1" applyProtection="1">
      <alignment horizontal="right" wrapText="1"/>
    </xf>
    <xf numFmtId="0" fontId="3" fillId="3" borderId="1" xfId="0" applyFont="1" applyFill="1" applyBorder="1" applyAlignment="1" applyProtection="1">
      <alignment horizontal="center" vertical="center"/>
    </xf>
    <xf numFmtId="1" fontId="68" fillId="0" borderId="1" xfId="0" applyNumberFormat="1" applyFont="1" applyBorder="1" applyAlignment="1" applyProtection="1">
      <alignment horizontal="center"/>
    </xf>
    <xf numFmtId="164" fontId="99" fillId="4" borderId="1" xfId="0" applyNumberFormat="1" applyFont="1" applyFill="1" applyBorder="1" applyAlignment="1" applyProtection="1">
      <alignment horizontal="right"/>
    </xf>
    <xf numFmtId="164" fontId="13" fillId="3" borderId="16" xfId="0" applyNumberFormat="1" applyFont="1" applyFill="1" applyBorder="1" applyAlignment="1" applyProtection="1">
      <alignment horizontal="right" wrapText="1"/>
    </xf>
    <xf numFmtId="165" fontId="48" fillId="3" borderId="16" xfId="0" applyNumberFormat="1" applyFont="1" applyFill="1" applyBorder="1" applyAlignment="1" applyProtection="1">
      <alignment horizontal="right" wrapText="1"/>
    </xf>
    <xf numFmtId="179" fontId="44" fillId="3" borderId="0" xfId="0" applyNumberFormat="1" applyFont="1" applyFill="1" applyAlignment="1" applyProtection="1">
      <alignment horizontal="right" wrapText="1"/>
    </xf>
    <xf numFmtId="172" fontId="3" fillId="3" borderId="16" xfId="0" applyNumberFormat="1" applyFont="1" applyFill="1" applyBorder="1" applyProtection="1"/>
    <xf numFmtId="179" fontId="44" fillId="3" borderId="16" xfId="0" applyNumberFormat="1" applyFont="1" applyFill="1" applyBorder="1" applyProtection="1"/>
    <xf numFmtId="1" fontId="18" fillId="3" borderId="0" xfId="0" applyNumberFormat="1" applyFont="1" applyFill="1" applyBorder="1" applyProtection="1"/>
    <xf numFmtId="1" fontId="27" fillId="3" borderId="0" xfId="0" applyNumberFormat="1" applyFont="1" applyFill="1" applyBorder="1" applyAlignment="1" applyProtection="1">
      <alignment horizontal="center" wrapText="1"/>
    </xf>
    <xf numFmtId="172" fontId="3" fillId="3" borderId="0" xfId="0" applyNumberFormat="1" applyFont="1" applyFill="1" applyBorder="1" applyAlignment="1" applyProtection="1">
      <alignment horizontal="right" wrapText="1"/>
    </xf>
    <xf numFmtId="172" fontId="13" fillId="3" borderId="0" xfId="0" applyNumberFormat="1" applyFont="1" applyFill="1" applyBorder="1" applyAlignment="1" applyProtection="1">
      <alignment horizontal="right" wrapText="1"/>
    </xf>
    <xf numFmtId="172" fontId="3" fillId="3" borderId="0" xfId="0" applyNumberFormat="1" applyFont="1" applyFill="1" applyBorder="1" applyProtection="1"/>
    <xf numFmtId="0" fontId="6" fillId="0" borderId="0" xfId="5" applyFont="1"/>
    <xf numFmtId="0" fontId="5" fillId="3" borderId="1" xfId="0" applyFont="1" applyFill="1" applyBorder="1" applyAlignment="1" applyProtection="1">
      <alignment horizontal="center" vertical="center"/>
      <protection hidden="1"/>
    </xf>
    <xf numFmtId="1" fontId="6" fillId="0" borderId="0" xfId="0" applyNumberFormat="1" applyFont="1" applyBorder="1" applyAlignment="1" applyProtection="1">
      <alignment horizontal="left"/>
      <protection hidden="1"/>
    </xf>
    <xf numFmtId="181" fontId="6" fillId="0" borderId="1" xfId="0" applyNumberFormat="1" applyFont="1" applyBorder="1" applyAlignment="1">
      <alignment horizontal="center" vertical="center"/>
    </xf>
    <xf numFmtId="181" fontId="31" fillId="0" borderId="1" xfId="0" applyNumberFormat="1" applyFont="1" applyBorder="1" applyAlignment="1">
      <alignment horizontal="center" vertical="center"/>
    </xf>
    <xf numFmtId="0" fontId="25" fillId="3" borderId="0" xfId="0" applyFont="1" applyFill="1" applyAlignment="1" applyProtection="1">
      <alignment horizontal="right" vertical="center"/>
      <protection locked="0"/>
    </xf>
    <xf numFmtId="0" fontId="3" fillId="4" borderId="12" xfId="0" applyFont="1" applyFill="1" applyBorder="1" applyAlignment="1" applyProtection="1">
      <alignment horizontal="left" vertical="top" wrapText="1"/>
      <protection hidden="1"/>
    </xf>
    <xf numFmtId="0" fontId="3" fillId="4" borderId="3" xfId="0" applyFont="1" applyFill="1" applyBorder="1" applyAlignment="1" applyProtection="1">
      <alignment horizontal="left" vertical="top"/>
      <protection hidden="1"/>
    </xf>
    <xf numFmtId="0" fontId="52" fillId="10" borderId="0" xfId="0" applyFont="1" applyFill="1" applyAlignment="1">
      <alignment horizontal="center" vertical="center"/>
    </xf>
    <xf numFmtId="171" fontId="17" fillId="10" borderId="0" xfId="0" applyNumberFormat="1" applyFont="1" applyFill="1" applyAlignment="1">
      <alignment horizontal="center"/>
    </xf>
    <xf numFmtId="171" fontId="17" fillId="10" borderId="0" xfId="0" applyNumberFormat="1" applyFont="1" applyFill="1" applyBorder="1" applyAlignment="1">
      <alignment horizontal="center"/>
    </xf>
    <xf numFmtId="1" fontId="0" fillId="10" borderId="1" xfId="0" applyNumberFormat="1" applyFill="1" applyBorder="1" applyProtection="1">
      <protection hidden="1"/>
    </xf>
    <xf numFmtId="1" fontId="6" fillId="10" borderId="1" xfId="0" applyNumberFormat="1" applyFont="1" applyFill="1" applyBorder="1" applyProtection="1">
      <protection hidden="1"/>
    </xf>
    <xf numFmtId="0" fontId="0" fillId="10" borderId="0" xfId="0" applyFill="1"/>
    <xf numFmtId="0" fontId="5" fillId="10" borderId="1" xfId="0" applyFont="1" applyFill="1" applyBorder="1"/>
    <xf numFmtId="171" fontId="17" fillId="10" borderId="0" xfId="0" applyNumberFormat="1" applyFont="1" applyFill="1" applyAlignment="1">
      <alignment horizontal="center" vertical="center"/>
    </xf>
    <xf numFmtId="171" fontId="17" fillId="10" borderId="0" xfId="0" applyNumberFormat="1" applyFont="1" applyFill="1" applyBorder="1" applyAlignment="1">
      <alignment horizontal="center" vertical="center"/>
    </xf>
    <xf numFmtId="1" fontId="4" fillId="3" borderId="12" xfId="0" applyNumberFormat="1" applyFont="1" applyFill="1" applyBorder="1" applyAlignment="1" applyProtection="1">
      <alignment horizontal="left"/>
      <protection hidden="1"/>
    </xf>
    <xf numFmtId="0" fontId="20" fillId="0" borderId="7" xfId="0" applyFont="1" applyBorder="1" applyAlignment="1">
      <alignment horizontal="left"/>
    </xf>
    <xf numFmtId="0" fontId="20" fillId="3" borderId="1" xfId="0" applyFont="1" applyFill="1" applyBorder="1" applyAlignment="1">
      <alignment horizontal="left"/>
    </xf>
    <xf numFmtId="0" fontId="17" fillId="3" borderId="1" xfId="0" applyFont="1" applyFill="1" applyBorder="1" applyAlignment="1">
      <alignment horizontal="left" vertical="center"/>
    </xf>
    <xf numFmtId="0" fontId="17" fillId="7" borderId="1" xfId="0" applyFont="1" applyFill="1" applyBorder="1" applyAlignment="1">
      <alignment horizontal="center"/>
    </xf>
    <xf numFmtId="0" fontId="32" fillId="7" borderId="1" xfId="1" applyFont="1" applyFill="1" applyBorder="1" applyAlignment="1">
      <alignment horizontal="left" vertical="center"/>
    </xf>
    <xf numFmtId="0" fontId="17" fillId="7" borderId="1" xfId="0" applyFont="1" applyFill="1" applyBorder="1" applyAlignment="1">
      <alignment horizontal="left" vertical="center"/>
    </xf>
    <xf numFmtId="0" fontId="17" fillId="7" borderId="1" xfId="4" applyFont="1" applyFill="1" applyBorder="1" applyAlignment="1">
      <alignment horizontal="center" vertical="center"/>
    </xf>
    <xf numFmtId="164" fontId="6" fillId="8" borderId="1" xfId="0" applyNumberFormat="1" applyFont="1" applyFill="1" applyBorder="1" applyProtection="1">
      <protection hidden="1"/>
    </xf>
    <xf numFmtId="1" fontId="0" fillId="8" borderId="0" xfId="0" applyNumberFormat="1" applyFill="1" applyProtection="1">
      <protection hidden="1"/>
    </xf>
    <xf numFmtId="164" fontId="6" fillId="8" borderId="0" xfId="0" applyNumberFormat="1" applyFont="1" applyFill="1" applyProtection="1">
      <protection hidden="1"/>
    </xf>
    <xf numFmtId="164" fontId="0" fillId="8" borderId="0" xfId="0" applyNumberFormat="1" applyFill="1" applyProtection="1">
      <protection hidden="1"/>
    </xf>
    <xf numFmtId="0" fontId="0" fillId="8" borderId="0" xfId="0" applyFill="1"/>
    <xf numFmtId="0" fontId="31" fillId="7" borderId="0" xfId="0" applyFont="1" applyFill="1"/>
    <xf numFmtId="1" fontId="31" fillId="7" borderId="0" xfId="0" applyNumberFormat="1" applyFont="1" applyFill="1" applyProtection="1">
      <protection hidden="1"/>
    </xf>
    <xf numFmtId="1" fontId="39" fillId="7" borderId="1" xfId="0" applyNumberFormat="1" applyFont="1" applyFill="1" applyBorder="1" applyAlignment="1" applyProtection="1">
      <alignment horizontal="center"/>
      <protection hidden="1"/>
    </xf>
    <xf numFmtId="1" fontId="7" fillId="7" borderId="0" xfId="0" applyNumberFormat="1" applyFont="1" applyFill="1" applyBorder="1" applyAlignment="1" applyProtection="1">
      <alignment horizontal="left"/>
      <protection hidden="1"/>
    </xf>
    <xf numFmtId="1" fontId="7" fillId="7" borderId="0" xfId="0" applyNumberFormat="1" applyFont="1" applyFill="1" applyBorder="1" applyProtection="1">
      <protection hidden="1"/>
    </xf>
    <xf numFmtId="1" fontId="7" fillId="7" borderId="1" xfId="0" applyNumberFormat="1" applyFont="1" applyFill="1" applyBorder="1" applyAlignment="1" applyProtection="1">
      <alignment horizontal="left"/>
      <protection hidden="1"/>
    </xf>
    <xf numFmtId="0" fontId="20" fillId="10" borderId="1" xfId="0" applyFont="1" applyFill="1" applyBorder="1" applyAlignment="1">
      <alignment horizontal="left"/>
    </xf>
    <xf numFmtId="0" fontId="20" fillId="6" borderId="0" xfId="0" applyFont="1" applyFill="1"/>
    <xf numFmtId="0" fontId="20" fillId="10" borderId="0" xfId="0" applyFont="1" applyFill="1" applyBorder="1" applyAlignment="1">
      <alignment horizontal="left"/>
    </xf>
    <xf numFmtId="164" fontId="12" fillId="3" borderId="0" xfId="0" applyNumberFormat="1" applyFont="1" applyFill="1" applyAlignment="1" applyProtection="1">
      <alignment horizontal="left" vertical="center" wrapText="1"/>
      <protection locked="0"/>
    </xf>
    <xf numFmtId="1" fontId="0" fillId="0" borderId="0" xfId="0" applyNumberFormat="1" applyFill="1" applyProtection="1">
      <protection hidden="1"/>
    </xf>
    <xf numFmtId="0" fontId="31" fillId="0" borderId="1" xfId="0" applyFont="1" applyFill="1" applyBorder="1" applyAlignment="1">
      <alignment horizontal="center" vertical="center"/>
    </xf>
    <xf numFmtId="181" fontId="31" fillId="0" borderId="1" xfId="0" applyNumberFormat="1" applyFont="1" applyFill="1" applyBorder="1" applyAlignment="1">
      <alignment horizontal="center" vertical="center"/>
    </xf>
    <xf numFmtId="0" fontId="3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110" fillId="0" borderId="0" xfId="0" applyFont="1" applyAlignment="1">
      <alignment horizontal="center"/>
    </xf>
    <xf numFmtId="0" fontId="0" fillId="0" borderId="0" xfId="0" applyAlignment="1">
      <alignment horizontal="center"/>
    </xf>
    <xf numFmtId="0" fontId="0" fillId="0" borderId="0" xfId="0" applyAlignment="1">
      <alignment vertical="center"/>
    </xf>
    <xf numFmtId="164" fontId="68" fillId="0" borderId="1" xfId="0" applyNumberFormat="1" applyFont="1" applyBorder="1" applyAlignment="1" applyProtection="1">
      <alignment horizontal="center"/>
      <protection hidden="1"/>
    </xf>
    <xf numFmtId="2" fontId="6" fillId="0" borderId="1" xfId="0" applyNumberFormat="1" applyFont="1" applyBorder="1" applyProtection="1">
      <protection hidden="1"/>
    </xf>
    <xf numFmtId="0" fontId="31" fillId="12" borderId="1" xfId="0" applyFont="1" applyFill="1" applyBorder="1" applyAlignment="1">
      <alignment horizontal="left" vertical="center"/>
    </xf>
    <xf numFmtId="0" fontId="31" fillId="7" borderId="1" xfId="0" applyFont="1" applyFill="1" applyBorder="1" applyAlignment="1">
      <alignment horizontal="left" vertical="center" wrapText="1"/>
    </xf>
    <xf numFmtId="0" fontId="6" fillId="13" borderId="1" xfId="0" applyFont="1" applyFill="1" applyBorder="1"/>
    <xf numFmtId="0" fontId="31" fillId="7" borderId="1" xfId="0" applyFont="1" applyFill="1" applyBorder="1" applyAlignment="1">
      <alignment horizontal="center" vertical="center"/>
    </xf>
    <xf numFmtId="0" fontId="31" fillId="7" borderId="1" xfId="0" applyFont="1" applyFill="1" applyBorder="1" applyAlignment="1">
      <alignment horizontal="left" vertical="center"/>
    </xf>
    <xf numFmtId="0" fontId="31" fillId="12" borderId="1" xfId="0" applyFont="1" applyFill="1" applyBorder="1" applyAlignment="1">
      <alignment horizontal="center" vertical="center"/>
    </xf>
    <xf numFmtId="0" fontId="31" fillId="12" borderId="1" xfId="0" applyFont="1" applyFill="1" applyBorder="1" applyAlignment="1">
      <alignment horizontal="left" vertical="center" wrapText="1"/>
    </xf>
    <xf numFmtId="0" fontId="0" fillId="13" borderId="1" xfId="0" applyFill="1" applyBorder="1" applyAlignment="1">
      <alignment vertical="center"/>
    </xf>
    <xf numFmtId="0" fontId="0" fillId="13" borderId="1" xfId="0" applyFill="1" applyBorder="1"/>
    <xf numFmtId="0" fontId="0" fillId="4" borderId="1" xfId="0" applyFill="1" applyBorder="1"/>
    <xf numFmtId="0" fontId="0" fillId="4" borderId="1" xfId="0" applyFill="1" applyBorder="1" applyAlignment="1">
      <alignment horizontal="left" vertical="center"/>
    </xf>
    <xf numFmtId="0" fontId="0" fillId="14" borderId="1" xfId="0" applyFill="1" applyBorder="1"/>
    <xf numFmtId="0" fontId="6" fillId="7" borderId="1" xfId="0" applyFont="1" applyFill="1" applyBorder="1" applyAlignment="1">
      <alignment horizontal="left" vertical="center"/>
    </xf>
    <xf numFmtId="0" fontId="6" fillId="12" borderId="1" xfId="0" applyFont="1" applyFill="1" applyBorder="1" applyAlignment="1">
      <alignment horizontal="left" vertical="center"/>
    </xf>
    <xf numFmtId="0" fontId="0" fillId="7" borderId="1" xfId="0" applyFill="1" applyBorder="1" applyAlignment="1">
      <alignment horizontal="left" vertical="center" wrapText="1"/>
    </xf>
    <xf numFmtId="0" fontId="0" fillId="12" borderId="1" xfId="0" applyFill="1" applyBorder="1" applyAlignment="1">
      <alignment horizontal="left" vertical="center" wrapText="1"/>
    </xf>
    <xf numFmtId="1" fontId="39" fillId="12" borderId="0" xfId="0" applyNumberFormat="1" applyFont="1" applyFill="1" applyProtection="1">
      <protection hidden="1"/>
    </xf>
    <xf numFmtId="1" fontId="0" fillId="12" borderId="0" xfId="0" applyNumberFormat="1" applyFill="1" applyProtection="1">
      <protection hidden="1"/>
    </xf>
    <xf numFmtId="1" fontId="15" fillId="12" borderId="1" xfId="0" applyNumberFormat="1" applyFont="1" applyFill="1" applyBorder="1" applyAlignment="1" applyProtection="1">
      <alignment horizontal="center"/>
      <protection hidden="1"/>
    </xf>
    <xf numFmtId="1" fontId="14" fillId="12" borderId="1" xfId="0" applyNumberFormat="1" applyFont="1" applyFill="1" applyBorder="1" applyAlignment="1" applyProtection="1">
      <alignment horizontal="center"/>
      <protection hidden="1"/>
    </xf>
    <xf numFmtId="164" fontId="68" fillId="12" borderId="1" xfId="0" applyNumberFormat="1" applyFont="1" applyFill="1" applyBorder="1" applyAlignment="1" applyProtection="1">
      <alignment horizontal="center"/>
      <protection hidden="1"/>
    </xf>
    <xf numFmtId="164" fontId="6" fillId="12" borderId="1" xfId="0" applyNumberFormat="1" applyFont="1" applyFill="1" applyBorder="1" applyAlignment="1" applyProtection="1">
      <alignment horizontal="right"/>
      <protection hidden="1"/>
    </xf>
    <xf numFmtId="1" fontId="68" fillId="12" borderId="2" xfId="0" applyNumberFormat="1" applyFont="1" applyFill="1" applyBorder="1" applyAlignment="1" applyProtection="1">
      <alignment vertical="center"/>
      <protection hidden="1"/>
    </xf>
    <xf numFmtId="1" fontId="4" fillId="12" borderId="2" xfId="0" quotePrefix="1" applyNumberFormat="1" applyFont="1" applyFill="1" applyBorder="1" applyAlignment="1" applyProtection="1">
      <alignment horizontal="left" vertical="center"/>
      <protection hidden="1"/>
    </xf>
    <xf numFmtId="1" fontId="4" fillId="12" borderId="0" xfId="0" quotePrefix="1" applyNumberFormat="1" applyFont="1" applyFill="1" applyAlignment="1" applyProtection="1">
      <alignment horizontal="left" vertical="center"/>
      <protection hidden="1"/>
    </xf>
    <xf numFmtId="1" fontId="39" fillId="12" borderId="0" xfId="0" applyNumberFormat="1" applyFont="1" applyFill="1" applyAlignment="1" applyProtection="1">
      <alignment horizontal="center"/>
      <protection hidden="1"/>
    </xf>
    <xf numFmtId="164" fontId="0" fillId="12" borderId="0" xfId="0" applyNumberFormat="1" applyFill="1" applyProtection="1">
      <protection hidden="1"/>
    </xf>
    <xf numFmtId="1" fontId="39" fillId="12" borderId="1" xfId="0" applyNumberFormat="1" applyFont="1" applyFill="1" applyBorder="1" applyAlignment="1" applyProtection="1">
      <alignment horizontal="center"/>
      <protection hidden="1"/>
    </xf>
    <xf numFmtId="164" fontId="0" fillId="12" borderId="1" xfId="0" applyNumberFormat="1" applyFill="1" applyBorder="1" applyProtection="1">
      <protection hidden="1"/>
    </xf>
    <xf numFmtId="164" fontId="0" fillId="12" borderId="13" xfId="0" applyNumberFormat="1" applyFill="1" applyBorder="1" applyProtection="1">
      <protection hidden="1"/>
    </xf>
    <xf numFmtId="1" fontId="39" fillId="12" borderId="11" xfId="0" applyNumberFormat="1" applyFont="1" applyFill="1" applyBorder="1" applyProtection="1">
      <protection hidden="1"/>
    </xf>
    <xf numFmtId="1" fontId="0" fillId="12" borderId="11" xfId="0" applyNumberFormat="1" applyFill="1" applyBorder="1" applyProtection="1">
      <protection hidden="1"/>
    </xf>
    <xf numFmtId="1" fontId="68" fillId="12" borderId="1" xfId="0" applyNumberFormat="1" applyFont="1" applyFill="1" applyBorder="1" applyAlignment="1" applyProtection="1">
      <alignment horizontal="center"/>
      <protection hidden="1"/>
    </xf>
    <xf numFmtId="164" fontId="4" fillId="12" borderId="1" xfId="0" applyNumberFormat="1" applyFont="1" applyFill="1" applyBorder="1" applyAlignment="1" applyProtection="1">
      <alignment horizontal="right"/>
      <protection hidden="1"/>
    </xf>
    <xf numFmtId="1" fontId="68" fillId="12" borderId="1" xfId="0" quotePrefix="1" applyNumberFormat="1" applyFont="1" applyFill="1" applyBorder="1" applyAlignment="1" applyProtection="1">
      <alignment horizontal="center"/>
      <protection hidden="1"/>
    </xf>
    <xf numFmtId="1" fontId="4" fillId="12" borderId="1" xfId="0" quotePrefix="1" applyNumberFormat="1" applyFont="1" applyFill="1" applyBorder="1" applyAlignment="1" applyProtection="1">
      <alignment horizontal="center"/>
      <protection hidden="1"/>
    </xf>
    <xf numFmtId="164" fontId="4" fillId="12" borderId="1" xfId="0" quotePrefix="1" applyNumberFormat="1" applyFont="1" applyFill="1" applyBorder="1" applyAlignment="1" applyProtection="1">
      <alignment horizontal="right"/>
      <protection hidden="1"/>
    </xf>
    <xf numFmtId="164" fontId="0" fillId="14" borderId="0" xfId="0" applyNumberFormat="1" applyFill="1" applyProtection="1">
      <protection hidden="1"/>
    </xf>
    <xf numFmtId="1" fontId="0" fillId="14" borderId="0" xfId="0" applyNumberFormat="1" applyFill="1" applyProtection="1">
      <protection hidden="1"/>
    </xf>
    <xf numFmtId="1" fontId="4" fillId="14" borderId="7" xfId="0" applyNumberFormat="1" applyFont="1" applyFill="1" applyBorder="1" applyAlignment="1" applyProtection="1">
      <alignment horizontal="center" vertical="center"/>
      <protection hidden="1"/>
    </xf>
    <xf numFmtId="1" fontId="15" fillId="14" borderId="1" xfId="0" applyNumberFormat="1" applyFont="1" applyFill="1" applyBorder="1" applyAlignment="1" applyProtection="1">
      <alignment horizontal="center"/>
      <protection hidden="1"/>
    </xf>
    <xf numFmtId="1" fontId="14" fillId="14" borderId="1" xfId="0" applyNumberFormat="1" applyFont="1" applyFill="1" applyBorder="1" applyAlignment="1" applyProtection="1">
      <alignment horizontal="center"/>
      <protection hidden="1"/>
    </xf>
    <xf numFmtId="164" fontId="68" fillId="14" borderId="1" xfId="0" applyNumberFormat="1" applyFont="1" applyFill="1" applyBorder="1" applyAlignment="1" applyProtection="1">
      <alignment horizontal="center"/>
      <protection hidden="1"/>
    </xf>
    <xf numFmtId="164" fontId="6" fillId="14" borderId="1" xfId="0" applyNumberFormat="1" applyFont="1" applyFill="1" applyBorder="1" applyAlignment="1" applyProtection="1">
      <alignment horizontal="right"/>
      <protection hidden="1"/>
    </xf>
    <xf numFmtId="164" fontId="6" fillId="14" borderId="15" xfId="0" applyNumberFormat="1" applyFont="1" applyFill="1" applyBorder="1" applyAlignment="1" applyProtection="1">
      <alignment horizontal="right"/>
      <protection hidden="1"/>
    </xf>
    <xf numFmtId="164" fontId="4" fillId="14" borderId="15" xfId="0" applyNumberFormat="1" applyFont="1" applyFill="1" applyBorder="1" applyAlignment="1" applyProtection="1">
      <alignment horizontal="right"/>
      <protection hidden="1"/>
    </xf>
    <xf numFmtId="164" fontId="55" fillId="14" borderId="15" xfId="0" applyNumberFormat="1" applyFont="1" applyFill="1" applyBorder="1" applyAlignment="1" applyProtection="1">
      <alignment horizontal="right"/>
      <protection hidden="1"/>
    </xf>
    <xf numFmtId="1" fontId="4" fillId="14" borderId="1" xfId="0" quotePrefix="1" applyNumberFormat="1" applyFont="1" applyFill="1" applyBorder="1" applyAlignment="1" applyProtection="1">
      <alignment horizontal="center"/>
      <protection hidden="1"/>
    </xf>
    <xf numFmtId="2" fontId="4" fillId="14" borderId="1" xfId="0" quotePrefix="1" applyNumberFormat="1" applyFont="1" applyFill="1" applyBorder="1" applyAlignment="1" applyProtection="1">
      <alignment horizontal="center"/>
      <protection hidden="1"/>
    </xf>
    <xf numFmtId="0" fontId="6" fillId="0" borderId="0" xfId="0" applyFont="1" applyBorder="1"/>
    <xf numFmtId="164" fontId="20" fillId="5" borderId="7" xfId="0" applyNumberFormat="1" applyFont="1" applyFill="1" applyBorder="1" applyAlignment="1" applyProtection="1">
      <alignment horizontal="center"/>
      <protection hidden="1"/>
    </xf>
    <xf numFmtId="0" fontId="20" fillId="0" borderId="7" xfId="0" applyFont="1" applyBorder="1" applyAlignment="1" applyProtection="1">
      <protection hidden="1"/>
    </xf>
    <xf numFmtId="0" fontId="20" fillId="0" borderId="7" xfId="0" applyFont="1" applyBorder="1" applyAlignment="1" applyProtection="1">
      <alignment horizontal="right"/>
      <protection hidden="1"/>
    </xf>
    <xf numFmtId="0" fontId="20" fillId="0" borderId="0" xfId="0" applyFont="1" applyBorder="1" applyAlignment="1" applyProtection="1">
      <alignment horizontal="right"/>
      <protection hidden="1"/>
    </xf>
    <xf numFmtId="0" fontId="3" fillId="3" borderId="0" xfId="0" applyFont="1" applyFill="1" applyBorder="1" applyAlignment="1" applyProtection="1">
      <alignment vertical="center"/>
      <protection locked="0"/>
    </xf>
    <xf numFmtId="164" fontId="19" fillId="5" borderId="0" xfId="3" applyNumberFormat="1" applyFont="1" applyFill="1" applyBorder="1" applyAlignment="1" applyProtection="1">
      <alignment horizontal="center" wrapText="1"/>
      <protection hidden="1"/>
    </xf>
    <xf numFmtId="164" fontId="19" fillId="0" borderId="0" xfId="3" applyNumberFormat="1" applyFont="1" applyBorder="1" applyAlignment="1" applyProtection="1">
      <alignment horizontal="right"/>
      <protection hidden="1"/>
    </xf>
    <xf numFmtId="0" fontId="12" fillId="3" borderId="0" xfId="0" applyFont="1" applyFill="1" applyBorder="1" applyAlignment="1" applyProtection="1">
      <alignment horizontal="right" vertical="center"/>
      <protection locked="0"/>
    </xf>
    <xf numFmtId="2" fontId="12" fillId="3" borderId="0" xfId="0" applyNumberFormat="1" applyFont="1" applyFill="1" applyBorder="1" applyAlignment="1" applyProtection="1">
      <alignment vertical="center"/>
      <protection locked="0"/>
    </xf>
    <xf numFmtId="164" fontId="19" fillId="0" borderId="0" xfId="3" applyNumberFormat="1" applyFont="1" applyBorder="1" applyAlignment="1" applyProtection="1">
      <alignment horizontal="right" wrapText="1"/>
      <protection hidden="1"/>
    </xf>
    <xf numFmtId="164" fontId="20" fillId="5" borderId="0" xfId="0" applyNumberFormat="1" applyFont="1" applyFill="1" applyBorder="1" applyAlignment="1" applyProtection="1">
      <alignment horizontal="center"/>
      <protection hidden="1"/>
    </xf>
    <xf numFmtId="0" fontId="28" fillId="3" borderId="0" xfId="0" quotePrefix="1" applyFont="1" applyFill="1" applyBorder="1" applyAlignment="1" applyProtection="1">
      <alignment horizontal="center" vertical="center"/>
      <protection hidden="1"/>
    </xf>
    <xf numFmtId="0" fontId="32" fillId="3" borderId="0" xfId="0" applyFont="1" applyFill="1" applyAlignment="1" applyProtection="1">
      <alignment vertical="center"/>
      <protection locked="0"/>
    </xf>
    <xf numFmtId="164" fontId="19" fillId="5" borderId="0" xfId="3" applyNumberFormat="1" applyFont="1" applyFill="1" applyBorder="1" applyAlignment="1" applyProtection="1">
      <alignment horizontal="center" vertical="center" wrapText="1"/>
      <protection hidden="1"/>
    </xf>
    <xf numFmtId="164" fontId="19" fillId="0" borderId="0" xfId="3" applyNumberFormat="1" applyFont="1" applyBorder="1" applyAlignment="1" applyProtection="1">
      <alignment horizontal="right" vertical="center"/>
      <protection hidden="1"/>
    </xf>
    <xf numFmtId="164" fontId="19" fillId="0" borderId="0" xfId="3" applyNumberFormat="1" applyFont="1" applyBorder="1" applyAlignment="1" applyProtection="1">
      <alignment horizontal="right" vertical="center" wrapText="1"/>
      <protection hidden="1"/>
    </xf>
    <xf numFmtId="171" fontId="18" fillId="3" borderId="1" xfId="0" applyNumberFormat="1" applyFont="1" applyFill="1" applyBorder="1" applyAlignment="1">
      <alignment horizontal="center" vertical="center"/>
    </xf>
    <xf numFmtId="182" fontId="112" fillId="3" borderId="1" xfId="0" applyNumberFormat="1" applyFont="1" applyFill="1" applyBorder="1" applyAlignment="1" applyProtection="1">
      <alignment vertical="center"/>
      <protection locked="0"/>
    </xf>
    <xf numFmtId="183" fontId="112" fillId="3" borderId="1" xfId="0" applyNumberFormat="1" applyFont="1" applyFill="1" applyBorder="1" applyAlignment="1" applyProtection="1">
      <alignment vertical="center"/>
      <protection locked="0"/>
    </xf>
    <xf numFmtId="1" fontId="68" fillId="0" borderId="0" xfId="0" applyNumberFormat="1" applyFont="1" applyBorder="1" applyAlignment="1" applyProtection="1">
      <alignment horizontal="center"/>
      <protection hidden="1"/>
    </xf>
    <xf numFmtId="164" fontId="39" fillId="0" borderId="0" xfId="0" applyNumberFormat="1" applyFont="1" applyBorder="1" applyAlignment="1" applyProtection="1">
      <alignment horizontal="right"/>
      <protection hidden="1"/>
    </xf>
    <xf numFmtId="164" fontId="39" fillId="4" borderId="0" xfId="0" applyNumberFormat="1" applyFont="1" applyFill="1" applyBorder="1" applyAlignment="1" applyProtection="1">
      <alignment horizontal="right"/>
      <protection hidden="1"/>
    </xf>
    <xf numFmtId="164" fontId="66" fillId="0" borderId="0" xfId="0" applyNumberFormat="1" applyFont="1" applyBorder="1" applyAlignment="1" applyProtection="1">
      <alignment horizontal="right"/>
      <protection hidden="1"/>
    </xf>
    <xf numFmtId="164" fontId="56" fillId="4" borderId="0" xfId="0" applyNumberFormat="1" applyFont="1" applyFill="1" applyBorder="1" applyAlignment="1" applyProtection="1">
      <alignment horizontal="right"/>
      <protection hidden="1"/>
    </xf>
    <xf numFmtId="164" fontId="12" fillId="3" borderId="0" xfId="0" applyNumberFormat="1" applyFont="1" applyFill="1" applyBorder="1" applyAlignment="1" applyProtection="1">
      <alignment horizontal="center" vertical="center"/>
      <protection locked="0"/>
    </xf>
    <xf numFmtId="164" fontId="12" fillId="3" borderId="0" xfId="0" applyNumberFormat="1" applyFont="1" applyFill="1" applyBorder="1" applyAlignment="1" applyProtection="1">
      <alignment horizontal="center" vertical="center"/>
      <protection hidden="1"/>
    </xf>
    <xf numFmtId="164" fontId="3" fillId="3" borderId="0" xfId="0" applyNumberFormat="1" applyFont="1" applyFill="1" applyBorder="1" applyAlignment="1" applyProtection="1">
      <alignment horizontal="center" vertical="center"/>
      <protection locked="0"/>
    </xf>
    <xf numFmtId="164" fontId="3" fillId="3" borderId="0" xfId="0" applyNumberFormat="1" applyFont="1" applyFill="1" applyBorder="1" applyAlignment="1" applyProtection="1">
      <alignment horizontal="center" vertical="center"/>
      <protection hidden="1"/>
    </xf>
    <xf numFmtId="191" fontId="19" fillId="5" borderId="1" xfId="3" applyNumberFormat="1" applyFont="1" applyFill="1" applyBorder="1" applyAlignment="1" applyProtection="1">
      <alignment horizontal="center" vertical="center" wrapText="1"/>
      <protection hidden="1"/>
    </xf>
    <xf numFmtId="189" fontId="19" fillId="0" borderId="1" xfId="3" applyNumberFormat="1" applyFont="1" applyBorder="1" applyAlignment="1" applyProtection="1">
      <alignment horizontal="right" vertical="center"/>
      <protection hidden="1"/>
    </xf>
    <xf numFmtId="190" fontId="112" fillId="3" borderId="1" xfId="0" applyNumberFormat="1" applyFont="1" applyFill="1" applyBorder="1" applyAlignment="1" applyProtection="1">
      <alignment vertical="center"/>
      <protection locked="0"/>
    </xf>
    <xf numFmtId="185" fontId="112" fillId="3" borderId="1" xfId="0" applyNumberFormat="1" applyFont="1" applyFill="1" applyBorder="1" applyAlignment="1" applyProtection="1">
      <alignment horizontal="center" vertical="center"/>
      <protection locked="0"/>
    </xf>
    <xf numFmtId="186" fontId="112" fillId="3" borderId="1" xfId="0" applyNumberFormat="1" applyFont="1" applyFill="1" applyBorder="1" applyAlignment="1" applyProtection="1">
      <alignment horizontal="center" vertical="center"/>
      <protection locked="0"/>
    </xf>
    <xf numFmtId="187" fontId="112" fillId="3" borderId="1" xfId="0" applyNumberFormat="1" applyFont="1" applyFill="1" applyBorder="1" applyAlignment="1" applyProtection="1">
      <alignment horizontal="center" vertical="center"/>
      <protection locked="0"/>
    </xf>
    <xf numFmtId="188" fontId="112" fillId="3" borderId="1" xfId="0" applyNumberFormat="1" applyFont="1" applyFill="1" applyBorder="1" applyAlignment="1" applyProtection="1">
      <alignment horizontal="center" vertical="center"/>
      <protection locked="0"/>
    </xf>
    <xf numFmtId="184" fontId="112" fillId="3" borderId="1" xfId="0" applyNumberFormat="1" applyFont="1" applyFill="1" applyBorder="1" applyAlignment="1" applyProtection="1">
      <alignment horizontal="right" vertical="center"/>
      <protection locked="0"/>
    </xf>
    <xf numFmtId="192" fontId="112" fillId="3" borderId="1" xfId="0" applyNumberFormat="1" applyFont="1" applyFill="1" applyBorder="1" applyAlignment="1" applyProtection="1">
      <alignment vertical="center"/>
      <protection locked="0"/>
    </xf>
    <xf numFmtId="0" fontId="17" fillId="0" borderId="0" xfId="0" applyFont="1" applyBorder="1" applyAlignment="1">
      <alignment horizontal="center"/>
    </xf>
    <xf numFmtId="171" fontId="17" fillId="7" borderId="0" xfId="0" applyNumberFormat="1" applyFont="1" applyFill="1" applyBorder="1" applyAlignment="1">
      <alignment horizontal="center"/>
    </xf>
    <xf numFmtId="171" fontId="12" fillId="3" borderId="0" xfId="0" applyNumberFormat="1" applyFont="1" applyFill="1" applyBorder="1" applyAlignment="1" applyProtection="1">
      <alignment vertical="center"/>
      <protection locked="0"/>
    </xf>
    <xf numFmtId="0" fontId="17" fillId="0" borderId="0" xfId="4" applyFont="1" applyBorder="1" applyAlignment="1">
      <alignment horizontal="center" vertical="center"/>
    </xf>
    <xf numFmtId="171" fontId="17" fillId="7" borderId="0" xfId="0" applyNumberFormat="1" applyFont="1" applyFill="1" applyBorder="1" applyAlignment="1">
      <alignment horizontal="center" vertical="center"/>
    </xf>
    <xf numFmtId="194" fontId="112" fillId="3" borderId="1" xfId="0" applyNumberFormat="1" applyFont="1" applyFill="1" applyBorder="1" applyAlignment="1" applyProtection="1">
      <alignment horizontal="center" vertical="center"/>
      <protection locked="0"/>
    </xf>
    <xf numFmtId="195" fontId="112" fillId="3" borderId="1" xfId="0" applyNumberFormat="1" applyFont="1" applyFill="1" applyBorder="1" applyAlignment="1" applyProtection="1">
      <alignment vertical="center"/>
      <protection locked="0"/>
    </xf>
    <xf numFmtId="164" fontId="39" fillId="0" borderId="0" xfId="0" applyNumberFormat="1" applyFont="1" applyBorder="1" applyAlignment="1" applyProtection="1">
      <protection hidden="1"/>
    </xf>
    <xf numFmtId="164" fontId="18" fillId="3" borderId="0" xfId="0" applyNumberFormat="1" applyFont="1" applyFill="1" applyBorder="1" applyAlignment="1" applyProtection="1">
      <alignment vertical="top" wrapText="1"/>
      <protection locked="0"/>
    </xf>
    <xf numFmtId="0" fontId="18" fillId="3" borderId="0" xfId="0" applyFont="1" applyFill="1" applyBorder="1" applyAlignment="1" applyProtection="1">
      <alignment vertical="top" wrapText="1"/>
      <protection locked="0"/>
    </xf>
    <xf numFmtId="0" fontId="18" fillId="3" borderId="0" xfId="0" applyFont="1" applyFill="1" applyBorder="1" applyAlignment="1" applyProtection="1">
      <alignment horizontal="center" wrapText="1"/>
      <protection locked="0"/>
    </xf>
    <xf numFmtId="0" fontId="18" fillId="3" borderId="0" xfId="0" applyFont="1" applyFill="1" applyBorder="1" applyAlignment="1" applyProtection="1">
      <alignment horizontal="center" vertical="center" wrapText="1"/>
      <protection locked="0"/>
    </xf>
    <xf numFmtId="2" fontId="18" fillId="3" borderId="0" xfId="0" applyNumberFormat="1" applyFont="1" applyFill="1" applyBorder="1" applyAlignment="1" applyProtection="1">
      <alignment horizontal="right" vertical="center" wrapText="1"/>
      <protection locked="0"/>
    </xf>
    <xf numFmtId="2" fontId="18" fillId="3" borderId="0" xfId="0" applyNumberFormat="1" applyFont="1" applyFill="1" applyBorder="1" applyAlignment="1" applyProtection="1">
      <alignment horizontal="center" vertical="center" wrapText="1"/>
      <protection locked="0"/>
    </xf>
    <xf numFmtId="196" fontId="112" fillId="3" borderId="1" xfId="0" applyNumberFormat="1" applyFont="1" applyFill="1" applyBorder="1" applyAlignment="1" applyProtection="1">
      <alignment vertical="center"/>
      <protection locked="0"/>
    </xf>
    <xf numFmtId="197" fontId="112" fillId="3" borderId="1" xfId="0" applyNumberFormat="1" applyFont="1" applyFill="1" applyBorder="1" applyAlignment="1" applyProtection="1">
      <alignment vertical="center"/>
      <protection locked="0"/>
    </xf>
    <xf numFmtId="171" fontId="18" fillId="3" borderId="1" xfId="0" applyNumberFormat="1" applyFont="1" applyFill="1" applyBorder="1" applyAlignment="1" applyProtection="1">
      <alignment horizontal="right" vertical="center"/>
      <protection hidden="1"/>
    </xf>
    <xf numFmtId="198" fontId="112" fillId="3" borderId="1" xfId="0" applyNumberFormat="1" applyFont="1" applyFill="1" applyBorder="1" applyAlignment="1" applyProtection="1">
      <alignment horizontal="right" vertical="center"/>
      <protection locked="0"/>
    </xf>
    <xf numFmtId="1" fontId="3" fillId="3" borderId="0" xfId="0" applyNumberFormat="1" applyFont="1" applyFill="1" applyBorder="1" applyProtection="1"/>
    <xf numFmtId="1" fontId="33" fillId="3" borderId="0" xfId="0" applyNumberFormat="1" applyFont="1" applyFill="1" applyBorder="1" applyProtection="1"/>
    <xf numFmtId="1" fontId="27" fillId="3" borderId="0" xfId="0" applyNumberFormat="1" applyFont="1" applyFill="1" applyBorder="1" applyProtection="1"/>
    <xf numFmtId="1" fontId="27" fillId="3" borderId="0" xfId="0" applyNumberFormat="1" applyFont="1" applyFill="1" applyBorder="1" applyAlignment="1" applyProtection="1">
      <alignment horizontal="right" wrapText="1"/>
    </xf>
    <xf numFmtId="1" fontId="27" fillId="3" borderId="0" xfId="0" applyNumberFormat="1" applyFont="1" applyFill="1" applyBorder="1" applyAlignment="1" applyProtection="1">
      <alignment horizontal="left" wrapText="1"/>
    </xf>
    <xf numFmtId="1" fontId="3" fillId="3" borderId="0" xfId="0" applyNumberFormat="1" applyFont="1" applyFill="1" applyBorder="1" applyAlignment="1" applyProtection="1">
      <alignment horizontal="left" wrapText="1"/>
    </xf>
    <xf numFmtId="1" fontId="13" fillId="3" borderId="0" xfId="0" applyNumberFormat="1" applyFont="1" applyFill="1" applyBorder="1" applyAlignment="1" applyProtection="1">
      <alignment horizontal="left" wrapText="1"/>
    </xf>
    <xf numFmtId="164" fontId="100" fillId="3" borderId="0" xfId="0" applyNumberFormat="1" applyFont="1" applyFill="1" applyBorder="1" applyAlignment="1" applyProtection="1">
      <alignment horizontal="right"/>
    </xf>
    <xf numFmtId="1" fontId="100" fillId="3" borderId="0" xfId="0" applyNumberFormat="1" applyFont="1" applyFill="1" applyBorder="1" applyProtection="1"/>
    <xf numFmtId="1" fontId="34" fillId="3" borderId="0" xfId="0" applyNumberFormat="1" applyFont="1" applyFill="1" applyBorder="1" applyAlignment="1" applyProtection="1">
      <alignment horizontal="center" wrapText="1"/>
    </xf>
    <xf numFmtId="1" fontId="3" fillId="3" borderId="0" xfId="0" applyNumberFormat="1" applyFont="1" applyFill="1" applyBorder="1" applyAlignment="1" applyProtection="1">
      <alignment horizontal="center"/>
    </xf>
    <xf numFmtId="1" fontId="3" fillId="3" borderId="0" xfId="0" applyNumberFormat="1" applyFont="1" applyFill="1" applyBorder="1" applyAlignment="1" applyProtection="1">
      <alignment horizontal="center" wrapText="1"/>
    </xf>
    <xf numFmtId="1" fontId="3" fillId="3" borderId="0" xfId="0" applyNumberFormat="1" applyFont="1" applyFill="1" applyBorder="1" applyAlignment="1" applyProtection="1">
      <alignment horizontal="right" wrapText="1"/>
    </xf>
    <xf numFmtId="0" fontId="18" fillId="3" borderId="0" xfId="0" applyFont="1" applyFill="1" applyBorder="1" applyAlignment="1" applyProtection="1">
      <alignment horizontal="center" wrapText="1"/>
    </xf>
    <xf numFmtId="165" fontId="12" fillId="3" borderId="0" xfId="0" applyNumberFormat="1" applyFont="1" applyFill="1" applyBorder="1" applyAlignment="1" applyProtection="1">
      <alignment horizontal="right" vertical="center"/>
    </xf>
    <xf numFmtId="2" fontId="18" fillId="3" borderId="0" xfId="0" applyNumberFormat="1" applyFont="1" applyFill="1" applyBorder="1" applyAlignment="1" applyProtection="1">
      <alignment horizontal="right" vertical="center" wrapText="1"/>
    </xf>
    <xf numFmtId="164" fontId="18" fillId="3" borderId="0" xfId="0" applyNumberFormat="1" applyFont="1" applyFill="1" applyBorder="1" applyAlignment="1" applyProtection="1">
      <alignment vertical="center" wrapText="1"/>
    </xf>
    <xf numFmtId="165" fontId="18" fillId="3" borderId="0" xfId="0" applyNumberFormat="1" applyFont="1" applyFill="1" applyBorder="1" applyAlignment="1" applyProtection="1">
      <alignment horizontal="right" vertical="center" wrapText="1"/>
    </xf>
    <xf numFmtId="2" fontId="18" fillId="3" borderId="0" xfId="0" applyNumberFormat="1" applyFont="1" applyFill="1" applyBorder="1" applyAlignment="1" applyProtection="1">
      <alignment horizontal="center" vertical="center" wrapText="1"/>
    </xf>
    <xf numFmtId="164" fontId="18" fillId="3" borderId="0" xfId="0" applyNumberFormat="1" applyFont="1" applyFill="1" applyBorder="1" applyAlignment="1" applyProtection="1">
      <alignment horizontal="right" vertical="center" wrapText="1"/>
    </xf>
    <xf numFmtId="2" fontId="13" fillId="3" borderId="0" xfId="0" applyNumberFormat="1" applyFont="1" applyFill="1" applyBorder="1" applyAlignment="1" applyProtection="1">
      <alignment horizontal="right" wrapText="1"/>
    </xf>
    <xf numFmtId="164" fontId="18" fillId="3" borderId="0" xfId="0" applyNumberFormat="1" applyFont="1" applyFill="1" applyBorder="1" applyProtection="1"/>
    <xf numFmtId="2" fontId="18" fillId="3" borderId="0" xfId="0" applyNumberFormat="1" applyFont="1" applyFill="1" applyBorder="1" applyProtection="1"/>
    <xf numFmtId="1" fontId="68" fillId="0" borderId="0" xfId="0" applyNumberFormat="1" applyFont="1" applyBorder="1" applyAlignment="1" applyProtection="1">
      <alignment horizontal="center"/>
    </xf>
    <xf numFmtId="164" fontId="39" fillId="0" borderId="0" xfId="0" applyNumberFormat="1" applyFont="1" applyBorder="1" applyAlignment="1" applyProtection="1">
      <alignment horizontal="right"/>
    </xf>
    <xf numFmtId="164" fontId="39" fillId="4" borderId="0" xfId="0" applyNumberFormat="1" applyFont="1" applyFill="1" applyBorder="1" applyAlignment="1" applyProtection="1">
      <alignment horizontal="right"/>
    </xf>
    <xf numFmtId="164" fontId="3" fillId="3" borderId="0" xfId="0" applyNumberFormat="1" applyFont="1" applyFill="1" applyBorder="1" applyProtection="1"/>
    <xf numFmtId="2" fontId="3" fillId="3" borderId="0" xfId="0" applyNumberFormat="1" applyFont="1" applyFill="1" applyBorder="1" applyProtection="1"/>
    <xf numFmtId="0" fontId="18" fillId="3" borderId="0" xfId="0" applyFont="1" applyFill="1" applyAlignment="1" applyProtection="1">
      <protection locked="0"/>
    </xf>
    <xf numFmtId="191" fontId="113" fillId="5" borderId="1" xfId="3" applyNumberFormat="1" applyFont="1" applyFill="1" applyBorder="1" applyAlignment="1" applyProtection="1">
      <alignment horizontal="center" wrapText="1"/>
      <protection hidden="1"/>
    </xf>
    <xf numFmtId="185" fontId="114" fillId="3" borderId="1" xfId="0" applyNumberFormat="1" applyFont="1" applyFill="1" applyBorder="1" applyAlignment="1" applyProtection="1">
      <alignment horizontal="center"/>
      <protection locked="0"/>
    </xf>
    <xf numFmtId="186" fontId="114" fillId="3" borderId="1" xfId="0" applyNumberFormat="1" applyFont="1" applyFill="1" applyBorder="1" applyAlignment="1" applyProtection="1">
      <alignment horizontal="center"/>
      <protection locked="0"/>
    </xf>
    <xf numFmtId="187" fontId="114" fillId="3" borderId="1" xfId="0" applyNumberFormat="1" applyFont="1" applyFill="1" applyBorder="1" applyAlignment="1" applyProtection="1">
      <alignment horizontal="center"/>
      <protection locked="0"/>
    </xf>
    <xf numFmtId="188" fontId="114" fillId="3" borderId="1" xfId="0" applyNumberFormat="1" applyFont="1" applyFill="1" applyBorder="1" applyAlignment="1" applyProtection="1">
      <alignment horizontal="center"/>
      <protection locked="0"/>
    </xf>
    <xf numFmtId="193" fontId="114" fillId="3" borderId="1" xfId="0" applyNumberFormat="1" applyFont="1" applyFill="1" applyBorder="1" applyAlignment="1" applyProtection="1">
      <alignment horizontal="center"/>
      <protection locked="0"/>
    </xf>
    <xf numFmtId="171" fontId="18" fillId="3" borderId="0" xfId="0" applyNumberFormat="1" applyFont="1" applyFill="1" applyBorder="1" applyAlignment="1" applyProtection="1">
      <alignment horizontal="center" wrapText="1"/>
    </xf>
    <xf numFmtId="171" fontId="3" fillId="3" borderId="0" xfId="0" applyNumberFormat="1" applyFont="1" applyFill="1" applyBorder="1" applyProtection="1"/>
    <xf numFmtId="198" fontId="114" fillId="3" borderId="0" xfId="0" applyNumberFormat="1" applyFont="1" applyFill="1" applyBorder="1" applyAlignment="1" applyProtection="1">
      <protection locked="0"/>
    </xf>
    <xf numFmtId="198" fontId="114" fillId="3" borderId="1" xfId="0" applyNumberFormat="1" applyFont="1" applyFill="1" applyBorder="1" applyAlignment="1" applyProtection="1">
      <protection locked="0"/>
    </xf>
    <xf numFmtId="199" fontId="3" fillId="3" borderId="0" xfId="0" applyNumberFormat="1" applyFont="1" applyFill="1" applyProtection="1"/>
    <xf numFmtId="199" fontId="3" fillId="3" borderId="0" xfId="0" applyNumberFormat="1" applyFont="1" applyFill="1" applyBorder="1" applyProtection="1"/>
    <xf numFmtId="199" fontId="34" fillId="3" borderId="0" xfId="0" applyNumberFormat="1" applyFont="1" applyFill="1" applyBorder="1" applyAlignment="1" applyProtection="1">
      <alignment horizontal="center" wrapText="1"/>
    </xf>
    <xf numFmtId="199" fontId="3" fillId="3" borderId="0" xfId="0" applyNumberFormat="1" applyFont="1" applyFill="1" applyBorder="1" applyAlignment="1" applyProtection="1">
      <alignment horizontal="right" wrapText="1"/>
    </xf>
    <xf numFmtId="199" fontId="114" fillId="3" borderId="1" xfId="0" applyNumberFormat="1" applyFont="1" applyFill="1" applyBorder="1" applyAlignment="1" applyProtection="1">
      <protection locked="0"/>
    </xf>
    <xf numFmtId="199" fontId="3" fillId="3" borderId="0" xfId="0" applyNumberFormat="1" applyFont="1" applyFill="1" applyBorder="1" applyAlignment="1" applyProtection="1">
      <alignment horizontal="left" wrapText="1"/>
    </xf>
    <xf numFmtId="1" fontId="3" fillId="3" borderId="0" xfId="0" applyNumberFormat="1" applyFont="1" applyFill="1" applyAlignment="1" applyProtection="1"/>
    <xf numFmtId="200" fontId="114" fillId="3" borderId="1" xfId="0" applyNumberFormat="1" applyFont="1" applyFill="1" applyBorder="1" applyAlignment="1" applyProtection="1">
      <protection locked="0"/>
    </xf>
    <xf numFmtId="2" fontId="46" fillId="3" borderId="1" xfId="0" applyNumberFormat="1" applyFont="1" applyFill="1" applyBorder="1" applyAlignment="1" applyProtection="1">
      <alignment horizontal="center" vertical="center"/>
      <protection hidden="1"/>
    </xf>
    <xf numFmtId="0" fontId="0" fillId="12" borderId="1" xfId="0" applyFill="1" applyBorder="1"/>
    <xf numFmtId="0" fontId="0" fillId="7" borderId="1" xfId="0" applyFill="1" applyBorder="1"/>
    <xf numFmtId="164" fontId="19" fillId="5" borderId="1" xfId="3" applyNumberFormat="1" applyFont="1" applyFill="1" applyBorder="1" applyAlignment="1" applyProtection="1">
      <alignment horizontal="center" vertical="center" wrapText="1"/>
      <protection hidden="1"/>
    </xf>
    <xf numFmtId="164" fontId="19" fillId="0" borderId="1" xfId="3" applyNumberFormat="1" applyFont="1" applyBorder="1" applyAlignment="1" applyProtection="1">
      <alignment horizontal="right" vertical="center"/>
      <protection hidden="1"/>
    </xf>
    <xf numFmtId="0" fontId="20" fillId="0" borderId="1" xfId="0" applyFont="1" applyBorder="1" applyAlignment="1" applyProtection="1">
      <alignment horizontal="right"/>
      <protection hidden="1"/>
    </xf>
    <xf numFmtId="14" fontId="20" fillId="5" borderId="6" xfId="0" quotePrefix="1" applyNumberFormat="1" applyFont="1" applyFill="1" applyBorder="1" applyAlignment="1" applyProtection="1">
      <alignment horizontal="left" vertical="center"/>
      <protection hidden="1"/>
    </xf>
    <xf numFmtId="164" fontId="19" fillId="0" borderId="1" xfId="3" applyNumberFormat="1" applyFont="1" applyBorder="1" applyAlignment="1" applyProtection="1">
      <alignment horizontal="right" vertical="center" wrapText="1"/>
      <protection hidden="1"/>
    </xf>
    <xf numFmtId="164" fontId="20" fillId="5" borderId="1" xfId="0" applyNumberFormat="1" applyFont="1" applyFill="1" applyBorder="1" applyAlignment="1" applyProtection="1">
      <alignment horizontal="center"/>
      <protection hidden="1"/>
    </xf>
    <xf numFmtId="1" fontId="4" fillId="5" borderId="15" xfId="0" quotePrefix="1" applyNumberFormat="1" applyFont="1" applyFill="1" applyBorder="1" applyAlignment="1" applyProtection="1">
      <alignment horizontal="left" vertical="center"/>
      <protection hidden="1"/>
    </xf>
    <xf numFmtId="0" fontId="20" fillId="4" borderId="6" xfId="0" quotePrefix="1" applyFont="1" applyFill="1" applyBorder="1" applyAlignment="1">
      <alignment horizontal="left" vertical="center"/>
    </xf>
    <xf numFmtId="1" fontId="42" fillId="5" borderId="15" xfId="0" quotePrefix="1" applyNumberFormat="1" applyFont="1" applyFill="1" applyBorder="1" applyAlignment="1">
      <alignment horizontal="left" vertical="center"/>
    </xf>
    <xf numFmtId="1" fontId="4" fillId="5" borderId="15" xfId="0" quotePrefix="1" applyNumberFormat="1" applyFont="1" applyFill="1" applyBorder="1" applyAlignment="1">
      <alignment horizontal="left" vertical="center"/>
    </xf>
    <xf numFmtId="0" fontId="20" fillId="7" borderId="6" xfId="0" quotePrefix="1" applyFont="1" applyFill="1" applyBorder="1" applyAlignment="1">
      <alignment horizontal="left" vertical="center"/>
    </xf>
    <xf numFmtId="14" fontId="20" fillId="5" borderId="6" xfId="0" quotePrefix="1" applyNumberFormat="1" applyFont="1" applyFill="1" applyBorder="1" applyAlignment="1">
      <alignment horizontal="left" vertical="center"/>
    </xf>
    <xf numFmtId="1" fontId="4" fillId="7" borderId="15" xfId="0" quotePrefix="1" applyNumberFormat="1" applyFont="1" applyFill="1" applyBorder="1" applyAlignment="1">
      <alignment horizontal="left" vertical="center"/>
    </xf>
    <xf numFmtId="0" fontId="20" fillId="0" borderId="1" xfId="0" applyFont="1" applyFill="1" applyBorder="1" applyAlignment="1">
      <alignment horizontal="left"/>
    </xf>
    <xf numFmtId="1" fontId="20" fillId="5" borderId="15" xfId="0" quotePrefix="1" applyNumberFormat="1" applyFont="1" applyFill="1" applyBorder="1" applyAlignment="1">
      <alignment horizontal="left" vertical="center"/>
    </xf>
    <xf numFmtId="14" fontId="20" fillId="4" borderId="6" xfId="0" quotePrefix="1" applyNumberFormat="1" applyFont="1" applyFill="1" applyBorder="1" applyAlignment="1">
      <alignment horizontal="left" vertical="center"/>
    </xf>
    <xf numFmtId="14" fontId="20" fillId="4" borderId="1" xfId="0" quotePrefix="1" applyNumberFormat="1" applyFont="1" applyFill="1" applyBorder="1" applyAlignment="1">
      <alignment horizontal="left" vertical="center"/>
    </xf>
    <xf numFmtId="14" fontId="20" fillId="6" borderId="6" xfId="0" quotePrefix="1" applyNumberFormat="1" applyFont="1" applyFill="1" applyBorder="1" applyAlignment="1">
      <alignment horizontal="left" vertical="center"/>
    </xf>
    <xf numFmtId="0" fontId="0" fillId="7" borderId="1" xfId="0" applyFill="1" applyBorder="1" applyAlignment="1">
      <alignment horizontal="center"/>
    </xf>
    <xf numFmtId="0" fontId="6" fillId="0" borderId="0" xfId="4"/>
    <xf numFmtId="0" fontId="68" fillId="0" borderId="0" xfId="4" applyFont="1" applyAlignment="1">
      <alignment vertical="center"/>
    </xf>
    <xf numFmtId="0" fontId="119" fillId="0" borderId="0" xfId="4" applyFont="1" applyAlignment="1">
      <alignment horizontal="justify" vertical="center" wrapText="1"/>
    </xf>
    <xf numFmtId="0" fontId="119" fillId="0" borderId="0" xfId="4" applyFont="1" applyAlignment="1">
      <alignment horizontal="center" vertical="center" wrapText="1"/>
    </xf>
    <xf numFmtId="0" fontId="119" fillId="0" borderId="0" xfId="4" applyFont="1" applyAlignment="1">
      <alignment horizontal="center" vertical="top" wrapText="1"/>
    </xf>
    <xf numFmtId="0" fontId="108" fillId="0" borderId="0" xfId="4" applyFont="1"/>
    <xf numFmtId="0" fontId="115" fillId="0" borderId="0" xfId="4" applyFont="1" applyAlignment="1">
      <alignment horizontal="center"/>
    </xf>
    <xf numFmtId="0" fontId="119" fillId="0" borderId="0" xfId="4" applyFont="1" applyAlignment="1">
      <alignment horizontal="left" vertical="top" wrapText="1"/>
    </xf>
    <xf numFmtId="0" fontId="121" fillId="0" borderId="0" xfId="4" applyFont="1" applyAlignment="1">
      <alignment wrapText="1"/>
    </xf>
    <xf numFmtId="0" fontId="119" fillId="0" borderId="0" xfId="4" applyFont="1" applyAlignment="1">
      <alignment vertical="center" wrapText="1"/>
    </xf>
    <xf numFmtId="0" fontId="51" fillId="0" borderId="0" xfId="4" applyFont="1" applyAlignment="1">
      <alignment vertical="top"/>
    </xf>
    <xf numFmtId="0" fontId="122" fillId="0" borderId="0" xfId="4" applyFont="1"/>
    <xf numFmtId="0" fontId="119" fillId="0" borderId="13" xfId="4" applyFont="1" applyBorder="1" applyAlignment="1" applyProtection="1">
      <alignment vertical="top"/>
      <protection locked="0"/>
    </xf>
    <xf numFmtId="0" fontId="119" fillId="0" borderId="13" xfId="4" applyFont="1" applyBorder="1" applyAlignment="1" applyProtection="1">
      <alignment vertical="top" wrapText="1"/>
      <protection locked="0"/>
    </xf>
    <xf numFmtId="0" fontId="119" fillId="0" borderId="3" xfId="4" applyFont="1" applyBorder="1" applyAlignment="1">
      <alignment vertical="top"/>
    </xf>
    <xf numFmtId="0" fontId="6" fillId="0" borderId="0" xfId="4" applyAlignment="1">
      <alignment vertical="top" wrapText="1"/>
    </xf>
    <xf numFmtId="1" fontId="120" fillId="0" borderId="0" xfId="4" quotePrefix="1" applyNumberFormat="1" applyFont="1"/>
    <xf numFmtId="0" fontId="119" fillId="0" borderId="0" xfId="4" applyFont="1"/>
    <xf numFmtId="164" fontId="119" fillId="0" borderId="0" xfId="4" quotePrefix="1" applyNumberFormat="1" applyFont="1" applyAlignment="1">
      <alignment horizontal="left"/>
    </xf>
    <xf numFmtId="1" fontId="119" fillId="0" borderId="0" xfId="4" quotePrefix="1" applyNumberFormat="1" applyFont="1" applyAlignment="1">
      <alignment horizontal="left"/>
    </xf>
    <xf numFmtId="0" fontId="119" fillId="0" borderId="13" xfId="4" applyFont="1" applyBorder="1" applyAlignment="1">
      <alignment horizontal="left" vertical="top"/>
    </xf>
    <xf numFmtId="0" fontId="6" fillId="0" borderId="0" xfId="4" applyAlignment="1">
      <alignment horizontal="left" vertical="top"/>
    </xf>
    <xf numFmtId="0" fontId="119" fillId="0" borderId="13" xfId="4" applyFont="1" applyBorder="1" applyAlignment="1">
      <alignment horizontal="left" vertical="top" wrapText="1"/>
    </xf>
    <xf numFmtId="0" fontId="119" fillId="0" borderId="3" xfId="4" applyFont="1" applyBorder="1" applyAlignment="1">
      <alignment horizontal="left" vertical="top" wrapText="1"/>
    </xf>
    <xf numFmtId="0" fontId="8" fillId="15" borderId="24" xfId="4" applyFont="1" applyFill="1" applyBorder="1" applyProtection="1">
      <protection locked="0"/>
    </xf>
    <xf numFmtId="0" fontId="8" fillId="15" borderId="16" xfId="4" applyFont="1" applyFill="1" applyBorder="1" applyProtection="1">
      <protection locked="0"/>
    </xf>
    <xf numFmtId="0" fontId="8" fillId="15" borderId="25" xfId="4" applyFont="1" applyFill="1" applyBorder="1" applyProtection="1">
      <protection locked="0"/>
    </xf>
    <xf numFmtId="0" fontId="6" fillId="16" borderId="26" xfId="4" applyFill="1" applyBorder="1"/>
    <xf numFmtId="0" fontId="6" fillId="16" borderId="27" xfId="4" applyFill="1" applyBorder="1"/>
    <xf numFmtId="0" fontId="6" fillId="16" borderId="28" xfId="4" applyFill="1" applyBorder="1"/>
    <xf numFmtId="0" fontId="121" fillId="0" borderId="0" xfId="4" applyFont="1" applyAlignment="1">
      <alignment horizontal="center" vertical="center" wrapText="1"/>
    </xf>
    <xf numFmtId="0" fontId="6" fillId="0" borderId="0" xfId="4" applyAlignment="1">
      <alignment wrapText="1"/>
    </xf>
    <xf numFmtId="181" fontId="125" fillId="0" borderId="0" xfId="4" applyNumberFormat="1" applyFont="1" applyAlignment="1">
      <alignment horizontal="left" vertical="center"/>
    </xf>
    <xf numFmtId="0" fontId="125" fillId="0" borderId="0" xfId="4" applyFont="1" applyAlignment="1">
      <alignment horizontal="center" vertical="center"/>
    </xf>
    <xf numFmtId="0" fontId="125" fillId="0" borderId="0" xfId="4" applyFont="1" applyAlignment="1">
      <alignment horizontal="left" vertical="center"/>
    </xf>
    <xf numFmtId="0" fontId="6" fillId="0" borderId="0" xfId="4" applyAlignment="1">
      <alignment horizontal="center"/>
    </xf>
    <xf numFmtId="0" fontId="125" fillId="0" borderId="0" xfId="4" quotePrefix="1" applyFont="1" applyAlignment="1">
      <alignment vertical="center"/>
    </xf>
    <xf numFmtId="0" fontId="125" fillId="0" borderId="1" xfId="4" applyFont="1" applyBorder="1" applyAlignment="1">
      <alignment horizontal="center" vertical="center"/>
    </xf>
    <xf numFmtId="11" fontId="125" fillId="0" borderId="1" xfId="4" applyNumberFormat="1" applyFont="1" applyBorder="1" applyAlignment="1">
      <alignment horizontal="center" vertical="center" wrapText="1"/>
    </xf>
    <xf numFmtId="0" fontId="125" fillId="0" borderId="1" xfId="4" applyFont="1" applyBorder="1" applyAlignment="1">
      <alignment horizontal="center" vertical="center" wrapText="1"/>
    </xf>
    <xf numFmtId="0" fontId="125" fillId="0" borderId="13" xfId="4" applyFont="1" applyBorder="1" applyAlignment="1">
      <alignment horizontal="center" vertical="center" wrapText="1"/>
    </xf>
    <xf numFmtId="0" fontId="125" fillId="0" borderId="1" xfId="4" quotePrefix="1" applyFont="1" applyBorder="1" applyAlignment="1">
      <alignment horizontal="center" vertical="center"/>
    </xf>
    <xf numFmtId="0" fontId="125" fillId="0" borderId="0" xfId="4" applyFont="1" applyAlignment="1">
      <alignment vertical="center"/>
    </xf>
    <xf numFmtId="0" fontId="6" fillId="0" borderId="0" xfId="4" applyAlignment="1">
      <alignment horizontal="left" vertical="center"/>
    </xf>
    <xf numFmtId="0" fontId="125" fillId="0" borderId="0" xfId="4" applyFont="1"/>
    <xf numFmtId="0" fontId="125" fillId="0" borderId="0" xfId="4" applyFont="1" applyAlignment="1">
      <alignment vertical="top"/>
    </xf>
    <xf numFmtId="0" fontId="6" fillId="0" borderId="0" xfId="4" applyAlignment="1">
      <alignment horizontal="center" vertical="center"/>
    </xf>
    <xf numFmtId="0" fontId="125" fillId="0" borderId="0" xfId="4" applyFont="1" applyAlignment="1">
      <alignment horizontal="left" vertical="center" wrapText="1"/>
    </xf>
    <xf numFmtId="0" fontId="6" fillId="0" borderId="0" xfId="4" quotePrefix="1" applyAlignment="1">
      <alignment horizontal="center" vertical="center"/>
    </xf>
    <xf numFmtId="0" fontId="6" fillId="0" borderId="0" xfId="4" applyAlignment="1">
      <alignment horizontal="center" vertical="center" wrapText="1"/>
    </xf>
    <xf numFmtId="17" fontId="6" fillId="0" borderId="0" xfId="4" applyNumberFormat="1" applyAlignment="1">
      <alignment horizontal="center" vertical="center"/>
    </xf>
    <xf numFmtId="0" fontId="6" fillId="0" borderId="0" xfId="4" applyAlignment="1">
      <alignment horizontal="left" vertical="center" wrapText="1"/>
    </xf>
    <xf numFmtId="0" fontId="129" fillId="0" borderId="0" xfId="4" applyFont="1" applyAlignment="1">
      <alignment horizontal="right"/>
    </xf>
    <xf numFmtId="0" fontId="130" fillId="0" borderId="1" xfId="4" applyFont="1" applyBorder="1"/>
    <xf numFmtId="0" fontId="130" fillId="0" borderId="1" xfId="4" applyFont="1" applyBorder="1" applyAlignment="1">
      <alignment horizontal="left"/>
    </xf>
    <xf numFmtId="0" fontId="130" fillId="0" borderId="0" xfId="4" applyFont="1" applyAlignment="1">
      <alignment horizontal="left"/>
    </xf>
    <xf numFmtId="0" fontId="130" fillId="0" borderId="0" xfId="4" applyFont="1"/>
    <xf numFmtId="0" fontId="6" fillId="0" borderId="16" xfId="4" applyBorder="1"/>
    <xf numFmtId="0" fontId="6" fillId="0" borderId="0" xfId="4" quotePrefix="1"/>
    <xf numFmtId="17" fontId="6" fillId="0" borderId="0" xfId="4" quotePrefix="1" applyNumberFormat="1"/>
    <xf numFmtId="0" fontId="118" fillId="0" borderId="0" xfId="4" applyFont="1"/>
    <xf numFmtId="0" fontId="118" fillId="17" borderId="16" xfId="4" applyFont="1" applyFill="1" applyBorder="1"/>
    <xf numFmtId="0" fontId="118" fillId="18" borderId="3" xfId="4" applyFont="1" applyFill="1" applyBorder="1"/>
    <xf numFmtId="0" fontId="118" fillId="18" borderId="1" xfId="4" applyFont="1" applyFill="1" applyBorder="1"/>
    <xf numFmtId="173" fontId="119" fillId="0" borderId="0" xfId="4" quotePrefix="1" applyNumberFormat="1" applyFont="1" applyAlignment="1">
      <alignment horizontal="left"/>
    </xf>
    <xf numFmtId="0" fontId="6" fillId="0" borderId="1" xfId="0" applyFont="1" applyBorder="1" applyAlignment="1">
      <alignment horizontal="center"/>
    </xf>
    <xf numFmtId="0" fontId="6" fillId="12" borderId="1" xfId="0" applyFont="1" applyFill="1" applyBorder="1"/>
    <xf numFmtId="0" fontId="6" fillId="4" borderId="1" xfId="0" applyFont="1" applyFill="1" applyBorder="1"/>
    <xf numFmtId="171" fontId="18" fillId="4" borderId="1" xfId="0" applyNumberFormat="1" applyFont="1" applyFill="1" applyBorder="1" applyAlignment="1">
      <alignment horizontal="center" vertical="center"/>
    </xf>
    <xf numFmtId="0" fontId="12" fillId="14" borderId="0" xfId="0" applyFont="1" applyFill="1" applyAlignment="1" applyProtection="1">
      <alignment vertical="center"/>
      <protection locked="0"/>
    </xf>
    <xf numFmtId="0" fontId="3" fillId="13" borderId="0" xfId="0" applyFont="1" applyFill="1" applyAlignment="1" applyProtection="1">
      <alignment horizontal="left" vertical="center"/>
      <protection locked="0"/>
    </xf>
    <xf numFmtId="0" fontId="3" fillId="13" borderId="0" xfId="0" quotePrefix="1" applyFont="1" applyFill="1" applyAlignment="1" applyProtection="1">
      <alignment horizontal="left" vertical="center"/>
      <protection locked="0"/>
    </xf>
    <xf numFmtId="174" fontId="3" fillId="13" borderId="0" xfId="0" applyNumberFormat="1" applyFont="1" applyFill="1" applyAlignment="1" applyProtection="1">
      <alignment horizontal="left" vertical="center"/>
      <protection locked="0"/>
    </xf>
    <xf numFmtId="0" fontId="3" fillId="13" borderId="0" xfId="0" quotePrefix="1" applyFont="1" applyFill="1" applyAlignment="1" applyProtection="1">
      <alignment vertical="center"/>
      <protection locked="0"/>
    </xf>
    <xf numFmtId="164" fontId="18" fillId="13" borderId="1" xfId="0" applyNumberFormat="1" applyFont="1" applyFill="1" applyBorder="1" applyAlignment="1" applyProtection="1">
      <alignment horizontal="center" vertical="center"/>
      <protection locked="0"/>
    </xf>
    <xf numFmtId="164" fontId="16" fillId="13" borderId="4" xfId="0" applyNumberFormat="1" applyFont="1" applyFill="1" applyBorder="1" applyAlignment="1" applyProtection="1">
      <alignment horizontal="center" vertical="center" wrapText="1"/>
      <protection locked="0"/>
    </xf>
    <xf numFmtId="164" fontId="16" fillId="13" borderId="1" xfId="0" applyNumberFormat="1" applyFont="1" applyFill="1" applyBorder="1" applyAlignment="1" applyProtection="1">
      <alignment horizontal="center" vertical="center" wrapText="1"/>
      <protection locked="0"/>
    </xf>
    <xf numFmtId="0" fontId="6" fillId="0" borderId="1" xfId="0" applyFont="1" applyFill="1" applyBorder="1" applyAlignment="1">
      <alignment horizontal="center"/>
    </xf>
    <xf numFmtId="0" fontId="80" fillId="7" borderId="0" xfId="0" applyFont="1" applyFill="1" applyAlignment="1" applyProtection="1">
      <alignment horizontal="center"/>
      <protection locked="0"/>
    </xf>
    <xf numFmtId="2" fontId="80" fillId="7" borderId="0" xfId="0" applyNumberFormat="1" applyFont="1" applyFill="1" applyAlignment="1" applyProtection="1">
      <alignment horizontal="center"/>
      <protection locked="0"/>
    </xf>
    <xf numFmtId="0" fontId="80" fillId="7" borderId="0" xfId="0" applyFont="1" applyFill="1" applyProtection="1">
      <protection locked="0"/>
    </xf>
    <xf numFmtId="0" fontId="12" fillId="14" borderId="0" xfId="0" quotePrefix="1" applyFont="1" applyFill="1" applyAlignment="1" applyProtection="1">
      <alignment horizontal="left" vertical="center"/>
      <protection locked="0"/>
    </xf>
    <xf numFmtId="0" fontId="6" fillId="7" borderId="1" xfId="0" applyFont="1" applyFill="1" applyBorder="1"/>
    <xf numFmtId="0" fontId="40" fillId="3" borderId="0" xfId="0" applyFont="1" applyFill="1" applyAlignment="1" applyProtection="1">
      <alignment horizontal="left" vertical="center"/>
      <protection locked="0"/>
    </xf>
    <xf numFmtId="0" fontId="3" fillId="3" borderId="0" xfId="0" applyFont="1" applyFill="1" applyAlignment="1" applyProtection="1">
      <alignment horizontal="left" vertical="center"/>
      <protection locked="0"/>
    </xf>
    <xf numFmtId="0" fontId="12" fillId="3" borderId="0" xfId="0" applyNumberFormat="1" applyFont="1" applyFill="1" applyAlignment="1" applyProtection="1">
      <alignment horizontal="left"/>
      <protection hidden="1"/>
    </xf>
    <xf numFmtId="0" fontId="40" fillId="3" borderId="0" xfId="0" applyFont="1" applyFill="1" applyAlignment="1" applyProtection="1">
      <alignment horizontal="center"/>
      <protection locked="0"/>
    </xf>
    <xf numFmtId="0" fontId="80" fillId="2" borderId="0" xfId="0" applyNumberFormat="1" applyFont="1" applyFill="1" applyAlignment="1" applyProtection="1">
      <alignment horizontal="left" vertical="center"/>
      <protection hidden="1"/>
    </xf>
    <xf numFmtId="0" fontId="78" fillId="0" borderId="0" xfId="0" applyFont="1" applyAlignment="1" applyProtection="1">
      <alignment horizontal="center"/>
      <protection locked="0"/>
    </xf>
    <xf numFmtId="1" fontId="80" fillId="7" borderId="0" xfId="0" applyNumberFormat="1" applyFont="1" applyFill="1" applyAlignment="1" applyProtection="1">
      <alignment horizontal="left"/>
      <protection locked="0"/>
    </xf>
    <xf numFmtId="0" fontId="6" fillId="0" borderId="0" xfId="7"/>
    <xf numFmtId="0" fontId="6" fillId="0" borderId="0" xfId="7" applyAlignment="1" applyProtection="1">
      <alignment wrapText="1"/>
      <protection hidden="1"/>
    </xf>
    <xf numFmtId="0" fontId="6" fillId="0" borderId="0" xfId="7" applyProtection="1">
      <protection locked="0"/>
    </xf>
    <xf numFmtId="0" fontId="121" fillId="0" borderId="0" xfId="7" applyFont="1" applyAlignment="1">
      <alignment horizontal="center" vertical="center" wrapText="1"/>
    </xf>
    <xf numFmtId="0" fontId="8" fillId="0" borderId="0" xfId="7" applyFont="1" applyProtection="1">
      <protection locked="0"/>
    </xf>
    <xf numFmtId="0" fontId="119" fillId="0" borderId="13" xfId="7" applyFont="1" applyBorder="1" applyAlignment="1">
      <alignment horizontal="left" vertical="top" wrapText="1"/>
    </xf>
    <xf numFmtId="0" fontId="6" fillId="0" borderId="0" xfId="7" applyAlignment="1">
      <alignment horizontal="left" vertical="top"/>
    </xf>
    <xf numFmtId="0" fontId="119" fillId="0" borderId="13" xfId="7" applyFont="1" applyBorder="1" applyAlignment="1">
      <alignment horizontal="left" vertical="top"/>
    </xf>
    <xf numFmtId="0" fontId="119" fillId="0" borderId="0" xfId="7" applyFont="1" applyAlignment="1">
      <alignment vertical="center" wrapText="1"/>
    </xf>
    <xf numFmtId="0" fontId="119" fillId="0" borderId="0" xfId="7" applyFont="1" applyAlignment="1">
      <alignment horizontal="center" vertical="center" wrapText="1"/>
    </xf>
    <xf numFmtId="0" fontId="122" fillId="0" borderId="0" xfId="7" applyFont="1"/>
    <xf numFmtId="0" fontId="119" fillId="0" borderId="0" xfId="7" applyFont="1" applyAlignment="1" applyProtection="1">
      <alignment horizontal="center" vertical="center" wrapText="1"/>
      <protection locked="0"/>
    </xf>
    <xf numFmtId="1" fontId="119" fillId="0" borderId="0" xfId="7" quotePrefix="1" applyNumberFormat="1" applyFont="1" applyAlignment="1" applyProtection="1">
      <alignment horizontal="left"/>
      <protection locked="0"/>
    </xf>
    <xf numFmtId="0" fontId="119" fillId="0" borderId="0" xfId="7" applyFont="1" applyProtection="1">
      <protection locked="0"/>
    </xf>
    <xf numFmtId="1" fontId="120" fillId="0" borderId="0" xfId="7" quotePrefix="1" applyNumberFormat="1" applyFont="1" applyProtection="1">
      <protection locked="0"/>
    </xf>
    <xf numFmtId="0" fontId="122" fillId="0" borderId="0" xfId="7" applyFont="1" applyProtection="1">
      <protection locked="0"/>
    </xf>
    <xf numFmtId="203" fontId="119" fillId="0" borderId="0" xfId="7" quotePrefix="1" applyNumberFormat="1" applyFont="1" applyAlignment="1" applyProtection="1">
      <alignment horizontal="left"/>
      <protection locked="0"/>
    </xf>
    <xf numFmtId="2" fontId="120" fillId="0" borderId="0" xfId="7" quotePrefix="1" applyNumberFormat="1" applyFont="1" applyProtection="1">
      <protection locked="0"/>
    </xf>
    <xf numFmtId="0" fontId="6" fillId="0" borderId="0" xfId="7" applyAlignment="1">
      <alignment vertical="top" wrapText="1"/>
    </xf>
    <xf numFmtId="0" fontId="119" fillId="0" borderId="3" xfId="7" applyFont="1" applyBorder="1" applyAlignment="1">
      <alignment vertical="top"/>
    </xf>
    <xf numFmtId="0" fontId="119" fillId="0" borderId="13" xfId="7" applyFont="1" applyBorder="1" applyAlignment="1" applyProtection="1">
      <alignment vertical="top" wrapText="1"/>
      <protection locked="0"/>
    </xf>
    <xf numFmtId="0" fontId="119" fillId="0" borderId="13" xfId="7" applyFont="1" applyBorder="1" applyAlignment="1" applyProtection="1">
      <alignment vertical="top"/>
      <protection locked="0"/>
    </xf>
    <xf numFmtId="0" fontId="51" fillId="0" borderId="0" xfId="7" applyFont="1" applyAlignment="1">
      <alignment vertical="top"/>
    </xf>
    <xf numFmtId="0" fontId="119" fillId="0" borderId="0" xfId="7" applyFont="1" applyAlignment="1" applyProtection="1">
      <alignment horizontal="center" vertical="top" wrapText="1"/>
      <protection locked="0"/>
    </xf>
    <xf numFmtId="0" fontId="121" fillId="0" borderId="0" xfId="7" applyFont="1" applyAlignment="1">
      <alignment wrapText="1"/>
    </xf>
    <xf numFmtId="0" fontId="108" fillId="0" borderId="0" xfId="7" applyFont="1"/>
    <xf numFmtId="0" fontId="119" fillId="0" borderId="0" xfId="7" applyFont="1" applyAlignment="1">
      <alignment horizontal="center" vertical="top" wrapText="1"/>
    </xf>
    <xf numFmtId="0" fontId="119" fillId="0" borderId="0" xfId="7" applyFont="1" applyAlignment="1">
      <alignment vertical="top" wrapText="1"/>
    </xf>
    <xf numFmtId="0" fontId="119" fillId="0" borderId="0" xfId="7" applyFont="1" applyAlignment="1">
      <alignment horizontal="justify" vertical="center" wrapText="1"/>
    </xf>
    <xf numFmtId="0" fontId="68" fillId="0" borderId="0" xfId="7" applyFont="1" applyAlignment="1">
      <alignment vertical="center"/>
    </xf>
    <xf numFmtId="0" fontId="6" fillId="0" borderId="29" xfId="7" applyBorder="1"/>
    <xf numFmtId="0" fontId="6" fillId="0" borderId="31" xfId="7" applyBorder="1"/>
    <xf numFmtId="0" fontId="6" fillId="0" borderId="32" xfId="7" applyBorder="1"/>
    <xf numFmtId="0" fontId="6" fillId="0" borderId="31" xfId="7" applyBorder="1" applyAlignment="1">
      <alignment wrapText="1"/>
    </xf>
    <xf numFmtId="0" fontId="6" fillId="0" borderId="32" xfId="7" applyBorder="1" applyAlignment="1">
      <alignment wrapText="1"/>
    </xf>
    <xf numFmtId="0" fontId="130" fillId="0" borderId="32" xfId="7" applyFont="1" applyBorder="1" applyAlignment="1">
      <alignment horizontal="left" wrapText="1"/>
    </xf>
    <xf numFmtId="0" fontId="6" fillId="0" borderId="0" xfId="7" applyAlignment="1">
      <alignment wrapText="1"/>
    </xf>
    <xf numFmtId="0" fontId="130" fillId="0" borderId="31" xfId="7" applyFont="1" applyBorder="1" applyAlignment="1">
      <alignment wrapText="1"/>
    </xf>
    <xf numFmtId="181" fontId="130" fillId="0" borderId="32" xfId="7" applyNumberFormat="1" applyFont="1" applyBorder="1" applyAlignment="1">
      <alignment horizontal="left"/>
    </xf>
    <xf numFmtId="181" fontId="6" fillId="0" borderId="32" xfId="7" applyNumberFormat="1" applyBorder="1"/>
    <xf numFmtId="0" fontId="130" fillId="0" borderId="32" xfId="7" applyFont="1" applyBorder="1" applyAlignment="1">
      <alignment wrapText="1"/>
    </xf>
    <xf numFmtId="0" fontId="130" fillId="0" borderId="31" xfId="7" applyFont="1" applyBorder="1"/>
    <xf numFmtId="0" fontId="130" fillId="0" borderId="23" xfId="7" applyFont="1" applyBorder="1"/>
    <xf numFmtId="0" fontId="130" fillId="0" borderId="21" xfId="7" applyFont="1" applyBorder="1" applyAlignment="1">
      <alignment wrapText="1"/>
    </xf>
    <xf numFmtId="173" fontId="119" fillId="0" borderId="0" xfId="7" quotePrefix="1" applyNumberFormat="1" applyFont="1" applyAlignment="1" applyProtection="1">
      <alignment horizontal="left"/>
      <protection locked="0"/>
    </xf>
    <xf numFmtId="181" fontId="80" fillId="2" borderId="0" xfId="0" applyNumberFormat="1" applyFont="1" applyFill="1" applyAlignment="1" applyProtection="1">
      <alignment horizontal="left"/>
      <protection locked="0"/>
    </xf>
    <xf numFmtId="2" fontId="49" fillId="0" borderId="0" xfId="0" applyNumberFormat="1" applyFont="1"/>
    <xf numFmtId="0" fontId="49" fillId="0" borderId="1" xfId="0" applyFont="1" applyBorder="1"/>
    <xf numFmtId="0" fontId="49" fillId="0" borderId="1" xfId="0" applyFont="1" applyBorder="1" applyAlignment="1">
      <alignment horizontal="left"/>
    </xf>
    <xf numFmtId="2" fontId="49" fillId="0" borderId="1" xfId="0" applyNumberFormat="1" applyFont="1" applyBorder="1"/>
    <xf numFmtId="2" fontId="0" fillId="0" borderId="0" xfId="0" applyNumberFormat="1"/>
    <xf numFmtId="164" fontId="47" fillId="3" borderId="0" xfId="0" applyNumberFormat="1" applyFont="1" applyFill="1" applyBorder="1" applyAlignment="1" applyProtection="1">
      <alignment vertical="center" wrapText="1"/>
      <protection locked="0"/>
    </xf>
    <xf numFmtId="181" fontId="12" fillId="3" borderId="0" xfId="0" applyNumberFormat="1" applyFont="1" applyFill="1" applyAlignment="1" applyProtection="1">
      <alignment horizontal="left"/>
      <protection locked="0"/>
    </xf>
    <xf numFmtId="164" fontId="19" fillId="0" borderId="3" xfId="3" applyNumberFormat="1" applyFont="1" applyBorder="1" applyAlignment="1">
      <alignment horizontal="right" vertical="center"/>
    </xf>
    <xf numFmtId="0" fontId="25" fillId="12" borderId="0" xfId="0" applyFont="1" applyFill="1" applyAlignment="1" applyProtection="1">
      <alignment horizontal="left" vertical="center"/>
      <protection locked="0"/>
    </xf>
    <xf numFmtId="0" fontId="24" fillId="12" borderId="0" xfId="0" applyFont="1" applyFill="1" applyAlignment="1" applyProtection="1">
      <alignment vertical="center"/>
      <protection locked="0"/>
    </xf>
    <xf numFmtId="164" fontId="80" fillId="2" borderId="3" xfId="0" applyNumberFormat="1" applyFont="1" applyFill="1" applyBorder="1" applyAlignment="1" applyProtection="1">
      <alignment horizontal="center"/>
      <protection hidden="1"/>
    </xf>
    <xf numFmtId="164" fontId="80" fillId="2" borderId="0" xfId="0" applyNumberFormat="1" applyFont="1" applyFill="1" applyAlignment="1" applyProtection="1">
      <alignment horizontal="right" vertical="center"/>
      <protection hidden="1"/>
    </xf>
    <xf numFmtId="164" fontId="12" fillId="3" borderId="0" xfId="0" applyNumberFormat="1" applyFont="1" applyFill="1" applyAlignment="1" applyProtection="1">
      <alignment horizontal="right"/>
      <protection hidden="1"/>
    </xf>
    <xf numFmtId="1" fontId="6" fillId="0" borderId="0" xfId="0" applyNumberFormat="1" applyFont="1" applyBorder="1" applyProtection="1">
      <protection hidden="1"/>
    </xf>
    <xf numFmtId="1" fontId="3" fillId="14" borderId="0" xfId="0" quotePrefix="1" applyNumberFormat="1" applyFont="1" applyFill="1" applyAlignment="1" applyProtection="1">
      <alignment horizontal="left" vertical="center"/>
      <protection locked="0"/>
    </xf>
    <xf numFmtId="171" fontId="18" fillId="3" borderId="1" xfId="0" applyNumberFormat="1" applyFont="1" applyFill="1" applyBorder="1" applyAlignment="1" applyProtection="1">
      <alignment vertical="center"/>
      <protection locked="0"/>
    </xf>
    <xf numFmtId="171" fontId="3" fillId="12" borderId="0" xfId="0" applyNumberFormat="1" applyFont="1" applyFill="1" applyProtection="1">
      <protection locked="0"/>
    </xf>
    <xf numFmtId="2" fontId="12" fillId="3" borderId="0" xfId="0" applyNumberFormat="1" applyFont="1" applyFill="1" applyAlignment="1" applyProtection="1">
      <alignment vertical="center"/>
      <protection locked="0"/>
    </xf>
    <xf numFmtId="2" fontId="18" fillId="3" borderId="0" xfId="0" applyNumberFormat="1" applyFont="1" applyFill="1" applyBorder="1" applyAlignment="1" applyProtection="1">
      <alignment horizontal="center" wrapText="1"/>
      <protection locked="0"/>
    </xf>
    <xf numFmtId="2" fontId="44" fillId="3" borderId="0" xfId="0" applyNumberFormat="1" applyFont="1" applyFill="1" applyAlignment="1" applyProtection="1">
      <alignment vertical="center"/>
      <protection locked="0"/>
    </xf>
    <xf numFmtId="164" fontId="56" fillId="0" borderId="0" xfId="0" applyNumberFormat="1" applyFont="1" applyBorder="1" applyAlignment="1" applyProtection="1">
      <alignment horizontal="right"/>
      <protection hidden="1"/>
    </xf>
    <xf numFmtId="0" fontId="46" fillId="3" borderId="0" xfId="0" applyFont="1" applyFill="1" applyBorder="1" applyAlignment="1" applyProtection="1">
      <alignment horizontal="center" wrapText="1"/>
      <protection locked="0"/>
    </xf>
    <xf numFmtId="2" fontId="46" fillId="3" borderId="0" xfId="0" applyNumberFormat="1" applyFont="1" applyFill="1" applyBorder="1" applyAlignment="1" applyProtection="1">
      <alignment horizontal="center" wrapText="1"/>
      <protection locked="0"/>
    </xf>
    <xf numFmtId="2" fontId="3" fillId="3" borderId="0" xfId="0" applyNumberFormat="1" applyFont="1" applyFill="1" applyAlignment="1" applyProtection="1">
      <alignment vertical="center"/>
      <protection locked="0"/>
    </xf>
    <xf numFmtId="171" fontId="18" fillId="3" borderId="0" xfId="0" applyNumberFormat="1" applyFont="1" applyFill="1" applyBorder="1" applyAlignment="1" applyProtection="1">
      <alignment vertical="center"/>
      <protection locked="0"/>
    </xf>
    <xf numFmtId="0" fontId="0" fillId="0" borderId="1" xfId="0" applyBorder="1" applyAlignment="1">
      <alignment horizontal="center" vertical="center"/>
    </xf>
    <xf numFmtId="0" fontId="52" fillId="0" borderId="1" xfId="0" applyFont="1" applyBorder="1" applyAlignment="1">
      <alignment horizontal="center" vertical="center"/>
    </xf>
    <xf numFmtId="0" fontId="52" fillId="0" borderId="0" xfId="0" applyFont="1" applyAlignment="1">
      <alignment horizontal="center" vertical="center"/>
    </xf>
    <xf numFmtId="2" fontId="18" fillId="3" borderId="1" xfId="0" applyNumberFormat="1" applyFont="1" applyFill="1" applyBorder="1" applyAlignment="1" applyProtection="1">
      <alignment vertical="center"/>
      <protection locked="0"/>
    </xf>
    <xf numFmtId="0" fontId="119" fillId="0" borderId="3" xfId="7" applyFont="1" applyBorder="1" applyAlignment="1">
      <alignment horizontal="left" vertical="top" wrapText="1"/>
    </xf>
    <xf numFmtId="0" fontId="115" fillId="0" borderId="0" xfId="7" applyFont="1" applyAlignment="1">
      <alignment horizontal="center"/>
    </xf>
    <xf numFmtId="2" fontId="0" fillId="12" borderId="1" xfId="0" applyNumberFormat="1" applyFill="1" applyBorder="1"/>
    <xf numFmtId="2" fontId="46" fillId="12" borderId="0" xfId="0" applyNumberFormat="1" applyFont="1" applyFill="1" applyBorder="1" applyAlignment="1" applyProtection="1">
      <alignment vertical="center"/>
      <protection locked="0"/>
    </xf>
    <xf numFmtId="2" fontId="134" fillId="0" borderId="0" xfId="0" applyNumberFormat="1" applyFont="1" applyAlignment="1">
      <alignment vertical="center"/>
    </xf>
    <xf numFmtId="2" fontId="134" fillId="0" borderId="31" xfId="0" applyNumberFormat="1" applyFont="1" applyBorder="1" applyAlignment="1">
      <alignment vertical="center"/>
    </xf>
    <xf numFmtId="2" fontId="134" fillId="0" borderId="0" xfId="0" applyNumberFormat="1" applyFont="1" applyBorder="1" applyAlignment="1">
      <alignment horizontal="center" vertical="center"/>
    </xf>
    <xf numFmtId="2" fontId="134" fillId="0" borderId="32" xfId="0" applyNumberFormat="1" applyFont="1" applyBorder="1" applyAlignment="1">
      <alignment vertical="center"/>
    </xf>
    <xf numFmtId="2" fontId="134" fillId="0" borderId="0" xfId="0" applyNumberFormat="1" applyFont="1" applyBorder="1" applyAlignment="1">
      <alignment vertical="center"/>
    </xf>
    <xf numFmtId="2" fontId="134" fillId="12" borderId="0" xfId="0" applyNumberFormat="1" applyFont="1" applyFill="1" applyBorder="1" applyAlignment="1">
      <alignment vertical="center"/>
    </xf>
    <xf numFmtId="2" fontId="18" fillId="12" borderId="0" xfId="0" applyNumberFormat="1" applyFont="1" applyFill="1" applyBorder="1" applyAlignment="1" applyProtection="1">
      <alignment vertical="center"/>
      <protection locked="0"/>
    </xf>
    <xf numFmtId="2" fontId="18" fillId="12" borderId="0" xfId="0" applyNumberFormat="1" applyFont="1" applyFill="1" applyBorder="1" applyAlignment="1" applyProtection="1">
      <alignment horizontal="right" vertical="center"/>
      <protection hidden="1"/>
    </xf>
    <xf numFmtId="2" fontId="46" fillId="12" borderId="0" xfId="0" applyNumberFormat="1" applyFont="1" applyFill="1" applyBorder="1" applyAlignment="1" applyProtection="1">
      <alignment horizontal="right" vertical="center"/>
      <protection hidden="1"/>
    </xf>
    <xf numFmtId="2" fontId="46" fillId="3" borderId="0" xfId="0" applyNumberFormat="1" applyFont="1" applyFill="1" applyBorder="1" applyAlignment="1" applyProtection="1">
      <alignment horizontal="center" vertical="center" wrapText="1"/>
      <protection locked="0"/>
    </xf>
    <xf numFmtId="2" fontId="18" fillId="0" borderId="0" xfId="0" applyNumberFormat="1" applyFont="1" applyBorder="1" applyAlignment="1" applyProtection="1">
      <alignment horizontal="right" vertical="center"/>
      <protection hidden="1"/>
    </xf>
    <xf numFmtId="2" fontId="46" fillId="0" borderId="0" xfId="0" applyNumberFormat="1" applyFont="1" applyBorder="1" applyAlignment="1" applyProtection="1">
      <alignment horizontal="right" vertical="center"/>
      <protection hidden="1"/>
    </xf>
    <xf numFmtId="2" fontId="18" fillId="3" borderId="0" xfId="0" applyNumberFormat="1" applyFont="1" applyFill="1" applyBorder="1" applyAlignment="1" applyProtection="1">
      <alignment vertical="center"/>
      <protection locked="0"/>
    </xf>
    <xf numFmtId="2" fontId="134" fillId="0" borderId="23" xfId="0" applyNumberFormat="1" applyFont="1" applyBorder="1" applyAlignment="1">
      <alignment vertical="center"/>
    </xf>
    <xf numFmtId="2" fontId="134" fillId="0" borderId="22" xfId="0" applyNumberFormat="1" applyFont="1" applyBorder="1" applyAlignment="1">
      <alignment vertical="center"/>
    </xf>
    <xf numFmtId="2" fontId="18" fillId="3" borderId="22" xfId="0" applyNumberFormat="1" applyFont="1" applyFill="1" applyBorder="1" applyAlignment="1" applyProtection="1">
      <alignment vertical="center"/>
      <protection locked="0"/>
    </xf>
    <xf numFmtId="2" fontId="18" fillId="0" borderId="22" xfId="0" applyNumberFormat="1" applyFont="1" applyBorder="1" applyAlignment="1" applyProtection="1">
      <alignment horizontal="right" vertical="center"/>
      <protection hidden="1"/>
    </xf>
    <xf numFmtId="2" fontId="18" fillId="3" borderId="22" xfId="0" applyNumberFormat="1" applyFont="1" applyFill="1" applyBorder="1" applyAlignment="1" applyProtection="1">
      <alignment horizontal="center" vertical="center" wrapText="1"/>
      <protection locked="0"/>
    </xf>
    <xf numFmtId="2" fontId="134" fillId="0" borderId="21" xfId="0" applyNumberFormat="1" applyFont="1" applyBorder="1" applyAlignment="1">
      <alignment vertical="center"/>
    </xf>
    <xf numFmtId="2" fontId="53" fillId="0" borderId="31" xfId="0" applyNumberFormat="1" applyFont="1" applyBorder="1" applyAlignment="1">
      <alignment vertical="center"/>
    </xf>
    <xf numFmtId="2" fontId="53" fillId="0" borderId="0" xfId="0" applyNumberFormat="1" applyFont="1" applyBorder="1" applyAlignment="1">
      <alignment horizontal="center" vertical="center"/>
    </xf>
    <xf numFmtId="2" fontId="53" fillId="0" borderId="32" xfId="0" applyNumberFormat="1" applyFont="1" applyBorder="1" applyAlignment="1">
      <alignment vertical="center"/>
    </xf>
    <xf numFmtId="2" fontId="53" fillId="0" borderId="0" xfId="0" applyNumberFormat="1" applyFont="1" applyBorder="1" applyAlignment="1">
      <alignment vertical="center"/>
    </xf>
    <xf numFmtId="14" fontId="3" fillId="13" borderId="0" xfId="0" quotePrefix="1" applyNumberFormat="1" applyFont="1" applyFill="1" applyAlignment="1" applyProtection="1">
      <alignment horizontal="left" vertical="center"/>
      <protection locked="0"/>
    </xf>
    <xf numFmtId="14" fontId="6" fillId="0" borderId="1" xfId="0" applyNumberFormat="1" applyFont="1" applyBorder="1" applyAlignment="1">
      <alignment horizontal="center" vertical="center"/>
    </xf>
    <xf numFmtId="0" fontId="6" fillId="12" borderId="1" xfId="0" applyFont="1" applyFill="1" applyBorder="1" applyAlignment="1">
      <alignment vertical="center" wrapText="1"/>
    </xf>
    <xf numFmtId="0" fontId="6" fillId="13" borderId="1" xfId="0" applyFont="1" applyFill="1" applyBorder="1" applyAlignment="1">
      <alignment vertical="center"/>
    </xf>
    <xf numFmtId="0" fontId="6" fillId="7" borderId="1" xfId="0" applyFont="1" applyFill="1" applyBorder="1" applyAlignment="1">
      <alignment horizontal="center" vertical="center"/>
    </xf>
    <xf numFmtId="1" fontId="56" fillId="0" borderId="0" xfId="0" applyNumberFormat="1" applyFont="1" applyProtection="1">
      <protection hidden="1"/>
    </xf>
    <xf numFmtId="0" fontId="17" fillId="3" borderId="1" xfId="0" applyFont="1" applyFill="1" applyBorder="1"/>
    <xf numFmtId="0" fontId="17" fillId="12" borderId="1" xfId="0" applyFont="1" applyFill="1" applyBorder="1"/>
    <xf numFmtId="0" fontId="52" fillId="12" borderId="1" xfId="0" applyFont="1" applyFill="1" applyBorder="1" applyAlignment="1">
      <alignment horizontal="center"/>
    </xf>
    <xf numFmtId="2" fontId="17" fillId="12" borderId="1" xfId="0" applyNumberFormat="1" applyFont="1" applyFill="1" applyBorder="1" applyAlignment="1">
      <alignment horizontal="center"/>
    </xf>
    <xf numFmtId="171" fontId="17" fillId="12" borderId="1" xfId="0" applyNumberFormat="1" applyFont="1" applyFill="1" applyBorder="1" applyAlignment="1">
      <alignment horizontal="center"/>
    </xf>
    <xf numFmtId="0" fontId="32" fillId="12" borderId="1" xfId="1" applyFont="1" applyFill="1" applyBorder="1" applyAlignment="1">
      <alignment horizontal="left" vertical="center"/>
    </xf>
    <xf numFmtId="171" fontId="17" fillId="3" borderId="1" xfId="0" applyNumberFormat="1" applyFont="1" applyFill="1" applyBorder="1" applyAlignment="1">
      <alignment horizontal="center"/>
    </xf>
    <xf numFmtId="0" fontId="52" fillId="3" borderId="1" xfId="4" applyFont="1" applyFill="1" applyBorder="1" applyAlignment="1">
      <alignment horizontal="center" vertical="center"/>
    </xf>
    <xf numFmtId="0" fontId="32" fillId="3" borderId="1" xfId="1" applyFont="1" applyFill="1" applyBorder="1" applyAlignment="1">
      <alignment horizontal="left" vertical="center"/>
    </xf>
    <xf numFmtId="171" fontId="17" fillId="3" borderId="1" xfId="0" applyNumberFormat="1" applyFont="1" applyFill="1" applyBorder="1" applyAlignment="1">
      <alignment horizontal="center" vertical="center"/>
    </xf>
    <xf numFmtId="0" fontId="17" fillId="3" borderId="1" xfId="4" applyFont="1" applyFill="1" applyBorder="1" applyAlignment="1">
      <alignment horizontal="center" vertical="center"/>
    </xf>
    <xf numFmtId="171" fontId="0" fillId="12" borderId="1" xfId="0" applyNumberFormat="1" applyFill="1" applyBorder="1"/>
    <xf numFmtId="0" fontId="17" fillId="12" borderId="1" xfId="0" applyFont="1" applyFill="1" applyBorder="1" applyAlignment="1">
      <alignment horizontal="left" vertical="center"/>
    </xf>
    <xf numFmtId="0" fontId="5" fillId="0" borderId="0" xfId="0" applyFont="1"/>
    <xf numFmtId="0" fontId="0" fillId="7" borderId="1" xfId="0" applyFont="1" applyFill="1" applyBorder="1" applyAlignment="1">
      <alignment horizontal="center"/>
    </xf>
    <xf numFmtId="0" fontId="132" fillId="12" borderId="30" xfId="7" applyFont="1" applyFill="1" applyBorder="1"/>
    <xf numFmtId="0" fontId="132" fillId="12" borderId="32" xfId="7" applyFont="1" applyFill="1" applyBorder="1"/>
    <xf numFmtId="0" fontId="133" fillId="12" borderId="32" xfId="7" applyFont="1" applyFill="1" applyBorder="1" applyAlignment="1">
      <alignment horizontal="left" wrapText="1"/>
    </xf>
    <xf numFmtId="0" fontId="31" fillId="0" borderId="1" xfId="0" applyFont="1" applyBorder="1" applyAlignment="1">
      <alignment horizontal="center" vertical="center"/>
    </xf>
    <xf numFmtId="0" fontId="0" fillId="0" borderId="1" xfId="0" applyBorder="1" applyAlignment="1">
      <alignment horizontal="center" vertical="center"/>
    </xf>
    <xf numFmtId="1" fontId="42" fillId="8" borderId="5" xfId="0" quotePrefix="1" applyNumberFormat="1" applyFont="1" applyFill="1" applyBorder="1" applyAlignment="1" applyProtection="1">
      <alignment horizontal="center" vertical="center"/>
      <protection hidden="1"/>
    </xf>
    <xf numFmtId="1" fontId="42" fillId="8" borderId="10" xfId="0" quotePrefix="1" applyNumberFormat="1" applyFont="1" applyFill="1" applyBorder="1" applyAlignment="1" applyProtection="1">
      <alignment horizontal="center" vertical="center"/>
      <protection hidden="1"/>
    </xf>
    <xf numFmtId="1" fontId="42" fillId="8" borderId="7" xfId="0" quotePrefix="1" applyNumberFormat="1" applyFont="1" applyFill="1" applyBorder="1" applyAlignment="1" applyProtection="1">
      <alignment horizontal="center" vertical="center"/>
      <protection hidden="1"/>
    </xf>
    <xf numFmtId="1" fontId="42" fillId="12" borderId="5" xfId="0" quotePrefix="1" applyNumberFormat="1" applyFont="1" applyFill="1" applyBorder="1" applyAlignment="1" applyProtection="1">
      <alignment horizontal="center" vertical="center"/>
      <protection hidden="1"/>
    </xf>
    <xf numFmtId="1" fontId="42" fillId="12" borderId="10" xfId="0" quotePrefix="1" applyNumberFormat="1" applyFont="1" applyFill="1" applyBorder="1" applyAlignment="1" applyProtection="1">
      <alignment horizontal="center" vertical="center"/>
      <protection hidden="1"/>
    </xf>
    <xf numFmtId="1" fontId="42" fillId="12" borderId="7" xfId="0" quotePrefix="1" applyNumberFormat="1" applyFont="1" applyFill="1" applyBorder="1" applyAlignment="1" applyProtection="1">
      <alignment horizontal="center" vertical="center"/>
      <protection hidden="1"/>
    </xf>
    <xf numFmtId="164" fontId="42" fillId="8" borderId="5" xfId="0" applyNumberFormat="1" applyFont="1" applyFill="1" applyBorder="1" applyAlignment="1" applyProtection="1">
      <alignment horizontal="center" vertical="center"/>
      <protection hidden="1"/>
    </xf>
    <xf numFmtId="164" fontId="42" fillId="8" borderId="10" xfId="0" applyNumberFormat="1" applyFont="1" applyFill="1" applyBorder="1" applyAlignment="1" applyProtection="1">
      <alignment horizontal="center" vertical="center"/>
      <protection hidden="1"/>
    </xf>
    <xf numFmtId="164" fontId="42" fillId="8" borderId="7" xfId="0" applyNumberFormat="1" applyFont="1" applyFill="1" applyBorder="1" applyAlignment="1" applyProtection="1">
      <alignment horizontal="center" vertical="center"/>
      <protection hidden="1"/>
    </xf>
    <xf numFmtId="1" fontId="8" fillId="3" borderId="3" xfId="0" applyNumberFormat="1" applyFont="1" applyFill="1" applyBorder="1" applyAlignment="1" applyProtection="1">
      <alignment horizontal="center"/>
      <protection hidden="1"/>
    </xf>
    <xf numFmtId="1" fontId="8" fillId="3" borderId="15" xfId="0" applyNumberFormat="1" applyFont="1" applyFill="1" applyBorder="1" applyAlignment="1" applyProtection="1">
      <alignment horizontal="center"/>
      <protection hidden="1"/>
    </xf>
    <xf numFmtId="1" fontId="8" fillId="3" borderId="13" xfId="0" applyNumberFormat="1" applyFont="1" applyFill="1" applyBorder="1" applyAlignment="1" applyProtection="1">
      <alignment horizontal="center"/>
      <protection hidden="1"/>
    </xf>
    <xf numFmtId="1" fontId="42" fillId="8" borderId="1" xfId="0" quotePrefix="1" applyNumberFormat="1" applyFont="1" applyFill="1" applyBorder="1" applyAlignment="1" applyProtection="1">
      <alignment horizontal="center" vertical="center"/>
      <protection hidden="1"/>
    </xf>
    <xf numFmtId="1" fontId="4" fillId="4" borderId="7" xfId="0" applyNumberFormat="1" applyFont="1" applyFill="1" applyBorder="1" applyAlignment="1" applyProtection="1">
      <alignment horizontal="center" vertical="center"/>
      <protection hidden="1"/>
    </xf>
    <xf numFmtId="1" fontId="6" fillId="7" borderId="7" xfId="0" applyNumberFormat="1" applyFont="1" applyFill="1" applyBorder="1" applyAlignment="1" applyProtection="1">
      <alignment horizontal="center"/>
      <protection hidden="1"/>
    </xf>
    <xf numFmtId="1" fontId="0" fillId="7" borderId="7" xfId="0" applyNumberFormat="1" applyFill="1" applyBorder="1" applyAlignment="1" applyProtection="1">
      <alignment horizontal="center"/>
      <protection hidden="1"/>
    </xf>
    <xf numFmtId="1" fontId="69" fillId="0" borderId="1" xfId="0" applyNumberFormat="1" applyFont="1" applyBorder="1" applyAlignment="1" applyProtection="1">
      <alignment horizontal="center"/>
      <protection hidden="1"/>
    </xf>
    <xf numFmtId="1" fontId="42" fillId="7" borderId="1" xfId="0" quotePrefix="1" applyNumberFormat="1" applyFont="1" applyFill="1" applyBorder="1" applyAlignment="1" applyProtection="1">
      <alignment horizontal="center" vertical="center"/>
      <protection hidden="1"/>
    </xf>
    <xf numFmtId="1" fontId="42" fillId="7" borderId="5" xfId="0" quotePrefix="1" applyNumberFormat="1" applyFont="1" applyFill="1" applyBorder="1" applyAlignment="1" applyProtection="1">
      <alignment horizontal="center" vertical="center"/>
      <protection hidden="1"/>
    </xf>
    <xf numFmtId="1" fontId="42" fillId="7" borderId="10" xfId="0" quotePrefix="1" applyNumberFormat="1" applyFont="1" applyFill="1" applyBorder="1" applyAlignment="1" applyProtection="1">
      <alignment horizontal="center" vertical="center"/>
      <protection hidden="1"/>
    </xf>
    <xf numFmtId="1" fontId="42" fillId="7" borderId="7" xfId="0" quotePrefix="1" applyNumberFormat="1" applyFont="1" applyFill="1" applyBorder="1" applyAlignment="1" applyProtection="1">
      <alignment horizontal="center" vertical="center"/>
      <protection hidden="1"/>
    </xf>
    <xf numFmtId="0" fontId="52" fillId="0" borderId="1" xfId="0" applyFont="1" applyBorder="1" applyAlignment="1">
      <alignment horizontal="center" vertical="center"/>
    </xf>
    <xf numFmtId="0" fontId="52" fillId="7" borderId="3" xfId="0" applyFont="1" applyFill="1" applyBorder="1" applyAlignment="1">
      <alignment horizontal="center" vertical="center"/>
    </xf>
    <xf numFmtId="0" fontId="52" fillId="7" borderId="13" xfId="0" applyFont="1" applyFill="1" applyBorder="1" applyAlignment="1">
      <alignment horizontal="center" vertical="center"/>
    </xf>
    <xf numFmtId="0" fontId="50" fillId="0" borderId="0" xfId="0" applyFont="1" applyAlignment="1">
      <alignment horizontal="center"/>
    </xf>
    <xf numFmtId="0" fontId="52" fillId="0" borderId="0" xfId="0" applyFont="1" applyAlignment="1">
      <alignment horizontal="center" vertical="center"/>
    </xf>
    <xf numFmtId="0" fontId="57" fillId="4" borderId="0" xfId="0" applyFont="1" applyFill="1" applyAlignment="1">
      <alignment horizontal="center"/>
    </xf>
    <xf numFmtId="164" fontId="12" fillId="3" borderId="0" xfId="0" applyNumberFormat="1" applyFont="1" applyFill="1" applyAlignment="1" applyProtection="1">
      <alignment horizontal="left" vertical="center" wrapText="1"/>
      <protection locked="0"/>
    </xf>
    <xf numFmtId="0" fontId="80" fillId="3" borderId="1" xfId="0" applyFont="1" applyFill="1" applyBorder="1" applyAlignment="1" applyProtection="1">
      <alignment horizontal="center" vertical="center" wrapText="1"/>
      <protection hidden="1"/>
    </xf>
    <xf numFmtId="1" fontId="31" fillId="3" borderId="1" xfId="0" applyNumberFormat="1" applyFont="1" applyFill="1" applyBorder="1" applyAlignment="1" applyProtection="1">
      <alignment horizontal="center" vertical="center"/>
      <protection locked="0"/>
    </xf>
    <xf numFmtId="0" fontId="80" fillId="3" borderId="12" xfId="0" applyFont="1" applyFill="1" applyBorder="1" applyAlignment="1" applyProtection="1">
      <alignment horizontal="center" vertical="center"/>
      <protection locked="0"/>
    </xf>
    <xf numFmtId="0" fontId="80" fillId="3" borderId="0" xfId="0" applyFont="1" applyFill="1" applyBorder="1" applyAlignment="1" applyProtection="1">
      <alignment horizontal="center" vertical="center"/>
      <protection locked="0"/>
    </xf>
    <xf numFmtId="0" fontId="54" fillId="0" borderId="1" xfId="0" applyFont="1" applyBorder="1" applyAlignment="1">
      <alignment horizontal="center" vertical="center"/>
    </xf>
    <xf numFmtId="164" fontId="80" fillId="3" borderId="5" xfId="0" applyNumberFormat="1" applyFont="1" applyFill="1" applyBorder="1" applyAlignment="1" applyProtection="1">
      <alignment horizontal="center" vertical="center" wrapText="1"/>
      <protection locked="0"/>
    </xf>
    <xf numFmtId="164" fontId="80" fillId="3" borderId="10" xfId="0" applyNumberFormat="1" applyFont="1" applyFill="1" applyBorder="1" applyAlignment="1" applyProtection="1">
      <alignment horizontal="center" vertical="center" wrapText="1"/>
      <protection locked="0"/>
    </xf>
    <xf numFmtId="164" fontId="80" fillId="3" borderId="7" xfId="0" applyNumberFormat="1" applyFont="1" applyFill="1" applyBorder="1" applyAlignment="1" applyProtection="1">
      <alignment horizontal="center" vertical="center" wrapText="1"/>
      <protection locked="0"/>
    </xf>
    <xf numFmtId="2" fontId="31" fillId="3" borderId="8" xfId="0" applyNumberFormat="1" applyFont="1" applyFill="1" applyBorder="1" applyAlignment="1" applyProtection="1">
      <alignment horizontal="center" vertical="center"/>
      <protection locked="0"/>
    </xf>
    <xf numFmtId="2" fontId="31" fillId="3" borderId="6" xfId="0" applyNumberFormat="1" applyFont="1" applyFill="1" applyBorder="1" applyAlignment="1" applyProtection="1">
      <alignment horizontal="center" vertical="center"/>
      <protection locked="0"/>
    </xf>
    <xf numFmtId="2" fontId="31" fillId="3" borderId="4" xfId="0" applyNumberFormat="1" applyFont="1" applyFill="1" applyBorder="1" applyAlignment="1" applyProtection="1">
      <alignment horizontal="center" vertical="center"/>
      <protection locked="0"/>
    </xf>
    <xf numFmtId="2" fontId="31" fillId="3" borderId="9" xfId="0" applyNumberFormat="1" applyFont="1" applyFill="1" applyBorder="1" applyAlignment="1" applyProtection="1">
      <alignment horizontal="center" vertical="center"/>
      <protection locked="0"/>
    </xf>
    <xf numFmtId="0" fontId="83" fillId="3" borderId="1" xfId="0" quotePrefix="1" applyFont="1" applyFill="1" applyBorder="1" applyAlignment="1" applyProtection="1">
      <alignment horizontal="center" vertical="center"/>
      <protection hidden="1"/>
    </xf>
    <xf numFmtId="0" fontId="80" fillId="3" borderId="8" xfId="0" applyFont="1" applyFill="1" applyBorder="1" applyAlignment="1" applyProtection="1">
      <alignment horizontal="center" vertical="center" wrapText="1"/>
      <protection hidden="1"/>
    </xf>
    <xf numFmtId="0" fontId="80" fillId="3" borderId="11" xfId="0" applyFont="1" applyFill="1" applyBorder="1" applyAlignment="1" applyProtection="1">
      <alignment horizontal="center" vertical="center" wrapText="1"/>
      <protection hidden="1"/>
    </xf>
    <xf numFmtId="0" fontId="80" fillId="3" borderId="6" xfId="0" applyFont="1" applyFill="1" applyBorder="1" applyAlignment="1" applyProtection="1">
      <alignment horizontal="center" vertical="center" wrapText="1"/>
      <protection hidden="1"/>
    </xf>
    <xf numFmtId="0" fontId="80" fillId="3" borderId="4" xfId="0" applyFont="1" applyFill="1" applyBorder="1" applyAlignment="1" applyProtection="1">
      <alignment horizontal="center" vertical="center" wrapText="1"/>
      <protection hidden="1"/>
    </xf>
    <xf numFmtId="0" fontId="80" fillId="3" borderId="2" xfId="0" applyFont="1" applyFill="1" applyBorder="1" applyAlignment="1" applyProtection="1">
      <alignment horizontal="center" vertical="center" wrapText="1"/>
      <protection hidden="1"/>
    </xf>
    <xf numFmtId="0" fontId="80" fillId="3" borderId="9" xfId="0" applyFont="1" applyFill="1" applyBorder="1" applyAlignment="1" applyProtection="1">
      <alignment horizontal="center" vertical="center" wrapText="1"/>
      <protection hidden="1"/>
    </xf>
    <xf numFmtId="0" fontId="81" fillId="3" borderId="0" xfId="0" applyFont="1" applyFill="1" applyAlignment="1" applyProtection="1">
      <alignment horizontal="center" wrapText="1"/>
      <protection hidden="1"/>
    </xf>
    <xf numFmtId="0" fontId="81" fillId="3" borderId="0" xfId="0" applyFont="1" applyFill="1" applyAlignment="1" applyProtection="1">
      <alignment horizontal="left" vertical="center" wrapText="1"/>
      <protection hidden="1"/>
    </xf>
    <xf numFmtId="0" fontId="75" fillId="3" borderId="0" xfId="0" applyFont="1" applyFill="1" applyAlignment="1" applyProtection="1">
      <alignment horizontal="center" vertical="center"/>
      <protection hidden="1"/>
    </xf>
    <xf numFmtId="0" fontId="101" fillId="3" borderId="0" xfId="0" applyFont="1" applyFill="1" applyAlignment="1" applyProtection="1">
      <alignment horizontal="center" vertical="center"/>
      <protection locked="0"/>
    </xf>
    <xf numFmtId="0" fontId="31" fillId="3" borderId="1" xfId="0" applyFont="1" applyFill="1" applyBorder="1" applyAlignment="1" applyProtection="1">
      <alignment horizontal="center" vertical="center"/>
      <protection hidden="1"/>
    </xf>
    <xf numFmtId="0" fontId="31" fillId="3" borderId="1" xfId="0" applyFont="1" applyFill="1" applyBorder="1" applyAlignment="1" applyProtection="1">
      <alignment horizontal="center" vertical="center" wrapText="1"/>
      <protection hidden="1"/>
    </xf>
    <xf numFmtId="0" fontId="80" fillId="3" borderId="5" xfId="0" applyFont="1" applyFill="1" applyBorder="1" applyAlignment="1" applyProtection="1">
      <alignment horizontal="center" vertical="center"/>
      <protection hidden="1"/>
    </xf>
    <xf numFmtId="0" fontId="80" fillId="3" borderId="10" xfId="0" applyFont="1" applyFill="1" applyBorder="1" applyAlignment="1" applyProtection="1">
      <alignment horizontal="center" vertical="center"/>
      <protection hidden="1"/>
    </xf>
    <xf numFmtId="0" fontId="79" fillId="3" borderId="2" xfId="0" applyFont="1" applyFill="1" applyBorder="1" applyAlignment="1" applyProtection="1">
      <alignment horizontal="left"/>
      <protection hidden="1"/>
    </xf>
    <xf numFmtId="0" fontId="79" fillId="3" borderId="0" xfId="0" applyFont="1" applyFill="1" applyAlignment="1" applyProtection="1">
      <alignment horizontal="left"/>
      <protection hidden="1"/>
    </xf>
    <xf numFmtId="0" fontId="31" fillId="3" borderId="5" xfId="0" applyFont="1" applyFill="1" applyBorder="1" applyAlignment="1" applyProtection="1">
      <alignment horizontal="center" vertical="center"/>
      <protection hidden="1"/>
    </xf>
    <xf numFmtId="0" fontId="31" fillId="3" borderId="10" xfId="0" applyFont="1" applyFill="1" applyBorder="1" applyAlignment="1" applyProtection="1">
      <alignment horizontal="center" vertical="center"/>
      <protection hidden="1"/>
    </xf>
    <xf numFmtId="0" fontId="31" fillId="3" borderId="5" xfId="0" applyFont="1" applyFill="1" applyBorder="1" applyAlignment="1" applyProtection="1">
      <alignment horizontal="center" vertical="center" wrapText="1"/>
      <protection hidden="1"/>
    </xf>
    <xf numFmtId="0" fontId="31" fillId="3" borderId="10" xfId="0" applyFont="1" applyFill="1" applyBorder="1" applyAlignment="1" applyProtection="1">
      <alignment horizontal="center" vertical="center" wrapText="1"/>
      <protection hidden="1"/>
    </xf>
    <xf numFmtId="164" fontId="31" fillId="3" borderId="8" xfId="0" applyNumberFormat="1" applyFont="1" applyFill="1" applyBorder="1" applyAlignment="1" applyProtection="1">
      <alignment horizontal="center" vertical="center"/>
      <protection locked="0"/>
    </xf>
    <xf numFmtId="164" fontId="31" fillId="3" borderId="6" xfId="0" applyNumberFormat="1" applyFont="1" applyFill="1" applyBorder="1" applyAlignment="1" applyProtection="1">
      <alignment horizontal="center" vertical="center"/>
      <protection locked="0"/>
    </xf>
    <xf numFmtId="164" fontId="31" fillId="3" borderId="4" xfId="0" applyNumberFormat="1" applyFont="1" applyFill="1" applyBorder="1" applyAlignment="1" applyProtection="1">
      <alignment horizontal="center" vertical="center"/>
      <protection locked="0"/>
    </xf>
    <xf numFmtId="164" fontId="31" fillId="3" borderId="9" xfId="0" applyNumberFormat="1" applyFont="1" applyFill="1" applyBorder="1" applyAlignment="1" applyProtection="1">
      <alignment horizontal="center" vertical="center"/>
      <protection locked="0"/>
    </xf>
    <xf numFmtId="0" fontId="31" fillId="3" borderId="7" xfId="0" applyFont="1" applyFill="1" applyBorder="1" applyAlignment="1" applyProtection="1">
      <alignment horizontal="center" vertical="center"/>
      <protection hidden="1"/>
    </xf>
    <xf numFmtId="0" fontId="31" fillId="3" borderId="8" xfId="0" applyFont="1" applyFill="1" applyBorder="1" applyAlignment="1" applyProtection="1">
      <alignment horizontal="center" vertical="center" wrapText="1"/>
      <protection hidden="1"/>
    </xf>
    <xf numFmtId="0" fontId="31" fillId="3" borderId="6" xfId="0" applyFont="1" applyFill="1" applyBorder="1" applyAlignment="1" applyProtection="1">
      <alignment horizontal="center" vertical="center" wrapText="1"/>
      <protection hidden="1"/>
    </xf>
    <xf numFmtId="0" fontId="31" fillId="3" borderId="4" xfId="0" applyFont="1" applyFill="1" applyBorder="1" applyAlignment="1" applyProtection="1">
      <alignment horizontal="center" vertical="center" wrapText="1"/>
      <protection hidden="1"/>
    </xf>
    <xf numFmtId="0" fontId="31" fillId="3" borderId="9" xfId="0" applyFont="1" applyFill="1" applyBorder="1" applyAlignment="1" applyProtection="1">
      <alignment horizontal="center" vertical="center" wrapText="1"/>
      <protection hidden="1"/>
    </xf>
    <xf numFmtId="0" fontId="31" fillId="3" borderId="7" xfId="0" applyFont="1" applyFill="1" applyBorder="1" applyAlignment="1" applyProtection="1">
      <alignment horizontal="center" vertical="center" wrapText="1"/>
      <protection hidden="1"/>
    </xf>
    <xf numFmtId="0" fontId="79" fillId="3" borderId="2" xfId="0" applyFont="1" applyFill="1" applyBorder="1" applyAlignment="1" applyProtection="1">
      <alignment horizontal="left" wrapText="1"/>
      <protection hidden="1"/>
    </xf>
    <xf numFmtId="171" fontId="27" fillId="3" borderId="1" xfId="0" applyNumberFormat="1" applyFont="1" applyFill="1" applyBorder="1" applyAlignment="1" applyProtection="1">
      <alignment horizontal="center" vertical="center"/>
      <protection locked="0"/>
    </xf>
    <xf numFmtId="164" fontId="18" fillId="3" borderId="1" xfId="0" applyNumberFormat="1" applyFont="1" applyFill="1" applyBorder="1" applyAlignment="1" applyProtection="1">
      <alignment horizontal="center" vertical="center" wrapText="1"/>
      <protection hidden="1"/>
    </xf>
    <xf numFmtId="176" fontId="27" fillId="3" borderId="1" xfId="0"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top" wrapText="1"/>
      <protection hidden="1"/>
    </xf>
    <xf numFmtId="0" fontId="18" fillId="3" borderId="8" xfId="0" applyFont="1" applyFill="1" applyBorder="1" applyAlignment="1" applyProtection="1">
      <alignment horizontal="center" vertical="top" wrapText="1"/>
      <protection locked="0"/>
    </xf>
    <xf numFmtId="0" fontId="18" fillId="3" borderId="6" xfId="0" applyFont="1" applyFill="1" applyBorder="1" applyAlignment="1" applyProtection="1">
      <alignment horizontal="center" vertical="top" wrapText="1"/>
      <protection locked="0"/>
    </xf>
    <xf numFmtId="0" fontId="18" fillId="3" borderId="4" xfId="0" applyFont="1" applyFill="1" applyBorder="1" applyAlignment="1" applyProtection="1">
      <alignment horizontal="center" vertical="top" wrapText="1"/>
      <protection locked="0"/>
    </xf>
    <xf numFmtId="0" fontId="18" fillId="3" borderId="9" xfId="0" applyFont="1" applyFill="1" applyBorder="1" applyAlignment="1" applyProtection="1">
      <alignment horizontal="center" vertical="top" wrapText="1"/>
      <protection locked="0"/>
    </xf>
    <xf numFmtId="164" fontId="18" fillId="3" borderId="1" xfId="0" applyNumberFormat="1" applyFont="1" applyFill="1" applyBorder="1" applyAlignment="1" applyProtection="1">
      <alignment horizontal="center" vertical="top" wrapText="1"/>
      <protection locked="0"/>
    </xf>
    <xf numFmtId="0" fontId="18" fillId="3" borderId="5" xfId="0" applyFont="1" applyFill="1" applyBorder="1" applyAlignment="1" applyProtection="1">
      <alignment horizontal="center" vertical="center" wrapText="1"/>
      <protection hidden="1"/>
    </xf>
    <xf numFmtId="0" fontId="18" fillId="3" borderId="10" xfId="0" applyFont="1" applyFill="1" applyBorder="1" applyAlignment="1" applyProtection="1">
      <alignment horizontal="center" vertical="center" wrapText="1"/>
      <protection hidden="1"/>
    </xf>
    <xf numFmtId="0" fontId="18" fillId="3" borderId="1" xfId="0" applyFont="1" applyFill="1" applyBorder="1" applyAlignment="1" applyProtection="1">
      <alignment horizontal="center" vertical="center"/>
      <protection hidden="1"/>
    </xf>
    <xf numFmtId="2" fontId="12" fillId="3" borderId="0" xfId="0" applyNumberFormat="1" applyFont="1" applyFill="1" applyBorder="1" applyAlignment="1" applyProtection="1">
      <alignment horizontal="center" vertical="center" wrapText="1"/>
      <protection locked="0"/>
    </xf>
    <xf numFmtId="0" fontId="27" fillId="3" borderId="1" xfId="0" applyFont="1" applyFill="1" applyBorder="1" applyAlignment="1" applyProtection="1">
      <alignment horizontal="center" vertical="top" wrapText="1"/>
      <protection locked="0"/>
    </xf>
    <xf numFmtId="0" fontId="1" fillId="14" borderId="0" xfId="0" applyFont="1" applyFill="1" applyAlignment="1" applyProtection="1">
      <alignment horizontal="left" vertical="center"/>
      <protection locked="0"/>
    </xf>
    <xf numFmtId="0" fontId="59" fillId="14" borderId="0" xfId="0" applyFont="1" applyFill="1" applyAlignment="1" applyProtection="1">
      <alignment horizontal="left" vertical="center"/>
      <protection locked="0"/>
    </xf>
    <xf numFmtId="0" fontId="12" fillId="14" borderId="0" xfId="0" applyFont="1" applyFill="1" applyAlignment="1" applyProtection="1">
      <alignment horizontal="left" vertical="center"/>
      <protection locked="0"/>
    </xf>
    <xf numFmtId="0" fontId="18" fillId="3" borderId="8" xfId="0" applyFont="1" applyFill="1" applyBorder="1" applyAlignment="1" applyProtection="1">
      <alignment horizontal="center" vertical="center" wrapText="1"/>
      <protection hidden="1"/>
    </xf>
    <xf numFmtId="0" fontId="18" fillId="3" borderId="6" xfId="0" applyFont="1" applyFill="1" applyBorder="1" applyAlignment="1" applyProtection="1">
      <alignment horizontal="center" vertical="center" wrapText="1"/>
      <protection hidden="1"/>
    </xf>
    <xf numFmtId="0" fontId="18" fillId="3" borderId="4" xfId="0" applyFont="1" applyFill="1" applyBorder="1" applyAlignment="1" applyProtection="1">
      <alignment horizontal="center" vertical="center" wrapText="1"/>
      <protection hidden="1"/>
    </xf>
    <xf numFmtId="0" fontId="18" fillId="3" borderId="9" xfId="0" applyFont="1" applyFill="1" applyBorder="1" applyAlignment="1" applyProtection="1">
      <alignment horizontal="center" vertical="center" wrapText="1"/>
      <protection hidden="1"/>
    </xf>
    <xf numFmtId="0" fontId="18" fillId="3" borderId="11" xfId="0" applyFont="1" applyFill="1" applyBorder="1" applyAlignment="1" applyProtection="1">
      <alignment horizontal="center" vertical="top" wrapText="1"/>
      <protection locked="0"/>
    </xf>
    <xf numFmtId="0" fontId="18" fillId="3" borderId="2" xfId="0" applyFont="1" applyFill="1" applyBorder="1" applyAlignment="1" applyProtection="1">
      <alignment horizontal="center" vertical="top" wrapText="1"/>
      <protection locked="0"/>
    </xf>
    <xf numFmtId="0" fontId="18" fillId="3" borderId="7" xfId="0" applyFont="1" applyFill="1" applyBorder="1" applyAlignment="1" applyProtection="1">
      <alignment horizontal="center" vertical="center" wrapText="1"/>
      <protection hidden="1"/>
    </xf>
    <xf numFmtId="0" fontId="18" fillId="3" borderId="3" xfId="0" applyFont="1" applyFill="1" applyBorder="1" applyAlignment="1" applyProtection="1">
      <alignment horizontal="center" vertical="center" wrapText="1"/>
      <protection hidden="1"/>
    </xf>
    <xf numFmtId="0" fontId="18" fillId="3" borderId="15" xfId="0" applyFont="1" applyFill="1" applyBorder="1" applyAlignment="1" applyProtection="1">
      <alignment horizontal="center" vertical="center" wrapText="1"/>
      <protection hidden="1"/>
    </xf>
    <xf numFmtId="0" fontId="18" fillId="3" borderId="13" xfId="0" applyFont="1" applyFill="1" applyBorder="1" applyAlignment="1" applyProtection="1">
      <alignment horizontal="center" vertical="center" wrapText="1"/>
      <protection hidden="1"/>
    </xf>
    <xf numFmtId="0" fontId="18" fillId="3" borderId="5" xfId="0" applyFont="1" applyFill="1" applyBorder="1" applyAlignment="1" applyProtection="1">
      <alignment horizontal="center" vertical="center"/>
      <protection hidden="1"/>
    </xf>
    <xf numFmtId="0" fontId="18" fillId="3" borderId="7" xfId="0" applyFont="1" applyFill="1" applyBorder="1" applyAlignment="1" applyProtection="1">
      <alignment horizontal="center" vertical="center"/>
      <protection hidden="1"/>
    </xf>
    <xf numFmtId="0" fontId="18" fillId="3" borderId="10" xfId="0" applyFont="1" applyFill="1" applyBorder="1" applyAlignment="1" applyProtection="1">
      <alignment horizontal="center" vertical="center"/>
      <protection hidden="1"/>
    </xf>
    <xf numFmtId="0" fontId="18" fillId="3" borderId="1" xfId="0" applyFont="1" applyFill="1" applyBorder="1" applyAlignment="1" applyProtection="1">
      <alignment horizontal="center" vertical="center" wrapText="1"/>
      <protection hidden="1"/>
    </xf>
    <xf numFmtId="171" fontId="18" fillId="13" borderId="8" xfId="0" applyNumberFormat="1" applyFont="1" applyFill="1" applyBorder="1" applyAlignment="1" applyProtection="1">
      <alignment horizontal="center" vertical="center"/>
      <protection locked="0"/>
    </xf>
    <xf numFmtId="171" fontId="18" fillId="13" borderId="6" xfId="0" applyNumberFormat="1" applyFont="1" applyFill="1" applyBorder="1" applyAlignment="1" applyProtection="1">
      <alignment horizontal="center" vertical="center"/>
      <protection locked="0"/>
    </xf>
    <xf numFmtId="171" fontId="18" fillId="13" borderId="4" xfId="0" applyNumberFormat="1" applyFont="1" applyFill="1" applyBorder="1" applyAlignment="1" applyProtection="1">
      <alignment horizontal="center" vertical="center"/>
      <protection locked="0"/>
    </xf>
    <xf numFmtId="171" fontId="18" fillId="13" borderId="9" xfId="0" applyNumberFormat="1" applyFont="1" applyFill="1" applyBorder="1" applyAlignment="1" applyProtection="1">
      <alignment horizontal="center" vertical="center"/>
      <protection locked="0"/>
    </xf>
    <xf numFmtId="171" fontId="18" fillId="4" borderId="8" xfId="0" applyNumberFormat="1" applyFont="1" applyFill="1" applyBorder="1" applyAlignment="1" applyProtection="1">
      <alignment horizontal="center" vertical="center"/>
      <protection hidden="1"/>
    </xf>
    <xf numFmtId="171" fontId="18" fillId="4" borderId="6" xfId="0" applyNumberFormat="1" applyFont="1" applyFill="1" applyBorder="1" applyAlignment="1" applyProtection="1">
      <alignment horizontal="center" vertical="center"/>
      <protection hidden="1"/>
    </xf>
    <xf numFmtId="171" fontId="18" fillId="4" borderId="4" xfId="0" applyNumberFormat="1" applyFont="1" applyFill="1" applyBorder="1" applyAlignment="1" applyProtection="1">
      <alignment horizontal="center" vertical="center"/>
      <protection hidden="1"/>
    </xf>
    <xf numFmtId="171" fontId="18" fillId="4" borderId="9" xfId="0" applyNumberFormat="1" applyFont="1" applyFill="1" applyBorder="1" applyAlignment="1" applyProtection="1">
      <alignment horizontal="center" vertical="center"/>
      <protection hidden="1"/>
    </xf>
    <xf numFmtId="0" fontId="29" fillId="3" borderId="1" xfId="0" quotePrefix="1" applyFont="1" applyFill="1" applyBorder="1" applyAlignment="1" applyProtection="1">
      <alignment horizontal="center" vertical="center"/>
      <protection hidden="1"/>
    </xf>
    <xf numFmtId="0" fontId="23" fillId="3" borderId="0" xfId="0" applyFont="1" applyFill="1" applyAlignment="1" applyProtection="1">
      <alignment horizontal="center" vertical="center"/>
      <protection hidden="1"/>
    </xf>
    <xf numFmtId="164" fontId="3" fillId="14" borderId="0" xfId="0" applyNumberFormat="1" applyFont="1" applyFill="1" applyAlignment="1" applyProtection="1">
      <alignment horizontal="left" vertical="center"/>
      <protection hidden="1"/>
    </xf>
    <xf numFmtId="171" fontId="18" fillId="4" borderId="8" xfId="0" applyNumberFormat="1" applyFont="1" applyFill="1" applyBorder="1" applyAlignment="1" applyProtection="1">
      <alignment horizontal="center" vertical="center" wrapText="1"/>
      <protection hidden="1"/>
    </xf>
    <xf numFmtId="171" fontId="18" fillId="4" borderId="6" xfId="0" applyNumberFormat="1" applyFont="1" applyFill="1" applyBorder="1" applyAlignment="1" applyProtection="1">
      <alignment horizontal="center" vertical="center" wrapText="1"/>
      <protection hidden="1"/>
    </xf>
    <xf numFmtId="171" fontId="18" fillId="4" borderId="4" xfId="0" applyNumberFormat="1" applyFont="1" applyFill="1" applyBorder="1" applyAlignment="1" applyProtection="1">
      <alignment horizontal="center" vertical="center" wrapText="1"/>
      <protection hidden="1"/>
    </xf>
    <xf numFmtId="171" fontId="18" fillId="4" borderId="9" xfId="0" applyNumberFormat="1" applyFont="1" applyFill="1" applyBorder="1" applyAlignment="1" applyProtection="1">
      <alignment horizontal="center" vertical="center" wrapText="1"/>
      <protection hidden="1"/>
    </xf>
    <xf numFmtId="164" fontId="18" fillId="13" borderId="8" xfId="0" applyNumberFormat="1" applyFont="1" applyFill="1" applyBorder="1" applyAlignment="1" applyProtection="1">
      <alignment horizontal="center" vertical="center"/>
      <protection locked="0"/>
    </xf>
    <xf numFmtId="164" fontId="18" fillId="13" borderId="6" xfId="0" applyNumberFormat="1" applyFont="1" applyFill="1" applyBorder="1" applyAlignment="1" applyProtection="1">
      <alignment horizontal="center" vertical="center"/>
      <protection locked="0"/>
    </xf>
    <xf numFmtId="164" fontId="18" fillId="13" borderId="4" xfId="0" applyNumberFormat="1" applyFont="1" applyFill="1" applyBorder="1" applyAlignment="1" applyProtection="1">
      <alignment horizontal="center" vertical="center"/>
      <protection locked="0"/>
    </xf>
    <xf numFmtId="164" fontId="18" fillId="13" borderId="9" xfId="0" applyNumberFormat="1" applyFont="1" applyFill="1" applyBorder="1" applyAlignment="1" applyProtection="1">
      <alignment horizontal="center" vertical="center"/>
      <protection locked="0"/>
    </xf>
    <xf numFmtId="2" fontId="134" fillId="0" borderId="0" xfId="0" applyNumberFormat="1" applyFont="1" applyBorder="1" applyAlignment="1">
      <alignment horizontal="center" vertical="center"/>
    </xf>
    <xf numFmtId="2" fontId="134" fillId="0" borderId="0" xfId="0" applyNumberFormat="1" applyFont="1" applyBorder="1" applyAlignment="1">
      <alignment horizontal="center" vertical="center" wrapText="1"/>
    </xf>
    <xf numFmtId="2" fontId="53" fillId="0" borderId="29" xfId="0" applyNumberFormat="1" applyFont="1" applyBorder="1" applyAlignment="1">
      <alignment horizontal="center" vertical="center"/>
    </xf>
    <xf numFmtId="2" fontId="53" fillId="0" borderId="33" xfId="0" applyNumberFormat="1" applyFont="1" applyBorder="1" applyAlignment="1">
      <alignment horizontal="center" vertical="center"/>
    </xf>
    <xf numFmtId="2" fontId="53" fillId="0" borderId="30" xfId="0" applyNumberFormat="1" applyFont="1" applyBorder="1" applyAlignment="1">
      <alignment horizontal="center" vertical="center"/>
    </xf>
    <xf numFmtId="2" fontId="53" fillId="0" borderId="23" xfId="0" applyNumberFormat="1" applyFont="1" applyBorder="1" applyAlignment="1">
      <alignment horizontal="center" vertical="center"/>
    </xf>
    <xf numFmtId="2" fontId="53" fillId="0" borderId="22" xfId="0" applyNumberFormat="1" applyFont="1" applyBorder="1" applyAlignment="1">
      <alignment horizontal="center" vertical="center"/>
    </xf>
    <xf numFmtId="2" fontId="53" fillId="0" borderId="21" xfId="0" applyNumberFormat="1" applyFont="1" applyBorder="1" applyAlignment="1">
      <alignment horizontal="center" vertical="center"/>
    </xf>
    <xf numFmtId="2" fontId="53" fillId="0" borderId="0" xfId="0" applyNumberFormat="1" applyFont="1" applyBorder="1" applyAlignment="1">
      <alignment horizontal="center" vertical="center"/>
    </xf>
    <xf numFmtId="1" fontId="13" fillId="3" borderId="0" xfId="0" applyNumberFormat="1" applyFont="1" applyFill="1" applyBorder="1" applyAlignment="1" applyProtection="1">
      <alignment horizontal="left" wrapText="1"/>
    </xf>
    <xf numFmtId="0" fontId="32" fillId="0" borderId="0" xfId="0" applyFont="1" applyBorder="1" applyAlignment="1" applyProtection="1">
      <alignment horizontal="right"/>
    </xf>
    <xf numFmtId="1" fontId="33" fillId="3" borderId="0" xfId="0" applyNumberFormat="1" applyFont="1" applyFill="1" applyBorder="1" applyAlignment="1" applyProtection="1">
      <alignment horizontal="center"/>
    </xf>
    <xf numFmtId="1" fontId="23" fillId="3" borderId="0" xfId="0" applyNumberFormat="1" applyFont="1" applyFill="1" applyBorder="1" applyAlignment="1" applyProtection="1">
      <alignment horizontal="center"/>
    </xf>
    <xf numFmtId="1" fontId="13" fillId="3" borderId="19" xfId="0" applyNumberFormat="1" applyFont="1" applyFill="1" applyBorder="1" applyAlignment="1" applyProtection="1">
      <alignment horizontal="left" wrapText="1"/>
    </xf>
    <xf numFmtId="1" fontId="13" fillId="3" borderId="20" xfId="0" applyNumberFormat="1" applyFont="1" applyFill="1" applyBorder="1" applyAlignment="1" applyProtection="1">
      <alignment horizontal="left" wrapText="1"/>
    </xf>
    <xf numFmtId="1" fontId="13" fillId="3" borderId="18" xfId="0" applyNumberFormat="1" applyFont="1" applyFill="1" applyBorder="1" applyAlignment="1" applyProtection="1">
      <alignment horizontal="left" wrapText="1"/>
    </xf>
    <xf numFmtId="0" fontId="32" fillId="0" borderId="0" xfId="0" applyFont="1" applyAlignment="1" applyProtection="1">
      <alignment horizontal="right"/>
    </xf>
    <xf numFmtId="1" fontId="23" fillId="3" borderId="0" xfId="0" applyNumberFormat="1" applyFont="1" applyFill="1" applyAlignment="1" applyProtection="1">
      <alignment horizontal="center"/>
    </xf>
    <xf numFmtId="1" fontId="33" fillId="3" borderId="0" xfId="0" applyNumberFormat="1" applyFont="1" applyFill="1" applyAlignment="1" applyProtection="1">
      <alignment horizontal="center"/>
    </xf>
    <xf numFmtId="1" fontId="48" fillId="3" borderId="19" xfId="0" applyNumberFormat="1" applyFont="1" applyFill="1" applyBorder="1" applyAlignment="1" applyProtection="1">
      <alignment horizontal="left" wrapText="1"/>
    </xf>
    <xf numFmtId="1" fontId="48" fillId="3" borderId="20" xfId="0" applyNumberFormat="1" applyFont="1" applyFill="1" applyBorder="1" applyAlignment="1" applyProtection="1">
      <alignment horizontal="left" wrapText="1"/>
    </xf>
    <xf numFmtId="1" fontId="48" fillId="3" borderId="18" xfId="0" applyNumberFormat="1" applyFont="1" applyFill="1" applyBorder="1" applyAlignment="1" applyProtection="1">
      <alignment horizontal="left" wrapText="1"/>
    </xf>
    <xf numFmtId="1" fontId="44" fillId="3" borderId="0" xfId="0" applyNumberFormat="1" applyFont="1" applyFill="1" applyAlignment="1" applyProtection="1">
      <alignment horizontal="center"/>
    </xf>
    <xf numFmtId="164" fontId="18" fillId="3" borderId="0" xfId="0" applyNumberFormat="1" applyFont="1" applyFill="1" applyBorder="1" applyAlignment="1" applyProtection="1">
      <alignment horizontal="center" vertical="top" wrapText="1"/>
    </xf>
    <xf numFmtId="0" fontId="18" fillId="3" borderId="0" xfId="0" applyFont="1" applyFill="1" applyBorder="1" applyAlignment="1" applyProtection="1">
      <alignment horizontal="center" vertical="top" wrapText="1"/>
    </xf>
    <xf numFmtId="0" fontId="45" fillId="3" borderId="1" xfId="0" applyFont="1" applyFill="1" applyBorder="1" applyAlignment="1" applyProtection="1">
      <alignment horizontal="center" vertical="center"/>
      <protection hidden="1"/>
    </xf>
    <xf numFmtId="0" fontId="69" fillId="0" borderId="8" xfId="0" applyFont="1" applyBorder="1" applyAlignment="1">
      <alignment horizontal="center" vertical="center"/>
    </xf>
    <xf numFmtId="0" fontId="69" fillId="0" borderId="11" xfId="0" applyFont="1" applyBorder="1" applyAlignment="1">
      <alignment horizontal="center" vertical="center"/>
    </xf>
    <xf numFmtId="0" fontId="69" fillId="0" borderId="6" xfId="0" applyFont="1" applyBorder="1" applyAlignment="1">
      <alignment horizontal="center" vertical="center"/>
    </xf>
    <xf numFmtId="0" fontId="69" fillId="0" borderId="4" xfId="0" applyFont="1" applyBorder="1" applyAlignment="1">
      <alignment horizontal="center" vertical="center"/>
    </xf>
    <xf numFmtId="0" fontId="69" fillId="0" borderId="2" xfId="0" applyFont="1" applyBorder="1" applyAlignment="1">
      <alignment horizontal="center" vertical="center"/>
    </xf>
    <xf numFmtId="0" fontId="69" fillId="0" borderId="9" xfId="0" applyFont="1" applyBorder="1" applyAlignment="1">
      <alignment horizontal="center" vertical="center"/>
    </xf>
    <xf numFmtId="0" fontId="49" fillId="0" borderId="1" xfId="0" applyFont="1" applyBorder="1" applyAlignment="1">
      <alignment horizontal="center"/>
    </xf>
    <xf numFmtId="0" fontId="49" fillId="0" borderId="1" xfId="0" applyFont="1" applyBorder="1" applyAlignment="1">
      <alignment horizontal="left"/>
    </xf>
    <xf numFmtId="171" fontId="49" fillId="0" borderId="1" xfId="0" applyNumberFormat="1" applyFont="1" applyBorder="1" applyAlignment="1">
      <alignment horizontal="left"/>
    </xf>
    <xf numFmtId="0" fontId="45" fillId="3" borderId="3" xfId="0" applyFont="1" applyFill="1" applyBorder="1" applyAlignment="1" applyProtection="1">
      <alignment horizontal="center" vertical="center"/>
      <protection hidden="1"/>
    </xf>
    <xf numFmtId="0" fontId="45" fillId="3" borderId="15" xfId="0" applyFont="1" applyFill="1" applyBorder="1" applyAlignment="1" applyProtection="1">
      <alignment horizontal="center" vertical="center"/>
      <protection hidden="1"/>
    </xf>
    <xf numFmtId="0" fontId="45" fillId="3" borderId="13" xfId="0" applyFont="1" applyFill="1" applyBorder="1" applyAlignment="1" applyProtection="1">
      <alignment horizontal="center" vertical="center"/>
      <protection hidden="1"/>
    </xf>
    <xf numFmtId="2" fontId="18" fillId="3" borderId="8" xfId="0" applyNumberFormat="1" applyFont="1" applyFill="1" applyBorder="1" applyAlignment="1" applyProtection="1">
      <alignment horizontal="center" vertical="center" wrapText="1"/>
      <protection hidden="1"/>
    </xf>
    <xf numFmtId="2" fontId="18" fillId="3" borderId="6" xfId="0" applyNumberFormat="1" applyFont="1" applyFill="1" applyBorder="1" applyAlignment="1" applyProtection="1">
      <alignment horizontal="center" vertical="center" wrapText="1"/>
      <protection hidden="1"/>
    </xf>
    <xf numFmtId="2" fontId="18" fillId="3" borderId="4" xfId="0" applyNumberFormat="1" applyFont="1" applyFill="1" applyBorder="1" applyAlignment="1" applyProtection="1">
      <alignment horizontal="center" vertical="center" wrapText="1"/>
      <protection hidden="1"/>
    </xf>
    <xf numFmtId="2" fontId="18" fillId="3" borderId="9" xfId="0" applyNumberFormat="1" applyFont="1" applyFill="1" applyBorder="1" applyAlignment="1" applyProtection="1">
      <alignment horizontal="center" vertical="center" wrapText="1"/>
      <protection hidden="1"/>
    </xf>
    <xf numFmtId="164" fontId="27" fillId="3" borderId="3" xfId="0" applyNumberFormat="1"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top" wrapText="1"/>
      <protection hidden="1"/>
    </xf>
    <xf numFmtId="0" fontId="12" fillId="3" borderId="6" xfId="0" applyFont="1" applyFill="1" applyBorder="1" applyAlignment="1" applyProtection="1">
      <alignment horizontal="center" vertical="top" wrapText="1"/>
      <protection hidden="1"/>
    </xf>
    <xf numFmtId="0" fontId="12" fillId="3" borderId="4" xfId="0" applyFont="1" applyFill="1" applyBorder="1" applyAlignment="1" applyProtection="1">
      <alignment horizontal="center" vertical="top" wrapText="1"/>
      <protection hidden="1"/>
    </xf>
    <xf numFmtId="0" fontId="12" fillId="3" borderId="9" xfId="0" applyFont="1" applyFill="1" applyBorder="1" applyAlignment="1" applyProtection="1">
      <alignment horizontal="center" vertical="top" wrapText="1"/>
      <protection hidden="1"/>
    </xf>
    <xf numFmtId="0" fontId="3" fillId="3" borderId="8" xfId="0" applyFont="1" applyFill="1" applyBorder="1" applyAlignment="1" applyProtection="1">
      <alignment horizontal="center" vertical="top" wrapText="1"/>
      <protection hidden="1"/>
    </xf>
    <xf numFmtId="0" fontId="3" fillId="3" borderId="3" xfId="0" applyFont="1" applyFill="1" applyBorder="1" applyAlignment="1" applyProtection="1">
      <alignment horizontal="center" vertical="top" wrapText="1"/>
      <protection hidden="1"/>
    </xf>
    <xf numFmtId="0" fontId="3" fillId="3" borderId="13" xfId="0" applyFont="1" applyFill="1" applyBorder="1" applyAlignment="1" applyProtection="1">
      <alignment horizontal="center" vertical="top" wrapText="1"/>
      <protection hidden="1"/>
    </xf>
    <xf numFmtId="171" fontId="72" fillId="3" borderId="6" xfId="0" applyNumberFormat="1" applyFont="1" applyFill="1" applyBorder="1" applyAlignment="1" applyProtection="1">
      <alignment horizontal="center" vertical="center"/>
      <protection locked="0"/>
    </xf>
    <xf numFmtId="171" fontId="72" fillId="3" borderId="9" xfId="0" applyNumberFormat="1" applyFont="1" applyFill="1" applyBorder="1" applyAlignment="1" applyProtection="1">
      <alignment horizontal="center" vertical="center"/>
      <protection locked="0"/>
    </xf>
    <xf numFmtId="0" fontId="27" fillId="3" borderId="3" xfId="0" applyFont="1" applyFill="1" applyBorder="1" applyAlignment="1" applyProtection="1">
      <alignment horizontal="center" vertical="top"/>
      <protection locked="0"/>
    </xf>
    <xf numFmtId="0" fontId="27" fillId="3" borderId="13" xfId="0" applyFont="1" applyFill="1" applyBorder="1" applyAlignment="1" applyProtection="1">
      <alignment horizontal="center" vertical="top"/>
      <protection locked="0"/>
    </xf>
    <xf numFmtId="0" fontId="27" fillId="3" borderId="0" xfId="0" applyFont="1" applyFill="1" applyBorder="1" applyAlignment="1" applyProtection="1">
      <alignment horizontal="center" vertical="center"/>
      <protection hidden="1"/>
    </xf>
    <xf numFmtId="171" fontId="12" fillId="3" borderId="0" xfId="0" applyNumberFormat="1" applyFont="1" applyFill="1" applyBorder="1" applyAlignment="1" applyProtection="1">
      <alignment horizontal="center"/>
      <protection hidden="1"/>
    </xf>
    <xf numFmtId="0" fontId="12" fillId="3" borderId="7" xfId="0" applyFont="1" applyFill="1" applyBorder="1" applyAlignment="1" applyProtection="1">
      <alignment horizontal="center" vertical="center"/>
      <protection hidden="1"/>
    </xf>
    <xf numFmtId="0" fontId="12" fillId="3" borderId="0" xfId="0" applyFont="1" applyFill="1" applyAlignment="1" applyProtection="1">
      <alignment horizontal="left"/>
      <protection hidden="1"/>
    </xf>
    <xf numFmtId="0" fontId="12" fillId="3" borderId="10" xfId="0" applyFont="1" applyFill="1" applyBorder="1" applyAlignment="1" applyProtection="1">
      <alignment horizontal="center" vertical="center"/>
      <protection hidden="1"/>
    </xf>
    <xf numFmtId="0" fontId="12" fillId="3" borderId="3" xfId="0" applyFont="1" applyFill="1" applyBorder="1" applyAlignment="1" applyProtection="1">
      <alignment horizontal="center"/>
      <protection hidden="1"/>
    </xf>
    <xf numFmtId="0" fontId="12" fillId="3" borderId="15" xfId="0" applyFont="1" applyFill="1" applyBorder="1" applyAlignment="1" applyProtection="1">
      <alignment horizontal="center"/>
      <protection hidden="1"/>
    </xf>
    <xf numFmtId="0" fontId="12" fillId="3" borderId="13" xfId="0" applyFont="1" applyFill="1" applyBorder="1" applyAlignment="1" applyProtection="1">
      <alignment horizontal="center"/>
      <protection hidden="1"/>
    </xf>
    <xf numFmtId="0" fontId="12" fillId="3" borderId="8" xfId="0" applyFont="1" applyFill="1" applyBorder="1" applyAlignment="1" applyProtection="1">
      <alignment horizontal="center" vertical="top"/>
      <protection hidden="1"/>
    </xf>
    <xf numFmtId="0" fontId="12" fillId="3" borderId="11" xfId="0" applyFont="1" applyFill="1" applyBorder="1" applyAlignment="1" applyProtection="1">
      <alignment horizontal="center" vertical="top"/>
      <protection hidden="1"/>
    </xf>
    <xf numFmtId="0" fontId="12" fillId="3" borderId="6" xfId="0" applyFont="1" applyFill="1" applyBorder="1" applyAlignment="1" applyProtection="1">
      <alignment horizontal="center" vertical="top"/>
      <protection hidden="1"/>
    </xf>
    <xf numFmtId="0" fontId="12" fillId="3" borderId="12" xfId="0" applyFont="1" applyFill="1" applyBorder="1" applyAlignment="1" applyProtection="1">
      <alignment horizontal="center" vertical="top"/>
      <protection hidden="1"/>
    </xf>
    <xf numFmtId="0" fontId="12" fillId="3" borderId="0" xfId="0" applyFont="1" applyFill="1" applyAlignment="1" applyProtection="1">
      <alignment horizontal="center" vertical="top"/>
      <protection hidden="1"/>
    </xf>
    <xf numFmtId="0" fontId="12" fillId="3" borderId="14" xfId="0" applyFont="1" applyFill="1" applyBorder="1" applyAlignment="1" applyProtection="1">
      <alignment horizontal="center" vertical="top"/>
      <protection hidden="1"/>
    </xf>
    <xf numFmtId="0" fontId="12" fillId="3" borderId="4" xfId="0" applyFont="1" applyFill="1" applyBorder="1" applyAlignment="1" applyProtection="1">
      <alignment horizontal="center"/>
      <protection hidden="1"/>
    </xf>
    <xf numFmtId="0" fontId="12" fillId="3" borderId="2" xfId="0" applyFont="1" applyFill="1" applyBorder="1" applyAlignment="1" applyProtection="1">
      <alignment horizontal="center"/>
      <protection hidden="1"/>
    </xf>
    <xf numFmtId="0" fontId="12" fillId="3" borderId="9" xfId="0"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3" fillId="3" borderId="1" xfId="0" applyFont="1" applyFill="1" applyBorder="1" applyAlignment="1" applyProtection="1">
      <alignment horizontal="center" vertical="top"/>
      <protection hidden="1"/>
    </xf>
    <xf numFmtId="0" fontId="23" fillId="3" borderId="0" xfId="0" applyFont="1" applyFill="1" applyAlignment="1" applyProtection="1">
      <alignment horizontal="center" vertical="center"/>
      <protection locked="0"/>
    </xf>
    <xf numFmtId="0" fontId="38" fillId="3" borderId="0" xfId="0" applyFont="1" applyFill="1" applyAlignment="1" applyProtection="1">
      <alignment horizontal="center" vertical="center"/>
      <protection locked="0"/>
    </xf>
    <xf numFmtId="0" fontId="3" fillId="3" borderId="4" xfId="0" applyFont="1" applyFill="1" applyBorder="1" applyAlignment="1" applyProtection="1">
      <alignment horizontal="center"/>
      <protection hidden="1"/>
    </xf>
    <xf numFmtId="0" fontId="3" fillId="3" borderId="5" xfId="0" applyFont="1" applyFill="1" applyBorder="1" applyAlignment="1" applyProtection="1">
      <alignment horizontal="center" vertical="top"/>
      <protection hidden="1"/>
    </xf>
    <xf numFmtId="0" fontId="12" fillId="3" borderId="1" xfId="0" applyFont="1" applyFill="1" applyBorder="1" applyAlignment="1" applyProtection="1">
      <alignment horizontal="center" vertical="top" wrapText="1"/>
      <protection hidden="1"/>
    </xf>
    <xf numFmtId="0" fontId="12" fillId="3" borderId="5" xfId="0" applyFont="1" applyFill="1" applyBorder="1" applyAlignment="1" applyProtection="1">
      <alignment horizontal="center" vertical="top" wrapText="1"/>
      <protection hidden="1"/>
    </xf>
    <xf numFmtId="0" fontId="12" fillId="3" borderId="11" xfId="0" applyFont="1" applyFill="1" applyBorder="1" applyAlignment="1" applyProtection="1">
      <alignment horizontal="center" vertical="top" wrapText="1"/>
      <protection hidden="1"/>
    </xf>
    <xf numFmtId="0" fontId="12" fillId="3" borderId="12" xfId="0" applyFont="1" applyFill="1" applyBorder="1" applyAlignment="1" applyProtection="1">
      <alignment horizontal="center" vertical="top" wrapText="1"/>
      <protection hidden="1"/>
    </xf>
    <xf numFmtId="0" fontId="12" fillId="3" borderId="0" xfId="0" applyFont="1" applyFill="1" applyAlignment="1" applyProtection="1">
      <alignment horizontal="center" vertical="top" wrapText="1"/>
      <protection hidden="1"/>
    </xf>
    <xf numFmtId="0" fontId="12" fillId="3" borderId="14" xfId="0" applyFont="1" applyFill="1" applyBorder="1" applyAlignment="1" applyProtection="1">
      <alignment horizontal="center" vertical="top" wrapText="1"/>
      <protection hidden="1"/>
    </xf>
    <xf numFmtId="164" fontId="12" fillId="3" borderId="3" xfId="0" applyNumberFormat="1" applyFont="1" applyFill="1" applyBorder="1" applyAlignment="1" applyProtection="1">
      <alignment horizontal="center"/>
      <protection hidden="1"/>
    </xf>
    <xf numFmtId="164" fontId="12" fillId="3" borderId="15" xfId="0" applyNumberFormat="1" applyFont="1" applyFill="1" applyBorder="1" applyAlignment="1" applyProtection="1">
      <alignment horizontal="center"/>
      <protection hidden="1"/>
    </xf>
    <xf numFmtId="164" fontId="12" fillId="3" borderId="13" xfId="0" applyNumberFormat="1" applyFont="1" applyFill="1" applyBorder="1" applyAlignment="1" applyProtection="1">
      <alignment horizontal="center"/>
      <protection hidden="1"/>
    </xf>
    <xf numFmtId="0" fontId="3" fillId="3" borderId="3" xfId="0" applyFont="1" applyFill="1" applyBorder="1" applyAlignment="1" applyProtection="1">
      <alignment horizontal="center"/>
      <protection hidden="1"/>
    </xf>
    <xf numFmtId="171" fontId="12" fillId="3" borderId="3" xfId="0" applyNumberFormat="1" applyFont="1" applyFill="1" applyBorder="1" applyAlignment="1" applyProtection="1">
      <alignment horizontal="center"/>
      <protection hidden="1"/>
    </xf>
    <xf numFmtId="171" fontId="12" fillId="3" borderId="15" xfId="0" applyNumberFormat="1" applyFont="1" applyFill="1" applyBorder="1" applyAlignment="1" applyProtection="1">
      <alignment horizontal="center"/>
      <protection hidden="1"/>
    </xf>
    <xf numFmtId="171" fontId="12" fillId="3" borderId="13" xfId="0" applyNumberFormat="1" applyFont="1" applyFill="1" applyBorder="1" applyAlignment="1" applyProtection="1">
      <alignment horizontal="center"/>
      <protection hidden="1"/>
    </xf>
    <xf numFmtId="0" fontId="3" fillId="3" borderId="7" xfId="0" applyFont="1" applyFill="1" applyBorder="1" applyAlignment="1" applyProtection="1">
      <alignment horizontal="center" vertical="center"/>
      <protection hidden="1"/>
    </xf>
    <xf numFmtId="164" fontId="71" fillId="3" borderId="5" xfId="0" applyNumberFormat="1" applyFont="1" applyFill="1" applyBorder="1" applyAlignment="1" applyProtection="1">
      <alignment horizontal="center" vertical="center"/>
      <protection hidden="1"/>
    </xf>
    <xf numFmtId="0" fontId="71" fillId="3" borderId="10" xfId="0" applyFont="1" applyFill="1" applyBorder="1" applyAlignment="1" applyProtection="1">
      <alignment horizontal="center" vertical="center"/>
      <protection hidden="1"/>
    </xf>
    <xf numFmtId="0" fontId="71" fillId="3" borderId="7" xfId="0" applyFont="1" applyFill="1" applyBorder="1" applyAlignment="1" applyProtection="1">
      <alignment horizontal="center" vertical="center"/>
      <protection hidden="1"/>
    </xf>
    <xf numFmtId="0" fontId="71" fillId="3" borderId="1" xfId="0" applyFont="1" applyFill="1" applyBorder="1" applyAlignment="1" applyProtection="1">
      <alignment horizontal="center" vertical="center"/>
      <protection hidden="1"/>
    </xf>
    <xf numFmtId="0" fontId="27" fillId="3" borderId="15" xfId="0" applyFont="1" applyFill="1" applyBorder="1" applyAlignment="1" applyProtection="1">
      <alignment horizontal="center" vertical="top"/>
      <protection locked="0"/>
    </xf>
    <xf numFmtId="166" fontId="28" fillId="3" borderId="1" xfId="0" quotePrefix="1" applyNumberFormat="1" applyFont="1" applyFill="1" applyBorder="1" applyAlignment="1" applyProtection="1">
      <alignment horizontal="center" vertical="center"/>
      <protection hidden="1"/>
    </xf>
    <xf numFmtId="0" fontId="12" fillId="3" borderId="10" xfId="0" applyFont="1" applyFill="1" applyBorder="1" applyAlignment="1" applyProtection="1">
      <alignment horizontal="center" vertical="center" wrapText="1"/>
      <protection hidden="1"/>
    </xf>
    <xf numFmtId="0" fontId="12" fillId="3" borderId="1" xfId="0" applyFont="1" applyFill="1" applyBorder="1" applyAlignment="1" applyProtection="1">
      <alignment horizontal="center"/>
      <protection hidden="1"/>
    </xf>
    <xf numFmtId="0" fontId="12" fillId="3" borderId="0" xfId="0" applyFont="1" applyFill="1" applyAlignment="1" applyProtection="1">
      <alignment horizontal="left" vertical="top" wrapText="1"/>
      <protection locked="0"/>
    </xf>
    <xf numFmtId="0" fontId="27" fillId="3" borderId="0" xfId="0" applyFont="1" applyFill="1" applyAlignment="1" applyProtection="1">
      <alignment horizontal="left"/>
      <protection locked="0"/>
    </xf>
    <xf numFmtId="0" fontId="3" fillId="3" borderId="1" xfId="0" applyFont="1" applyFill="1" applyBorder="1" applyAlignment="1" applyProtection="1">
      <alignment horizontal="center" vertical="top" wrapText="1"/>
      <protection hidden="1"/>
    </xf>
    <xf numFmtId="0" fontId="3" fillId="3" borderId="5" xfId="0" applyFont="1" applyFill="1" applyBorder="1" applyAlignment="1" applyProtection="1">
      <alignment horizontal="center" vertical="center" wrapText="1"/>
      <protection hidden="1"/>
    </xf>
    <xf numFmtId="0" fontId="75" fillId="3" borderId="0" xfId="0" applyFont="1" applyFill="1" applyAlignment="1" applyProtection="1">
      <alignment horizontal="center" vertical="center"/>
      <protection locked="0"/>
    </xf>
    <xf numFmtId="0" fontId="78" fillId="2" borderId="0" xfId="0" applyFont="1" applyFill="1" applyAlignment="1" applyProtection="1">
      <alignment horizontal="center" vertical="center"/>
      <protection locked="0"/>
    </xf>
    <xf numFmtId="0" fontId="80" fillId="2" borderId="0" xfId="0" applyFont="1" applyFill="1" applyAlignment="1" applyProtection="1">
      <alignment horizontal="left"/>
      <protection hidden="1"/>
    </xf>
    <xf numFmtId="0" fontId="80" fillId="2" borderId="8" xfId="0" applyFont="1" applyFill="1" applyBorder="1" applyAlignment="1" applyProtection="1">
      <alignment horizontal="center" vertical="top"/>
      <protection hidden="1"/>
    </xf>
    <xf numFmtId="0" fontId="80" fillId="2" borderId="11" xfId="0" applyFont="1" applyFill="1" applyBorder="1" applyAlignment="1" applyProtection="1">
      <alignment horizontal="center" vertical="top"/>
      <protection hidden="1"/>
    </xf>
    <xf numFmtId="0" fontId="80" fillId="2" borderId="6" xfId="0" applyFont="1" applyFill="1" applyBorder="1" applyAlignment="1" applyProtection="1">
      <alignment horizontal="center" vertical="top"/>
      <protection hidden="1"/>
    </xf>
    <xf numFmtId="0" fontId="80" fillId="2" borderId="12" xfId="0" applyFont="1" applyFill="1" applyBorder="1" applyAlignment="1" applyProtection="1">
      <alignment horizontal="center" vertical="top"/>
      <protection hidden="1"/>
    </xf>
    <xf numFmtId="0" fontId="80" fillId="2" borderId="0" xfId="0" applyFont="1" applyFill="1" applyAlignment="1" applyProtection="1">
      <alignment horizontal="center" vertical="top"/>
      <protection hidden="1"/>
    </xf>
    <xf numFmtId="0" fontId="80" fillId="2" borderId="14" xfId="0" applyFont="1" applyFill="1" applyBorder="1" applyAlignment="1" applyProtection="1">
      <alignment horizontal="center" vertical="top"/>
      <protection hidden="1"/>
    </xf>
    <xf numFmtId="0" fontId="80" fillId="2" borderId="8" xfId="0" applyFont="1" applyFill="1" applyBorder="1" applyAlignment="1" applyProtection="1">
      <alignment horizontal="center" vertical="top" wrapText="1"/>
      <protection hidden="1"/>
    </xf>
    <xf numFmtId="0" fontId="80" fillId="2" borderId="11" xfId="0" applyFont="1" applyFill="1" applyBorder="1" applyAlignment="1" applyProtection="1">
      <alignment horizontal="center" vertical="top" wrapText="1"/>
      <protection hidden="1"/>
    </xf>
    <xf numFmtId="0" fontId="80" fillId="2" borderId="6" xfId="0" applyFont="1" applyFill="1" applyBorder="1" applyAlignment="1" applyProtection="1">
      <alignment horizontal="center" vertical="top" wrapText="1"/>
      <protection hidden="1"/>
    </xf>
    <xf numFmtId="0" fontId="80" fillId="2" borderId="12" xfId="0" applyFont="1" applyFill="1" applyBorder="1" applyAlignment="1" applyProtection="1">
      <alignment horizontal="center" vertical="top" wrapText="1"/>
      <protection hidden="1"/>
    </xf>
    <xf numFmtId="0" fontId="80" fillId="2" borderId="0" xfId="0" applyFont="1" applyFill="1" applyAlignment="1" applyProtection="1">
      <alignment horizontal="center" vertical="top" wrapText="1"/>
      <protection hidden="1"/>
    </xf>
    <xf numFmtId="0" fontId="80" fillId="2" borderId="14" xfId="0" applyFont="1" applyFill="1" applyBorder="1" applyAlignment="1" applyProtection="1">
      <alignment horizontal="center" vertical="top" wrapText="1"/>
      <protection hidden="1"/>
    </xf>
    <xf numFmtId="0" fontId="80" fillId="2" borderId="1" xfId="0" applyFont="1" applyFill="1" applyBorder="1" applyAlignment="1" applyProtection="1">
      <alignment horizontal="center" vertical="top" wrapText="1"/>
      <protection hidden="1"/>
    </xf>
    <xf numFmtId="0" fontId="80" fillId="2" borderId="5" xfId="0" applyFont="1" applyFill="1" applyBorder="1" applyAlignment="1" applyProtection="1">
      <alignment horizontal="center" vertical="top" wrapText="1"/>
      <protection hidden="1"/>
    </xf>
    <xf numFmtId="0" fontId="80" fillId="2" borderId="4" xfId="0" applyFont="1" applyFill="1" applyBorder="1" applyAlignment="1" applyProtection="1">
      <alignment horizontal="center"/>
      <protection hidden="1"/>
    </xf>
    <xf numFmtId="0" fontId="80" fillId="2" borderId="2" xfId="0" applyFont="1" applyFill="1" applyBorder="1" applyAlignment="1" applyProtection="1">
      <alignment horizontal="center"/>
      <protection hidden="1"/>
    </xf>
    <xf numFmtId="0" fontId="80" fillId="2" borderId="9" xfId="0" applyFont="1" applyFill="1" applyBorder="1" applyAlignment="1" applyProtection="1">
      <alignment horizontal="center"/>
      <protection hidden="1"/>
    </xf>
    <xf numFmtId="0" fontId="80" fillId="2" borderId="3" xfId="0" applyFont="1" applyFill="1" applyBorder="1" applyAlignment="1" applyProtection="1">
      <alignment horizontal="center"/>
      <protection hidden="1"/>
    </xf>
    <xf numFmtId="0" fontId="80" fillId="2" borderId="15" xfId="0" applyFont="1" applyFill="1" applyBorder="1" applyAlignment="1" applyProtection="1">
      <alignment horizontal="center"/>
      <protection hidden="1"/>
    </xf>
    <xf numFmtId="0" fontId="80" fillId="2" borderId="13" xfId="0" applyFont="1" applyFill="1" applyBorder="1" applyAlignment="1" applyProtection="1">
      <alignment horizontal="center"/>
      <protection hidden="1"/>
    </xf>
    <xf numFmtId="164" fontId="80" fillId="2" borderId="3" xfId="0" applyNumberFormat="1" applyFont="1" applyFill="1" applyBorder="1" applyAlignment="1" applyProtection="1">
      <alignment horizontal="center"/>
      <protection hidden="1"/>
    </xf>
    <xf numFmtId="164" fontId="80" fillId="2" borderId="15" xfId="0" applyNumberFormat="1" applyFont="1" applyFill="1" applyBorder="1" applyAlignment="1" applyProtection="1">
      <alignment horizontal="center"/>
      <protection hidden="1"/>
    </xf>
    <xf numFmtId="164" fontId="80" fillId="2" borderId="13" xfId="0" applyNumberFormat="1" applyFont="1" applyFill="1" applyBorder="1" applyAlignment="1" applyProtection="1">
      <alignment horizontal="center"/>
      <protection hidden="1"/>
    </xf>
    <xf numFmtId="0" fontId="80" fillId="2" borderId="10" xfId="0" applyFont="1" applyFill="1" applyBorder="1" applyAlignment="1" applyProtection="1">
      <alignment horizontal="center" vertical="center"/>
      <protection hidden="1"/>
    </xf>
    <xf numFmtId="0" fontId="80" fillId="2" borderId="7" xfId="0" applyFont="1" applyFill="1" applyBorder="1" applyAlignment="1" applyProtection="1">
      <alignment horizontal="center" vertical="center"/>
      <protection hidden="1"/>
    </xf>
    <xf numFmtId="0" fontId="80" fillId="2" borderId="10" xfId="0" applyFont="1" applyFill="1" applyBorder="1" applyAlignment="1" applyProtection="1">
      <alignment horizontal="center" vertical="center" wrapText="1"/>
      <protection hidden="1"/>
    </xf>
    <xf numFmtId="0" fontId="80" fillId="2" borderId="5" xfId="0" applyFont="1" applyFill="1" applyBorder="1" applyAlignment="1" applyProtection="1">
      <alignment horizontal="center" vertical="center" wrapText="1"/>
      <protection hidden="1"/>
    </xf>
    <xf numFmtId="2" fontId="80" fillId="2" borderId="3" xfId="0" applyNumberFormat="1" applyFont="1" applyFill="1" applyBorder="1" applyAlignment="1" applyProtection="1">
      <alignment horizontal="center"/>
      <protection hidden="1"/>
    </xf>
    <xf numFmtId="2" fontId="80" fillId="2" borderId="15" xfId="0" applyNumberFormat="1" applyFont="1" applyFill="1" applyBorder="1" applyAlignment="1" applyProtection="1">
      <alignment horizontal="center"/>
      <protection hidden="1"/>
    </xf>
    <xf numFmtId="2" fontId="80" fillId="2" borderId="13" xfId="0" applyNumberFormat="1" applyFont="1" applyFill="1" applyBorder="1" applyAlignment="1" applyProtection="1">
      <alignment horizontal="center"/>
      <protection hidden="1"/>
    </xf>
    <xf numFmtId="0" fontId="80" fillId="2" borderId="1" xfId="0" applyFont="1" applyFill="1" applyBorder="1" applyAlignment="1" applyProtection="1">
      <alignment horizontal="center"/>
      <protection hidden="1"/>
    </xf>
    <xf numFmtId="0" fontId="80" fillId="3" borderId="1" xfId="0" applyFont="1" applyFill="1" applyBorder="1" applyAlignment="1" applyProtection="1">
      <alignment horizontal="center"/>
      <protection hidden="1"/>
    </xf>
    <xf numFmtId="166" fontId="90" fillId="2" borderId="1" xfId="0" quotePrefix="1" applyNumberFormat="1" applyFont="1" applyFill="1" applyBorder="1" applyAlignment="1" applyProtection="1">
      <alignment horizontal="center" vertical="center"/>
      <protection hidden="1"/>
    </xf>
    <xf numFmtId="0" fontId="80" fillId="2" borderId="0" xfId="0" applyFont="1" applyFill="1" applyAlignment="1" applyProtection="1">
      <alignment horizontal="center"/>
      <protection hidden="1"/>
    </xf>
    <xf numFmtId="0" fontId="89" fillId="2" borderId="0" xfId="0" applyFont="1" applyFill="1" applyAlignment="1" applyProtection="1">
      <alignment horizontal="left"/>
      <protection locked="0"/>
    </xf>
    <xf numFmtId="0" fontId="54" fillId="3" borderId="0" xfId="0" applyFont="1" applyFill="1" applyAlignment="1" applyProtection="1">
      <alignment horizontal="left" vertical="top" wrapText="1"/>
      <protection locked="0"/>
    </xf>
    <xf numFmtId="0" fontId="80" fillId="2" borderId="1" xfId="0" applyFont="1" applyFill="1" applyBorder="1" applyAlignment="1" applyProtection="1">
      <alignment horizontal="center" vertical="center"/>
      <protection hidden="1"/>
    </xf>
    <xf numFmtId="0" fontId="80" fillId="2" borderId="1" xfId="0" applyFont="1" applyFill="1" applyBorder="1" applyAlignment="1" applyProtection="1">
      <alignment horizontal="center" vertical="center" wrapText="1"/>
      <protection hidden="1"/>
    </xf>
    <xf numFmtId="0" fontId="80" fillId="0" borderId="3" xfId="0" applyFont="1" applyBorder="1" applyAlignment="1" applyProtection="1">
      <alignment horizontal="center" vertical="center" wrapText="1"/>
      <protection hidden="1"/>
    </xf>
    <xf numFmtId="0" fontId="80" fillId="0" borderId="13" xfId="0" applyFont="1" applyBorder="1" applyAlignment="1" applyProtection="1">
      <alignment horizontal="center" vertical="center" wrapText="1"/>
      <protection hidden="1"/>
    </xf>
    <xf numFmtId="0" fontId="80" fillId="0" borderId="5" xfId="0" applyFont="1" applyBorder="1" applyAlignment="1" applyProtection="1">
      <alignment horizontal="center" vertical="center" wrapText="1"/>
      <protection hidden="1"/>
    </xf>
    <xf numFmtId="0" fontId="80" fillId="0" borderId="10" xfId="0" applyFont="1" applyBorder="1" applyAlignment="1" applyProtection="1">
      <alignment horizontal="center" vertical="center" wrapText="1"/>
      <protection hidden="1"/>
    </xf>
    <xf numFmtId="0" fontId="80" fillId="0" borderId="7" xfId="0" applyFont="1" applyBorder="1" applyAlignment="1" applyProtection="1">
      <alignment horizontal="center" vertical="center" wrapText="1"/>
      <protection hidden="1"/>
    </xf>
    <xf numFmtId="0" fontId="80" fillId="2" borderId="8" xfId="0" applyFont="1" applyFill="1" applyBorder="1" applyAlignment="1" applyProtection="1">
      <alignment horizontal="center" vertical="center" wrapText="1"/>
      <protection hidden="1"/>
    </xf>
    <xf numFmtId="0" fontId="80" fillId="2" borderId="11" xfId="0" applyFont="1" applyFill="1" applyBorder="1" applyAlignment="1" applyProtection="1">
      <alignment horizontal="center" vertical="center"/>
      <protection hidden="1"/>
    </xf>
    <xf numFmtId="0" fontId="80" fillId="2" borderId="6" xfId="0" applyFont="1" applyFill="1" applyBorder="1" applyAlignment="1" applyProtection="1">
      <alignment horizontal="center" vertical="center"/>
      <protection hidden="1"/>
    </xf>
    <xf numFmtId="0" fontId="80" fillId="2" borderId="12" xfId="0" applyFont="1" applyFill="1" applyBorder="1" applyAlignment="1" applyProtection="1">
      <alignment horizontal="center" vertical="center"/>
      <protection hidden="1"/>
    </xf>
    <xf numFmtId="0" fontId="80" fillId="2" borderId="0" xfId="0" applyFont="1" applyFill="1" applyBorder="1" applyAlignment="1" applyProtection="1">
      <alignment horizontal="center" vertical="center"/>
      <protection hidden="1"/>
    </xf>
    <xf numFmtId="0" fontId="80" fillId="2" borderId="14" xfId="0" applyFont="1" applyFill="1" applyBorder="1" applyAlignment="1" applyProtection="1">
      <alignment horizontal="center" vertical="center"/>
      <protection hidden="1"/>
    </xf>
    <xf numFmtId="0" fontId="80" fillId="2" borderId="4" xfId="0" applyFont="1" applyFill="1" applyBorder="1" applyAlignment="1" applyProtection="1">
      <alignment horizontal="center" vertical="center"/>
      <protection hidden="1"/>
    </xf>
    <xf numFmtId="0" fontId="80" fillId="2" borderId="2" xfId="0" applyFont="1" applyFill="1" applyBorder="1" applyAlignment="1" applyProtection="1">
      <alignment horizontal="center" vertical="center"/>
      <protection hidden="1"/>
    </xf>
    <xf numFmtId="0" fontId="80" fillId="2" borderId="9" xfId="0" applyFont="1" applyFill="1" applyBorder="1" applyAlignment="1" applyProtection="1">
      <alignment horizontal="center" vertical="center"/>
      <protection hidden="1"/>
    </xf>
    <xf numFmtId="0" fontId="119" fillId="0" borderId="3" xfId="7" applyFont="1" applyBorder="1" applyAlignment="1">
      <alignment horizontal="left" vertical="top" wrapText="1"/>
    </xf>
    <xf numFmtId="0" fontId="119" fillId="0" borderId="15" xfId="7" applyFont="1" applyBorder="1" applyAlignment="1">
      <alignment horizontal="left" vertical="top" wrapText="1"/>
    </xf>
    <xf numFmtId="0" fontId="124" fillId="0" borderId="0" xfId="7" applyFont="1" applyAlignment="1" applyProtection="1">
      <alignment horizontal="center" vertical="center"/>
      <protection locked="0"/>
    </xf>
    <xf numFmtId="181" fontId="120" fillId="0" borderId="0" xfId="7" quotePrefix="1" applyNumberFormat="1" applyFont="1" applyAlignment="1" applyProtection="1">
      <alignment horizontal="center" vertical="center"/>
      <protection locked="0"/>
    </xf>
    <xf numFmtId="181" fontId="120" fillId="0" borderId="0" xfId="7" applyNumberFormat="1" applyFont="1" applyAlignment="1" applyProtection="1">
      <alignment horizontal="center" vertical="center"/>
      <protection locked="0"/>
    </xf>
    <xf numFmtId="0" fontId="119" fillId="0" borderId="0" xfId="7" applyFont="1" applyAlignment="1">
      <alignment horizontal="center"/>
    </xf>
    <xf numFmtId="0" fontId="123" fillId="0" borderId="0" xfId="7" applyFont="1" applyAlignment="1">
      <alignment horizontal="right" vertical="center"/>
    </xf>
    <xf numFmtId="0" fontId="116" fillId="0" borderId="0" xfId="7" applyFont="1" applyAlignment="1">
      <alignment horizontal="center"/>
    </xf>
    <xf numFmtId="0" fontId="120" fillId="0" borderId="0" xfId="7" quotePrefix="1" applyFont="1" applyAlignment="1" applyProtection="1">
      <alignment horizontal="left"/>
      <protection locked="0"/>
    </xf>
    <xf numFmtId="0" fontId="119" fillId="0" borderId="0" xfId="7" applyFont="1" applyAlignment="1">
      <alignment horizontal="left" vertical="center" wrapText="1"/>
    </xf>
    <xf numFmtId="0" fontId="122" fillId="0" borderId="0" xfId="7" quotePrefix="1" applyFont="1" applyAlignment="1" applyProtection="1">
      <alignment horizontal="left" vertical="center" wrapText="1"/>
      <protection locked="0"/>
    </xf>
    <xf numFmtId="11" fontId="120" fillId="0" borderId="0" xfId="7" quotePrefix="1" applyNumberFormat="1" applyFont="1" applyAlignment="1" applyProtection="1">
      <alignment horizontal="left"/>
      <protection locked="0"/>
    </xf>
    <xf numFmtId="0" fontId="120" fillId="0" borderId="0" xfId="7" applyFont="1" applyAlignment="1" applyProtection="1">
      <alignment horizontal="left"/>
      <protection locked="0"/>
    </xf>
    <xf numFmtId="0" fontId="119" fillId="0" borderId="0" xfId="7" applyFont="1" applyAlignment="1" applyProtection="1">
      <alignment horizontal="left" vertical="center" wrapText="1"/>
      <protection locked="0"/>
    </xf>
    <xf numFmtId="181" fontId="119" fillId="0" borderId="0" xfId="7" applyNumberFormat="1" applyFont="1" applyAlignment="1">
      <alignment horizontal="left" vertical="center" wrapText="1"/>
    </xf>
    <xf numFmtId="0" fontId="122" fillId="0" borderId="0" xfId="7" applyFont="1" applyAlignment="1" applyProtection="1">
      <alignment horizontal="left" vertical="center" wrapText="1"/>
      <protection locked="0"/>
    </xf>
    <xf numFmtId="0" fontId="119" fillId="0" borderId="0" xfId="7" applyFont="1" applyAlignment="1" applyProtection="1">
      <alignment horizontal="left" vertical="top" wrapText="1"/>
      <protection locked="0"/>
    </xf>
    <xf numFmtId="0" fontId="119" fillId="0" borderId="0" xfId="7" applyFont="1" applyAlignment="1" applyProtection="1">
      <alignment horizontal="justify" vertical="top" wrapText="1"/>
      <protection locked="0"/>
    </xf>
    <xf numFmtId="201" fontId="120" fillId="0" borderId="0" xfId="7" quotePrefix="1" applyNumberFormat="1" applyFont="1" applyAlignment="1" applyProtection="1">
      <alignment horizontal="left" vertical="center"/>
      <protection locked="0"/>
    </xf>
    <xf numFmtId="201" fontId="120" fillId="0" borderId="0" xfId="7" applyNumberFormat="1" applyFont="1" applyAlignment="1" applyProtection="1">
      <alignment horizontal="left" vertical="center"/>
      <protection locked="0"/>
    </xf>
    <xf numFmtId="0" fontId="119" fillId="0" borderId="0" xfId="7" applyFont="1" applyAlignment="1">
      <alignment horizontal="left" vertical="top" wrapText="1"/>
    </xf>
    <xf numFmtId="0" fontId="115" fillId="0" borderId="0" xfId="7" applyFont="1" applyAlignment="1">
      <alignment horizontal="center"/>
    </xf>
    <xf numFmtId="0" fontId="119" fillId="4" borderId="0" xfId="7" applyFont="1" applyFill="1" applyAlignment="1">
      <alignment horizontal="justify" vertical="center" wrapText="1"/>
    </xf>
    <xf numFmtId="0" fontId="118" fillId="0" borderId="0" xfId="7" applyFont="1" applyAlignment="1">
      <alignment horizontal="left" vertical="center" wrapText="1"/>
    </xf>
    <xf numFmtId="181" fontId="119" fillId="0" borderId="0" xfId="7" applyNumberFormat="1" applyFont="1" applyAlignment="1">
      <alignment horizontal="left" vertical="top" wrapText="1"/>
    </xf>
    <xf numFmtId="0" fontId="119" fillId="0" borderId="0" xfId="4" applyFont="1" applyAlignment="1">
      <alignment horizontal="left" vertical="center" wrapText="1"/>
    </xf>
    <xf numFmtId="0" fontId="122" fillId="0" borderId="0" xfId="4" quotePrefix="1" applyFont="1" applyAlignment="1">
      <alignment horizontal="left" vertical="center" wrapText="1"/>
    </xf>
    <xf numFmtId="0" fontId="124" fillId="0" borderId="0" xfId="4" applyFont="1" applyAlignment="1">
      <alignment horizontal="center" vertical="center"/>
    </xf>
    <xf numFmtId="181" fontId="120" fillId="0" borderId="0" xfId="4" quotePrefix="1" applyNumberFormat="1" applyFont="1" applyAlignment="1">
      <alignment horizontal="center" vertical="center"/>
    </xf>
    <xf numFmtId="181" fontId="120" fillId="0" borderId="0" xfId="4" applyNumberFormat="1" applyFont="1" applyAlignment="1">
      <alignment horizontal="center" vertical="center"/>
    </xf>
    <xf numFmtId="0" fontId="119" fillId="0" borderId="0" xfId="4" applyFont="1" applyAlignment="1">
      <alignment horizontal="center"/>
    </xf>
    <xf numFmtId="0" fontId="123" fillId="0" borderId="0" xfId="4" applyFont="1" applyAlignment="1">
      <alignment horizontal="right" vertical="center"/>
    </xf>
    <xf numFmtId="0" fontId="116" fillId="11" borderId="23" xfId="4" applyFont="1" applyFill="1" applyBorder="1" applyAlignment="1">
      <alignment horizontal="center"/>
    </xf>
    <xf numFmtId="0" fontId="116" fillId="11" borderId="22" xfId="4" applyFont="1" applyFill="1" applyBorder="1" applyAlignment="1">
      <alignment horizontal="center"/>
    </xf>
    <xf numFmtId="0" fontId="116" fillId="11" borderId="21" xfId="4" applyFont="1" applyFill="1" applyBorder="1" applyAlignment="1">
      <alignment horizontal="center"/>
    </xf>
    <xf numFmtId="0" fontId="119" fillId="0" borderId="3" xfId="4" applyFont="1" applyBorder="1" applyAlignment="1">
      <alignment horizontal="left" vertical="top" wrapText="1"/>
    </xf>
    <xf numFmtId="0" fontId="119" fillId="0" borderId="15" xfId="4" applyFont="1" applyBorder="1" applyAlignment="1">
      <alignment horizontal="left" vertical="top" wrapText="1"/>
    </xf>
    <xf numFmtId="11" fontId="120" fillId="0" borderId="0" xfId="4" quotePrefix="1" applyNumberFormat="1" applyFont="1" applyAlignment="1">
      <alignment horizontal="left"/>
    </xf>
    <xf numFmtId="0" fontId="120" fillId="0" borderId="0" xfId="4" applyFont="1" applyAlignment="1">
      <alignment horizontal="left"/>
    </xf>
    <xf numFmtId="0" fontId="119" fillId="0" borderId="0" xfId="4" applyFont="1" applyAlignment="1">
      <alignment horizontal="left" vertical="top" wrapText="1"/>
    </xf>
    <xf numFmtId="0" fontId="120" fillId="0" borderId="0" xfId="4" quotePrefix="1" applyFont="1" applyAlignment="1">
      <alignment horizontal="left"/>
    </xf>
    <xf numFmtId="0" fontId="122" fillId="0" borderId="0" xfId="4" applyFont="1" applyAlignment="1">
      <alignment horizontal="left" vertical="center" wrapText="1"/>
    </xf>
    <xf numFmtId="0" fontId="119" fillId="0" borderId="0" xfId="4" applyFont="1" applyAlignment="1" applyProtection="1">
      <alignment horizontal="justify" vertical="top" wrapText="1"/>
      <protection locked="0"/>
    </xf>
    <xf numFmtId="201" fontId="120" fillId="0" borderId="0" xfId="4" quotePrefix="1" applyNumberFormat="1" applyFont="1" applyAlignment="1">
      <alignment horizontal="left" vertical="center"/>
    </xf>
    <xf numFmtId="201" fontId="120" fillId="0" borderId="0" xfId="4" applyNumberFormat="1" applyFont="1" applyAlignment="1">
      <alignment horizontal="left" vertical="center"/>
    </xf>
    <xf numFmtId="0" fontId="118" fillId="0" borderId="0" xfId="4" applyFont="1" applyAlignment="1">
      <alignment horizontal="left" vertical="center" wrapText="1"/>
    </xf>
    <xf numFmtId="0" fontId="115" fillId="0" borderId="0" xfId="4" applyFont="1" applyAlignment="1">
      <alignment horizontal="center"/>
    </xf>
    <xf numFmtId="0" fontId="119" fillId="0" borderId="0" xfId="4" applyFont="1" applyAlignment="1">
      <alignment horizontal="justify" vertical="center" wrapText="1"/>
    </xf>
    <xf numFmtId="202" fontId="119" fillId="0" borderId="0" xfId="4" applyNumberFormat="1" applyFont="1" applyAlignment="1">
      <alignment horizontal="left" vertical="center" wrapText="1"/>
    </xf>
    <xf numFmtId="181" fontId="119" fillId="0" borderId="0" xfId="4" applyNumberFormat="1" applyFont="1" applyAlignment="1">
      <alignment horizontal="left" vertical="top" wrapText="1"/>
    </xf>
    <xf numFmtId="201" fontId="119" fillId="0" borderId="0" xfId="4" applyNumberFormat="1" applyFont="1" applyAlignment="1">
      <alignment horizontal="left" vertical="top" wrapText="1"/>
    </xf>
    <xf numFmtId="0" fontId="125" fillId="0" borderId="0" xfId="4" applyFont="1" applyAlignment="1">
      <alignment horizontal="left" vertical="center" wrapText="1"/>
    </xf>
    <xf numFmtId="0" fontId="122" fillId="0" borderId="0" xfId="4" quotePrefix="1" applyFont="1" applyAlignment="1">
      <alignment horizontal="center" vertical="center" wrapText="1"/>
    </xf>
    <xf numFmtId="0" fontId="6" fillId="0" borderId="0" xfId="4" applyAlignment="1">
      <alignment horizontal="center" vertical="center"/>
    </xf>
    <xf numFmtId="0" fontId="128" fillId="0" borderId="0" xfId="4" applyFont="1" applyAlignment="1">
      <alignment horizontal="center" vertical="center"/>
    </xf>
    <xf numFmtId="201" fontId="120" fillId="0" borderId="0" xfId="4" quotePrefix="1" applyNumberFormat="1" applyFont="1" applyAlignment="1">
      <alignment horizontal="center" vertical="center"/>
    </xf>
    <xf numFmtId="201" fontId="120" fillId="0" borderId="0" xfId="4" applyNumberFormat="1" applyFont="1" applyAlignment="1">
      <alignment horizontal="center" vertical="center"/>
    </xf>
    <xf numFmtId="0" fontId="126" fillId="0" borderId="0" xfId="4" applyFont="1" applyAlignment="1">
      <alignment horizontal="center" vertical="center"/>
    </xf>
    <xf numFmtId="0" fontId="126" fillId="0" borderId="0" xfId="4" applyFont="1" applyAlignment="1">
      <alignment horizontal="center"/>
    </xf>
    <xf numFmtId="0" fontId="125" fillId="0" borderId="0" xfId="4" applyFont="1" applyAlignment="1">
      <alignment horizontal="center"/>
    </xf>
    <xf numFmtId="11" fontId="120" fillId="0" borderId="0" xfId="4" quotePrefix="1" applyNumberFormat="1" applyFont="1" applyAlignment="1">
      <alignment horizontal="center" vertical="center"/>
    </xf>
    <xf numFmtId="0" fontId="120" fillId="0" borderId="0" xfId="4" applyFont="1" applyAlignment="1">
      <alignment horizontal="center" vertical="center"/>
    </xf>
    <xf numFmtId="0" fontId="125" fillId="0" borderId="3" xfId="4" applyFont="1" applyBorder="1" applyAlignment="1">
      <alignment horizontal="center" vertical="center"/>
    </xf>
    <xf numFmtId="0" fontId="125" fillId="0" borderId="13" xfId="4" applyFont="1" applyBorder="1" applyAlignment="1">
      <alignment horizontal="center" vertical="center"/>
    </xf>
    <xf numFmtId="0" fontId="125" fillId="0" borderId="3" xfId="4" applyFont="1" applyBorder="1" applyAlignment="1">
      <alignment horizontal="center" vertical="center" wrapText="1"/>
    </xf>
    <xf numFmtId="0" fontId="125" fillId="0" borderId="13" xfId="4" applyFont="1" applyBorder="1" applyAlignment="1">
      <alignment horizontal="center" vertical="center" wrapText="1"/>
    </xf>
    <xf numFmtId="0" fontId="125" fillId="0" borderId="0" xfId="4" applyFont="1" applyAlignment="1">
      <alignment horizontal="left" vertical="center"/>
    </xf>
  </cellXfs>
  <cellStyles count="8">
    <cellStyle name="Normal" xfId="0" builtinId="0"/>
    <cellStyle name="Normal 2" xfId="4" xr:uid="{00000000-0005-0000-0000-000001000000}"/>
    <cellStyle name="Normal 2 3" xfId="7" xr:uid="{8A44B21E-3C04-40AF-8EBA-01F96A0EA320}"/>
    <cellStyle name="Normal 3" xfId="5" xr:uid="{F3C8B465-CF97-4B11-96D5-7D51412F699E}"/>
    <cellStyle name="Normal 4" xfId="6" xr:uid="{17455778-BA11-439A-B8DF-4F46A42DEF80}"/>
    <cellStyle name="Normal_Daftar kelistrikan (ecg)" xfId="1" xr:uid="{00000000-0005-0000-0000-000002000000}"/>
    <cellStyle name="Normal_Sheet1" xfId="2" xr:uid="{00000000-0005-0000-0000-000003000000}"/>
    <cellStyle name="Normal_THERMOHYGRO 2010" xfId="3" xr:uid="{00000000-0005-0000-0000-000004000000}"/>
  </cellStyles>
  <dxfs count="0"/>
  <tableStyles count="0" defaultTableStyle="TableStyleMedium9" defaultPivotStyle="PivotStyleLight16"/>
  <colors>
    <mruColors>
      <color rgb="FF00FF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1375844</xdr:colOff>
      <xdr:row>70</xdr:row>
      <xdr:rowOff>184166</xdr:rowOff>
    </xdr:from>
    <xdr:to>
      <xdr:col>0</xdr:col>
      <xdr:colOff>1785419</xdr:colOff>
      <xdr:row>72</xdr:row>
      <xdr:rowOff>32191</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1375844" y="8703749"/>
          <a:ext cx="409575" cy="250192"/>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200</a:t>
          </a:r>
        </a:p>
      </xdr:txBody>
    </xdr:sp>
    <xdr:clientData/>
  </xdr:twoCellAnchor>
  <xdr:twoCellAnchor>
    <xdr:from>
      <xdr:col>0</xdr:col>
      <xdr:colOff>1375844</xdr:colOff>
      <xdr:row>69</xdr:row>
      <xdr:rowOff>199347</xdr:rowOff>
    </xdr:from>
    <xdr:to>
      <xdr:col>0</xdr:col>
      <xdr:colOff>1785419</xdr:colOff>
      <xdr:row>71</xdr:row>
      <xdr:rowOff>47371</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1375844" y="8517847"/>
          <a:ext cx="409575" cy="250191"/>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150</a:t>
          </a:r>
        </a:p>
      </xdr:txBody>
    </xdr:sp>
    <xdr:clientData/>
  </xdr:twoCellAnchor>
  <xdr:twoCellAnchor>
    <xdr:from>
      <xdr:col>0</xdr:col>
      <xdr:colOff>1365261</xdr:colOff>
      <xdr:row>69</xdr:row>
      <xdr:rowOff>2860</xdr:rowOff>
    </xdr:from>
    <xdr:to>
      <xdr:col>0</xdr:col>
      <xdr:colOff>1774836</xdr:colOff>
      <xdr:row>70</xdr:row>
      <xdr:rowOff>51967</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1365261" y="8321360"/>
          <a:ext cx="409575" cy="250190"/>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100</a:t>
          </a:r>
        </a:p>
      </xdr:txBody>
    </xdr:sp>
    <xdr:clientData/>
  </xdr:twoCellAnchor>
  <xdr:twoCellAnchor>
    <xdr:from>
      <xdr:col>0</xdr:col>
      <xdr:colOff>1407593</xdr:colOff>
      <xdr:row>68</xdr:row>
      <xdr:rowOff>7457</xdr:rowOff>
    </xdr:from>
    <xdr:to>
      <xdr:col>0</xdr:col>
      <xdr:colOff>1817168</xdr:colOff>
      <xdr:row>69</xdr:row>
      <xdr:rowOff>56565</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1407593" y="8124874"/>
          <a:ext cx="409575" cy="250191"/>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50</a:t>
          </a:r>
        </a:p>
      </xdr:txBody>
    </xdr:sp>
    <xdr:clientData/>
  </xdr:twoCellAnchor>
  <xdr:twoCellAnchor>
    <xdr:from>
      <xdr:col>0</xdr:col>
      <xdr:colOff>1449925</xdr:colOff>
      <xdr:row>66</xdr:row>
      <xdr:rowOff>191972</xdr:rowOff>
    </xdr:from>
    <xdr:to>
      <xdr:col>0</xdr:col>
      <xdr:colOff>1859500</xdr:colOff>
      <xdr:row>68</xdr:row>
      <xdr:rowOff>39996</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449925" y="7907222"/>
          <a:ext cx="409575" cy="250191"/>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0</a:t>
          </a:r>
        </a:p>
      </xdr:txBody>
    </xdr:sp>
    <xdr:clientData/>
  </xdr:twoCellAnchor>
  <xdr:twoCellAnchor>
    <xdr:from>
      <xdr:col>0</xdr:col>
      <xdr:colOff>179925</xdr:colOff>
      <xdr:row>66</xdr:row>
      <xdr:rowOff>191980</xdr:rowOff>
    </xdr:from>
    <xdr:to>
      <xdr:col>0</xdr:col>
      <xdr:colOff>642415</xdr:colOff>
      <xdr:row>74</xdr:row>
      <xdr:rowOff>10585</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179925" y="8108313"/>
          <a:ext cx="462490" cy="1226189"/>
          <a:chOff x="-52915" y="9639300"/>
          <a:chExt cx="462490" cy="1095984"/>
        </a:xfrm>
      </xdr:grpSpPr>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2332" y="10525734"/>
            <a:ext cx="409575" cy="209550"/>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150</a:t>
            </a:r>
          </a:p>
        </xdr:txBody>
      </xdr:sp>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2332" y="10351952"/>
            <a:ext cx="409575" cy="209550"/>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120</a:t>
            </a:r>
          </a:p>
        </xdr:txBody>
      </xdr:sp>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52915" y="10177923"/>
            <a:ext cx="409575" cy="209550"/>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100</a:t>
            </a:r>
          </a:p>
        </xdr:txBody>
      </xdr:sp>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31749" y="9995463"/>
            <a:ext cx="409575" cy="209550"/>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70</a:t>
            </a:r>
          </a:p>
        </xdr:txBody>
      </xdr:sp>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31749" y="9821597"/>
            <a:ext cx="409575" cy="209550"/>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50</a:t>
            </a:r>
          </a:p>
        </xdr:txBody>
      </xdr:sp>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0" y="9639300"/>
            <a:ext cx="409575" cy="209550"/>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0</a:t>
            </a:r>
          </a:p>
        </xdr:txBody>
      </xdr:sp>
    </xdr:grpSp>
    <xdr:clientData/>
  </xdr:twoCellAnchor>
  <xdr:twoCellAnchor>
    <xdr:from>
      <xdr:col>0</xdr:col>
      <xdr:colOff>1375877</xdr:colOff>
      <xdr:row>71</xdr:row>
      <xdr:rowOff>195992</xdr:rowOff>
    </xdr:from>
    <xdr:to>
      <xdr:col>0</xdr:col>
      <xdr:colOff>1785452</xdr:colOff>
      <xdr:row>73</xdr:row>
      <xdr:rowOff>0</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1375877" y="8916659"/>
          <a:ext cx="409575" cy="206174"/>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250</a:t>
          </a:r>
        </a:p>
      </xdr:txBody>
    </xdr:sp>
    <xdr:clientData/>
  </xdr:twoCellAnchor>
  <xdr:twoCellAnchor>
    <xdr:from>
      <xdr:col>0</xdr:col>
      <xdr:colOff>148167</xdr:colOff>
      <xdr:row>64</xdr:row>
      <xdr:rowOff>116419</xdr:rowOff>
    </xdr:from>
    <xdr:to>
      <xdr:col>0</xdr:col>
      <xdr:colOff>751418</xdr:colOff>
      <xdr:row>67</xdr:row>
      <xdr:rowOff>44777</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48167" y="7874002"/>
          <a:ext cx="603251" cy="288192"/>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Anak</a:t>
          </a:r>
        </a:p>
      </xdr:txBody>
    </xdr:sp>
    <xdr:clientData/>
  </xdr:twoCellAnchor>
  <xdr:twoCellAnchor>
    <xdr:from>
      <xdr:col>0</xdr:col>
      <xdr:colOff>1270011</xdr:colOff>
      <xdr:row>64</xdr:row>
      <xdr:rowOff>105837</xdr:rowOff>
    </xdr:from>
    <xdr:to>
      <xdr:col>0</xdr:col>
      <xdr:colOff>1873262</xdr:colOff>
      <xdr:row>67</xdr:row>
      <xdr:rowOff>34195</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1270011" y="7662337"/>
          <a:ext cx="603251" cy="288191"/>
        </a:xfrm>
        <a:prstGeom prst="rect">
          <a:avLst/>
        </a:prstGeom>
        <a:solidFill>
          <a:schemeClr val="lt1">
            <a:alpha val="0"/>
          </a:schemeClr>
        </a:solidFill>
        <a:ln w="9525" cmpd="sng">
          <a:solidFill>
            <a:schemeClr val="bg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id-ID" sz="1000">
              <a:latin typeface="+mn-lt"/>
            </a:rPr>
            <a:t>Dewasa</a:t>
          </a:r>
        </a:p>
      </xdr:txBody>
    </xdr:sp>
    <xdr:clientData/>
  </xdr:twoCellAnchor>
  <xdr:twoCellAnchor>
    <xdr:from>
      <xdr:col>0</xdr:col>
      <xdr:colOff>952501</xdr:colOff>
      <xdr:row>64</xdr:row>
      <xdr:rowOff>148167</xdr:rowOff>
    </xdr:from>
    <xdr:to>
      <xdr:col>0</xdr:col>
      <xdr:colOff>963077</xdr:colOff>
      <xdr:row>74</xdr:row>
      <xdr:rowOff>10586</xdr:rowOff>
    </xdr:to>
    <xdr:cxnSp macro="">
      <xdr:nvCxnSpPr>
        <xdr:cNvPr id="68" name="Straight Connector 67">
          <a:extLst>
            <a:ext uri="{FF2B5EF4-FFF2-40B4-BE49-F238E27FC236}">
              <a16:creationId xmlns:a16="http://schemas.microsoft.com/office/drawing/2014/main" id="{00000000-0008-0000-0100-000044000000}"/>
            </a:ext>
          </a:extLst>
        </xdr:cNvPr>
        <xdr:cNvCxnSpPr/>
      </xdr:nvCxnSpPr>
      <xdr:spPr>
        <a:xfrm>
          <a:off x="952501" y="7704667"/>
          <a:ext cx="10576" cy="142875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219075</xdr:colOff>
      <xdr:row>5</xdr:row>
      <xdr:rowOff>13150</xdr:rowOff>
    </xdr:from>
    <xdr:to>
      <xdr:col>14</xdr:col>
      <xdr:colOff>428625</xdr:colOff>
      <xdr:row>13</xdr:row>
      <xdr:rowOff>104775</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898975"/>
          <a:ext cx="2724150" cy="171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209550</xdr:colOff>
      <xdr:row>5</xdr:row>
      <xdr:rowOff>0</xdr:rowOff>
    </xdr:from>
    <xdr:to>
      <xdr:col>16</xdr:col>
      <xdr:colOff>623555</xdr:colOff>
      <xdr:row>8</xdr:row>
      <xdr:rowOff>47625</xdr:rowOff>
    </xdr:to>
    <xdr:pic>
      <xdr:nvPicPr>
        <xdr:cNvPr id="5" name="Picture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15750" y="885825"/>
          <a:ext cx="1480805"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228600</xdr:colOff>
      <xdr:row>9</xdr:row>
      <xdr:rowOff>0</xdr:rowOff>
    </xdr:from>
    <xdr:to>
      <xdr:col>19</xdr:col>
      <xdr:colOff>38100</xdr:colOff>
      <xdr:row>12</xdr:row>
      <xdr:rowOff>123825</xdr:rowOff>
    </xdr:to>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734800" y="1704975"/>
          <a:ext cx="2886075"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59</xdr:col>
      <xdr:colOff>112059</xdr:colOff>
      <xdr:row>8</xdr:row>
      <xdr:rowOff>56024</xdr:rowOff>
    </xdr:from>
    <xdr:to>
      <xdr:col>62</xdr:col>
      <xdr:colOff>364753</xdr:colOff>
      <xdr:row>10</xdr:row>
      <xdr:rowOff>429741</xdr:rowOff>
    </xdr:to>
    <xdr:pic>
      <xdr:nvPicPr>
        <xdr:cNvPr id="4" name="Pictur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50625" y="1148598"/>
          <a:ext cx="2886075"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49</xdr:col>
      <xdr:colOff>95249</xdr:colOff>
      <xdr:row>38</xdr:row>
      <xdr:rowOff>84045</xdr:rowOff>
    </xdr:from>
    <xdr:to>
      <xdr:col>51</xdr:col>
      <xdr:colOff>527073</xdr:colOff>
      <xdr:row>41</xdr:row>
      <xdr:rowOff>104855</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58606" y="9010331"/>
          <a:ext cx="1656468" cy="8644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4BCE-F66F-46B6-A366-854EE1AF3FA2}">
  <sheetPr codeName="Sheet4"/>
  <dimension ref="A2:E100"/>
  <sheetViews>
    <sheetView topLeftCell="A16" workbookViewId="0">
      <selection activeCell="G22" sqref="G22"/>
    </sheetView>
  </sheetViews>
  <sheetFormatPr defaultRowHeight="12.75" x14ac:dyDescent="0.2"/>
  <cols>
    <col min="1" max="1" width="9.140625" style="733"/>
    <col min="2" max="2" width="24.140625" customWidth="1"/>
    <col min="3" max="3" width="32.42578125" customWidth="1"/>
    <col min="4" max="4" width="66.85546875" customWidth="1"/>
  </cols>
  <sheetData>
    <row r="2" spans="1:5" x14ac:dyDescent="0.2">
      <c r="A2" s="1127" t="s">
        <v>3</v>
      </c>
      <c r="B2" s="1127" t="s">
        <v>360</v>
      </c>
      <c r="C2" s="1127" t="s">
        <v>361</v>
      </c>
      <c r="D2" s="1127"/>
      <c r="E2" s="1128" t="s">
        <v>374</v>
      </c>
    </row>
    <row r="3" spans="1:5" x14ac:dyDescent="0.2">
      <c r="A3" s="1127"/>
      <c r="B3" s="1127"/>
      <c r="C3" s="740" t="s">
        <v>362</v>
      </c>
      <c r="D3" s="742" t="s">
        <v>363</v>
      </c>
      <c r="E3" s="1128"/>
    </row>
    <row r="4" spans="1:5" x14ac:dyDescent="0.2">
      <c r="A4" s="729">
        <v>1</v>
      </c>
      <c r="B4" s="689">
        <v>44229</v>
      </c>
      <c r="C4" s="749" t="s">
        <v>35</v>
      </c>
      <c r="D4" s="750" t="s">
        <v>366</v>
      </c>
      <c r="E4" s="748" t="s">
        <v>375</v>
      </c>
    </row>
    <row r="5" spans="1:5" x14ac:dyDescent="0.2">
      <c r="A5" s="729">
        <v>2</v>
      </c>
      <c r="B5" s="690" t="s">
        <v>368</v>
      </c>
      <c r="C5" s="741" t="s">
        <v>136</v>
      </c>
      <c r="D5" s="737" t="s">
        <v>369</v>
      </c>
      <c r="E5" s="745" t="s">
        <v>376</v>
      </c>
    </row>
    <row r="6" spans="1:5" x14ac:dyDescent="0.2">
      <c r="A6" s="729">
        <v>3</v>
      </c>
      <c r="B6" s="690" t="s">
        <v>372</v>
      </c>
      <c r="C6" s="741" t="s">
        <v>136</v>
      </c>
      <c r="D6" s="737" t="s">
        <v>373</v>
      </c>
      <c r="E6" s="745" t="s">
        <v>376</v>
      </c>
    </row>
    <row r="7" spans="1:5" x14ac:dyDescent="0.2">
      <c r="A7" s="729">
        <v>4</v>
      </c>
      <c r="B7" s="690">
        <v>44320</v>
      </c>
      <c r="C7" s="741" t="s">
        <v>378</v>
      </c>
      <c r="D7" s="737" t="s">
        <v>379</v>
      </c>
      <c r="E7" s="748" t="s">
        <v>380</v>
      </c>
    </row>
    <row r="8" spans="1:5" ht="36" customHeight="1" x14ac:dyDescent="0.2">
      <c r="A8" s="729">
        <v>5</v>
      </c>
      <c r="B8" s="690" t="s">
        <v>395</v>
      </c>
      <c r="C8" s="738" t="s">
        <v>396</v>
      </c>
      <c r="D8" s="737" t="s">
        <v>397</v>
      </c>
      <c r="E8" s="747" t="s">
        <v>398</v>
      </c>
    </row>
    <row r="9" spans="1:5" ht="39" customHeight="1" x14ac:dyDescent="0.2">
      <c r="A9" s="729">
        <v>6</v>
      </c>
      <c r="B9" s="690" t="s">
        <v>399</v>
      </c>
      <c r="C9" s="738" t="s">
        <v>400</v>
      </c>
      <c r="D9" s="737" t="s">
        <v>401</v>
      </c>
      <c r="E9" s="744" t="s">
        <v>376</v>
      </c>
    </row>
    <row r="10" spans="1:5" x14ac:dyDescent="0.2">
      <c r="A10" s="729">
        <v>7</v>
      </c>
      <c r="B10" s="690" t="s">
        <v>404</v>
      </c>
      <c r="C10" s="741" t="s">
        <v>136</v>
      </c>
      <c r="D10" s="737" t="s">
        <v>137</v>
      </c>
      <c r="E10" s="746" t="s">
        <v>398</v>
      </c>
    </row>
    <row r="11" spans="1:5" ht="27" customHeight="1" x14ac:dyDescent="0.2">
      <c r="A11" s="727">
        <v>8</v>
      </c>
      <c r="B11" s="728" t="s">
        <v>405</v>
      </c>
      <c r="C11" s="738" t="s">
        <v>410</v>
      </c>
      <c r="D11" s="737" t="s">
        <v>406</v>
      </c>
      <c r="E11" s="746" t="s">
        <v>398</v>
      </c>
    </row>
    <row r="12" spans="1:5" s="734" customFormat="1" ht="25.5" x14ac:dyDescent="0.2">
      <c r="A12" s="730">
        <v>9</v>
      </c>
      <c r="B12" s="730" t="s">
        <v>411</v>
      </c>
      <c r="C12" s="751" t="s">
        <v>412</v>
      </c>
      <c r="D12" s="752" t="s">
        <v>413</v>
      </c>
      <c r="E12" s="744" t="s">
        <v>376</v>
      </c>
    </row>
    <row r="13" spans="1:5" ht="25.5" x14ac:dyDescent="0.2">
      <c r="A13" s="731">
        <v>10</v>
      </c>
      <c r="B13" s="690" t="s">
        <v>422</v>
      </c>
      <c r="C13" s="738" t="s">
        <v>423</v>
      </c>
      <c r="D13" s="743" t="s">
        <v>424</v>
      </c>
      <c r="E13" s="739" t="s">
        <v>376</v>
      </c>
    </row>
    <row r="14" spans="1:5" x14ac:dyDescent="0.2">
      <c r="A14" s="731">
        <v>11</v>
      </c>
      <c r="B14" s="731" t="s">
        <v>436</v>
      </c>
      <c r="C14" s="891" t="s">
        <v>437</v>
      </c>
      <c r="D14" s="890" t="s">
        <v>438</v>
      </c>
      <c r="E14" s="739" t="s">
        <v>376</v>
      </c>
    </row>
    <row r="15" spans="1:5" x14ac:dyDescent="0.2">
      <c r="A15" s="731">
        <v>12</v>
      </c>
      <c r="B15" s="731" t="s">
        <v>436</v>
      </c>
      <c r="C15" s="910"/>
      <c r="D15" s="890" t="s">
        <v>441</v>
      </c>
      <c r="E15" s="746" t="s">
        <v>398</v>
      </c>
    </row>
    <row r="16" spans="1:5" ht="20.25" customHeight="1" x14ac:dyDescent="0.2">
      <c r="A16" s="731">
        <v>13</v>
      </c>
      <c r="B16" s="731" t="s">
        <v>444</v>
      </c>
      <c r="C16" s="910"/>
      <c r="D16" s="890" t="s">
        <v>442</v>
      </c>
      <c r="E16" s="746" t="s">
        <v>398</v>
      </c>
    </row>
    <row r="17" spans="1:5" x14ac:dyDescent="0.2">
      <c r="A17" s="731">
        <v>14</v>
      </c>
      <c r="B17" s="731" t="s">
        <v>444</v>
      </c>
      <c r="C17" s="910"/>
      <c r="D17" s="890" t="s">
        <v>445</v>
      </c>
      <c r="E17" s="746" t="s">
        <v>446</v>
      </c>
    </row>
    <row r="18" spans="1:5" x14ac:dyDescent="0.2">
      <c r="A18" s="731">
        <v>15</v>
      </c>
      <c r="B18" s="976" t="s">
        <v>689</v>
      </c>
      <c r="C18" s="891"/>
      <c r="D18" s="977" t="s">
        <v>688</v>
      </c>
      <c r="E18" s="978" t="s">
        <v>398</v>
      </c>
    </row>
    <row r="19" spans="1:5" x14ac:dyDescent="0.2">
      <c r="A19" s="731">
        <v>16</v>
      </c>
      <c r="B19" s="988" t="s">
        <v>693</v>
      </c>
      <c r="C19" s="993" t="s">
        <v>692</v>
      </c>
      <c r="D19" s="977" t="s">
        <v>697</v>
      </c>
      <c r="E19" s="739" t="s">
        <v>376</v>
      </c>
    </row>
    <row r="20" spans="1:5" x14ac:dyDescent="0.2">
      <c r="A20" s="731">
        <v>17</v>
      </c>
      <c r="B20" s="988" t="s">
        <v>693</v>
      </c>
      <c r="C20" s="891" t="s">
        <v>695</v>
      </c>
      <c r="D20" s="977" t="s">
        <v>696</v>
      </c>
      <c r="E20" s="739" t="s">
        <v>376</v>
      </c>
    </row>
    <row r="21" spans="1:5" x14ac:dyDescent="0.2">
      <c r="A21" s="731">
        <v>18</v>
      </c>
      <c r="B21" s="988" t="s">
        <v>703</v>
      </c>
      <c r="C21" s="605" t="s">
        <v>701</v>
      </c>
      <c r="D21" s="977" t="s">
        <v>702</v>
      </c>
      <c r="E21" s="739" t="s">
        <v>376</v>
      </c>
    </row>
    <row r="22" spans="1:5" ht="89.25" x14ac:dyDescent="0.2">
      <c r="A22" s="1072">
        <v>19</v>
      </c>
      <c r="B22" s="1104" t="s">
        <v>772</v>
      </c>
      <c r="C22" s="1107" t="s">
        <v>136</v>
      </c>
      <c r="D22" s="1105" t="s">
        <v>771</v>
      </c>
      <c r="E22" s="1106" t="s">
        <v>376</v>
      </c>
    </row>
    <row r="23" spans="1:5" x14ac:dyDescent="0.2">
      <c r="A23" s="731">
        <v>20</v>
      </c>
      <c r="B23" s="988" t="s">
        <v>781</v>
      </c>
      <c r="C23" s="1123" t="s">
        <v>136</v>
      </c>
      <c r="D23" s="977" t="s">
        <v>782</v>
      </c>
      <c r="E23" s="1106" t="s">
        <v>376</v>
      </c>
    </row>
    <row r="24" spans="1:5" x14ac:dyDescent="0.2">
      <c r="C24" s="786"/>
    </row>
    <row r="100" spans="1:1" x14ac:dyDescent="0.2">
      <c r="A100" s="732" t="s">
        <v>690</v>
      </c>
    </row>
  </sheetData>
  <sheetProtection algorithmName="SHA-512" hashValue="GRi4unuCY0RQ4ezNGit0oQvuy5AwdKD8EPglxAcCInXG5We8ExXYQxOApV2ZLd+AlSmRhiR+14UbLK1KHjlcQw==" saltValue="ERFhwa7jbdwcZYv0fkIwHw==" spinCount="100000" sheet="1" objects="1" scenarios="1"/>
  <mergeCells count="4">
    <mergeCell ref="A2:A3"/>
    <mergeCell ref="B2:B3"/>
    <mergeCell ref="C2:D2"/>
    <mergeCell ref="E2:E3"/>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C1:DT186"/>
  <sheetViews>
    <sheetView showGridLines="0" view="pageBreakPreview" topLeftCell="A16" zoomScale="70" zoomScaleNormal="100" zoomScaleSheetLayoutView="70" workbookViewId="0">
      <selection activeCell="G31" sqref="G31"/>
    </sheetView>
  </sheetViews>
  <sheetFormatPr defaultColWidth="9.140625" defaultRowHeight="15.75" x14ac:dyDescent="0.25"/>
  <cols>
    <col min="1" max="1" width="3.140625" style="610" customWidth="1"/>
    <col min="2" max="2" width="10.140625" style="610" customWidth="1"/>
    <col min="3" max="3" width="16.7109375" style="610" customWidth="1"/>
    <col min="4" max="4" width="7.140625" style="610" customWidth="1"/>
    <col min="5" max="5" width="12.42578125" style="610" customWidth="1"/>
    <col min="6" max="6" width="8.5703125" style="610" customWidth="1"/>
    <col min="7" max="7" width="9.42578125" style="610" customWidth="1"/>
    <col min="8" max="8" width="10.140625" style="610" customWidth="1"/>
    <col min="9" max="9" width="4.7109375" style="610" customWidth="1"/>
    <col min="10" max="10" width="6.28515625" style="610" customWidth="1"/>
    <col min="11" max="11" width="14.7109375" style="610" customWidth="1"/>
    <col min="12" max="12" width="17.85546875" style="610" customWidth="1"/>
    <col min="13" max="13" width="14.85546875" style="610" customWidth="1"/>
    <col min="14" max="14" width="1.7109375" style="610" customWidth="1"/>
    <col min="15" max="15" width="16.7109375" style="610" customWidth="1"/>
    <col min="16" max="16" width="7.42578125" style="610" customWidth="1"/>
    <col min="17" max="17" width="13" style="610" customWidth="1"/>
    <col min="18" max="18" width="9.5703125" style="610" bestFit="1" customWidth="1"/>
    <col min="19" max="20" width="9.140625" style="610"/>
    <col min="21" max="22" width="6" style="610" customWidth="1"/>
    <col min="23" max="23" width="16.85546875" style="610" customWidth="1"/>
    <col min="24" max="24" width="18.28515625" style="610" customWidth="1"/>
    <col min="25" max="25" width="21.42578125" style="610" customWidth="1"/>
    <col min="26" max="26" width="0" style="610" hidden="1" customWidth="1"/>
    <col min="27" max="27" width="17.5703125" style="610" hidden="1" customWidth="1"/>
    <col min="28" max="31" width="0" style="610" hidden="1" customWidth="1"/>
    <col min="32" max="32" width="20.85546875" style="610" hidden="1" customWidth="1"/>
    <col min="33" max="34" width="0" style="610" hidden="1" customWidth="1"/>
    <col min="35" max="35" width="15.28515625" style="610" hidden="1" customWidth="1"/>
    <col min="36" max="36" width="22.7109375" style="610" hidden="1" customWidth="1"/>
    <col min="37" max="37" width="21.140625" style="611" hidden="1" customWidth="1"/>
    <col min="38" max="38" width="0" style="610" hidden="1" customWidth="1"/>
    <col min="39" max="39" width="15" style="610" hidden="1" customWidth="1"/>
    <col min="40" max="40" width="0" style="610" hidden="1" customWidth="1"/>
    <col min="41" max="41" width="13.7109375" style="610" hidden="1" customWidth="1"/>
    <col min="42" max="43" width="0" style="610" hidden="1" customWidth="1"/>
    <col min="44" max="44" width="19.28515625" style="610" hidden="1" customWidth="1"/>
    <col min="45" max="46" width="0" style="610" hidden="1" customWidth="1"/>
    <col min="47" max="47" width="15.85546875" style="610" hidden="1" customWidth="1"/>
    <col min="48" max="48" width="20.5703125" style="610" hidden="1" customWidth="1"/>
    <col min="49" max="49" width="19.42578125" style="610" hidden="1" customWidth="1"/>
    <col min="50" max="50" width="0" style="610" hidden="1" customWidth="1"/>
    <col min="51" max="53" width="9.140625" style="610"/>
    <col min="54" max="60" width="10.85546875" style="610" customWidth="1"/>
    <col min="61" max="61" width="19.42578125" style="610" customWidth="1"/>
    <col min="62" max="63" width="9.140625" style="610"/>
    <col min="64" max="64" width="26.7109375" style="610" customWidth="1"/>
    <col min="65" max="65" width="9.140625" style="610"/>
    <col min="66" max="66" width="20.7109375" style="610" customWidth="1"/>
    <col min="67" max="67" width="9.140625" style="610"/>
    <col min="68" max="68" width="17.5703125" style="610" customWidth="1"/>
    <col min="69" max="69" width="19.140625" style="881" customWidth="1"/>
    <col min="70" max="70" width="24.42578125" style="610" customWidth="1"/>
    <col min="71" max="71" width="9.140625" style="610"/>
    <col min="72" max="72" width="18.5703125" style="610" customWidth="1"/>
    <col min="73" max="73" width="9.140625" style="610"/>
    <col min="74" max="74" width="16.140625" style="610" customWidth="1"/>
    <col min="75" max="75" width="27.5703125" style="610" customWidth="1"/>
    <col min="76" max="76" width="16.140625" style="610" customWidth="1"/>
    <col min="77" max="77" width="9.140625" style="610"/>
    <col min="78" max="79" width="10.85546875" style="610" customWidth="1"/>
    <col min="80" max="80" width="27.5703125" style="610" customWidth="1"/>
    <col min="81" max="84" width="10.85546875" style="610" customWidth="1"/>
    <col min="85" max="89" width="9.140625" style="610"/>
    <col min="90" max="90" width="16.7109375" style="610" customWidth="1"/>
    <col min="91" max="91" width="9.140625" style="610"/>
    <col min="92" max="92" width="19" style="610" customWidth="1"/>
    <col min="93" max="97" width="9.140625" style="610"/>
    <col min="98" max="100" width="16.7109375" style="610" customWidth="1"/>
    <col min="101" max="16384" width="9.140625" style="610"/>
  </cols>
  <sheetData>
    <row r="1" spans="3:124" x14ac:dyDescent="0.25">
      <c r="BK1" s="610" t="s">
        <v>435</v>
      </c>
      <c r="BL1" s="871" t="s">
        <v>430</v>
      </c>
      <c r="BM1" s="872">
        <v>0</v>
      </c>
      <c r="BN1" s="876">
        <v>0.05</v>
      </c>
      <c r="BO1" s="874">
        <v>50</v>
      </c>
      <c r="BP1" s="876">
        <v>0.05</v>
      </c>
    </row>
    <row r="4" spans="3:124" ht="18.75" customHeight="1" x14ac:dyDescent="0.3">
      <c r="C4" s="1268" t="s">
        <v>163</v>
      </c>
      <c r="D4" s="1268"/>
      <c r="E4" s="1268"/>
      <c r="F4" s="1268"/>
      <c r="G4" s="1268"/>
      <c r="H4" s="1268"/>
      <c r="I4" s="1268"/>
      <c r="J4" s="1268"/>
      <c r="K4" s="1268"/>
      <c r="L4" s="1268"/>
      <c r="M4" s="1268"/>
      <c r="N4" s="1268"/>
      <c r="O4" s="1268"/>
      <c r="P4" s="1268"/>
      <c r="Q4" s="1268"/>
      <c r="R4" s="1268"/>
      <c r="S4" s="1268"/>
      <c r="T4" s="1268"/>
      <c r="U4" s="1268"/>
      <c r="V4" s="1268"/>
      <c r="W4" s="1268"/>
      <c r="X4" s="1267" t="s">
        <v>694</v>
      </c>
      <c r="Y4" s="1267"/>
      <c r="Z4" s="609"/>
      <c r="BB4" s="842"/>
      <c r="BC4" s="842"/>
      <c r="BD4" s="842"/>
      <c r="BE4" s="842"/>
      <c r="BF4" s="842"/>
      <c r="BG4" s="842"/>
      <c r="BH4" s="842"/>
      <c r="BI4" s="842"/>
      <c r="BJ4" s="842"/>
      <c r="BK4" s="842"/>
      <c r="BL4" s="842"/>
      <c r="BM4" s="842"/>
      <c r="BN4" s="1263"/>
      <c r="BO4" s="1263"/>
      <c r="BP4" s="1263"/>
      <c r="BQ4" s="1263"/>
      <c r="BR4" s="1263"/>
      <c r="BS4" s="1263"/>
      <c r="BT4" s="1263"/>
      <c r="BU4" s="1263"/>
      <c r="BV4" s="1263"/>
      <c r="BW4" s="1263"/>
      <c r="BX4" s="1263"/>
      <c r="BY4" s="1263"/>
      <c r="BZ4" s="1263"/>
      <c r="CA4" s="1263"/>
      <c r="CB4" s="1263"/>
      <c r="CC4" s="1263"/>
      <c r="CD4" s="1263"/>
      <c r="CE4" s="1263"/>
      <c r="CF4" s="1263"/>
      <c r="CG4" s="1263"/>
      <c r="CH4" s="1263"/>
      <c r="CI4" s="1263"/>
      <c r="CJ4" s="1263"/>
      <c r="CK4" s="1263"/>
      <c r="CL4" s="1263"/>
      <c r="CM4" s="1263"/>
      <c r="CN4" s="1263"/>
      <c r="CO4" s="1263"/>
      <c r="CP4" s="1263"/>
      <c r="CQ4" s="1263"/>
      <c r="CR4" s="1263"/>
      <c r="CS4" s="1263"/>
      <c r="CT4" s="1263"/>
      <c r="CU4" s="1261"/>
      <c r="CV4" s="1261"/>
      <c r="CW4" s="842"/>
      <c r="CX4" s="842"/>
      <c r="CY4" s="842"/>
      <c r="CZ4" s="842"/>
      <c r="DA4" s="842"/>
      <c r="DB4" s="842"/>
      <c r="DC4" s="842"/>
      <c r="DD4" s="842"/>
      <c r="DE4" s="842"/>
      <c r="DF4" s="842"/>
      <c r="DG4" s="842"/>
      <c r="DH4" s="842"/>
      <c r="DI4" s="842"/>
      <c r="DJ4" s="842"/>
      <c r="DK4" s="842"/>
      <c r="DL4" s="842"/>
      <c r="DM4" s="842"/>
      <c r="DN4" s="842"/>
      <c r="DO4" s="842"/>
      <c r="DP4" s="842"/>
      <c r="DQ4" s="842"/>
      <c r="DR4" s="842"/>
      <c r="DS4" s="842"/>
      <c r="DT4" s="842"/>
    </row>
    <row r="5" spans="3:124" ht="17.25" x14ac:dyDescent="0.3">
      <c r="C5" s="1269" t="str">
        <f>ID!D2&amp;" "&amp;ID!I2</f>
        <v>Nomor Sertifikat : 44 / 11 / II - 21 / E - 035.66 DL</v>
      </c>
      <c r="D5" s="1269"/>
      <c r="E5" s="1269"/>
      <c r="F5" s="1269"/>
      <c r="G5" s="1269"/>
      <c r="H5" s="1269"/>
      <c r="I5" s="1269"/>
      <c r="J5" s="1269"/>
      <c r="K5" s="1269"/>
      <c r="L5" s="1269"/>
      <c r="M5" s="1269"/>
      <c r="N5" s="1269"/>
      <c r="O5" s="1269"/>
      <c r="P5" s="1269"/>
      <c r="Q5" s="1269"/>
      <c r="R5" s="1269"/>
      <c r="S5" s="1269"/>
      <c r="T5" s="1269"/>
      <c r="U5" s="1269"/>
      <c r="V5" s="1269"/>
      <c r="W5" s="1269"/>
      <c r="X5" s="612"/>
      <c r="AA5" s="1273" t="s">
        <v>230</v>
      </c>
      <c r="AB5" s="1273"/>
      <c r="AC5" s="1273"/>
      <c r="AD5" s="1273"/>
      <c r="AE5" s="1273"/>
      <c r="AF5" s="1273"/>
      <c r="AG5" s="1273"/>
      <c r="AH5" s="1273"/>
      <c r="AI5" s="1273"/>
      <c r="AJ5" s="1273"/>
      <c r="AK5" s="1273"/>
      <c r="AL5" s="1273"/>
      <c r="AM5" s="1273"/>
      <c r="AN5" s="1273"/>
      <c r="AO5" s="1273"/>
      <c r="AP5" s="1273"/>
      <c r="AQ5" s="1273"/>
      <c r="AR5" s="1273"/>
      <c r="AS5" s="1273"/>
      <c r="AT5" s="1273"/>
      <c r="AU5" s="1273"/>
      <c r="AV5" s="1273"/>
      <c r="AW5" s="1273"/>
      <c r="BB5" s="842"/>
      <c r="BC5" s="842"/>
      <c r="BD5" s="842"/>
      <c r="BE5" s="842"/>
      <c r="BF5" s="842"/>
      <c r="BG5" s="842"/>
      <c r="BH5" s="842"/>
      <c r="BI5" s="842"/>
      <c r="BJ5" s="842"/>
      <c r="BK5" s="842"/>
      <c r="BL5" s="842"/>
      <c r="BM5" s="842"/>
      <c r="BN5" s="1262"/>
      <c r="BO5" s="1262"/>
      <c r="BP5" s="1262"/>
      <c r="BQ5" s="1262"/>
      <c r="BR5" s="1262"/>
      <c r="BS5" s="1262"/>
      <c r="BT5" s="1262"/>
      <c r="BU5" s="1262"/>
      <c r="BV5" s="1262"/>
      <c r="BW5" s="1262"/>
      <c r="BX5" s="1262"/>
      <c r="BY5" s="1262"/>
      <c r="BZ5" s="1262"/>
      <c r="CA5" s="1262"/>
      <c r="CB5" s="1262"/>
      <c r="CC5" s="1262"/>
      <c r="CD5" s="1262"/>
      <c r="CE5" s="1262"/>
      <c r="CF5" s="1262"/>
      <c r="CG5" s="1262"/>
      <c r="CH5" s="1262"/>
      <c r="CI5" s="1262"/>
      <c r="CJ5" s="1262"/>
      <c r="CK5" s="1262"/>
      <c r="CL5" s="1262"/>
      <c r="CM5" s="1262"/>
      <c r="CN5" s="1262"/>
      <c r="CO5" s="1262"/>
      <c r="CP5" s="1262"/>
      <c r="CQ5" s="1262"/>
      <c r="CR5" s="1262"/>
      <c r="CS5" s="1262"/>
      <c r="CT5" s="1262"/>
      <c r="CU5" s="843"/>
      <c r="CV5" s="842"/>
      <c r="CW5" s="842"/>
      <c r="CX5" s="842"/>
      <c r="CY5" s="842"/>
      <c r="CZ5" s="842"/>
      <c r="DA5" s="842"/>
      <c r="DB5" s="842"/>
      <c r="DC5" s="842"/>
      <c r="DD5" s="842"/>
      <c r="DE5" s="842"/>
      <c r="DF5" s="842"/>
      <c r="DG5" s="842"/>
      <c r="DH5" s="842"/>
      <c r="DI5" s="842"/>
      <c r="DJ5" s="842"/>
      <c r="DK5" s="842"/>
      <c r="DL5" s="842"/>
      <c r="DM5" s="842"/>
      <c r="DN5" s="842"/>
      <c r="DO5" s="842"/>
      <c r="DP5" s="842"/>
      <c r="DQ5" s="842"/>
      <c r="DR5" s="842"/>
      <c r="DS5" s="842"/>
      <c r="DT5" s="842"/>
    </row>
    <row r="6" spans="3:124" ht="1.5" customHeight="1" x14ac:dyDescent="0.25">
      <c r="BB6" s="842"/>
      <c r="BC6" s="842"/>
      <c r="BD6" s="842"/>
      <c r="BE6" s="842"/>
      <c r="BF6" s="842"/>
      <c r="BG6" s="842"/>
      <c r="BH6" s="842"/>
      <c r="BI6" s="842"/>
      <c r="BJ6" s="842"/>
      <c r="BK6" s="842"/>
      <c r="BL6" s="842"/>
      <c r="BM6" s="842"/>
      <c r="BN6" s="842"/>
      <c r="BO6" s="842"/>
      <c r="BP6" s="842"/>
      <c r="BQ6" s="882"/>
      <c r="BR6" s="842"/>
      <c r="BS6" s="842"/>
      <c r="BT6" s="842"/>
      <c r="BU6" s="842"/>
      <c r="BV6" s="842"/>
      <c r="BW6" s="842"/>
      <c r="BX6" s="842"/>
      <c r="BY6" s="842"/>
      <c r="BZ6" s="842"/>
      <c r="CA6" s="842"/>
      <c r="CB6" s="842"/>
      <c r="CC6" s="842"/>
      <c r="CD6" s="842"/>
      <c r="CE6" s="842"/>
      <c r="CF6" s="842"/>
      <c r="CG6" s="842"/>
      <c r="CH6" s="842"/>
      <c r="CI6" s="842"/>
      <c r="CJ6" s="842"/>
      <c r="CK6" s="842"/>
      <c r="CL6" s="842"/>
      <c r="CM6" s="842"/>
      <c r="CN6" s="842"/>
      <c r="CO6" s="842"/>
      <c r="CP6" s="842"/>
      <c r="CQ6" s="842"/>
      <c r="CR6" s="842"/>
      <c r="CS6" s="842"/>
      <c r="CT6" s="842"/>
      <c r="CU6" s="842"/>
      <c r="CV6" s="842"/>
      <c r="CW6" s="842"/>
      <c r="CX6" s="842"/>
      <c r="CY6" s="842"/>
      <c r="CZ6" s="842"/>
      <c r="DA6" s="842"/>
      <c r="DB6" s="842"/>
      <c r="DC6" s="842"/>
      <c r="DD6" s="842"/>
      <c r="DE6" s="842"/>
      <c r="DF6" s="842"/>
      <c r="DG6" s="842"/>
      <c r="DH6" s="842"/>
      <c r="DI6" s="842"/>
      <c r="DJ6" s="842"/>
      <c r="DK6" s="842"/>
      <c r="DL6" s="842"/>
      <c r="DM6" s="842"/>
      <c r="DN6" s="842"/>
      <c r="DO6" s="842"/>
      <c r="DP6" s="842"/>
      <c r="DQ6" s="842"/>
      <c r="DR6" s="842"/>
      <c r="DS6" s="842"/>
      <c r="DT6" s="842"/>
    </row>
    <row r="7" spans="3:124" ht="1.5" customHeight="1" x14ac:dyDescent="0.25">
      <c r="BB7" s="842"/>
      <c r="BC7" s="842"/>
      <c r="BD7" s="842"/>
      <c r="BE7" s="842"/>
      <c r="BF7" s="842"/>
      <c r="BG7" s="842"/>
      <c r="BH7" s="842"/>
      <c r="BI7" s="842"/>
      <c r="BJ7" s="842"/>
      <c r="BK7" s="842"/>
      <c r="BL7" s="842"/>
      <c r="BM7" s="842"/>
      <c r="BN7" s="842"/>
      <c r="BO7" s="842"/>
      <c r="BP7" s="842"/>
      <c r="BQ7" s="882"/>
      <c r="BR7" s="842"/>
      <c r="BS7" s="842"/>
      <c r="BT7" s="842"/>
      <c r="BU7" s="842"/>
      <c r="BV7" s="842"/>
      <c r="BW7" s="842"/>
      <c r="BX7" s="842"/>
      <c r="BY7" s="842"/>
      <c r="BZ7" s="842"/>
      <c r="CA7" s="842"/>
      <c r="CB7" s="842"/>
      <c r="CC7" s="842"/>
      <c r="CD7" s="842"/>
      <c r="CE7" s="842"/>
      <c r="CF7" s="842"/>
      <c r="CG7" s="842"/>
      <c r="CH7" s="842"/>
      <c r="CI7" s="842"/>
      <c r="CJ7" s="842"/>
      <c r="CK7" s="842"/>
      <c r="CL7" s="842"/>
      <c r="CM7" s="842"/>
      <c r="CN7" s="842"/>
      <c r="CO7" s="842"/>
      <c r="CP7" s="842"/>
      <c r="CQ7" s="842"/>
      <c r="CR7" s="842"/>
      <c r="CS7" s="842"/>
      <c r="CT7" s="842"/>
      <c r="CU7" s="842"/>
      <c r="CV7" s="842"/>
      <c r="CW7" s="842"/>
      <c r="CX7" s="842"/>
      <c r="CY7" s="842"/>
      <c r="CZ7" s="842"/>
      <c r="DA7" s="842"/>
      <c r="DB7" s="842"/>
      <c r="DC7" s="842"/>
      <c r="DD7" s="842"/>
      <c r="DE7" s="842"/>
      <c r="DF7" s="842"/>
      <c r="DG7" s="842"/>
      <c r="DH7" s="842"/>
      <c r="DI7" s="842"/>
      <c r="DJ7" s="842"/>
      <c r="DK7" s="842"/>
      <c r="DL7" s="842"/>
      <c r="DM7" s="842"/>
      <c r="DN7" s="842"/>
      <c r="DO7" s="842"/>
      <c r="DP7" s="842"/>
      <c r="DQ7" s="842"/>
      <c r="DR7" s="842"/>
      <c r="DS7" s="842"/>
      <c r="DT7" s="842"/>
    </row>
    <row r="8" spans="3:124" ht="1.5" customHeight="1" x14ac:dyDescent="0.25">
      <c r="BB8" s="842"/>
      <c r="BC8" s="842"/>
      <c r="BD8" s="842"/>
      <c r="BE8" s="842"/>
      <c r="BF8" s="842"/>
      <c r="BG8" s="842"/>
      <c r="BH8" s="842"/>
      <c r="BI8" s="842"/>
      <c r="BJ8" s="842"/>
      <c r="BK8" s="842"/>
      <c r="BL8" s="842"/>
      <c r="BM8" s="842"/>
      <c r="BN8" s="842"/>
      <c r="BO8" s="842"/>
      <c r="BP8" s="842"/>
      <c r="BQ8" s="882"/>
      <c r="BR8" s="842"/>
      <c r="BS8" s="842"/>
      <c r="BT8" s="842"/>
      <c r="BU8" s="842"/>
      <c r="BV8" s="842"/>
      <c r="BW8" s="842"/>
      <c r="BX8" s="842"/>
      <c r="BY8" s="842"/>
      <c r="BZ8" s="842"/>
      <c r="CA8" s="842"/>
      <c r="CB8" s="842"/>
      <c r="CC8" s="842"/>
      <c r="CD8" s="842"/>
      <c r="CE8" s="842"/>
      <c r="CF8" s="842"/>
      <c r="CG8" s="842"/>
      <c r="CH8" s="842"/>
      <c r="CI8" s="842"/>
      <c r="CJ8" s="842"/>
      <c r="CK8" s="842"/>
      <c r="CL8" s="842"/>
      <c r="CM8" s="842"/>
      <c r="CN8" s="842"/>
      <c r="CO8" s="842"/>
      <c r="CP8" s="842"/>
      <c r="CQ8" s="842"/>
      <c r="CR8" s="842"/>
      <c r="CS8" s="842"/>
      <c r="CT8" s="842"/>
      <c r="CU8" s="842"/>
      <c r="CV8" s="842"/>
      <c r="CW8" s="842"/>
      <c r="CX8" s="842"/>
      <c r="CY8" s="842"/>
      <c r="CZ8" s="842"/>
      <c r="DA8" s="842"/>
      <c r="DB8" s="842"/>
      <c r="DC8" s="842"/>
      <c r="DD8" s="842"/>
      <c r="DE8" s="842"/>
      <c r="DF8" s="842"/>
      <c r="DG8" s="842"/>
      <c r="DH8" s="842"/>
      <c r="DI8" s="842"/>
      <c r="DJ8" s="842"/>
      <c r="DK8" s="842"/>
      <c r="DL8" s="842"/>
      <c r="DM8" s="842"/>
      <c r="DN8" s="842"/>
      <c r="DO8" s="842"/>
      <c r="DP8" s="842"/>
      <c r="DQ8" s="842"/>
      <c r="DR8" s="842"/>
      <c r="DS8" s="842"/>
      <c r="DT8" s="842"/>
    </row>
    <row r="9" spans="3:124" ht="18.75" customHeight="1" x14ac:dyDescent="0.25">
      <c r="C9" s="613">
        <f>ID!A68</f>
        <v>0</v>
      </c>
      <c r="D9" s="614" t="str">
        <f>D10</f>
        <v>mmHg</v>
      </c>
      <c r="O9" s="615">
        <f>ID!A71</f>
        <v>150</v>
      </c>
      <c r="P9" s="616" t="str">
        <f>P10</f>
        <v>mmHg</v>
      </c>
      <c r="Q9" s="617"/>
      <c r="R9" s="617"/>
      <c r="S9" s="618"/>
      <c r="T9" s="618"/>
      <c r="U9" s="618"/>
      <c r="V9" s="618"/>
      <c r="W9" s="618"/>
      <c r="X9" s="619"/>
      <c r="Y9" s="620"/>
      <c r="AA9" s="621" t="e">
        <f>ID!#REF!</f>
        <v>#REF!</v>
      </c>
      <c r="AB9" s="622">
        <f>AB10</f>
        <v>0</v>
      </c>
      <c r="AC9" s="623"/>
      <c r="AD9" s="623"/>
      <c r="AE9" s="623"/>
      <c r="AF9" s="623"/>
      <c r="AG9" s="623"/>
      <c r="AH9" s="623"/>
      <c r="AI9" s="623"/>
      <c r="AJ9" s="623"/>
      <c r="AK9" s="624"/>
      <c r="AL9" s="623"/>
      <c r="AM9" s="625">
        <v>150</v>
      </c>
      <c r="AN9" s="626">
        <f>AN10</f>
        <v>0</v>
      </c>
      <c r="AO9" s="627"/>
      <c r="AP9" s="627"/>
      <c r="AQ9" s="628"/>
      <c r="AR9" s="628"/>
      <c r="AS9" s="628"/>
      <c r="AT9" s="628"/>
      <c r="AU9" s="628"/>
      <c r="AV9" s="629"/>
      <c r="AW9" s="630"/>
      <c r="BB9" s="842"/>
      <c r="BC9" s="842"/>
      <c r="BD9" s="842"/>
      <c r="BE9" s="842"/>
      <c r="BF9" s="842"/>
      <c r="BG9" s="842"/>
      <c r="BH9" s="842"/>
      <c r="BI9" s="842"/>
      <c r="BJ9" s="842"/>
      <c r="BK9" s="842"/>
      <c r="BL9" s="842"/>
      <c r="BM9" s="842"/>
      <c r="BN9" s="844"/>
      <c r="BO9" s="844"/>
      <c r="BP9" s="842"/>
      <c r="BQ9" s="882"/>
      <c r="BR9" s="842"/>
      <c r="BS9" s="842"/>
      <c r="BT9" s="842"/>
      <c r="BU9" s="842"/>
      <c r="BV9" s="842"/>
      <c r="BW9" s="842"/>
      <c r="BX9" s="842"/>
      <c r="BY9" s="842"/>
      <c r="BZ9" s="842"/>
      <c r="CA9" s="842"/>
      <c r="CB9" s="842"/>
      <c r="CC9" s="842"/>
      <c r="CD9" s="842"/>
      <c r="CE9" s="842"/>
      <c r="CF9" s="842"/>
      <c r="CG9" s="842"/>
      <c r="CH9" s="842"/>
      <c r="CI9" s="842"/>
      <c r="CJ9" s="842"/>
      <c r="CK9" s="842"/>
      <c r="CL9" s="845"/>
      <c r="CM9" s="846"/>
      <c r="CN9" s="847"/>
      <c r="CO9" s="847"/>
      <c r="CP9" s="848"/>
      <c r="CQ9" s="848"/>
      <c r="CR9" s="848"/>
      <c r="CS9" s="848"/>
      <c r="CT9" s="848"/>
      <c r="CU9" s="684"/>
      <c r="CV9" s="683"/>
      <c r="CW9" s="842"/>
      <c r="CX9" s="842"/>
      <c r="CY9" s="842"/>
      <c r="CZ9" s="842"/>
      <c r="DA9" s="842"/>
      <c r="DB9" s="842"/>
      <c r="DC9" s="842"/>
      <c r="DD9" s="842"/>
      <c r="DE9" s="842"/>
      <c r="DF9" s="842"/>
      <c r="DG9" s="842"/>
      <c r="DH9" s="842"/>
      <c r="DI9" s="842"/>
      <c r="DJ9" s="842"/>
      <c r="DK9" s="842"/>
      <c r="DL9" s="842"/>
      <c r="DM9" s="842"/>
      <c r="DN9" s="842"/>
      <c r="DO9" s="842"/>
      <c r="DP9" s="842"/>
      <c r="DQ9" s="842"/>
      <c r="DR9" s="842"/>
      <c r="DS9" s="842"/>
      <c r="DT9" s="842"/>
    </row>
    <row r="10" spans="3:124" ht="9" customHeight="1" x14ac:dyDescent="0.25">
      <c r="C10" s="633">
        <f>ID!J68</f>
        <v>9.9999999999999995E-7</v>
      </c>
      <c r="D10" s="632" t="s">
        <v>38</v>
      </c>
      <c r="O10" s="633">
        <f>ID!J71</f>
        <v>147.9</v>
      </c>
      <c r="P10" s="632" t="s">
        <v>38</v>
      </c>
      <c r="AA10" s="631" t="str">
        <f>'INTERPOLASI  '!B10</f>
        <v>H68+(FORECAST(H68,INDEX('DATA 1'!$C$6:$C$14,MATCH(H68,'DATA 1'!$B$6:$B$14,1)):INDEX('DATA 1'!$C$6:$C$14,MATCH(H68,'DATA 1'!$B$6:$B$14,1)+1),INDEX('DATA 1'!$B$6:$B$14,MATCH(H68,'DATA 1'!$B$6:$B$14,1)):INDEX('DATA 1'!$B$6:$B$14,MATCH(H68,'DATA 1'!$B$6:$B$14,1)+1)))</v>
      </c>
      <c r="AB10" s="632"/>
      <c r="AC10" s="623"/>
      <c r="AD10" s="623"/>
      <c r="AE10" s="623"/>
      <c r="AF10" s="623"/>
      <c r="AG10" s="623"/>
      <c r="AH10" s="623"/>
      <c r="AI10" s="623"/>
      <c r="AJ10" s="623"/>
      <c r="AK10" s="624"/>
      <c r="AL10" s="623"/>
      <c r="AM10" s="633"/>
      <c r="AN10" s="634"/>
      <c r="AO10" s="623"/>
      <c r="AP10" s="623"/>
      <c r="AQ10" s="623"/>
      <c r="AR10" s="623"/>
      <c r="AS10" s="623"/>
      <c r="AT10" s="623"/>
      <c r="AU10" s="623"/>
      <c r="AV10" s="623"/>
      <c r="AW10" s="623"/>
      <c r="BB10" s="842"/>
      <c r="BC10" s="842"/>
      <c r="BD10" s="842"/>
      <c r="BE10" s="842"/>
      <c r="BF10" s="842"/>
      <c r="BG10" s="842"/>
      <c r="BH10" s="842"/>
      <c r="BI10" s="842"/>
      <c r="BJ10" s="842"/>
      <c r="BK10" s="842"/>
      <c r="BL10" s="842"/>
      <c r="BM10" s="842"/>
      <c r="BN10" s="849"/>
      <c r="BO10" s="850"/>
      <c r="BP10" s="842"/>
      <c r="BQ10" s="882"/>
      <c r="BR10" s="842"/>
      <c r="BS10" s="842"/>
      <c r="BT10" s="842"/>
      <c r="BU10" s="842"/>
      <c r="BV10" s="842"/>
      <c r="BW10" s="842"/>
      <c r="BX10" s="842"/>
      <c r="BY10" s="842"/>
      <c r="BZ10" s="842"/>
      <c r="CA10" s="842"/>
      <c r="CB10" s="842"/>
      <c r="CC10" s="842"/>
      <c r="CD10" s="842"/>
      <c r="CE10" s="842"/>
      <c r="CF10" s="842"/>
      <c r="CG10" s="842"/>
      <c r="CH10" s="842"/>
      <c r="CI10" s="842"/>
      <c r="CJ10" s="842"/>
      <c r="CK10" s="842"/>
      <c r="CL10" s="849"/>
      <c r="CM10" s="850"/>
      <c r="CN10" s="842"/>
      <c r="CO10" s="842"/>
      <c r="CP10" s="842"/>
      <c r="CQ10" s="842"/>
      <c r="CR10" s="842"/>
      <c r="CS10" s="842"/>
      <c r="CT10" s="842"/>
      <c r="CU10" s="842"/>
      <c r="CV10" s="842"/>
      <c r="CW10" s="842"/>
      <c r="CX10" s="842"/>
      <c r="CY10" s="842"/>
      <c r="CZ10" s="842"/>
      <c r="DA10" s="842"/>
      <c r="DB10" s="842"/>
      <c r="DC10" s="842"/>
      <c r="DD10" s="842"/>
      <c r="DE10" s="842"/>
      <c r="DF10" s="842"/>
      <c r="DG10" s="842"/>
      <c r="DH10" s="842"/>
      <c r="DI10" s="842"/>
      <c r="DJ10" s="842"/>
      <c r="DK10" s="842"/>
      <c r="DL10" s="842"/>
      <c r="DM10" s="842"/>
      <c r="DN10" s="842"/>
      <c r="DO10" s="842"/>
      <c r="DP10" s="842"/>
      <c r="DQ10" s="842"/>
      <c r="DR10" s="842"/>
      <c r="DS10" s="842"/>
      <c r="DT10" s="842"/>
    </row>
    <row r="11" spans="3:124" s="637" customFormat="1" ht="37.5" customHeight="1" x14ac:dyDescent="0.35">
      <c r="C11" s="635" t="s">
        <v>40</v>
      </c>
      <c r="D11" s="635" t="s">
        <v>41</v>
      </c>
      <c r="E11" s="635" t="s">
        <v>80</v>
      </c>
      <c r="F11" s="635" t="s">
        <v>79</v>
      </c>
      <c r="G11" s="635" t="s">
        <v>14</v>
      </c>
      <c r="H11" s="635" t="s">
        <v>115</v>
      </c>
      <c r="I11" s="635" t="s">
        <v>116</v>
      </c>
      <c r="J11" s="635" t="s">
        <v>117</v>
      </c>
      <c r="K11" s="635" t="s">
        <v>118</v>
      </c>
      <c r="L11" s="635" t="s">
        <v>119</v>
      </c>
      <c r="M11" s="636" t="s">
        <v>120</v>
      </c>
      <c r="O11" s="635" t="s">
        <v>40</v>
      </c>
      <c r="P11" s="635" t="s">
        <v>41</v>
      </c>
      <c r="Q11" s="635" t="s">
        <v>80</v>
      </c>
      <c r="R11" s="635" t="s">
        <v>79</v>
      </c>
      <c r="S11" s="635" t="s">
        <v>14</v>
      </c>
      <c r="T11" s="635" t="s">
        <v>115</v>
      </c>
      <c r="U11" s="635" t="s">
        <v>116</v>
      </c>
      <c r="V11" s="635" t="s">
        <v>117</v>
      </c>
      <c r="W11" s="635" t="s">
        <v>118</v>
      </c>
      <c r="X11" s="635" t="s">
        <v>119</v>
      </c>
      <c r="Y11" s="636" t="s">
        <v>120</v>
      </c>
      <c r="AA11" s="638" t="s">
        <v>40</v>
      </c>
      <c r="AB11" s="638" t="s">
        <v>41</v>
      </c>
      <c r="AC11" s="638" t="s">
        <v>80</v>
      </c>
      <c r="AD11" s="638" t="s">
        <v>79</v>
      </c>
      <c r="AE11" s="638" t="s">
        <v>14</v>
      </c>
      <c r="AF11" s="638" t="s">
        <v>221</v>
      </c>
      <c r="AG11" s="638" t="s">
        <v>222</v>
      </c>
      <c r="AH11" s="638" t="s">
        <v>223</v>
      </c>
      <c r="AI11" s="638" t="s">
        <v>224</v>
      </c>
      <c r="AJ11" s="638" t="s">
        <v>225</v>
      </c>
      <c r="AK11" s="639" t="s">
        <v>226</v>
      </c>
      <c r="AL11" s="640"/>
      <c r="AM11" s="638" t="s">
        <v>40</v>
      </c>
      <c r="AN11" s="638" t="s">
        <v>41</v>
      </c>
      <c r="AO11" s="638" t="s">
        <v>80</v>
      </c>
      <c r="AP11" s="638" t="s">
        <v>79</v>
      </c>
      <c r="AQ11" s="638" t="s">
        <v>14</v>
      </c>
      <c r="AR11" s="638" t="s">
        <v>221</v>
      </c>
      <c r="AS11" s="638" t="s">
        <v>222</v>
      </c>
      <c r="AT11" s="638" t="s">
        <v>223</v>
      </c>
      <c r="AU11" s="638" t="s">
        <v>224</v>
      </c>
      <c r="AV11" s="638" t="s">
        <v>225</v>
      </c>
      <c r="AW11" s="641" t="s">
        <v>226</v>
      </c>
      <c r="BB11" s="1274"/>
      <c r="BC11" s="1274"/>
      <c r="BD11" s="1275"/>
      <c r="BE11" s="1275"/>
      <c r="BF11" s="1274"/>
      <c r="BG11" s="1274"/>
      <c r="BH11" s="1274"/>
      <c r="BI11" s="1274"/>
      <c r="BJ11" s="1275"/>
      <c r="BK11" s="1275"/>
      <c r="BL11" s="642"/>
      <c r="BM11" s="844"/>
      <c r="BN11" s="851"/>
      <c r="BO11" s="851"/>
      <c r="BP11" s="851"/>
      <c r="BQ11" s="883"/>
      <c r="BR11" s="851"/>
      <c r="BS11" s="851"/>
      <c r="BT11" s="851"/>
      <c r="BU11" s="851"/>
      <c r="BV11" s="851"/>
      <c r="BW11" s="851"/>
      <c r="BX11" s="682"/>
      <c r="BY11" s="844"/>
      <c r="BZ11" s="1274"/>
      <c r="CA11" s="1274"/>
      <c r="CB11" s="1275"/>
      <c r="CC11" s="1275"/>
      <c r="CD11" s="1274"/>
      <c r="CE11" s="1274"/>
      <c r="CF11" s="1274"/>
      <c r="CG11" s="1274"/>
      <c r="CH11" s="1275"/>
      <c r="CI11" s="1275"/>
      <c r="CJ11" s="642"/>
      <c r="CK11" s="642"/>
      <c r="CL11" s="851"/>
      <c r="CM11" s="851"/>
      <c r="CN11" s="851"/>
      <c r="CO11" s="851"/>
      <c r="CP11" s="851"/>
      <c r="CQ11" s="851"/>
      <c r="CR11" s="851"/>
      <c r="CS11" s="851"/>
      <c r="CT11" s="851"/>
      <c r="CU11" s="851"/>
      <c r="CV11" s="682"/>
      <c r="CW11" s="844"/>
      <c r="CX11" s="844"/>
      <c r="CY11" s="844"/>
      <c r="CZ11" s="844"/>
      <c r="DA11" s="844"/>
      <c r="DB11" s="844"/>
      <c r="DC11" s="844"/>
      <c r="DD11" s="844"/>
      <c r="DE11" s="844"/>
      <c r="DF11" s="844"/>
      <c r="DG11" s="844"/>
      <c r="DH11" s="844"/>
      <c r="DI11" s="844"/>
      <c r="DJ11" s="844"/>
      <c r="DK11" s="844"/>
      <c r="DL11" s="844"/>
      <c r="DM11" s="844"/>
      <c r="DN11" s="844"/>
      <c r="DO11" s="844"/>
      <c r="DP11" s="844"/>
      <c r="DQ11" s="844"/>
      <c r="DR11" s="844"/>
      <c r="DS11" s="844"/>
      <c r="DT11" s="844"/>
    </row>
    <row r="12" spans="3:124" x14ac:dyDescent="0.25">
      <c r="C12" s="643" t="s">
        <v>83</v>
      </c>
      <c r="D12" s="644" t="s">
        <v>38</v>
      </c>
      <c r="E12" s="645" t="s">
        <v>11</v>
      </c>
      <c r="F12" s="646">
        <f>ID!L68</f>
        <v>0</v>
      </c>
      <c r="G12" s="646">
        <f>SQRT(3)</f>
        <v>1.7320508075688772</v>
      </c>
      <c r="H12" s="646">
        <f>(F12/G12)</f>
        <v>0</v>
      </c>
      <c r="I12" s="647">
        <v>1</v>
      </c>
      <c r="J12" s="647">
        <v>5</v>
      </c>
      <c r="K12" s="648">
        <f>H12*I12</f>
        <v>0</v>
      </c>
      <c r="L12" s="648">
        <f>K12^2</f>
        <v>0</v>
      </c>
      <c r="M12" s="648">
        <f>((K12)^4)/J12</f>
        <v>0</v>
      </c>
      <c r="O12" s="643" t="s">
        <v>83</v>
      </c>
      <c r="P12" s="644" t="s">
        <v>38</v>
      </c>
      <c r="Q12" s="645" t="s">
        <v>11</v>
      </c>
      <c r="R12" s="646">
        <f>ID!L71</f>
        <v>0</v>
      </c>
      <c r="S12" s="646">
        <f>SQRT(3)</f>
        <v>1.7320508075688772</v>
      </c>
      <c r="T12" s="646">
        <f>(R12/S12)</f>
        <v>0</v>
      </c>
      <c r="U12" s="647">
        <v>1</v>
      </c>
      <c r="V12" s="647">
        <v>5</v>
      </c>
      <c r="W12" s="648">
        <f>T12*U12</f>
        <v>0</v>
      </c>
      <c r="X12" s="648">
        <f>W12^2</f>
        <v>0</v>
      </c>
      <c r="Y12" s="648">
        <f>((W12)^4)/V12</f>
        <v>0</v>
      </c>
      <c r="AA12" s="649" t="s">
        <v>83</v>
      </c>
      <c r="AB12" s="650" t="s">
        <v>38</v>
      </c>
      <c r="AC12" s="651" t="s">
        <v>11</v>
      </c>
      <c r="AD12" s="652">
        <v>0</v>
      </c>
      <c r="AE12" s="652">
        <v>1.7320508075688772</v>
      </c>
      <c r="AF12" s="652">
        <f>0/1.7321</f>
        <v>0</v>
      </c>
      <c r="AG12" s="653">
        <v>1</v>
      </c>
      <c r="AH12" s="653">
        <f>3-1</f>
        <v>2</v>
      </c>
      <c r="AI12" s="654">
        <f>(0*1)</f>
        <v>0</v>
      </c>
      <c r="AJ12" s="654">
        <f>(0*1)^2</f>
        <v>0</v>
      </c>
      <c r="AK12" s="655">
        <f>((0*1)^4)/2</f>
        <v>0</v>
      </c>
      <c r="AL12" s="623"/>
      <c r="AM12" s="649" t="s">
        <v>83</v>
      </c>
      <c r="AN12" s="650" t="s">
        <v>38</v>
      </c>
      <c r="AO12" s="651" t="s">
        <v>11</v>
      </c>
      <c r="AP12" s="652">
        <v>0</v>
      </c>
      <c r="AQ12" s="652">
        <v>1.7320508075688772</v>
      </c>
      <c r="AR12" s="652">
        <f>0/1.7321</f>
        <v>0</v>
      </c>
      <c r="AS12" s="653">
        <v>1</v>
      </c>
      <c r="AT12" s="653">
        <f>3-1</f>
        <v>2</v>
      </c>
      <c r="AU12" s="654">
        <f>(0*1)</f>
        <v>0</v>
      </c>
      <c r="AV12" s="654">
        <f>(0*1)^2</f>
        <v>0</v>
      </c>
      <c r="AW12" s="655">
        <f>((0*1)^4)/2</f>
        <v>0</v>
      </c>
      <c r="BB12" s="1274"/>
      <c r="BC12" s="1274"/>
      <c r="BD12" s="1275"/>
      <c r="BE12" s="1275"/>
      <c r="BF12" s="1274"/>
      <c r="BG12" s="1274"/>
      <c r="BH12" s="1274"/>
      <c r="BI12" s="1274"/>
      <c r="BJ12" s="1275"/>
      <c r="BK12" s="1275"/>
      <c r="BL12" s="642"/>
      <c r="BM12" s="842"/>
      <c r="BN12" s="847"/>
      <c r="BO12" s="852"/>
      <c r="BP12" s="853"/>
      <c r="BQ12" s="884"/>
      <c r="BR12" s="660"/>
      <c r="BS12" s="660"/>
      <c r="BT12" s="854"/>
      <c r="BU12" s="854"/>
      <c r="BV12" s="683"/>
      <c r="BW12" s="683"/>
      <c r="BX12" s="683"/>
      <c r="BY12" s="842"/>
      <c r="BZ12" s="1274"/>
      <c r="CA12" s="1274"/>
      <c r="CB12" s="1275"/>
      <c r="CC12" s="1275"/>
      <c r="CD12" s="1274"/>
      <c r="CE12" s="1274"/>
      <c r="CF12" s="1274"/>
      <c r="CG12" s="1274"/>
      <c r="CH12" s="1275"/>
      <c r="CI12" s="1275"/>
      <c r="CJ12" s="642"/>
      <c r="CK12" s="642"/>
      <c r="CL12" s="847"/>
      <c r="CM12" s="852"/>
      <c r="CN12" s="853"/>
      <c r="CO12" s="660"/>
      <c r="CP12" s="660"/>
      <c r="CQ12" s="660"/>
      <c r="CR12" s="854"/>
      <c r="CS12" s="854"/>
      <c r="CT12" s="683"/>
      <c r="CU12" s="683"/>
      <c r="CV12" s="683"/>
      <c r="CW12" s="842"/>
      <c r="CX12" s="842"/>
      <c r="CY12" s="842"/>
      <c r="CZ12" s="842"/>
      <c r="DA12" s="842"/>
      <c r="DB12" s="842"/>
      <c r="DC12" s="842"/>
      <c r="DD12" s="842"/>
      <c r="DE12" s="842"/>
      <c r="DF12" s="842"/>
      <c r="DG12" s="842"/>
      <c r="DH12" s="842"/>
      <c r="DI12" s="842"/>
      <c r="DJ12" s="842"/>
      <c r="DK12" s="842"/>
      <c r="DL12" s="842"/>
      <c r="DM12" s="842"/>
      <c r="DN12" s="842"/>
      <c r="DO12" s="842"/>
      <c r="DP12" s="842"/>
      <c r="DQ12" s="842"/>
      <c r="DR12" s="842"/>
      <c r="DS12" s="842"/>
      <c r="DT12" s="842"/>
    </row>
    <row r="13" spans="3:124" ht="47.25" customHeight="1" x14ac:dyDescent="0.25">
      <c r="C13" s="643" t="s">
        <v>82</v>
      </c>
      <c r="D13" s="644" t="s">
        <v>38</v>
      </c>
      <c r="E13" s="645" t="s">
        <v>11</v>
      </c>
      <c r="F13" s="1063">
        <f>'INTERPOLASI  '!AJ18</f>
        <v>0.05</v>
      </c>
      <c r="G13" s="647">
        <v>2</v>
      </c>
      <c r="H13" s="646">
        <f>F13/G13</f>
        <v>2.5000000000000001E-2</v>
      </c>
      <c r="I13" s="647">
        <v>1</v>
      </c>
      <c r="J13" s="647">
        <v>50</v>
      </c>
      <c r="K13" s="648">
        <f>H13*I13</f>
        <v>2.5000000000000001E-2</v>
      </c>
      <c r="L13" s="648">
        <f>K13^2</f>
        <v>6.2500000000000012E-4</v>
      </c>
      <c r="M13" s="648">
        <f>((K13)^4)/J13</f>
        <v>7.812500000000003E-9</v>
      </c>
      <c r="O13" s="643" t="s">
        <v>82</v>
      </c>
      <c r="P13" s="644" t="s">
        <v>38</v>
      </c>
      <c r="Q13" s="645" t="s">
        <v>11</v>
      </c>
      <c r="R13" s="1063">
        <f>'INTERPOLASI  '!AJ21</f>
        <v>0.3</v>
      </c>
      <c r="S13" s="647">
        <v>2</v>
      </c>
      <c r="T13" s="646">
        <f>R13/S13</f>
        <v>0.15</v>
      </c>
      <c r="U13" s="647">
        <v>1</v>
      </c>
      <c r="V13" s="647">
        <v>50</v>
      </c>
      <c r="W13" s="648">
        <f>T13*U13</f>
        <v>0.15</v>
      </c>
      <c r="X13" s="648">
        <f>W13^2</f>
        <v>2.2499999999999999E-2</v>
      </c>
      <c r="Y13" s="648">
        <f>((W13)^4)/V13</f>
        <v>1.0124999999999999E-5</v>
      </c>
      <c r="AA13" s="649" t="s">
        <v>82</v>
      </c>
      <c r="AB13" s="650" t="s">
        <v>38</v>
      </c>
      <c r="AC13" s="651" t="s">
        <v>11</v>
      </c>
      <c r="AD13" s="656">
        <f>(((0.2-0.1)*(0-0))/(50-0))+(0.1)</f>
        <v>0.1</v>
      </c>
      <c r="AE13" s="653">
        <v>2</v>
      </c>
      <c r="AF13" s="652">
        <f>0.1/2</f>
        <v>0.05</v>
      </c>
      <c r="AG13" s="653">
        <v>1</v>
      </c>
      <c r="AH13" s="653">
        <v>50</v>
      </c>
      <c r="AI13" s="654">
        <f>(0.005*1)</f>
        <v>5.0000000000000001E-3</v>
      </c>
      <c r="AJ13" s="654">
        <f>(0.005*1)^2</f>
        <v>2.5000000000000001E-5</v>
      </c>
      <c r="AK13" s="655">
        <f>((0.005*1)^4)/50</f>
        <v>1.25E-11</v>
      </c>
      <c r="AL13" s="623"/>
      <c r="AM13" s="649" t="s">
        <v>82</v>
      </c>
      <c r="AN13" s="650" t="s">
        <v>38</v>
      </c>
      <c r="AO13" s="651" t="s">
        <v>11</v>
      </c>
      <c r="AP13" s="656">
        <f>(((0.2-0.2)*(149-0.2))/(150-100))+(0.2)</f>
        <v>0.2</v>
      </c>
      <c r="AQ13" s="653">
        <v>2</v>
      </c>
      <c r="AR13" s="652">
        <f>0.2/2</f>
        <v>0.1</v>
      </c>
      <c r="AS13" s="653">
        <v>1</v>
      </c>
      <c r="AT13" s="653">
        <v>50</v>
      </c>
      <c r="AU13" s="654">
        <f>(0.1*1)</f>
        <v>0.1</v>
      </c>
      <c r="AV13" s="654">
        <f>(0.1*1)^2</f>
        <v>1.0000000000000002E-2</v>
      </c>
      <c r="AW13" s="654">
        <f>((0.1*1)^4)/50</f>
        <v>2.0000000000000008E-6</v>
      </c>
      <c r="BB13" s="855"/>
      <c r="BC13" s="855"/>
      <c r="BD13" s="657"/>
      <c r="BE13" s="657"/>
      <c r="BF13" s="657"/>
      <c r="BG13" s="657"/>
      <c r="BH13" s="877">
        <f>C10</f>
        <v>9.9999999999999995E-7</v>
      </c>
      <c r="BI13" s="870" t="s">
        <v>428</v>
      </c>
      <c r="BJ13" s="871"/>
      <c r="BK13" s="871" t="s">
        <v>430</v>
      </c>
      <c r="BL13" s="880">
        <v>0</v>
      </c>
      <c r="BM13" s="872">
        <v>0</v>
      </c>
      <c r="BN13" s="873">
        <v>0.1</v>
      </c>
      <c r="BO13" s="874">
        <v>50</v>
      </c>
      <c r="BP13" s="875">
        <v>0.1</v>
      </c>
      <c r="BQ13" s="885">
        <f>((((BP13-BN13)*(BL13-BM13)))/(BO13-BM13))+BN13</f>
        <v>0.1</v>
      </c>
      <c r="BR13" s="879"/>
      <c r="BS13" s="877">
        <f>O10</f>
        <v>147.9</v>
      </c>
      <c r="BT13" s="870" t="s">
        <v>428</v>
      </c>
      <c r="BU13" s="871"/>
      <c r="BV13" s="871" t="s">
        <v>432</v>
      </c>
      <c r="BW13" s="880">
        <v>147.80000000000001</v>
      </c>
      <c r="BX13" s="872">
        <v>100</v>
      </c>
      <c r="BY13" s="873">
        <v>0.1</v>
      </c>
      <c r="BZ13" s="874">
        <v>150</v>
      </c>
      <c r="CA13" s="875">
        <v>0.1</v>
      </c>
      <c r="CB13" s="885">
        <f>((((CA13-BY13)*(BW13-BX13)))/(BZ13-BX13))+BY13</f>
        <v>0.1</v>
      </c>
      <c r="CC13" s="657"/>
      <c r="CD13" s="657"/>
      <c r="CE13" s="657"/>
      <c r="CF13" s="657"/>
      <c r="CG13" s="657"/>
      <c r="CH13" s="657"/>
      <c r="CI13" s="657"/>
      <c r="CJ13" s="657"/>
      <c r="CK13" s="657"/>
      <c r="CL13" s="847"/>
      <c r="CM13" s="852"/>
      <c r="CN13" s="853"/>
      <c r="CO13" s="856"/>
      <c r="CP13" s="854"/>
      <c r="CQ13" s="660"/>
      <c r="CR13" s="854"/>
      <c r="CS13" s="854"/>
      <c r="CT13" s="683"/>
      <c r="CU13" s="683"/>
      <c r="CV13" s="683"/>
      <c r="CW13" s="842"/>
      <c r="CX13" s="842"/>
      <c r="CY13" s="842"/>
      <c r="CZ13" s="842"/>
      <c r="DA13" s="842"/>
      <c r="DB13" s="842"/>
      <c r="DC13" s="842"/>
      <c r="DD13" s="842"/>
      <c r="DE13" s="842"/>
      <c r="DF13" s="842"/>
      <c r="DG13" s="842"/>
      <c r="DH13" s="842"/>
      <c r="DI13" s="842"/>
      <c r="DJ13" s="842"/>
      <c r="DK13" s="842"/>
      <c r="DL13" s="842"/>
      <c r="DM13" s="842"/>
      <c r="DN13" s="842"/>
      <c r="DO13" s="842"/>
      <c r="DP13" s="842"/>
      <c r="DQ13" s="842"/>
      <c r="DR13" s="842"/>
      <c r="DS13" s="842"/>
      <c r="DT13" s="842"/>
    </row>
    <row r="14" spans="3:124" ht="28.5" customHeight="1" x14ac:dyDescent="0.25">
      <c r="C14" s="643" t="s">
        <v>243</v>
      </c>
      <c r="D14" s="644" t="s">
        <v>38</v>
      </c>
      <c r="E14" s="645" t="s">
        <v>85</v>
      </c>
      <c r="F14" s="646">
        <f>(1/5)*ID!C9</f>
        <v>0.4</v>
      </c>
      <c r="G14" s="646">
        <f>SQRT(3)</f>
        <v>1.7320508075688772</v>
      </c>
      <c r="H14" s="646">
        <f>F14/G14</f>
        <v>0.23094010767585033</v>
      </c>
      <c r="I14" s="647">
        <v>1</v>
      </c>
      <c r="J14" s="647">
        <v>50</v>
      </c>
      <c r="K14" s="648">
        <f>H14*I14</f>
        <v>0.23094010767585033</v>
      </c>
      <c r="L14" s="648">
        <f>K14^2</f>
        <v>5.3333333333333344E-2</v>
      </c>
      <c r="M14" s="648">
        <f>((K14)^4)/J14</f>
        <v>5.6888888888888908E-5</v>
      </c>
      <c r="O14" s="643" t="s">
        <v>243</v>
      </c>
      <c r="P14" s="644" t="s">
        <v>38</v>
      </c>
      <c r="Q14" s="645" t="s">
        <v>85</v>
      </c>
      <c r="R14" s="646">
        <f>(1/5)*ID!C9</f>
        <v>0.4</v>
      </c>
      <c r="S14" s="646">
        <f>SQRT(3)</f>
        <v>1.7320508075688772</v>
      </c>
      <c r="T14" s="646">
        <f>R14/S14</f>
        <v>0.23094010767585033</v>
      </c>
      <c r="U14" s="647">
        <v>1</v>
      </c>
      <c r="V14" s="647">
        <v>50</v>
      </c>
      <c r="W14" s="648">
        <f>T14*U14</f>
        <v>0.23094010767585033</v>
      </c>
      <c r="X14" s="648">
        <f>W14^2</f>
        <v>5.3333333333333344E-2</v>
      </c>
      <c r="Y14" s="648">
        <f>((W14)^4)/V14</f>
        <v>5.6888888888888908E-5</v>
      </c>
      <c r="AA14" s="649" t="s">
        <v>76</v>
      </c>
      <c r="AB14" s="650" t="s">
        <v>38</v>
      </c>
      <c r="AC14" s="651" t="s">
        <v>85</v>
      </c>
      <c r="AD14" s="652">
        <f>(1/5)*2</f>
        <v>0.4</v>
      </c>
      <c r="AE14" s="652">
        <v>1.7320508075688772</v>
      </c>
      <c r="AF14" s="658">
        <f>0.4/1.7321</f>
        <v>0.23093354887131229</v>
      </c>
      <c r="AG14" s="653">
        <v>1</v>
      </c>
      <c r="AH14" s="653">
        <v>50</v>
      </c>
      <c r="AI14" s="654">
        <f>(0.230933548871*1)</f>
        <v>0.23093354887100001</v>
      </c>
      <c r="AJ14" s="654">
        <f>(0.230933548871*1)^2</f>
        <v>5.3330303994154553E-2</v>
      </c>
      <c r="AK14" s="654">
        <f>((0.230933548871*1)^4)/50</f>
        <v>5.6882426482178737E-5</v>
      </c>
      <c r="AL14" s="623"/>
      <c r="AM14" s="649" t="s">
        <v>76</v>
      </c>
      <c r="AN14" s="650" t="s">
        <v>38</v>
      </c>
      <c r="AO14" s="651" t="s">
        <v>85</v>
      </c>
      <c r="AP14" s="652">
        <f>(1/5)*2</f>
        <v>0.4</v>
      </c>
      <c r="AQ14" s="652">
        <v>1.7320508075688772</v>
      </c>
      <c r="AR14" s="658">
        <f>0.4/1.7321</f>
        <v>0.23093354887131229</v>
      </c>
      <c r="AS14" s="653">
        <v>1</v>
      </c>
      <c r="AT14" s="653">
        <v>50</v>
      </c>
      <c r="AU14" s="654">
        <f>(0.230933548871*1)</f>
        <v>0.23093354887100001</v>
      </c>
      <c r="AV14" s="654">
        <f>(0.230933548871*1)^2</f>
        <v>5.3330303994154553E-2</v>
      </c>
      <c r="AW14" s="654">
        <f>((0.230933548871*1)^4)/50</f>
        <v>5.6882426482178737E-5</v>
      </c>
      <c r="BB14" s="857"/>
      <c r="BC14" s="857"/>
      <c r="BD14" s="856"/>
      <c r="BE14" s="856"/>
      <c r="BF14" s="858"/>
      <c r="BG14" s="858"/>
      <c r="BH14" s="859"/>
      <c r="BI14" s="859"/>
      <c r="BJ14" s="860"/>
      <c r="BK14" s="860"/>
      <c r="BL14" s="659"/>
      <c r="BM14" s="842"/>
      <c r="BN14" s="847"/>
      <c r="BO14" s="852"/>
      <c r="BP14" s="853"/>
      <c r="BQ14" s="884"/>
      <c r="BR14" s="879"/>
      <c r="BS14" s="859"/>
      <c r="BT14" s="859"/>
      <c r="BU14" s="860"/>
      <c r="BV14" s="860"/>
      <c r="BW14" s="659"/>
      <c r="BX14" s="842"/>
      <c r="BY14" s="847"/>
      <c r="BZ14" s="852"/>
      <c r="CA14" s="853"/>
      <c r="CB14" s="884"/>
      <c r="CC14" s="856"/>
      <c r="CD14" s="858"/>
      <c r="CE14" s="858"/>
      <c r="CF14" s="859"/>
      <c r="CG14" s="859"/>
      <c r="CH14" s="860"/>
      <c r="CI14" s="860"/>
      <c r="CJ14" s="659"/>
      <c r="CK14" s="659"/>
      <c r="CL14" s="847"/>
      <c r="CM14" s="852"/>
      <c r="CN14" s="853"/>
      <c r="CO14" s="660"/>
      <c r="CP14" s="660"/>
      <c r="CQ14" s="660"/>
      <c r="CR14" s="854"/>
      <c r="CS14" s="854"/>
      <c r="CT14" s="683"/>
      <c r="CU14" s="683"/>
      <c r="CV14" s="683"/>
      <c r="CW14" s="842"/>
      <c r="CX14" s="842"/>
      <c r="CY14" s="842"/>
      <c r="CZ14" s="842"/>
      <c r="DA14" s="842"/>
      <c r="DB14" s="842"/>
      <c r="DC14" s="842"/>
      <c r="DD14" s="842"/>
      <c r="DE14" s="842"/>
      <c r="DF14" s="842"/>
      <c r="DG14" s="842"/>
      <c r="DH14" s="842"/>
      <c r="DI14" s="842"/>
      <c r="DJ14" s="842"/>
      <c r="DK14" s="842"/>
      <c r="DL14" s="842"/>
      <c r="DM14" s="842"/>
      <c r="DN14" s="842"/>
      <c r="DO14" s="842"/>
      <c r="DP14" s="842"/>
      <c r="DQ14" s="842"/>
      <c r="DR14" s="842"/>
      <c r="DS14" s="842"/>
      <c r="DT14" s="842"/>
    </row>
    <row r="15" spans="3:124" ht="28.5" customHeight="1" x14ac:dyDescent="0.25">
      <c r="C15" s="643" t="s">
        <v>244</v>
      </c>
      <c r="D15" s="644" t="s">
        <v>38</v>
      </c>
      <c r="E15" s="645" t="s">
        <v>85</v>
      </c>
      <c r="F15" s="660">
        <f>(1/2)*'RESOLUSI STANDAR'!$K$7</f>
        <v>0.05</v>
      </c>
      <c r="G15" s="646">
        <f>SQRT(3)</f>
        <v>1.7320508075688772</v>
      </c>
      <c r="H15" s="646">
        <f>F15/G15</f>
        <v>2.8867513459481291E-2</v>
      </c>
      <c r="I15" s="647">
        <v>1</v>
      </c>
      <c r="J15" s="647">
        <v>50</v>
      </c>
      <c r="K15" s="648">
        <f>H15*I15</f>
        <v>2.8867513459481291E-2</v>
      </c>
      <c r="L15" s="648">
        <f>K15^2</f>
        <v>8.333333333333335E-4</v>
      </c>
      <c r="M15" s="648">
        <f>((K15)^4)/J15</f>
        <v>1.3888888888888894E-8</v>
      </c>
      <c r="O15" s="643" t="s">
        <v>244</v>
      </c>
      <c r="P15" s="644" t="s">
        <v>38</v>
      </c>
      <c r="Q15" s="645" t="s">
        <v>85</v>
      </c>
      <c r="R15" s="660">
        <f>(1/2)*'RESOLUSI STANDAR'!$K$7</f>
        <v>0.05</v>
      </c>
      <c r="S15" s="646">
        <f>SQRT(3)</f>
        <v>1.7320508075688772</v>
      </c>
      <c r="T15" s="646">
        <f>R15/S15</f>
        <v>2.8867513459481291E-2</v>
      </c>
      <c r="U15" s="647">
        <v>1</v>
      </c>
      <c r="V15" s="647">
        <v>50</v>
      </c>
      <c r="W15" s="648">
        <f>T15*U15</f>
        <v>2.8867513459481291E-2</v>
      </c>
      <c r="X15" s="648">
        <f>W15^2</f>
        <v>8.333333333333335E-4</v>
      </c>
      <c r="Y15" s="648">
        <f>((W15)^4)/V15</f>
        <v>1.3888888888888894E-8</v>
      </c>
      <c r="AA15" s="649"/>
      <c r="AB15" s="650"/>
      <c r="AC15" s="651"/>
      <c r="AD15" s="661"/>
      <c r="AE15" s="652"/>
      <c r="AF15" s="658"/>
      <c r="AG15" s="653"/>
      <c r="AH15" s="653"/>
      <c r="AI15" s="654"/>
      <c r="AJ15" s="654"/>
      <c r="AK15" s="654"/>
      <c r="AL15" s="623"/>
      <c r="AM15" s="649"/>
      <c r="AN15" s="650"/>
      <c r="AO15" s="651"/>
      <c r="AP15" s="661"/>
      <c r="AQ15" s="652"/>
      <c r="AR15" s="658"/>
      <c r="AS15" s="653"/>
      <c r="AT15" s="653"/>
      <c r="AU15" s="654"/>
      <c r="AV15" s="654"/>
      <c r="AW15" s="654"/>
      <c r="BB15" s="857"/>
      <c r="BC15" s="857"/>
      <c r="BD15" s="856"/>
      <c r="BE15" s="856"/>
      <c r="BF15" s="858"/>
      <c r="BG15" s="858"/>
      <c r="BH15" s="859"/>
      <c r="BI15" s="859"/>
      <c r="BJ15" s="860"/>
      <c r="BK15" s="860"/>
      <c r="BL15" s="659"/>
      <c r="BM15" s="842"/>
      <c r="BN15" s="847"/>
      <c r="BO15" s="852"/>
      <c r="BP15" s="853"/>
      <c r="BQ15" s="884"/>
      <c r="BR15" s="879"/>
      <c r="BS15" s="859"/>
      <c r="BT15" s="859"/>
      <c r="BU15" s="860"/>
      <c r="BV15" s="860"/>
      <c r="BW15" s="659"/>
      <c r="BX15" s="842"/>
      <c r="BY15" s="847"/>
      <c r="BZ15" s="852"/>
      <c r="CA15" s="853"/>
      <c r="CB15" s="884"/>
      <c r="CC15" s="856"/>
      <c r="CD15" s="858"/>
      <c r="CE15" s="858"/>
      <c r="CF15" s="859"/>
      <c r="CG15" s="859"/>
      <c r="CH15" s="860"/>
      <c r="CI15" s="860"/>
      <c r="CJ15" s="659"/>
      <c r="CK15" s="659"/>
      <c r="CL15" s="847"/>
      <c r="CM15" s="852"/>
      <c r="CN15" s="853"/>
      <c r="CO15" s="660"/>
      <c r="CP15" s="660"/>
      <c r="CQ15" s="660"/>
      <c r="CR15" s="854"/>
      <c r="CS15" s="854"/>
      <c r="CT15" s="683"/>
      <c r="CU15" s="683"/>
      <c r="CV15" s="683"/>
      <c r="CW15" s="842"/>
      <c r="CX15" s="842"/>
      <c r="CY15" s="842"/>
      <c r="CZ15" s="842"/>
      <c r="DA15" s="842"/>
      <c r="DB15" s="842"/>
      <c r="DC15" s="842"/>
      <c r="DD15" s="842"/>
      <c r="DE15" s="842"/>
      <c r="DF15" s="842"/>
      <c r="DG15" s="842"/>
      <c r="DH15" s="842"/>
      <c r="DI15" s="842"/>
      <c r="DJ15" s="842"/>
      <c r="DK15" s="842"/>
      <c r="DL15" s="842"/>
      <c r="DM15" s="842"/>
      <c r="DN15" s="842"/>
      <c r="DO15" s="842"/>
      <c r="DP15" s="842"/>
      <c r="DQ15" s="842"/>
      <c r="DR15" s="842"/>
      <c r="DS15" s="842"/>
      <c r="DT15" s="842"/>
    </row>
    <row r="16" spans="3:124" ht="31.5" x14ac:dyDescent="0.25">
      <c r="C16" s="643" t="s">
        <v>51</v>
      </c>
      <c r="D16" s="644" t="s">
        <v>38</v>
      </c>
      <c r="E16" s="645" t="s">
        <v>85</v>
      </c>
      <c r="F16" s="1063">
        <f>'INTERPOLASI  '!BI18</f>
        <v>0.05</v>
      </c>
      <c r="G16" s="646">
        <f>SQRT(3)</f>
        <v>1.7320508075688772</v>
      </c>
      <c r="H16" s="646">
        <f>F16/G16</f>
        <v>2.8867513459481291E-2</v>
      </c>
      <c r="I16" s="647">
        <v>1</v>
      </c>
      <c r="J16" s="647">
        <v>50</v>
      </c>
      <c r="K16" s="648">
        <f>H16*I16</f>
        <v>2.8867513459481291E-2</v>
      </c>
      <c r="L16" s="648">
        <f>K16^2</f>
        <v>8.333333333333335E-4</v>
      </c>
      <c r="M16" s="648">
        <f>((K16)^4)/J16</f>
        <v>1.3888888888888894E-8</v>
      </c>
      <c r="O16" s="643" t="s">
        <v>51</v>
      </c>
      <c r="P16" s="644" t="s">
        <v>38</v>
      </c>
      <c r="Q16" s="645" t="s">
        <v>85</v>
      </c>
      <c r="R16" s="1063">
        <f>'INTERPOLASI  '!BI21</f>
        <v>0.1</v>
      </c>
      <c r="S16" s="646">
        <f>SQRT(3)</f>
        <v>1.7320508075688772</v>
      </c>
      <c r="T16" s="646">
        <f>R16/S16</f>
        <v>5.7735026918962581E-2</v>
      </c>
      <c r="U16" s="647">
        <v>1</v>
      </c>
      <c r="V16" s="647">
        <v>50</v>
      </c>
      <c r="W16" s="648">
        <f>T16*U16</f>
        <v>5.7735026918962581E-2</v>
      </c>
      <c r="X16" s="648">
        <f>W16^2</f>
        <v>3.333333333333334E-3</v>
      </c>
      <c r="Y16" s="648">
        <f>((W16)^4)/V16</f>
        <v>2.222222222222223E-7</v>
      </c>
      <c r="AA16" s="649" t="s">
        <v>51</v>
      </c>
      <c r="AB16" s="650" t="s">
        <v>38</v>
      </c>
      <c r="AC16" s="651" t="s">
        <v>85</v>
      </c>
      <c r="AD16" s="656">
        <v>0</v>
      </c>
      <c r="AE16" s="652">
        <v>1.7320508075688772</v>
      </c>
      <c r="AF16" s="652">
        <f>0/1.7321</f>
        <v>0</v>
      </c>
      <c r="AG16" s="653">
        <v>1</v>
      </c>
      <c r="AH16" s="653">
        <v>50</v>
      </c>
      <c r="AI16" s="654">
        <f>(0*1)</f>
        <v>0</v>
      </c>
      <c r="AJ16" s="654">
        <f>(0*1)^2</f>
        <v>0</v>
      </c>
      <c r="AK16" s="655">
        <f>((0*1)^4)/50</f>
        <v>0</v>
      </c>
      <c r="AL16" s="623"/>
      <c r="AM16" s="649" t="s">
        <v>51</v>
      </c>
      <c r="AN16" s="650" t="s">
        <v>38</v>
      </c>
      <c r="AO16" s="651" t="s">
        <v>85</v>
      </c>
      <c r="AP16" s="656">
        <v>0</v>
      </c>
      <c r="AQ16" s="652">
        <v>1.7320508075688772</v>
      </c>
      <c r="AR16" s="652">
        <f>0/1.7321</f>
        <v>0</v>
      </c>
      <c r="AS16" s="653">
        <v>1</v>
      </c>
      <c r="AT16" s="653">
        <v>50</v>
      </c>
      <c r="AU16" s="654">
        <f>(0*1)</f>
        <v>0</v>
      </c>
      <c r="AV16" s="654">
        <f>(0*1)^2</f>
        <v>0</v>
      </c>
      <c r="AW16" s="655">
        <f>((0*1)^4)/50</f>
        <v>0</v>
      </c>
      <c r="BB16" s="857"/>
      <c r="BC16" s="857"/>
      <c r="BD16" s="856"/>
      <c r="BE16" s="856"/>
      <c r="BF16" s="861"/>
      <c r="BG16" s="861"/>
      <c r="BH16" s="859"/>
      <c r="BI16" s="870" t="s">
        <v>428</v>
      </c>
      <c r="BJ16" s="871"/>
      <c r="BK16" s="871" t="s">
        <v>430</v>
      </c>
      <c r="BL16" s="880">
        <v>0</v>
      </c>
      <c r="BM16" s="872">
        <v>0</v>
      </c>
      <c r="BN16" s="876">
        <v>0.05</v>
      </c>
      <c r="BO16" s="874">
        <v>50</v>
      </c>
      <c r="BP16" s="876">
        <v>0.05</v>
      </c>
      <c r="BQ16" s="885">
        <f>((((BP16-BN16)*(BL16-BM16)))/(BO16-BM16))+BN16</f>
        <v>0.05</v>
      </c>
      <c r="BR16" s="879"/>
      <c r="BS16" s="859"/>
      <c r="BT16" s="870" t="s">
        <v>428</v>
      </c>
      <c r="BU16" s="871"/>
      <c r="BV16" s="871" t="s">
        <v>432</v>
      </c>
      <c r="BW16" s="880">
        <v>147.80000000000001</v>
      </c>
      <c r="BX16" s="872">
        <v>100</v>
      </c>
      <c r="BY16" s="876">
        <v>0.2</v>
      </c>
      <c r="BZ16" s="874">
        <v>150</v>
      </c>
      <c r="CA16" s="876">
        <v>0.2</v>
      </c>
      <c r="CB16" s="885">
        <f>((((CA16-BY16)*(BW16-BX16)))/(BZ16-BX16))+BY16</f>
        <v>0.2</v>
      </c>
      <c r="CC16" s="856"/>
      <c r="CD16" s="861"/>
      <c r="CE16" s="861"/>
      <c r="CF16" s="859"/>
      <c r="CG16" s="859"/>
      <c r="CH16" s="860"/>
      <c r="CI16" s="860"/>
      <c r="CJ16" s="659"/>
      <c r="CK16" s="659"/>
      <c r="CL16" s="847"/>
      <c r="CM16" s="852"/>
      <c r="CN16" s="853"/>
      <c r="CO16" s="856"/>
      <c r="CP16" s="660"/>
      <c r="CQ16" s="660"/>
      <c r="CR16" s="854"/>
      <c r="CS16" s="854"/>
      <c r="CT16" s="683"/>
      <c r="CU16" s="683"/>
      <c r="CV16" s="683"/>
      <c r="CW16" s="842"/>
      <c r="CX16" s="842"/>
      <c r="CY16" s="842"/>
      <c r="CZ16" s="842"/>
      <c r="DA16" s="842"/>
      <c r="DB16" s="842"/>
      <c r="DC16" s="842"/>
      <c r="DD16" s="842"/>
      <c r="DE16" s="842"/>
      <c r="DF16" s="842"/>
      <c r="DG16" s="842"/>
      <c r="DH16" s="842"/>
      <c r="DI16" s="842"/>
      <c r="DJ16" s="842"/>
      <c r="DK16" s="842"/>
      <c r="DL16" s="842"/>
      <c r="DM16" s="842"/>
      <c r="DN16" s="842"/>
      <c r="DO16" s="842"/>
      <c r="DP16" s="842"/>
      <c r="DQ16" s="842"/>
      <c r="DR16" s="842"/>
      <c r="DS16" s="842"/>
      <c r="DT16" s="842"/>
    </row>
    <row r="17" spans="3:124" x14ac:dyDescent="0.25">
      <c r="C17" s="662"/>
      <c r="D17" s="662"/>
      <c r="E17" s="662"/>
      <c r="F17" s="662"/>
      <c r="G17" s="663" t="s">
        <v>84</v>
      </c>
      <c r="H17" s="664"/>
      <c r="I17" s="664"/>
      <c r="J17" s="664"/>
      <c r="K17" s="665"/>
      <c r="L17" s="666">
        <f>SUM(L12:L16)</f>
        <v>5.5625000000000008E-2</v>
      </c>
      <c r="M17" s="666">
        <f>SUM(M12:M16)</f>
        <v>5.6924479166666685E-5</v>
      </c>
      <c r="O17" s="662"/>
      <c r="P17" s="662"/>
      <c r="Q17" s="662"/>
      <c r="R17" s="662"/>
      <c r="S17" s="663" t="s">
        <v>84</v>
      </c>
      <c r="T17" s="664"/>
      <c r="U17" s="664"/>
      <c r="V17" s="664"/>
      <c r="W17" s="665"/>
      <c r="X17" s="666">
        <f>SUM(X12:X16)</f>
        <v>8.0000000000000016E-2</v>
      </c>
      <c r="Y17" s="666">
        <f>SUM(Y12:Y16)</f>
        <v>6.7250000000000008E-5</v>
      </c>
      <c r="AA17" s="667"/>
      <c r="AB17" s="667"/>
      <c r="AC17" s="667"/>
      <c r="AD17" s="667"/>
      <c r="AE17" s="668" t="s">
        <v>84</v>
      </c>
      <c r="AF17" s="669"/>
      <c r="AG17" s="669"/>
      <c r="AH17" s="669"/>
      <c r="AI17" s="670"/>
      <c r="AJ17" s="671">
        <f>SUM(AJ12:AJ16)</f>
        <v>5.335530399415455E-2</v>
      </c>
      <c r="AK17" s="671">
        <f>SUM(AK12:AK16)</f>
        <v>5.6882438982178735E-5</v>
      </c>
      <c r="AL17" s="623"/>
      <c r="AM17" s="667"/>
      <c r="AN17" s="667"/>
      <c r="AO17" s="667"/>
      <c r="AP17" s="667"/>
      <c r="AQ17" s="668" t="s">
        <v>84</v>
      </c>
      <c r="AR17" s="669"/>
      <c r="AS17" s="669"/>
      <c r="AT17" s="669"/>
      <c r="AU17" s="670"/>
      <c r="AV17" s="672">
        <f>SUM(AV12:AV16)</f>
        <v>6.3330303994154555E-2</v>
      </c>
      <c r="AW17" s="672">
        <f>SUM(AW12:AW16)</f>
        <v>5.8882426482178738E-5</v>
      </c>
      <c r="BB17" s="857"/>
      <c r="BC17" s="857"/>
      <c r="BD17" s="856"/>
      <c r="BE17" s="856"/>
      <c r="BF17" s="861"/>
      <c r="BG17" s="861"/>
      <c r="BH17" s="859"/>
      <c r="BI17" s="859"/>
      <c r="BJ17" s="860"/>
      <c r="BK17" s="860"/>
      <c r="BL17" s="659"/>
      <c r="BM17" s="842"/>
      <c r="BN17" s="847"/>
      <c r="BO17" s="847"/>
      <c r="BP17" s="847"/>
      <c r="BQ17" s="886"/>
      <c r="BR17" s="879"/>
      <c r="BS17" s="879"/>
      <c r="BT17" s="879"/>
      <c r="BU17" s="879"/>
      <c r="BV17" s="879"/>
      <c r="BW17" s="684"/>
      <c r="BX17" s="684"/>
      <c r="BY17" s="842"/>
      <c r="BZ17" s="857"/>
      <c r="CA17" s="857"/>
      <c r="CB17" s="856"/>
      <c r="CC17" s="856"/>
      <c r="CD17" s="861"/>
      <c r="CE17" s="861"/>
      <c r="CF17" s="859"/>
      <c r="CG17" s="859"/>
      <c r="CH17" s="860"/>
      <c r="CI17" s="860"/>
      <c r="CJ17" s="659"/>
      <c r="CK17" s="659"/>
      <c r="CL17" s="847"/>
      <c r="CM17" s="847"/>
      <c r="CN17" s="847"/>
      <c r="CO17" s="847"/>
      <c r="CP17" s="848"/>
      <c r="CQ17" s="848"/>
      <c r="CR17" s="848"/>
      <c r="CS17" s="848"/>
      <c r="CT17" s="848"/>
      <c r="CU17" s="684"/>
      <c r="CV17" s="684"/>
      <c r="CW17" s="842"/>
      <c r="CX17" s="842"/>
      <c r="CY17" s="842"/>
      <c r="CZ17" s="842"/>
      <c r="DA17" s="842"/>
      <c r="DB17" s="842"/>
      <c r="DC17" s="842"/>
      <c r="DD17" s="842"/>
      <c r="DE17" s="842"/>
      <c r="DF17" s="842"/>
      <c r="DG17" s="842"/>
      <c r="DH17" s="842"/>
      <c r="DI17" s="842"/>
      <c r="DJ17" s="842"/>
      <c r="DK17" s="842"/>
      <c r="DL17" s="842"/>
      <c r="DM17" s="842"/>
      <c r="DN17" s="842"/>
      <c r="DO17" s="842"/>
      <c r="DP17" s="842"/>
      <c r="DQ17" s="842"/>
      <c r="DR17" s="842"/>
      <c r="DS17" s="842"/>
      <c r="DT17" s="842"/>
    </row>
    <row r="18" spans="3:124" ht="18.75" customHeight="1" x14ac:dyDescent="0.35">
      <c r="C18" s="617"/>
      <c r="D18" s="617"/>
      <c r="E18" s="617"/>
      <c r="F18" s="617"/>
      <c r="G18" s="1264" t="s">
        <v>121</v>
      </c>
      <c r="H18" s="1265"/>
      <c r="I18" s="1265"/>
      <c r="J18" s="1265"/>
      <c r="K18" s="1266"/>
      <c r="L18" s="666">
        <f>SQRT(L17)</f>
        <v>0.23584952830141512</v>
      </c>
      <c r="M18" s="648"/>
      <c r="O18" s="617"/>
      <c r="P18" s="617"/>
      <c r="Q18" s="617"/>
      <c r="R18" s="617"/>
      <c r="S18" s="1264" t="s">
        <v>121</v>
      </c>
      <c r="T18" s="1265"/>
      <c r="U18" s="1265"/>
      <c r="V18" s="1265"/>
      <c r="W18" s="1266"/>
      <c r="X18" s="666">
        <f>SQRT(X17)</f>
        <v>0.28284271247461906</v>
      </c>
      <c r="Y18" s="648"/>
      <c r="AA18" s="673" t="s">
        <v>48</v>
      </c>
      <c r="AB18" s="673" t="s">
        <v>197</v>
      </c>
      <c r="AC18" s="627"/>
      <c r="AD18" s="627"/>
      <c r="AE18" s="1270" t="s">
        <v>227</v>
      </c>
      <c r="AF18" s="1271"/>
      <c r="AG18" s="1271"/>
      <c r="AH18" s="1271"/>
      <c r="AI18" s="1272"/>
      <c r="AJ18" s="672">
        <f>SQRT(AJ17)</f>
        <v>0.23098767065398654</v>
      </c>
      <c r="AK18" s="655"/>
      <c r="AL18" s="623"/>
      <c r="AM18" s="673" t="s">
        <v>48</v>
      </c>
      <c r="AN18" s="673" t="s">
        <v>197</v>
      </c>
      <c r="AO18" s="627"/>
      <c r="AP18" s="627"/>
      <c r="AQ18" s="1270" t="s">
        <v>227</v>
      </c>
      <c r="AR18" s="1271"/>
      <c r="AS18" s="1271"/>
      <c r="AT18" s="1271"/>
      <c r="AU18" s="1272"/>
      <c r="AV18" s="672">
        <f>SQRT(AV17)</f>
        <v>0.25165512908374144</v>
      </c>
      <c r="AW18" s="654"/>
      <c r="BB18" s="857"/>
      <c r="BC18" s="857"/>
      <c r="BD18" s="856"/>
      <c r="BE18" s="856"/>
      <c r="BF18" s="861"/>
      <c r="BG18" s="861"/>
      <c r="BH18" s="859"/>
      <c r="BI18" s="859"/>
      <c r="BJ18" s="860"/>
      <c r="BK18" s="860"/>
      <c r="BL18" s="659"/>
      <c r="BM18" s="842"/>
      <c r="BN18" s="847"/>
      <c r="BO18" s="847"/>
      <c r="BP18" s="847"/>
      <c r="BQ18" s="886"/>
      <c r="BR18" s="879"/>
      <c r="BS18" s="879"/>
      <c r="BT18" s="879"/>
      <c r="BU18" s="879"/>
      <c r="BV18" s="879"/>
      <c r="BW18" s="684"/>
      <c r="BX18" s="683"/>
      <c r="BY18" s="842"/>
      <c r="BZ18" s="857"/>
      <c r="CA18" s="857"/>
      <c r="CB18" s="856"/>
      <c r="CC18" s="856"/>
      <c r="CD18" s="861"/>
      <c r="CE18" s="861"/>
      <c r="CF18" s="859"/>
      <c r="CG18" s="859"/>
      <c r="CH18" s="860"/>
      <c r="CI18" s="860"/>
      <c r="CJ18" s="659"/>
      <c r="CK18" s="659"/>
      <c r="CL18" s="847"/>
      <c r="CM18" s="847"/>
      <c r="CN18" s="847"/>
      <c r="CO18" s="847"/>
      <c r="CP18" s="1260"/>
      <c r="CQ18" s="1260"/>
      <c r="CR18" s="1260"/>
      <c r="CS18" s="1260"/>
      <c r="CT18" s="1260"/>
      <c r="CU18" s="684"/>
      <c r="CV18" s="683"/>
      <c r="CW18" s="842"/>
      <c r="CX18" s="842"/>
      <c r="CY18" s="842"/>
      <c r="CZ18" s="842"/>
      <c r="DA18" s="842"/>
      <c r="DB18" s="842"/>
      <c r="DC18" s="842"/>
      <c r="DD18" s="842"/>
      <c r="DE18" s="842"/>
      <c r="DF18" s="842"/>
      <c r="DG18" s="842"/>
      <c r="DH18" s="842"/>
      <c r="DI18" s="842"/>
      <c r="DJ18" s="842"/>
      <c r="DK18" s="842"/>
      <c r="DL18" s="842"/>
      <c r="DM18" s="842"/>
      <c r="DN18" s="842"/>
      <c r="DO18" s="842"/>
      <c r="DP18" s="842"/>
      <c r="DQ18" s="842"/>
      <c r="DR18" s="842"/>
      <c r="DS18" s="842"/>
      <c r="DT18" s="842"/>
    </row>
    <row r="19" spans="3:124" ht="15.75" customHeight="1" x14ac:dyDescent="0.25">
      <c r="C19" s="617"/>
      <c r="D19" s="617"/>
      <c r="E19" s="617"/>
      <c r="F19" s="617"/>
      <c r="G19" s="1264" t="s">
        <v>91</v>
      </c>
      <c r="H19" s="1265"/>
      <c r="I19" s="1265"/>
      <c r="J19" s="1265"/>
      <c r="K19" s="1266"/>
      <c r="L19" s="666">
        <f>((L18)^4)/M17</f>
        <v>54.355185507113774</v>
      </c>
      <c r="M19" s="648"/>
      <c r="O19" s="617"/>
      <c r="P19" s="617"/>
      <c r="Q19" s="617"/>
      <c r="R19" s="617"/>
      <c r="S19" s="1264" t="s">
        <v>91</v>
      </c>
      <c r="T19" s="1265"/>
      <c r="U19" s="1265"/>
      <c r="V19" s="1265"/>
      <c r="W19" s="1266"/>
      <c r="X19" s="666">
        <f>((X18)^4)/Y17</f>
        <v>95.16728624535321</v>
      </c>
      <c r="Y19" s="648"/>
      <c r="AA19" s="674">
        <v>0</v>
      </c>
      <c r="AB19" s="675">
        <v>0.1</v>
      </c>
      <c r="AC19" s="627"/>
      <c r="AD19" s="627"/>
      <c r="AE19" s="1270" t="s">
        <v>91</v>
      </c>
      <c r="AF19" s="1271"/>
      <c r="AG19" s="1271"/>
      <c r="AH19" s="1271"/>
      <c r="AI19" s="1272"/>
      <c r="AJ19" s="672">
        <f>((AJ18)^4)/AK17</f>
        <v>50.046877652354937</v>
      </c>
      <c r="AK19" s="655"/>
      <c r="AL19" s="623"/>
      <c r="AM19" s="674">
        <v>100</v>
      </c>
      <c r="AN19" s="675">
        <v>0.2</v>
      </c>
      <c r="AO19" s="627"/>
      <c r="AP19" s="627"/>
      <c r="AQ19" s="1270" t="s">
        <v>91</v>
      </c>
      <c r="AR19" s="1271"/>
      <c r="AS19" s="1271"/>
      <c r="AT19" s="1271"/>
      <c r="AU19" s="1272"/>
      <c r="AV19" s="672">
        <f>((AV18)^4)/AW17</f>
        <v>68.114166545190031</v>
      </c>
      <c r="AW19" s="654"/>
      <c r="BB19" s="857"/>
      <c r="BC19" s="857"/>
      <c r="BD19" s="856"/>
      <c r="BE19" s="856"/>
      <c r="BF19" s="861"/>
      <c r="BG19" s="861"/>
      <c r="BH19" s="859"/>
      <c r="BI19" s="859"/>
      <c r="BJ19" s="860"/>
      <c r="BK19" s="860"/>
      <c r="BL19" s="659"/>
      <c r="BM19" s="842"/>
      <c r="BN19" s="847"/>
      <c r="BO19" s="847"/>
      <c r="BP19" s="847"/>
      <c r="BQ19" s="886"/>
      <c r="BR19" s="879"/>
      <c r="BS19" s="879"/>
      <c r="BT19" s="879"/>
      <c r="BU19" s="879"/>
      <c r="BV19" s="879"/>
      <c r="BW19" s="684"/>
      <c r="BX19" s="683"/>
      <c r="BY19" s="842"/>
      <c r="BZ19" s="857"/>
      <c r="CA19" s="857"/>
      <c r="CB19" s="856"/>
      <c r="CC19" s="856"/>
      <c r="CD19" s="861"/>
      <c r="CE19" s="861"/>
      <c r="CF19" s="859"/>
      <c r="CG19" s="859"/>
      <c r="CH19" s="860"/>
      <c r="CI19" s="860"/>
      <c r="CJ19" s="659"/>
      <c r="CK19" s="659"/>
      <c r="CL19" s="847"/>
      <c r="CM19" s="847"/>
      <c r="CN19" s="847"/>
      <c r="CO19" s="847"/>
      <c r="CP19" s="1260"/>
      <c r="CQ19" s="1260"/>
      <c r="CR19" s="1260"/>
      <c r="CS19" s="1260"/>
      <c r="CT19" s="1260"/>
      <c r="CU19" s="684"/>
      <c r="CV19" s="683"/>
      <c r="CW19" s="842"/>
      <c r="CX19" s="842"/>
      <c r="CY19" s="842"/>
      <c r="CZ19" s="842"/>
      <c r="DA19" s="842"/>
      <c r="DB19" s="842"/>
      <c r="DC19" s="842"/>
      <c r="DD19" s="842"/>
      <c r="DE19" s="842"/>
      <c r="DF19" s="842"/>
      <c r="DG19" s="842"/>
      <c r="DH19" s="842"/>
      <c r="DI19" s="842"/>
      <c r="DJ19" s="842"/>
      <c r="DK19" s="842"/>
      <c r="DL19" s="842"/>
      <c r="DM19" s="842"/>
      <c r="DN19" s="842"/>
      <c r="DO19" s="842"/>
      <c r="DP19" s="842"/>
      <c r="DQ19" s="842"/>
      <c r="DR19" s="842"/>
      <c r="DS19" s="842"/>
      <c r="DT19" s="842"/>
    </row>
    <row r="20" spans="3:124" ht="15.75" customHeight="1" x14ac:dyDescent="0.25">
      <c r="C20" s="617"/>
      <c r="D20" s="617"/>
      <c r="E20" s="617"/>
      <c r="F20" s="617"/>
      <c r="G20" s="1264" t="s">
        <v>42</v>
      </c>
      <c r="H20" s="1265"/>
      <c r="I20" s="1265"/>
      <c r="J20" s="1265"/>
      <c r="K20" s="1266"/>
      <c r="L20" s="648">
        <f>TINV(0.05,L19)</f>
        <v>2.0048792881880577</v>
      </c>
      <c r="M20" s="648"/>
      <c r="O20" s="617"/>
      <c r="P20" s="617"/>
      <c r="Q20" s="617"/>
      <c r="R20" s="617"/>
      <c r="S20" s="1264" t="s">
        <v>42</v>
      </c>
      <c r="T20" s="1265"/>
      <c r="U20" s="1265"/>
      <c r="V20" s="1265"/>
      <c r="W20" s="1266"/>
      <c r="X20" s="648">
        <f>TINV(0.05,X19)</f>
        <v>1.9852510035054973</v>
      </c>
      <c r="Y20" s="648"/>
      <c r="AA20" s="674">
        <v>50</v>
      </c>
      <c r="AB20" s="675">
        <v>0.2</v>
      </c>
      <c r="AC20" s="627"/>
      <c r="AD20" s="627"/>
      <c r="AE20" s="1270" t="s">
        <v>42</v>
      </c>
      <c r="AF20" s="1271"/>
      <c r="AG20" s="1271"/>
      <c r="AH20" s="1271"/>
      <c r="AI20" s="1272"/>
      <c r="AJ20" s="654">
        <f>TINV(0.05,AJ19)</f>
        <v>2.0085591121007611</v>
      </c>
      <c r="AK20" s="655"/>
      <c r="AL20" s="623"/>
      <c r="AM20" s="674">
        <v>150</v>
      </c>
      <c r="AN20" s="675">
        <v>0.2</v>
      </c>
      <c r="AO20" s="627"/>
      <c r="AP20" s="627"/>
      <c r="AQ20" s="1270" t="s">
        <v>42</v>
      </c>
      <c r="AR20" s="1271"/>
      <c r="AS20" s="1271"/>
      <c r="AT20" s="1271"/>
      <c r="AU20" s="1272"/>
      <c r="AV20" s="654">
        <f>TINV(0.05,AV19)</f>
        <v>1.9954689314298424</v>
      </c>
      <c r="AW20" s="654"/>
      <c r="BB20" s="857"/>
      <c r="BC20" s="857"/>
      <c r="BD20" s="856"/>
      <c r="BE20" s="856"/>
      <c r="BF20" s="861"/>
      <c r="BG20" s="861"/>
      <c r="BH20" s="859"/>
      <c r="BI20" s="859"/>
      <c r="BJ20" s="860"/>
      <c r="BK20" s="860"/>
      <c r="BL20" s="659"/>
      <c r="BM20" s="842"/>
      <c r="BN20" s="847"/>
      <c r="BO20" s="847"/>
      <c r="BP20" s="847"/>
      <c r="BQ20" s="886"/>
      <c r="BR20" s="879"/>
      <c r="BS20" s="879"/>
      <c r="BT20" s="879"/>
      <c r="BU20" s="879"/>
      <c r="BV20" s="879"/>
      <c r="BW20" s="683"/>
      <c r="BX20" s="683"/>
      <c r="BY20" s="842"/>
      <c r="BZ20" s="857"/>
      <c r="CA20" s="857"/>
      <c r="CB20" s="856"/>
      <c r="CC20" s="856"/>
      <c r="CD20" s="861"/>
      <c r="CE20" s="861"/>
      <c r="CF20" s="859"/>
      <c r="CG20" s="859"/>
      <c r="CH20" s="860"/>
      <c r="CI20" s="860"/>
      <c r="CJ20" s="659"/>
      <c r="CK20" s="659"/>
      <c r="CL20" s="847"/>
      <c r="CM20" s="847"/>
      <c r="CN20" s="847"/>
      <c r="CO20" s="847"/>
      <c r="CP20" s="1260"/>
      <c r="CQ20" s="1260"/>
      <c r="CR20" s="1260"/>
      <c r="CS20" s="1260"/>
      <c r="CT20" s="1260"/>
      <c r="CU20" s="683"/>
      <c r="CV20" s="683"/>
      <c r="CW20" s="842"/>
      <c r="CX20" s="842"/>
      <c r="CY20" s="842"/>
      <c r="CZ20" s="842"/>
      <c r="DA20" s="842"/>
      <c r="DB20" s="842"/>
      <c r="DC20" s="842"/>
      <c r="DD20" s="842"/>
      <c r="DE20" s="842"/>
      <c r="DF20" s="842"/>
      <c r="DG20" s="842"/>
      <c r="DH20" s="842"/>
      <c r="DI20" s="842"/>
      <c r="DJ20" s="842"/>
      <c r="DK20" s="842"/>
      <c r="DL20" s="842"/>
      <c r="DM20" s="842"/>
      <c r="DN20" s="842"/>
      <c r="DO20" s="842"/>
      <c r="DP20" s="842"/>
      <c r="DQ20" s="842"/>
      <c r="DR20" s="842"/>
      <c r="DS20" s="842"/>
      <c r="DT20" s="842"/>
    </row>
    <row r="21" spans="3:124" ht="15.75" customHeight="1" x14ac:dyDescent="0.25">
      <c r="C21" s="617"/>
      <c r="D21" s="617"/>
      <c r="E21" s="617"/>
      <c r="F21" s="617"/>
      <c r="G21" s="1264" t="s">
        <v>122</v>
      </c>
      <c r="H21" s="1265"/>
      <c r="I21" s="1265"/>
      <c r="J21" s="1265"/>
      <c r="K21" s="1266"/>
      <c r="L21" s="676">
        <f>L20*L18</f>
        <v>0.47284983442043033</v>
      </c>
      <c r="M21" s="648"/>
      <c r="O21" s="617"/>
      <c r="P21" s="617"/>
      <c r="Q21" s="617"/>
      <c r="R21" s="617"/>
      <c r="S21" s="1264" t="s">
        <v>122</v>
      </c>
      <c r="T21" s="1265"/>
      <c r="U21" s="1265"/>
      <c r="V21" s="1265"/>
      <c r="W21" s="1266"/>
      <c r="X21" s="676">
        <f>X20*X18</f>
        <v>0.5615137787744543</v>
      </c>
      <c r="Y21" s="648"/>
      <c r="AA21" s="627"/>
      <c r="AB21" s="627"/>
      <c r="AC21" s="627"/>
      <c r="AD21" s="627"/>
      <c r="AE21" s="1270" t="s">
        <v>228</v>
      </c>
      <c r="AF21" s="1271"/>
      <c r="AG21" s="1271"/>
      <c r="AH21" s="1271"/>
      <c r="AI21" s="1272"/>
      <c r="AJ21" s="677">
        <f>AJ20*AJ18</f>
        <v>0.46395239067499422</v>
      </c>
      <c r="AK21" s="655"/>
      <c r="AL21" s="623"/>
      <c r="AM21" s="627"/>
      <c r="AN21" s="627"/>
      <c r="AO21" s="627"/>
      <c r="AP21" s="627"/>
      <c r="AQ21" s="1270" t="s">
        <v>228</v>
      </c>
      <c r="AR21" s="1271"/>
      <c r="AS21" s="1271"/>
      <c r="AT21" s="1271"/>
      <c r="AU21" s="1272"/>
      <c r="AV21" s="677">
        <f>AV20*AV18</f>
        <v>0.5021699915215726</v>
      </c>
      <c r="AW21" s="654"/>
      <c r="BB21" s="842"/>
      <c r="BC21" s="842"/>
      <c r="BD21" s="842"/>
      <c r="BE21" s="842"/>
      <c r="BF21" s="842"/>
      <c r="BG21" s="842"/>
      <c r="BH21" s="842"/>
      <c r="BI21" s="842"/>
      <c r="BJ21" s="842"/>
      <c r="BK21" s="842"/>
      <c r="BL21" s="842"/>
      <c r="BM21" s="842"/>
      <c r="BN21" s="847"/>
      <c r="BO21" s="847"/>
      <c r="BP21" s="847"/>
      <c r="BQ21" s="886"/>
      <c r="BR21" s="879"/>
      <c r="BS21" s="879"/>
      <c r="BT21" s="879"/>
      <c r="BU21" s="879"/>
      <c r="BV21" s="879"/>
      <c r="BW21" s="862"/>
      <c r="BX21" s="683"/>
      <c r="BY21" s="842"/>
      <c r="BZ21" s="842"/>
      <c r="CA21" s="842"/>
      <c r="CB21" s="842"/>
      <c r="CC21" s="842"/>
      <c r="CD21" s="842"/>
      <c r="CE21" s="842"/>
      <c r="CF21" s="842"/>
      <c r="CG21" s="842"/>
      <c r="CH21" s="842"/>
      <c r="CI21" s="842"/>
      <c r="CJ21" s="842"/>
      <c r="CK21" s="842"/>
      <c r="CL21" s="847"/>
      <c r="CM21" s="847"/>
      <c r="CN21" s="847"/>
      <c r="CO21" s="847"/>
      <c r="CP21" s="1260"/>
      <c r="CQ21" s="1260"/>
      <c r="CR21" s="1260"/>
      <c r="CS21" s="1260"/>
      <c r="CT21" s="1260"/>
      <c r="CU21" s="862"/>
      <c r="CV21" s="683"/>
      <c r="CW21" s="842"/>
      <c r="CX21" s="842"/>
      <c r="CY21" s="842"/>
      <c r="CZ21" s="842"/>
      <c r="DA21" s="842"/>
      <c r="DB21" s="842"/>
      <c r="DC21" s="842"/>
      <c r="DD21" s="842"/>
      <c r="DE21" s="842"/>
      <c r="DF21" s="842"/>
      <c r="DG21" s="842"/>
      <c r="DH21" s="842"/>
      <c r="DI21" s="842"/>
      <c r="DJ21" s="842"/>
      <c r="DK21" s="842"/>
      <c r="DL21" s="842"/>
      <c r="DM21" s="842"/>
      <c r="DN21" s="842"/>
      <c r="DO21" s="842"/>
      <c r="DP21" s="842"/>
      <c r="DQ21" s="842"/>
      <c r="DR21" s="842"/>
      <c r="DS21" s="842"/>
      <c r="DT21" s="842"/>
    </row>
    <row r="22" spans="3:124" ht="6" customHeight="1" x14ac:dyDescent="0.25">
      <c r="C22" s="617"/>
      <c r="D22" s="617"/>
      <c r="E22" s="617"/>
      <c r="F22" s="617"/>
      <c r="G22" s="618"/>
      <c r="H22" s="618"/>
      <c r="I22" s="618"/>
      <c r="J22" s="618"/>
      <c r="K22" s="618"/>
      <c r="L22" s="619"/>
      <c r="M22" s="620"/>
      <c r="AA22" s="627"/>
      <c r="AB22" s="627"/>
      <c r="AC22" s="627"/>
      <c r="AD22" s="627"/>
      <c r="AE22" s="628"/>
      <c r="AF22" s="628"/>
      <c r="AG22" s="628"/>
      <c r="AH22" s="628"/>
      <c r="AI22" s="628"/>
      <c r="AJ22" s="629"/>
      <c r="AK22" s="678"/>
      <c r="AL22" s="623"/>
      <c r="AM22" s="623"/>
      <c r="AN22" s="623"/>
      <c r="AO22" s="623"/>
      <c r="AP22" s="623"/>
      <c r="AQ22" s="623"/>
      <c r="AR22" s="623"/>
      <c r="AS22" s="623"/>
      <c r="AT22" s="623"/>
      <c r="AU22" s="623"/>
      <c r="AV22" s="623"/>
      <c r="AW22" s="623"/>
      <c r="BB22" s="842"/>
      <c r="BC22" s="842"/>
      <c r="BD22" s="842"/>
      <c r="BE22" s="842"/>
      <c r="BF22" s="842"/>
      <c r="BG22" s="842"/>
      <c r="BH22" s="842"/>
      <c r="BI22" s="842"/>
      <c r="BJ22" s="842"/>
      <c r="BK22" s="842"/>
      <c r="BL22" s="842"/>
      <c r="BM22" s="842"/>
      <c r="BN22" s="847"/>
      <c r="BO22" s="847"/>
      <c r="BP22" s="847"/>
      <c r="BQ22" s="886"/>
      <c r="BR22" s="879"/>
      <c r="BS22" s="879"/>
      <c r="BT22" s="879"/>
      <c r="BU22" s="879"/>
      <c r="BV22" s="879"/>
      <c r="BW22" s="684"/>
      <c r="BX22" s="683"/>
      <c r="BY22" s="842"/>
      <c r="BZ22" s="842"/>
      <c r="CA22" s="842"/>
      <c r="CB22" s="842"/>
      <c r="CC22" s="842"/>
      <c r="CD22" s="842"/>
      <c r="CE22" s="842"/>
      <c r="CF22" s="842"/>
      <c r="CG22" s="842"/>
      <c r="CH22" s="842"/>
      <c r="CI22" s="842"/>
      <c r="CJ22" s="842"/>
      <c r="CK22" s="842"/>
      <c r="CL22" s="842"/>
      <c r="CM22" s="842"/>
      <c r="CN22" s="842"/>
      <c r="CO22" s="842"/>
      <c r="CP22" s="842"/>
      <c r="CQ22" s="842"/>
      <c r="CR22" s="842"/>
      <c r="CS22" s="842"/>
      <c r="CT22" s="842"/>
      <c r="CU22" s="842"/>
      <c r="CV22" s="842"/>
      <c r="CW22" s="842"/>
      <c r="CX22" s="842"/>
      <c r="CY22" s="842"/>
      <c r="CZ22" s="842"/>
      <c r="DA22" s="842"/>
      <c r="DB22" s="842"/>
      <c r="DC22" s="842"/>
      <c r="DD22" s="842"/>
      <c r="DE22" s="842"/>
      <c r="DF22" s="842"/>
      <c r="DG22" s="842"/>
      <c r="DH22" s="842"/>
      <c r="DI22" s="842"/>
      <c r="DJ22" s="842"/>
      <c r="DK22" s="842"/>
      <c r="DL22" s="842"/>
      <c r="DM22" s="842"/>
      <c r="DN22" s="842"/>
      <c r="DO22" s="842"/>
      <c r="DP22" s="842"/>
      <c r="DQ22" s="842"/>
      <c r="DR22" s="842"/>
      <c r="DS22" s="842"/>
      <c r="DT22" s="842"/>
    </row>
    <row r="23" spans="3:124" ht="6" customHeight="1" x14ac:dyDescent="0.25">
      <c r="C23" s="617"/>
      <c r="D23" s="617"/>
      <c r="E23" s="617"/>
      <c r="F23" s="617"/>
      <c r="G23" s="618"/>
      <c r="H23" s="618"/>
      <c r="I23" s="618"/>
      <c r="J23" s="618"/>
      <c r="K23" s="618"/>
      <c r="L23" s="619"/>
      <c r="M23" s="620"/>
      <c r="AA23" s="627"/>
      <c r="AB23" s="627"/>
      <c r="AC23" s="627"/>
      <c r="AD23" s="627"/>
      <c r="AE23" s="628"/>
      <c r="AF23" s="628"/>
      <c r="AG23" s="628"/>
      <c r="AH23" s="628"/>
      <c r="AI23" s="628"/>
      <c r="AJ23" s="629"/>
      <c r="AK23" s="678"/>
      <c r="AL23" s="623"/>
      <c r="AM23" s="623"/>
      <c r="AN23" s="623"/>
      <c r="AO23" s="623"/>
      <c r="AP23" s="623"/>
      <c r="AQ23" s="623"/>
      <c r="AR23" s="623"/>
      <c r="AS23" s="623"/>
      <c r="AT23" s="623"/>
      <c r="AU23" s="623"/>
      <c r="AV23" s="623"/>
      <c r="AW23" s="623"/>
      <c r="BB23" s="842"/>
      <c r="BC23" s="842"/>
      <c r="BD23" s="842"/>
      <c r="BE23" s="842"/>
      <c r="BF23" s="842"/>
      <c r="BG23" s="842"/>
      <c r="BH23" s="842"/>
      <c r="BI23" s="842"/>
      <c r="BJ23" s="842"/>
      <c r="BK23" s="842"/>
      <c r="BL23" s="842"/>
      <c r="BM23" s="842"/>
      <c r="BN23" s="847"/>
      <c r="BO23" s="847"/>
      <c r="BP23" s="847"/>
      <c r="BQ23" s="886"/>
      <c r="BR23" s="879"/>
      <c r="BS23" s="879"/>
      <c r="BT23" s="879"/>
      <c r="BU23" s="879"/>
      <c r="BV23" s="879"/>
      <c r="BW23" s="684"/>
      <c r="BX23" s="683"/>
      <c r="BY23" s="842"/>
      <c r="BZ23" s="842"/>
      <c r="CA23" s="842"/>
      <c r="CB23" s="842"/>
      <c r="CC23" s="842"/>
      <c r="CD23" s="842"/>
      <c r="CE23" s="842"/>
      <c r="CF23" s="842"/>
      <c r="CG23" s="842"/>
      <c r="CH23" s="842"/>
      <c r="CI23" s="842"/>
      <c r="CJ23" s="842"/>
      <c r="CK23" s="842"/>
      <c r="CL23" s="842"/>
      <c r="CM23" s="842"/>
      <c r="CN23" s="842"/>
      <c r="CO23" s="842"/>
      <c r="CP23" s="842"/>
      <c r="CQ23" s="842"/>
      <c r="CR23" s="842"/>
      <c r="CS23" s="842"/>
      <c r="CT23" s="842"/>
      <c r="CU23" s="842"/>
      <c r="CV23" s="842"/>
      <c r="CW23" s="842"/>
      <c r="CX23" s="842"/>
      <c r="CY23" s="842"/>
      <c r="CZ23" s="842"/>
      <c r="DA23" s="842"/>
      <c r="DB23" s="842"/>
      <c r="DC23" s="842"/>
      <c r="DD23" s="842"/>
      <c r="DE23" s="842"/>
      <c r="DF23" s="842"/>
      <c r="DG23" s="842"/>
      <c r="DH23" s="842"/>
      <c r="DI23" s="842"/>
      <c r="DJ23" s="842"/>
      <c r="DK23" s="842"/>
      <c r="DL23" s="842"/>
      <c r="DM23" s="842"/>
      <c r="DN23" s="842"/>
      <c r="DO23" s="842"/>
      <c r="DP23" s="842"/>
      <c r="DQ23" s="842"/>
      <c r="DR23" s="842"/>
      <c r="DS23" s="842"/>
      <c r="DT23" s="842"/>
    </row>
    <row r="24" spans="3:124" ht="15.75" customHeight="1" x14ac:dyDescent="0.25">
      <c r="C24" s="615">
        <f>ID!A69</f>
        <v>50</v>
      </c>
      <c r="D24" s="616" t="str">
        <f>D25</f>
        <v>mmHg</v>
      </c>
      <c r="E24" s="617"/>
      <c r="F24" s="617"/>
      <c r="G24" s="618"/>
      <c r="H24" s="618"/>
      <c r="I24" s="618"/>
      <c r="J24" s="618"/>
      <c r="K24" s="618"/>
      <c r="L24" s="619"/>
      <c r="M24" s="620"/>
      <c r="O24" s="615">
        <f>ID!A72</f>
        <v>200</v>
      </c>
      <c r="P24" s="616" t="str">
        <f>P25</f>
        <v>mmHg</v>
      </c>
      <c r="Q24" s="617"/>
      <c r="R24" s="617"/>
      <c r="S24" s="618"/>
      <c r="T24" s="618"/>
      <c r="U24" s="618"/>
      <c r="V24" s="618"/>
      <c r="W24" s="618"/>
      <c r="X24" s="619"/>
      <c r="Y24" s="620"/>
      <c r="AA24" s="625">
        <v>50</v>
      </c>
      <c r="AB24" s="626">
        <f>AB25</f>
        <v>0</v>
      </c>
      <c r="AC24" s="627"/>
      <c r="AD24" s="627"/>
      <c r="AE24" s="628"/>
      <c r="AF24" s="628"/>
      <c r="AG24" s="628"/>
      <c r="AH24" s="628"/>
      <c r="AI24" s="628"/>
      <c r="AJ24" s="629"/>
      <c r="AK24" s="678"/>
      <c r="AL24" s="623"/>
      <c r="AM24" s="625">
        <v>200</v>
      </c>
      <c r="AN24" s="626">
        <f>AN25</f>
        <v>0</v>
      </c>
      <c r="AO24" s="627"/>
      <c r="AP24" s="627"/>
      <c r="AQ24" s="628"/>
      <c r="AR24" s="628"/>
      <c r="AS24" s="628"/>
      <c r="AT24" s="628"/>
      <c r="AU24" s="628"/>
      <c r="AV24" s="629"/>
      <c r="AW24" s="630"/>
      <c r="BB24" s="842"/>
      <c r="BC24" s="842"/>
      <c r="BD24" s="842"/>
      <c r="BE24" s="842"/>
      <c r="BF24" s="842"/>
      <c r="BG24" s="842"/>
      <c r="BH24" s="842"/>
      <c r="BI24" s="842"/>
      <c r="BJ24" s="842"/>
      <c r="BK24" s="842"/>
      <c r="BL24" s="842"/>
      <c r="BM24" s="842"/>
      <c r="BN24" s="845"/>
      <c r="BO24" s="846"/>
      <c r="BP24" s="847"/>
      <c r="BQ24" s="886"/>
      <c r="BR24" s="879"/>
      <c r="BS24" s="879"/>
      <c r="BT24" s="879"/>
      <c r="BU24" s="879"/>
      <c r="BV24" s="879"/>
      <c r="BW24" s="684"/>
      <c r="BX24" s="683"/>
      <c r="BY24" s="842"/>
      <c r="BZ24" s="842"/>
      <c r="CA24" s="842"/>
      <c r="CB24" s="842"/>
      <c r="CC24" s="842"/>
      <c r="CD24" s="842"/>
      <c r="CE24" s="842"/>
      <c r="CF24" s="842"/>
      <c r="CG24" s="842"/>
      <c r="CH24" s="842"/>
      <c r="CI24" s="842"/>
      <c r="CJ24" s="842"/>
      <c r="CK24" s="842"/>
      <c r="CL24" s="845"/>
      <c r="CM24" s="846"/>
      <c r="CN24" s="847"/>
      <c r="CO24" s="847"/>
      <c r="CP24" s="848"/>
      <c r="CQ24" s="848"/>
      <c r="CR24" s="848"/>
      <c r="CS24" s="848"/>
      <c r="CT24" s="848"/>
      <c r="CU24" s="684"/>
      <c r="CV24" s="683"/>
      <c r="CW24" s="842"/>
      <c r="CX24" s="842"/>
      <c r="CY24" s="842"/>
      <c r="CZ24" s="842"/>
      <c r="DA24" s="842"/>
      <c r="DB24" s="842"/>
      <c r="DC24" s="842"/>
      <c r="DD24" s="842"/>
      <c r="DE24" s="842"/>
      <c r="DF24" s="842"/>
      <c r="DG24" s="842"/>
      <c r="DH24" s="842"/>
      <c r="DI24" s="842"/>
      <c r="DJ24" s="842"/>
      <c r="DK24" s="842"/>
      <c r="DL24" s="842"/>
      <c r="DM24" s="842"/>
      <c r="DN24" s="842"/>
      <c r="DO24" s="842"/>
      <c r="DP24" s="842"/>
      <c r="DQ24" s="842"/>
      <c r="DR24" s="842"/>
      <c r="DS24" s="842"/>
      <c r="DT24" s="842"/>
    </row>
    <row r="25" spans="3:124" ht="24" customHeight="1" x14ac:dyDescent="0.25">
      <c r="C25" s="633">
        <f>ID!J69</f>
        <v>50.1</v>
      </c>
      <c r="D25" s="632" t="s">
        <v>38</v>
      </c>
      <c r="O25" s="633">
        <f>ID!J72</f>
        <v>198.80199999999999</v>
      </c>
      <c r="P25" s="632" t="s">
        <v>38</v>
      </c>
      <c r="AA25" s="633">
        <f>ID!J69</f>
        <v>50.1</v>
      </c>
      <c r="AB25" s="634"/>
      <c r="AC25" s="623"/>
      <c r="AD25" s="623"/>
      <c r="AE25" s="623"/>
      <c r="AF25" s="623"/>
      <c r="AG25" s="623"/>
      <c r="AH25" s="623"/>
      <c r="AI25" s="623"/>
      <c r="AJ25" s="623"/>
      <c r="AK25" s="624"/>
      <c r="AL25" s="623"/>
      <c r="AM25" s="633"/>
      <c r="AN25" s="634"/>
      <c r="AO25" s="623"/>
      <c r="AP25" s="623"/>
      <c r="AQ25" s="623"/>
      <c r="AR25" s="623"/>
      <c r="AS25" s="623"/>
      <c r="AT25" s="623"/>
      <c r="AU25" s="623"/>
      <c r="AV25" s="623"/>
      <c r="AW25" s="623"/>
      <c r="BB25" s="842"/>
      <c r="BC25" s="842"/>
      <c r="BD25" s="842"/>
      <c r="BE25" s="842"/>
      <c r="BF25" s="842"/>
      <c r="BG25" s="842"/>
      <c r="BH25" s="842"/>
      <c r="BI25" s="842"/>
      <c r="BJ25" s="842"/>
      <c r="BK25" s="842"/>
      <c r="BL25" s="842"/>
      <c r="BM25" s="842"/>
      <c r="BN25" s="849"/>
      <c r="BO25" s="850"/>
      <c r="BP25" s="842"/>
      <c r="BQ25" s="882"/>
      <c r="BR25" s="879"/>
      <c r="BS25" s="879"/>
      <c r="BT25" s="879"/>
      <c r="BU25" s="879"/>
      <c r="BV25" s="879"/>
      <c r="BW25" s="842"/>
      <c r="BX25" s="842"/>
      <c r="BY25" s="842"/>
      <c r="BZ25" s="842"/>
      <c r="CA25" s="842"/>
      <c r="CB25" s="842"/>
      <c r="CC25" s="842"/>
      <c r="CD25" s="681"/>
      <c r="CE25" s="681"/>
      <c r="CF25" s="681"/>
      <c r="CG25" s="681"/>
      <c r="CH25" s="681"/>
      <c r="CI25" s="681"/>
      <c r="CJ25" s="681"/>
      <c r="CK25" s="842"/>
      <c r="CL25" s="849"/>
      <c r="CM25" s="850"/>
      <c r="CN25" s="842"/>
      <c r="CO25" s="842"/>
      <c r="CP25" s="842"/>
      <c r="CQ25" s="842"/>
      <c r="CR25" s="842"/>
      <c r="CS25" s="842"/>
      <c r="CT25" s="842"/>
      <c r="CU25" s="842"/>
      <c r="CV25" s="842"/>
      <c r="CW25" s="842"/>
      <c r="CX25" s="842"/>
      <c r="CY25" s="842"/>
      <c r="CZ25" s="842"/>
      <c r="DA25" s="842"/>
      <c r="DB25" s="842"/>
      <c r="DC25" s="842"/>
      <c r="DD25" s="842"/>
      <c r="DE25" s="842"/>
      <c r="DF25" s="842"/>
      <c r="DG25" s="842"/>
      <c r="DH25" s="842"/>
      <c r="DI25" s="842"/>
      <c r="DJ25" s="842"/>
      <c r="DK25" s="842"/>
      <c r="DL25" s="842"/>
      <c r="DM25" s="842"/>
      <c r="DN25" s="842"/>
      <c r="DO25" s="842"/>
      <c r="DP25" s="842"/>
      <c r="DQ25" s="842"/>
      <c r="DR25" s="842"/>
      <c r="DS25" s="842"/>
      <c r="DT25" s="842"/>
    </row>
    <row r="26" spans="3:124" s="637" customFormat="1" ht="37.5" customHeight="1" x14ac:dyDescent="0.35">
      <c r="C26" s="635" t="s">
        <v>40</v>
      </c>
      <c r="D26" s="635" t="s">
        <v>41</v>
      </c>
      <c r="E26" s="635" t="s">
        <v>80</v>
      </c>
      <c r="F26" s="635" t="s">
        <v>79</v>
      </c>
      <c r="G26" s="635" t="s">
        <v>14</v>
      </c>
      <c r="H26" s="635" t="s">
        <v>115</v>
      </c>
      <c r="I26" s="635" t="s">
        <v>116</v>
      </c>
      <c r="J26" s="635" t="s">
        <v>117</v>
      </c>
      <c r="K26" s="635" t="s">
        <v>118</v>
      </c>
      <c r="L26" s="635" t="s">
        <v>119</v>
      </c>
      <c r="M26" s="636" t="s">
        <v>120</v>
      </c>
      <c r="O26" s="635" t="s">
        <v>40</v>
      </c>
      <c r="P26" s="635" t="s">
        <v>41</v>
      </c>
      <c r="Q26" s="635" t="s">
        <v>80</v>
      </c>
      <c r="R26" s="635" t="s">
        <v>79</v>
      </c>
      <c r="S26" s="635" t="s">
        <v>14</v>
      </c>
      <c r="T26" s="635" t="s">
        <v>115</v>
      </c>
      <c r="U26" s="635" t="s">
        <v>116</v>
      </c>
      <c r="V26" s="635" t="s">
        <v>117</v>
      </c>
      <c r="W26" s="635" t="s">
        <v>118</v>
      </c>
      <c r="X26" s="635" t="s">
        <v>119</v>
      </c>
      <c r="Y26" s="636" t="s">
        <v>120</v>
      </c>
      <c r="AA26" s="638" t="s">
        <v>40</v>
      </c>
      <c r="AB26" s="638" t="s">
        <v>41</v>
      </c>
      <c r="AC26" s="638" t="s">
        <v>80</v>
      </c>
      <c r="AD26" s="638" t="s">
        <v>79</v>
      </c>
      <c r="AE26" s="638" t="s">
        <v>14</v>
      </c>
      <c r="AF26" s="638" t="s">
        <v>221</v>
      </c>
      <c r="AG26" s="638" t="s">
        <v>222</v>
      </c>
      <c r="AH26" s="638" t="s">
        <v>223</v>
      </c>
      <c r="AI26" s="638" t="s">
        <v>224</v>
      </c>
      <c r="AJ26" s="638" t="s">
        <v>225</v>
      </c>
      <c r="AK26" s="639" t="s">
        <v>226</v>
      </c>
      <c r="AL26" s="640"/>
      <c r="AM26" s="638" t="s">
        <v>40</v>
      </c>
      <c r="AN26" s="638" t="s">
        <v>41</v>
      </c>
      <c r="AO26" s="638" t="s">
        <v>80</v>
      </c>
      <c r="AP26" s="638" t="s">
        <v>79</v>
      </c>
      <c r="AQ26" s="638" t="s">
        <v>14</v>
      </c>
      <c r="AR26" s="638" t="s">
        <v>221</v>
      </c>
      <c r="AS26" s="638" t="s">
        <v>222</v>
      </c>
      <c r="AT26" s="638" t="s">
        <v>223</v>
      </c>
      <c r="AU26" s="638" t="s">
        <v>224</v>
      </c>
      <c r="AV26" s="638" t="s">
        <v>225</v>
      </c>
      <c r="AW26" s="641" t="s">
        <v>226</v>
      </c>
      <c r="BB26" s="844"/>
      <c r="BC26" s="844"/>
      <c r="BD26" s="844"/>
      <c r="BE26" s="844"/>
      <c r="BF26" s="844"/>
      <c r="BG26" s="844"/>
      <c r="BH26" s="844"/>
      <c r="BI26" s="844"/>
      <c r="BJ26" s="844"/>
      <c r="BK26" s="844"/>
      <c r="BL26" s="844"/>
      <c r="BM26" s="844"/>
      <c r="BN26" s="851"/>
      <c r="BO26" s="851"/>
      <c r="BP26" s="851"/>
      <c r="BQ26" s="883"/>
      <c r="BR26" s="879"/>
      <c r="BS26" s="879"/>
      <c r="BT26" s="879"/>
      <c r="BU26" s="879"/>
      <c r="BV26" s="879"/>
      <c r="BW26" s="851"/>
      <c r="BX26" s="682"/>
      <c r="BY26" s="844"/>
      <c r="BZ26" s="842"/>
      <c r="CA26" s="842"/>
      <c r="CB26" s="842"/>
      <c r="CC26" s="842"/>
      <c r="CD26" s="681"/>
      <c r="CE26" s="863"/>
      <c r="CF26" s="863"/>
      <c r="CG26" s="864"/>
      <c r="CH26" s="864"/>
      <c r="CI26" s="864"/>
      <c r="CJ26" s="864"/>
      <c r="CK26" s="844"/>
      <c r="CL26" s="851"/>
      <c r="CM26" s="851"/>
      <c r="CN26" s="851"/>
      <c r="CO26" s="851"/>
      <c r="CP26" s="851"/>
      <c r="CQ26" s="851"/>
      <c r="CR26" s="851"/>
      <c r="CS26" s="851"/>
      <c r="CT26" s="851"/>
      <c r="CU26" s="851"/>
      <c r="CV26" s="682"/>
      <c r="CW26" s="844"/>
      <c r="CX26" s="844"/>
      <c r="CY26" s="844"/>
      <c r="CZ26" s="844"/>
      <c r="DA26" s="844"/>
      <c r="DB26" s="844"/>
      <c r="DC26" s="844"/>
      <c r="DD26" s="844"/>
      <c r="DE26" s="844"/>
      <c r="DF26" s="844"/>
      <c r="DG26" s="844"/>
      <c r="DH26" s="844"/>
      <c r="DI26" s="844"/>
      <c r="DJ26" s="844"/>
      <c r="DK26" s="844"/>
      <c r="DL26" s="844"/>
      <c r="DM26" s="844"/>
      <c r="DN26" s="844"/>
      <c r="DO26" s="844"/>
      <c r="DP26" s="844"/>
      <c r="DQ26" s="844"/>
      <c r="DR26" s="844"/>
      <c r="DS26" s="844"/>
      <c r="DT26" s="844"/>
    </row>
    <row r="27" spans="3:124" x14ac:dyDescent="0.25">
      <c r="C27" s="643" t="s">
        <v>83</v>
      </c>
      <c r="D27" s="644" t="s">
        <v>38</v>
      </c>
      <c r="E27" s="645" t="s">
        <v>11</v>
      </c>
      <c r="F27" s="646">
        <f>ID!L69</f>
        <v>0</v>
      </c>
      <c r="G27" s="646">
        <f>SQRT(3)</f>
        <v>1.7320508075688772</v>
      </c>
      <c r="H27" s="646">
        <f>(F27/G27)</f>
        <v>0</v>
      </c>
      <c r="I27" s="647">
        <v>1</v>
      </c>
      <c r="J27" s="647">
        <v>5</v>
      </c>
      <c r="K27" s="648">
        <f>H27*I27</f>
        <v>0</v>
      </c>
      <c r="L27" s="648">
        <f>K27^2</f>
        <v>0</v>
      </c>
      <c r="M27" s="648">
        <f>((K27)^4)/J27</f>
        <v>0</v>
      </c>
      <c r="O27" s="643" t="s">
        <v>83</v>
      </c>
      <c r="P27" s="644" t="s">
        <v>38</v>
      </c>
      <c r="Q27" s="645" t="s">
        <v>11</v>
      </c>
      <c r="R27" s="646">
        <f>ID!L72</f>
        <v>0</v>
      </c>
      <c r="S27" s="646">
        <f>SQRT(3)</f>
        <v>1.7320508075688772</v>
      </c>
      <c r="T27" s="646">
        <f>(R27/S27)</f>
        <v>0</v>
      </c>
      <c r="U27" s="647">
        <v>1</v>
      </c>
      <c r="V27" s="647">
        <v>5</v>
      </c>
      <c r="W27" s="648">
        <f>T27*U27</f>
        <v>0</v>
      </c>
      <c r="X27" s="648">
        <f>W27^2</f>
        <v>0</v>
      </c>
      <c r="Y27" s="648">
        <f>((W27)^4)/V27</f>
        <v>0</v>
      </c>
      <c r="AA27" s="649" t="s">
        <v>83</v>
      </c>
      <c r="AB27" s="650" t="s">
        <v>38</v>
      </c>
      <c r="AC27" s="651" t="s">
        <v>11</v>
      </c>
      <c r="AD27" s="652">
        <v>0</v>
      </c>
      <c r="AE27" s="652">
        <v>1.7320508075688772</v>
      </c>
      <c r="AF27" s="652">
        <f>0/1.7321</f>
        <v>0</v>
      </c>
      <c r="AG27" s="653">
        <v>1</v>
      </c>
      <c r="AH27" s="653">
        <f>3-1</f>
        <v>2</v>
      </c>
      <c r="AI27" s="654">
        <f>(0*1)</f>
        <v>0</v>
      </c>
      <c r="AJ27" s="654">
        <f>(0*1)^2</f>
        <v>0</v>
      </c>
      <c r="AK27" s="655">
        <f>((0*1)^4)/2</f>
        <v>0</v>
      </c>
      <c r="AL27" s="623"/>
      <c r="AM27" s="649" t="s">
        <v>83</v>
      </c>
      <c r="AN27" s="650" t="s">
        <v>38</v>
      </c>
      <c r="AO27" s="651" t="s">
        <v>11</v>
      </c>
      <c r="AP27" s="652">
        <v>0</v>
      </c>
      <c r="AQ27" s="652">
        <v>1.7320508075688772</v>
      </c>
      <c r="AR27" s="652">
        <f>0/1.7321</f>
        <v>0</v>
      </c>
      <c r="AS27" s="653">
        <v>1</v>
      </c>
      <c r="AT27" s="653">
        <f>3-1</f>
        <v>2</v>
      </c>
      <c r="AU27" s="654">
        <f>(0*1)</f>
        <v>0</v>
      </c>
      <c r="AV27" s="654">
        <f>(0*1)^2</f>
        <v>0</v>
      </c>
      <c r="AW27" s="655">
        <f>((0*1)^4)/2</f>
        <v>0</v>
      </c>
      <c r="BB27" s="842"/>
      <c r="BC27" s="842"/>
      <c r="BD27" s="842"/>
      <c r="BE27" s="842"/>
      <c r="BF27" s="842"/>
      <c r="BG27" s="842"/>
      <c r="BH27" s="842"/>
      <c r="BI27" s="842"/>
      <c r="BJ27" s="842"/>
      <c r="BK27" s="842"/>
      <c r="BL27" s="842"/>
      <c r="BM27" s="842"/>
      <c r="BN27" s="847"/>
      <c r="BO27" s="852"/>
      <c r="BP27" s="853"/>
      <c r="BQ27" s="884"/>
      <c r="BR27" s="879"/>
      <c r="BS27" s="879"/>
      <c r="BT27" s="879"/>
      <c r="BU27" s="879"/>
      <c r="BV27" s="879"/>
      <c r="BW27" s="683"/>
      <c r="BX27" s="683"/>
      <c r="BY27" s="842"/>
      <c r="BZ27" s="865"/>
      <c r="CA27" s="866"/>
      <c r="CB27" s="867"/>
      <c r="CC27" s="844"/>
      <c r="CD27" s="681"/>
      <c r="CE27" s="863"/>
      <c r="CF27" s="863"/>
      <c r="CG27" s="864"/>
      <c r="CH27" s="864"/>
      <c r="CI27" s="864"/>
      <c r="CJ27" s="864"/>
      <c r="CK27" s="842"/>
      <c r="CL27" s="847"/>
      <c r="CM27" s="852"/>
      <c r="CN27" s="853"/>
      <c r="CO27" s="660"/>
      <c r="CP27" s="660"/>
      <c r="CQ27" s="660"/>
      <c r="CR27" s="854"/>
      <c r="CS27" s="854"/>
      <c r="CT27" s="683"/>
      <c r="CU27" s="683"/>
      <c r="CV27" s="683"/>
      <c r="CW27" s="842"/>
      <c r="CX27" s="842"/>
      <c r="CY27" s="842"/>
      <c r="CZ27" s="842"/>
      <c r="DA27" s="842"/>
      <c r="DB27" s="842"/>
      <c r="DC27" s="842"/>
      <c r="DD27" s="842"/>
      <c r="DE27" s="842"/>
      <c r="DF27" s="842"/>
      <c r="DG27" s="842"/>
      <c r="DH27" s="842"/>
      <c r="DI27" s="842"/>
      <c r="DJ27" s="842"/>
      <c r="DK27" s="842"/>
      <c r="DL27" s="842"/>
      <c r="DM27" s="842"/>
      <c r="DN27" s="842"/>
      <c r="DO27" s="842"/>
      <c r="DP27" s="842"/>
      <c r="DQ27" s="842"/>
      <c r="DR27" s="842"/>
      <c r="DS27" s="842"/>
      <c r="DT27" s="842"/>
    </row>
    <row r="28" spans="3:124" ht="29.25" customHeight="1" x14ac:dyDescent="0.25">
      <c r="C28" s="643" t="s">
        <v>82</v>
      </c>
      <c r="D28" s="644" t="s">
        <v>38</v>
      </c>
      <c r="E28" s="645" t="s">
        <v>11</v>
      </c>
      <c r="F28" s="1063">
        <f>'INTERPOLASI  '!AJ19</f>
        <v>0.3</v>
      </c>
      <c r="G28" s="647">
        <v>2</v>
      </c>
      <c r="H28" s="646">
        <f>F28/G28</f>
        <v>0.15</v>
      </c>
      <c r="I28" s="647">
        <v>1</v>
      </c>
      <c r="J28" s="647">
        <v>50</v>
      </c>
      <c r="K28" s="648">
        <f>H28*I28</f>
        <v>0.15</v>
      </c>
      <c r="L28" s="648">
        <f>K28^2</f>
        <v>2.2499999999999999E-2</v>
      </c>
      <c r="M28" s="648">
        <f>((K28)^4)/J28</f>
        <v>1.0124999999999999E-5</v>
      </c>
      <c r="O28" s="643" t="s">
        <v>82</v>
      </c>
      <c r="P28" s="644" t="s">
        <v>38</v>
      </c>
      <c r="Q28" s="645" t="s">
        <v>11</v>
      </c>
      <c r="R28" s="1063">
        <f>'INTERPOLASI  '!AJ22</f>
        <v>0.3</v>
      </c>
      <c r="S28" s="647">
        <v>2</v>
      </c>
      <c r="T28" s="646">
        <f>R28/S28</f>
        <v>0.15</v>
      </c>
      <c r="U28" s="647">
        <v>1</v>
      </c>
      <c r="V28" s="647">
        <v>50</v>
      </c>
      <c r="W28" s="648">
        <f>T28*U28</f>
        <v>0.15</v>
      </c>
      <c r="X28" s="648">
        <f>W28^2</f>
        <v>2.2499999999999999E-2</v>
      </c>
      <c r="Y28" s="648">
        <f>((W28)^4)/V28</f>
        <v>1.0124999999999999E-5</v>
      </c>
      <c r="AA28" s="649" t="s">
        <v>82</v>
      </c>
      <c r="AB28" s="650" t="s">
        <v>38</v>
      </c>
      <c r="AC28" s="651" t="s">
        <v>11</v>
      </c>
      <c r="AD28" s="656">
        <f>(((0.2-0.1)*(49-0))/(50-0))+(0.1)</f>
        <v>0.19800000000000001</v>
      </c>
      <c r="AE28" s="653">
        <v>2</v>
      </c>
      <c r="AF28" s="652">
        <f>0.198/2</f>
        <v>9.9000000000000005E-2</v>
      </c>
      <c r="AG28" s="653">
        <v>1</v>
      </c>
      <c r="AH28" s="653">
        <v>50</v>
      </c>
      <c r="AI28" s="654">
        <f>(0.099*1)</f>
        <v>9.9000000000000005E-2</v>
      </c>
      <c r="AJ28" s="654">
        <f>(0.099*1)^2</f>
        <v>9.8010000000000007E-3</v>
      </c>
      <c r="AK28" s="654">
        <f>((0.099*1)^4)/50</f>
        <v>1.9211920200000002E-6</v>
      </c>
      <c r="AL28" s="623"/>
      <c r="AM28" s="649" t="s">
        <v>82</v>
      </c>
      <c r="AN28" s="650" t="s">
        <v>38</v>
      </c>
      <c r="AO28" s="651" t="s">
        <v>11</v>
      </c>
      <c r="AP28" s="656">
        <f>(((0.2-0.2)*(149-0.2))/(150-100))+(0.2)</f>
        <v>0.2</v>
      </c>
      <c r="AQ28" s="653">
        <v>2</v>
      </c>
      <c r="AR28" s="652">
        <f>0.2/2</f>
        <v>0.1</v>
      </c>
      <c r="AS28" s="653">
        <v>1</v>
      </c>
      <c r="AT28" s="653">
        <v>50</v>
      </c>
      <c r="AU28" s="654">
        <f>(0.1*1)</f>
        <v>0.1</v>
      </c>
      <c r="AV28" s="654">
        <f>(0.1*1)^2</f>
        <v>1.0000000000000002E-2</v>
      </c>
      <c r="AW28" s="654">
        <f>((0.1*1)^4)/50</f>
        <v>2.0000000000000008E-6</v>
      </c>
      <c r="BB28" s="842"/>
      <c r="BC28" s="842"/>
      <c r="BD28" s="842"/>
      <c r="BE28" s="842"/>
      <c r="BF28" s="842"/>
      <c r="BG28" s="842"/>
      <c r="BH28" s="878">
        <f>C25</f>
        <v>50.1</v>
      </c>
      <c r="BI28" s="870" t="s">
        <v>428</v>
      </c>
      <c r="BJ28" s="871"/>
      <c r="BK28" s="871" t="s">
        <v>430</v>
      </c>
      <c r="BL28" s="880">
        <v>48.095999999999997</v>
      </c>
      <c r="BM28" s="872">
        <v>0</v>
      </c>
      <c r="BN28" s="873">
        <v>0.1</v>
      </c>
      <c r="BO28" s="874">
        <v>50</v>
      </c>
      <c r="BP28" s="875">
        <v>0.1</v>
      </c>
      <c r="BQ28" s="885">
        <f>((((BP28-BN28)*(BL28-BM28)))/(BO28-BM28))+BN28</f>
        <v>0.1</v>
      </c>
      <c r="BR28" s="879"/>
      <c r="BS28" s="877">
        <f>O25</f>
        <v>198.80199999999999</v>
      </c>
      <c r="BT28" s="870" t="s">
        <v>428</v>
      </c>
      <c r="BU28" s="871"/>
      <c r="BV28" s="871" t="s">
        <v>432</v>
      </c>
      <c r="BW28" s="880">
        <v>132.13300000000001</v>
      </c>
      <c r="BX28" s="872">
        <v>100</v>
      </c>
      <c r="BY28" s="873">
        <v>0.1</v>
      </c>
      <c r="BZ28" s="874">
        <v>150</v>
      </c>
      <c r="CA28" s="875">
        <v>0.1</v>
      </c>
      <c r="CB28" s="885">
        <f>((((CA28-BY28)*(BW28-BX28)))/(BZ28-BX28))+BY28</f>
        <v>0.1</v>
      </c>
      <c r="CC28" s="842"/>
      <c r="CD28" s="681"/>
      <c r="CE28" s="863"/>
      <c r="CF28" s="863"/>
      <c r="CG28" s="864"/>
      <c r="CH28" s="864"/>
      <c r="CI28" s="864"/>
      <c r="CJ28" s="864"/>
      <c r="CK28" s="842"/>
      <c r="CL28" s="847"/>
      <c r="CM28" s="852"/>
      <c r="CN28" s="853"/>
      <c r="CO28" s="856"/>
      <c r="CP28" s="854"/>
      <c r="CQ28" s="660"/>
      <c r="CR28" s="854"/>
      <c r="CS28" s="854"/>
      <c r="CT28" s="683"/>
      <c r="CU28" s="683"/>
      <c r="CV28" s="683"/>
      <c r="CW28" s="842"/>
      <c r="CX28" s="842"/>
      <c r="CY28" s="842"/>
      <c r="CZ28" s="842"/>
      <c r="DA28" s="842"/>
      <c r="DB28" s="842"/>
      <c r="DC28" s="842"/>
      <c r="DD28" s="842"/>
      <c r="DE28" s="842"/>
      <c r="DF28" s="842"/>
      <c r="DG28" s="842"/>
      <c r="DH28" s="842"/>
      <c r="DI28" s="842"/>
      <c r="DJ28" s="842"/>
      <c r="DK28" s="842"/>
      <c r="DL28" s="842"/>
      <c r="DM28" s="842"/>
      <c r="DN28" s="842"/>
      <c r="DO28" s="842"/>
      <c r="DP28" s="842"/>
      <c r="DQ28" s="842"/>
      <c r="DR28" s="842"/>
      <c r="DS28" s="842"/>
      <c r="DT28" s="842"/>
    </row>
    <row r="29" spans="3:124" ht="28.5" customHeight="1" x14ac:dyDescent="0.25">
      <c r="C29" s="643" t="s">
        <v>243</v>
      </c>
      <c r="D29" s="644" t="s">
        <v>38</v>
      </c>
      <c r="E29" s="645" t="s">
        <v>85</v>
      </c>
      <c r="F29" s="646">
        <f>(1/5)*ID!C9</f>
        <v>0.4</v>
      </c>
      <c r="G29" s="646">
        <f>SQRT(3)</f>
        <v>1.7320508075688772</v>
      </c>
      <c r="H29" s="646">
        <f>F29/G29</f>
        <v>0.23094010767585033</v>
      </c>
      <c r="I29" s="647">
        <v>1</v>
      </c>
      <c r="J29" s="647">
        <v>50</v>
      </c>
      <c r="K29" s="648">
        <f>H29*I29</f>
        <v>0.23094010767585033</v>
      </c>
      <c r="L29" s="648">
        <f>K29^2</f>
        <v>5.3333333333333344E-2</v>
      </c>
      <c r="M29" s="648">
        <f>((K29)^4)/J29</f>
        <v>5.6888888888888908E-5</v>
      </c>
      <c r="O29" s="643" t="s">
        <v>243</v>
      </c>
      <c r="P29" s="644" t="s">
        <v>38</v>
      </c>
      <c r="Q29" s="645" t="s">
        <v>85</v>
      </c>
      <c r="R29" s="646">
        <f>(1/5)*ID!C9</f>
        <v>0.4</v>
      </c>
      <c r="S29" s="646">
        <f>SQRT(3)</f>
        <v>1.7320508075688772</v>
      </c>
      <c r="T29" s="646">
        <f>R29/S29</f>
        <v>0.23094010767585033</v>
      </c>
      <c r="U29" s="647">
        <v>1</v>
      </c>
      <c r="V29" s="647">
        <v>50</v>
      </c>
      <c r="W29" s="648">
        <f>T29*U29</f>
        <v>0.23094010767585033</v>
      </c>
      <c r="X29" s="648">
        <f>W29^2</f>
        <v>5.3333333333333344E-2</v>
      </c>
      <c r="Y29" s="648">
        <f>((W29)^4)/V29</f>
        <v>5.6888888888888908E-5</v>
      </c>
      <c r="AA29" s="649" t="s">
        <v>76</v>
      </c>
      <c r="AB29" s="650" t="s">
        <v>38</v>
      </c>
      <c r="AC29" s="651" t="s">
        <v>85</v>
      </c>
      <c r="AD29" s="652">
        <f>(1/5)*2</f>
        <v>0.4</v>
      </c>
      <c r="AE29" s="652">
        <v>1.7320508075688772</v>
      </c>
      <c r="AF29" s="658">
        <f>0.4/1.7321</f>
        <v>0.23093354887131229</v>
      </c>
      <c r="AG29" s="653">
        <v>1</v>
      </c>
      <c r="AH29" s="653">
        <v>50</v>
      </c>
      <c r="AI29" s="654">
        <f>(0.230933548871*1)</f>
        <v>0.23093354887100001</v>
      </c>
      <c r="AJ29" s="654">
        <f>(0.230933548871*1)^2</f>
        <v>5.3330303994154553E-2</v>
      </c>
      <c r="AK29" s="654">
        <f>((0.230933548871*1)^4)/50</f>
        <v>5.6882426482178737E-5</v>
      </c>
      <c r="AL29" s="623"/>
      <c r="AM29" s="649" t="s">
        <v>76</v>
      </c>
      <c r="AN29" s="650" t="s">
        <v>38</v>
      </c>
      <c r="AO29" s="651" t="s">
        <v>85</v>
      </c>
      <c r="AP29" s="652">
        <f>(1/5)*2</f>
        <v>0.4</v>
      </c>
      <c r="AQ29" s="652">
        <v>1.7320508075688772</v>
      </c>
      <c r="AR29" s="658">
        <f>0.4/1.7321</f>
        <v>0.23093354887131229</v>
      </c>
      <c r="AS29" s="653">
        <v>1</v>
      </c>
      <c r="AT29" s="653">
        <v>50</v>
      </c>
      <c r="AU29" s="654">
        <f>(0.230933548871*1)</f>
        <v>0.23093354887100001</v>
      </c>
      <c r="AV29" s="654">
        <f>(0.230933548871*1)^2</f>
        <v>5.3330303994154553E-2</v>
      </c>
      <c r="AW29" s="654">
        <f>((0.230933548871*1)^4)/50</f>
        <v>5.6882426482178737E-5</v>
      </c>
      <c r="BB29" s="842"/>
      <c r="BC29" s="842"/>
      <c r="BD29" s="842"/>
      <c r="BE29" s="842"/>
      <c r="BF29" s="842"/>
      <c r="BG29" s="842"/>
      <c r="BH29" s="842"/>
      <c r="BI29" s="859"/>
      <c r="BJ29" s="860"/>
      <c r="BK29" s="860"/>
      <c r="BL29" s="659"/>
      <c r="BM29" s="842"/>
      <c r="BN29" s="847"/>
      <c r="BO29" s="852"/>
      <c r="BP29" s="853"/>
      <c r="BQ29" s="884"/>
      <c r="BR29" s="879"/>
      <c r="BS29" s="859"/>
      <c r="BT29" s="859"/>
      <c r="BU29" s="860"/>
      <c r="BV29" s="860"/>
      <c r="BW29" s="659"/>
      <c r="BX29" s="842"/>
      <c r="BY29" s="847"/>
      <c r="BZ29" s="852"/>
      <c r="CA29" s="853"/>
      <c r="CB29" s="884"/>
      <c r="CC29" s="842"/>
      <c r="CD29" s="681"/>
      <c r="CE29" s="863"/>
      <c r="CF29" s="863"/>
      <c r="CG29" s="864"/>
      <c r="CH29" s="864"/>
      <c r="CI29" s="864"/>
      <c r="CJ29" s="864"/>
      <c r="CK29" s="842"/>
      <c r="CL29" s="847"/>
      <c r="CM29" s="852"/>
      <c r="CN29" s="853"/>
      <c r="CO29" s="660"/>
      <c r="CP29" s="660"/>
      <c r="CQ29" s="660"/>
      <c r="CR29" s="854"/>
      <c r="CS29" s="854"/>
      <c r="CT29" s="683"/>
      <c r="CU29" s="683"/>
      <c r="CV29" s="683"/>
      <c r="CW29" s="842"/>
      <c r="CX29" s="842"/>
      <c r="CY29" s="842"/>
      <c r="CZ29" s="842"/>
      <c r="DA29" s="842"/>
      <c r="DB29" s="842"/>
      <c r="DC29" s="842"/>
      <c r="DD29" s="842"/>
      <c r="DE29" s="842"/>
      <c r="DF29" s="842"/>
      <c r="DG29" s="842"/>
      <c r="DH29" s="842"/>
      <c r="DI29" s="842"/>
      <c r="DJ29" s="842"/>
      <c r="DK29" s="842"/>
      <c r="DL29" s="842"/>
      <c r="DM29" s="842"/>
      <c r="DN29" s="842"/>
      <c r="DO29" s="842"/>
      <c r="DP29" s="842"/>
      <c r="DQ29" s="842"/>
      <c r="DR29" s="842"/>
      <c r="DS29" s="842"/>
      <c r="DT29" s="842"/>
    </row>
    <row r="30" spans="3:124" ht="28.5" customHeight="1" x14ac:dyDescent="0.25">
      <c r="C30" s="643" t="s">
        <v>244</v>
      </c>
      <c r="D30" s="644" t="s">
        <v>38</v>
      </c>
      <c r="E30" s="645" t="s">
        <v>85</v>
      </c>
      <c r="F30" s="660">
        <f>(1/2)*'RESOLUSI STANDAR'!$K$7</f>
        <v>0.05</v>
      </c>
      <c r="G30" s="646">
        <f>SQRT(3)</f>
        <v>1.7320508075688772</v>
      </c>
      <c r="H30" s="646">
        <f>F30/G30</f>
        <v>2.8867513459481291E-2</v>
      </c>
      <c r="I30" s="647">
        <v>1</v>
      </c>
      <c r="J30" s="647">
        <v>50</v>
      </c>
      <c r="K30" s="648">
        <f>H30*I30</f>
        <v>2.8867513459481291E-2</v>
      </c>
      <c r="L30" s="648">
        <f>K30^2</f>
        <v>8.333333333333335E-4</v>
      </c>
      <c r="M30" s="648">
        <f>((K30)^4)/J30</f>
        <v>1.3888888888888894E-8</v>
      </c>
      <c r="O30" s="643" t="s">
        <v>244</v>
      </c>
      <c r="P30" s="644" t="s">
        <v>38</v>
      </c>
      <c r="Q30" s="645" t="s">
        <v>85</v>
      </c>
      <c r="R30" s="660">
        <f>(1/2)*'RESOLUSI STANDAR'!$K$7</f>
        <v>0.05</v>
      </c>
      <c r="S30" s="646">
        <f>SQRT(3)</f>
        <v>1.7320508075688772</v>
      </c>
      <c r="T30" s="646">
        <f>R30/S30</f>
        <v>2.8867513459481291E-2</v>
      </c>
      <c r="U30" s="647">
        <v>1</v>
      </c>
      <c r="V30" s="647">
        <v>50</v>
      </c>
      <c r="W30" s="648">
        <f>T30*U30</f>
        <v>2.8867513459481291E-2</v>
      </c>
      <c r="X30" s="648">
        <f>W30^2</f>
        <v>8.333333333333335E-4</v>
      </c>
      <c r="Y30" s="648">
        <f>((W30)^4)/V30</f>
        <v>1.3888888888888894E-8</v>
      </c>
      <c r="AA30" s="649"/>
      <c r="AB30" s="650"/>
      <c r="AC30" s="651"/>
      <c r="AD30" s="661"/>
      <c r="AE30" s="652"/>
      <c r="AF30" s="658"/>
      <c r="AG30" s="653"/>
      <c r="AH30" s="653"/>
      <c r="AI30" s="654"/>
      <c r="AJ30" s="654"/>
      <c r="AK30" s="654"/>
      <c r="AL30" s="623"/>
      <c r="AM30" s="649"/>
      <c r="AN30" s="650"/>
      <c r="AO30" s="651"/>
      <c r="AP30" s="661"/>
      <c r="AQ30" s="652"/>
      <c r="AR30" s="658"/>
      <c r="AS30" s="653"/>
      <c r="AT30" s="653"/>
      <c r="AU30" s="654"/>
      <c r="AV30" s="654"/>
      <c r="AW30" s="654"/>
      <c r="BB30" s="857"/>
      <c r="BC30" s="857"/>
      <c r="BD30" s="856"/>
      <c r="BE30" s="856"/>
      <c r="BF30" s="858"/>
      <c r="BG30" s="858"/>
      <c r="BH30" s="859"/>
      <c r="BI30" s="859"/>
      <c r="BJ30" s="860"/>
      <c r="BK30" s="860"/>
      <c r="BL30" s="659"/>
      <c r="BM30" s="842"/>
      <c r="BN30" s="847"/>
      <c r="BO30" s="852"/>
      <c r="BP30" s="853"/>
      <c r="BQ30" s="884"/>
      <c r="BR30" s="879"/>
      <c r="BS30" s="859"/>
      <c r="BT30" s="859"/>
      <c r="BU30" s="860"/>
      <c r="BV30" s="860"/>
      <c r="BW30" s="659"/>
      <c r="BX30" s="842"/>
      <c r="BY30" s="847"/>
      <c r="BZ30" s="852"/>
      <c r="CA30" s="853"/>
      <c r="CB30" s="884"/>
      <c r="CC30" s="856"/>
      <c r="CD30" s="858"/>
      <c r="CE30" s="858"/>
      <c r="CF30" s="859"/>
      <c r="CG30" s="859"/>
      <c r="CH30" s="860"/>
      <c r="CI30" s="860"/>
      <c r="CJ30" s="659"/>
      <c r="CK30" s="659"/>
      <c r="CL30" s="847"/>
      <c r="CM30" s="852"/>
      <c r="CN30" s="853"/>
      <c r="CO30" s="660"/>
      <c r="CP30" s="660"/>
      <c r="CQ30" s="660"/>
      <c r="CR30" s="854"/>
      <c r="CS30" s="854"/>
      <c r="CT30" s="683"/>
      <c r="CU30" s="683"/>
      <c r="CV30" s="683"/>
      <c r="CW30" s="842"/>
      <c r="CX30" s="842"/>
      <c r="CY30" s="842"/>
      <c r="CZ30" s="842"/>
      <c r="DA30" s="842"/>
      <c r="DB30" s="842"/>
      <c r="DC30" s="842"/>
      <c r="DD30" s="842"/>
      <c r="DE30" s="842"/>
      <c r="DF30" s="842"/>
      <c r="DG30" s="842"/>
      <c r="DH30" s="842"/>
      <c r="DI30" s="842"/>
      <c r="DJ30" s="842"/>
      <c r="DK30" s="842"/>
      <c r="DL30" s="842"/>
      <c r="DM30" s="842"/>
      <c r="DN30" s="842"/>
      <c r="DO30" s="842"/>
      <c r="DP30" s="842"/>
      <c r="DQ30" s="842"/>
      <c r="DR30" s="842"/>
      <c r="DS30" s="842"/>
      <c r="DT30" s="842"/>
    </row>
    <row r="31" spans="3:124" ht="31.5" x14ac:dyDescent="0.25">
      <c r="C31" s="643" t="s">
        <v>51</v>
      </c>
      <c r="D31" s="644" t="s">
        <v>38</v>
      </c>
      <c r="E31" s="645" t="s">
        <v>85</v>
      </c>
      <c r="F31" s="1063">
        <f>'INTERPOLASI  '!BI19</f>
        <v>5.0100000000000006E-2</v>
      </c>
      <c r="G31" s="646">
        <f>SQRT(3)</f>
        <v>1.7320508075688772</v>
      </c>
      <c r="H31" s="646">
        <f>F31/G31</f>
        <v>2.8925248486400254E-2</v>
      </c>
      <c r="I31" s="647">
        <v>1</v>
      </c>
      <c r="J31" s="647">
        <v>50</v>
      </c>
      <c r="K31" s="648">
        <f>H31*I31</f>
        <v>2.8925248486400254E-2</v>
      </c>
      <c r="L31" s="648">
        <f>K31^2</f>
        <v>8.3667000000000019E-4</v>
      </c>
      <c r="M31" s="648">
        <f>((K31)^4)/J31</f>
        <v>1.4000333778000005E-8</v>
      </c>
      <c r="O31" s="643" t="s">
        <v>51</v>
      </c>
      <c r="P31" s="644" t="s">
        <v>38</v>
      </c>
      <c r="Q31" s="645" t="s">
        <v>85</v>
      </c>
      <c r="R31" s="1063">
        <f>'INTERPOLASI  '!BI22</f>
        <v>0.1</v>
      </c>
      <c r="S31" s="646">
        <f>SQRT(3)</f>
        <v>1.7320508075688772</v>
      </c>
      <c r="T31" s="646">
        <f>R31/S31</f>
        <v>5.7735026918962581E-2</v>
      </c>
      <c r="U31" s="647">
        <v>1</v>
      </c>
      <c r="V31" s="647">
        <v>50</v>
      </c>
      <c r="W31" s="648">
        <f>T31*U31</f>
        <v>5.7735026918962581E-2</v>
      </c>
      <c r="X31" s="648">
        <f>W31^2</f>
        <v>3.333333333333334E-3</v>
      </c>
      <c r="Y31" s="648">
        <f>((W31)^4)/V31</f>
        <v>2.222222222222223E-7</v>
      </c>
      <c r="AA31" s="649" t="s">
        <v>51</v>
      </c>
      <c r="AB31" s="650" t="s">
        <v>38</v>
      </c>
      <c r="AC31" s="651" t="s">
        <v>85</v>
      </c>
      <c r="AD31" s="656">
        <v>0</v>
      </c>
      <c r="AE31" s="652">
        <v>1.7320508075688772</v>
      </c>
      <c r="AF31" s="652">
        <f>0/1.7321</f>
        <v>0</v>
      </c>
      <c r="AG31" s="653">
        <v>1</v>
      </c>
      <c r="AH31" s="653">
        <v>50</v>
      </c>
      <c r="AI31" s="654">
        <f>(0*1)</f>
        <v>0</v>
      </c>
      <c r="AJ31" s="654">
        <f>(0*1)^2</f>
        <v>0</v>
      </c>
      <c r="AK31" s="655">
        <f>((0*1)^4)/50</f>
        <v>0</v>
      </c>
      <c r="AL31" s="623"/>
      <c r="AM31" s="649" t="s">
        <v>51</v>
      </c>
      <c r="AN31" s="650" t="s">
        <v>38</v>
      </c>
      <c r="AO31" s="651" t="s">
        <v>85</v>
      </c>
      <c r="AP31" s="656">
        <v>0</v>
      </c>
      <c r="AQ31" s="652">
        <v>1.7320508075688772</v>
      </c>
      <c r="AR31" s="652">
        <f>0/1.7321</f>
        <v>0</v>
      </c>
      <c r="AS31" s="653">
        <v>1</v>
      </c>
      <c r="AT31" s="653">
        <v>50</v>
      </c>
      <c r="AU31" s="654">
        <f>(0*1)</f>
        <v>0</v>
      </c>
      <c r="AV31" s="654">
        <f>(0*1)^2</f>
        <v>0</v>
      </c>
      <c r="AW31" s="655">
        <f>((0*1)^4)/50</f>
        <v>0</v>
      </c>
      <c r="BB31" s="842"/>
      <c r="BC31" s="842"/>
      <c r="BD31" s="842"/>
      <c r="BE31" s="842"/>
      <c r="BF31" s="842"/>
      <c r="BG31" s="842"/>
      <c r="BH31" s="842"/>
      <c r="BI31" s="870" t="s">
        <v>428</v>
      </c>
      <c r="BJ31" s="871"/>
      <c r="BK31" s="871" t="s">
        <v>430</v>
      </c>
      <c r="BL31" s="880">
        <v>48.095999999999997</v>
      </c>
      <c r="BM31" s="872">
        <v>0</v>
      </c>
      <c r="BN31" s="876">
        <v>0.05</v>
      </c>
      <c r="BO31" s="874">
        <v>50</v>
      </c>
      <c r="BP31" s="876">
        <v>0.05</v>
      </c>
      <c r="BQ31" s="885">
        <f>((((BP31-BN31)*(BL31-BM31)))/(BO31-BM31))+BN31</f>
        <v>0.05</v>
      </c>
      <c r="BR31" s="879"/>
      <c r="BS31" s="859"/>
      <c r="BT31" s="870" t="s">
        <v>428</v>
      </c>
      <c r="BU31" s="871"/>
      <c r="BV31" s="871" t="s">
        <v>432</v>
      </c>
      <c r="BW31" s="880">
        <v>132.13300000000001</v>
      </c>
      <c r="BX31" s="872">
        <v>100</v>
      </c>
      <c r="BY31" s="876">
        <v>0.2</v>
      </c>
      <c r="BZ31" s="874">
        <v>150</v>
      </c>
      <c r="CA31" s="876">
        <v>0.2</v>
      </c>
      <c r="CB31" s="885">
        <f>((((CA31-BY31)*(BW31-BX31)))/(BZ31-BX31))+BY31</f>
        <v>0.2</v>
      </c>
      <c r="CC31" s="842"/>
      <c r="CD31" s="681"/>
      <c r="CE31" s="863"/>
      <c r="CF31" s="863"/>
      <c r="CG31" s="864"/>
      <c r="CH31" s="864"/>
      <c r="CI31" s="864"/>
      <c r="CJ31" s="864"/>
      <c r="CK31" s="842"/>
      <c r="CL31" s="847"/>
      <c r="CM31" s="852"/>
      <c r="CN31" s="853"/>
      <c r="CO31" s="856"/>
      <c r="CP31" s="660"/>
      <c r="CQ31" s="660"/>
      <c r="CR31" s="854"/>
      <c r="CS31" s="854"/>
      <c r="CT31" s="683"/>
      <c r="CU31" s="683"/>
      <c r="CV31" s="683"/>
      <c r="CW31" s="842"/>
      <c r="CX31" s="842"/>
      <c r="CY31" s="842"/>
      <c r="CZ31" s="842"/>
      <c r="DA31" s="842"/>
      <c r="DB31" s="842"/>
      <c r="DC31" s="842"/>
      <c r="DD31" s="842"/>
      <c r="DE31" s="842"/>
      <c r="DF31" s="842"/>
      <c r="DG31" s="842"/>
      <c r="DH31" s="842"/>
      <c r="DI31" s="842"/>
      <c r="DJ31" s="842"/>
      <c r="DK31" s="842"/>
      <c r="DL31" s="842"/>
      <c r="DM31" s="842"/>
      <c r="DN31" s="842"/>
      <c r="DO31" s="842"/>
      <c r="DP31" s="842"/>
      <c r="DQ31" s="842"/>
      <c r="DR31" s="842"/>
      <c r="DS31" s="842"/>
      <c r="DT31" s="842"/>
    </row>
    <row r="32" spans="3:124" x14ac:dyDescent="0.25">
      <c r="C32" s="662"/>
      <c r="D32" s="662"/>
      <c r="E32" s="662"/>
      <c r="F32" s="662"/>
      <c r="G32" s="663" t="s">
        <v>84</v>
      </c>
      <c r="H32" s="664"/>
      <c r="I32" s="664"/>
      <c r="J32" s="664"/>
      <c r="K32" s="665"/>
      <c r="L32" s="666">
        <f>SUM(L27:L31)</f>
        <v>7.7503336666666672E-2</v>
      </c>
      <c r="M32" s="666">
        <f>SUM(M27:M31)</f>
        <v>6.704177811155579E-5</v>
      </c>
      <c r="O32" s="662"/>
      <c r="P32" s="662"/>
      <c r="Q32" s="662"/>
      <c r="R32" s="662"/>
      <c r="S32" s="663" t="s">
        <v>84</v>
      </c>
      <c r="T32" s="664"/>
      <c r="U32" s="664"/>
      <c r="V32" s="664"/>
      <c r="W32" s="665"/>
      <c r="X32" s="666">
        <f>SUM(X27:X31)</f>
        <v>8.0000000000000016E-2</v>
      </c>
      <c r="Y32" s="666">
        <f>SUM(Y27:Y31)</f>
        <v>6.7250000000000008E-5</v>
      </c>
      <c r="AA32" s="667"/>
      <c r="AB32" s="667"/>
      <c r="AC32" s="667"/>
      <c r="AD32" s="667"/>
      <c r="AE32" s="668" t="s">
        <v>84</v>
      </c>
      <c r="AF32" s="669"/>
      <c r="AG32" s="669"/>
      <c r="AH32" s="669"/>
      <c r="AI32" s="670"/>
      <c r="AJ32" s="672">
        <f>SUM(AJ27:AJ31)</f>
        <v>6.313130399415455E-2</v>
      </c>
      <c r="AK32" s="671">
        <f>SUM(AK27:AK31)</f>
        <v>5.8803618502178739E-5</v>
      </c>
      <c r="AL32" s="623"/>
      <c r="AM32" s="667"/>
      <c r="AN32" s="667"/>
      <c r="AO32" s="667"/>
      <c r="AP32" s="667"/>
      <c r="AQ32" s="668" t="s">
        <v>84</v>
      </c>
      <c r="AR32" s="669"/>
      <c r="AS32" s="669"/>
      <c r="AT32" s="669"/>
      <c r="AU32" s="670"/>
      <c r="AV32" s="672">
        <f>SUM(AV27:AV31)</f>
        <v>6.3330303994154555E-2</v>
      </c>
      <c r="AW32" s="672">
        <f>SUM(AW27:AW31)</f>
        <v>5.8882426482178738E-5</v>
      </c>
      <c r="BB32" s="842"/>
      <c r="BC32" s="842"/>
      <c r="BD32" s="842"/>
      <c r="BE32" s="842"/>
      <c r="BF32" s="842"/>
      <c r="BG32" s="842"/>
      <c r="BH32" s="842"/>
      <c r="BI32" s="842"/>
      <c r="BJ32" s="842"/>
      <c r="BK32" s="842"/>
      <c r="BL32" s="842"/>
      <c r="BM32" s="842"/>
      <c r="BN32" s="847"/>
      <c r="BO32" s="847"/>
      <c r="BP32" s="847"/>
      <c r="BQ32" s="886"/>
      <c r="BR32" s="848"/>
      <c r="BS32" s="848"/>
      <c r="BT32" s="848"/>
      <c r="BU32" s="848"/>
      <c r="BV32" s="848"/>
      <c r="BW32" s="684"/>
      <c r="BX32" s="684"/>
      <c r="BY32" s="842"/>
      <c r="BZ32" s="865"/>
      <c r="CA32" s="866"/>
      <c r="CB32" s="867"/>
      <c r="CC32" s="842"/>
      <c r="CD32" s="681"/>
      <c r="CE32" s="863"/>
      <c r="CF32" s="863"/>
      <c r="CG32" s="864"/>
      <c r="CH32" s="864"/>
      <c r="CI32" s="864"/>
      <c r="CJ32" s="864"/>
      <c r="CK32" s="842"/>
      <c r="CL32" s="847"/>
      <c r="CM32" s="847"/>
      <c r="CN32" s="847"/>
      <c r="CO32" s="847"/>
      <c r="CP32" s="848"/>
      <c r="CQ32" s="848"/>
      <c r="CR32" s="848"/>
      <c r="CS32" s="848"/>
      <c r="CT32" s="848"/>
      <c r="CU32" s="684"/>
      <c r="CV32" s="684"/>
      <c r="CW32" s="842"/>
      <c r="CX32" s="842"/>
      <c r="CY32" s="842"/>
      <c r="CZ32" s="842"/>
      <c r="DA32" s="842"/>
      <c r="DB32" s="842"/>
      <c r="DC32" s="842"/>
      <c r="DD32" s="842"/>
      <c r="DE32" s="842"/>
      <c r="DF32" s="842"/>
      <c r="DG32" s="842"/>
      <c r="DH32" s="842"/>
      <c r="DI32" s="842"/>
      <c r="DJ32" s="842"/>
      <c r="DK32" s="842"/>
      <c r="DL32" s="842"/>
      <c r="DM32" s="842"/>
      <c r="DN32" s="842"/>
      <c r="DO32" s="842"/>
      <c r="DP32" s="842"/>
      <c r="DQ32" s="842"/>
      <c r="DR32" s="842"/>
      <c r="DS32" s="842"/>
      <c r="DT32" s="842"/>
    </row>
    <row r="33" spans="3:124" ht="15.75" customHeight="1" x14ac:dyDescent="0.35">
      <c r="C33" s="617"/>
      <c r="D33" s="617"/>
      <c r="E33" s="617"/>
      <c r="F33" s="617"/>
      <c r="G33" s="1264" t="s">
        <v>121</v>
      </c>
      <c r="H33" s="1265"/>
      <c r="I33" s="1265"/>
      <c r="J33" s="1265"/>
      <c r="K33" s="1266"/>
      <c r="L33" s="666">
        <f>SQRT(L32)</f>
        <v>0.27839421090724331</v>
      </c>
      <c r="M33" s="648"/>
      <c r="O33" s="617"/>
      <c r="P33" s="617"/>
      <c r="Q33" s="617"/>
      <c r="R33" s="617"/>
      <c r="S33" s="1264" t="s">
        <v>121</v>
      </c>
      <c r="T33" s="1265"/>
      <c r="U33" s="1265"/>
      <c r="V33" s="1265"/>
      <c r="W33" s="1266"/>
      <c r="X33" s="666">
        <f>SQRT(X32)</f>
        <v>0.28284271247461906</v>
      </c>
      <c r="Y33" s="648"/>
      <c r="AA33" s="673" t="s">
        <v>48</v>
      </c>
      <c r="AB33" s="673" t="s">
        <v>197</v>
      </c>
      <c r="AC33" s="627"/>
      <c r="AD33" s="627"/>
      <c r="AE33" s="1270" t="s">
        <v>227</v>
      </c>
      <c r="AF33" s="1271"/>
      <c r="AG33" s="1271"/>
      <c r="AH33" s="1271"/>
      <c r="AI33" s="1272"/>
      <c r="AJ33" s="672">
        <f>SQRT(AJ32)</f>
        <v>0.25125943563208636</v>
      </c>
      <c r="AK33" s="655"/>
      <c r="AL33" s="623"/>
      <c r="AM33" s="673" t="s">
        <v>48</v>
      </c>
      <c r="AN33" s="673" t="s">
        <v>197</v>
      </c>
      <c r="AO33" s="627"/>
      <c r="AP33" s="627"/>
      <c r="AQ33" s="1270" t="s">
        <v>227</v>
      </c>
      <c r="AR33" s="1271"/>
      <c r="AS33" s="1271"/>
      <c r="AT33" s="1271"/>
      <c r="AU33" s="1272"/>
      <c r="AV33" s="672">
        <f>SQRT(AV32)</f>
        <v>0.25165512908374144</v>
      </c>
      <c r="AW33" s="654"/>
      <c r="BB33" s="842"/>
      <c r="BC33" s="842"/>
      <c r="BD33" s="842"/>
      <c r="BE33" s="842"/>
      <c r="BF33" s="842"/>
      <c r="BG33" s="842"/>
      <c r="BH33" s="842"/>
      <c r="BI33" s="842"/>
      <c r="BJ33" s="842"/>
      <c r="BK33" s="842"/>
      <c r="BL33" s="842"/>
      <c r="BM33" s="842"/>
      <c r="BN33" s="847"/>
      <c r="BO33" s="847"/>
      <c r="BP33" s="847"/>
      <c r="BQ33" s="886"/>
      <c r="BR33" s="1260"/>
      <c r="BS33" s="1260"/>
      <c r="BT33" s="1260"/>
      <c r="BU33" s="1260"/>
      <c r="BV33" s="1260"/>
      <c r="BW33" s="684"/>
      <c r="BX33" s="683"/>
      <c r="BY33" s="842"/>
      <c r="BZ33" s="865"/>
      <c r="CA33" s="866"/>
      <c r="CB33" s="867"/>
      <c r="CC33" s="842"/>
      <c r="CD33" s="842"/>
      <c r="CE33" s="842"/>
      <c r="CF33" s="842"/>
      <c r="CG33" s="842"/>
      <c r="CH33" s="842"/>
      <c r="CI33" s="842"/>
      <c r="CJ33" s="842"/>
      <c r="CK33" s="842"/>
      <c r="CL33" s="847"/>
      <c r="CM33" s="847"/>
      <c r="CN33" s="847"/>
      <c r="CO33" s="847"/>
      <c r="CP33" s="1260"/>
      <c r="CQ33" s="1260"/>
      <c r="CR33" s="1260"/>
      <c r="CS33" s="1260"/>
      <c r="CT33" s="1260"/>
      <c r="CU33" s="684"/>
      <c r="CV33" s="683"/>
      <c r="CW33" s="842"/>
      <c r="CX33" s="842"/>
      <c r="CY33" s="842"/>
      <c r="CZ33" s="842"/>
      <c r="DA33" s="842"/>
      <c r="DB33" s="842"/>
      <c r="DC33" s="842"/>
      <c r="DD33" s="842"/>
      <c r="DE33" s="842"/>
      <c r="DF33" s="842"/>
      <c r="DG33" s="842"/>
      <c r="DH33" s="842"/>
      <c r="DI33" s="842"/>
      <c r="DJ33" s="842"/>
      <c r="DK33" s="842"/>
      <c r="DL33" s="842"/>
      <c r="DM33" s="842"/>
      <c r="DN33" s="842"/>
      <c r="DO33" s="842"/>
      <c r="DP33" s="842"/>
      <c r="DQ33" s="842"/>
      <c r="DR33" s="842"/>
      <c r="DS33" s="842"/>
      <c r="DT33" s="842"/>
    </row>
    <row r="34" spans="3:124" ht="15.75" customHeight="1" x14ac:dyDescent="0.25">
      <c r="C34" s="617"/>
      <c r="D34" s="617"/>
      <c r="E34" s="617"/>
      <c r="F34" s="617"/>
      <c r="G34" s="1264" t="s">
        <v>91</v>
      </c>
      <c r="H34" s="1265"/>
      <c r="I34" s="1265"/>
      <c r="J34" s="1265"/>
      <c r="K34" s="1266"/>
      <c r="L34" s="666">
        <f>((L33)^4)/M32</f>
        <v>89.597372916803806</v>
      </c>
      <c r="M34" s="679"/>
      <c r="O34" s="617"/>
      <c r="P34" s="617"/>
      <c r="Q34" s="617"/>
      <c r="R34" s="617"/>
      <c r="S34" s="1264" t="s">
        <v>91</v>
      </c>
      <c r="T34" s="1265"/>
      <c r="U34" s="1265"/>
      <c r="V34" s="1265"/>
      <c r="W34" s="1266"/>
      <c r="X34" s="666">
        <f>((X33)^4)/Y32</f>
        <v>95.16728624535321</v>
      </c>
      <c r="Y34" s="648"/>
      <c r="AA34" s="674">
        <v>0</v>
      </c>
      <c r="AB34" s="675">
        <v>0.1</v>
      </c>
      <c r="AC34" s="627"/>
      <c r="AD34" s="627"/>
      <c r="AE34" s="1270" t="s">
        <v>91</v>
      </c>
      <c r="AF34" s="1271"/>
      <c r="AG34" s="1271"/>
      <c r="AH34" s="1271"/>
      <c r="AI34" s="1272"/>
      <c r="AJ34" s="672">
        <f>((AJ33)^4)/AK32</f>
        <v>67.777487942424571</v>
      </c>
      <c r="AK34" s="680"/>
      <c r="AL34" s="623"/>
      <c r="AM34" s="674">
        <v>100</v>
      </c>
      <c r="AN34" s="675">
        <v>0.2</v>
      </c>
      <c r="AO34" s="627"/>
      <c r="AP34" s="627"/>
      <c r="AQ34" s="1270" t="s">
        <v>91</v>
      </c>
      <c r="AR34" s="1271"/>
      <c r="AS34" s="1271"/>
      <c r="AT34" s="1271"/>
      <c r="AU34" s="1272"/>
      <c r="AV34" s="672">
        <f>((AV33)^4)/AW32</f>
        <v>68.114166545190031</v>
      </c>
      <c r="AW34" s="654"/>
      <c r="BB34" s="842"/>
      <c r="BC34" s="842"/>
      <c r="BD34" s="842"/>
      <c r="BE34" s="842"/>
      <c r="BF34" s="842"/>
      <c r="BG34" s="842"/>
      <c r="BH34" s="842"/>
      <c r="BI34" s="842"/>
      <c r="BJ34" s="842"/>
      <c r="BK34" s="842"/>
      <c r="BL34" s="842"/>
      <c r="BM34" s="842"/>
      <c r="BN34" s="847"/>
      <c r="BO34" s="847"/>
      <c r="BP34" s="847"/>
      <c r="BQ34" s="886"/>
      <c r="BR34" s="1260"/>
      <c r="BS34" s="1260"/>
      <c r="BT34" s="1260"/>
      <c r="BU34" s="1260"/>
      <c r="BV34" s="1260"/>
      <c r="BW34" s="684"/>
      <c r="BX34" s="685"/>
      <c r="BY34" s="842"/>
      <c r="BZ34" s="865"/>
      <c r="CA34" s="866"/>
      <c r="CB34" s="867"/>
      <c r="CC34" s="842"/>
      <c r="CD34" s="842"/>
      <c r="CE34" s="842"/>
      <c r="CF34" s="842"/>
      <c r="CG34" s="842"/>
      <c r="CH34" s="842"/>
      <c r="CI34" s="842"/>
      <c r="CJ34" s="842"/>
      <c r="CK34" s="842"/>
      <c r="CL34" s="847"/>
      <c r="CM34" s="847"/>
      <c r="CN34" s="847"/>
      <c r="CO34" s="847"/>
      <c r="CP34" s="1260"/>
      <c r="CQ34" s="1260"/>
      <c r="CR34" s="1260"/>
      <c r="CS34" s="1260"/>
      <c r="CT34" s="1260"/>
      <c r="CU34" s="684"/>
      <c r="CV34" s="683"/>
      <c r="CW34" s="842"/>
      <c r="CX34" s="842"/>
      <c r="CY34" s="842"/>
      <c r="CZ34" s="842"/>
      <c r="DA34" s="842"/>
      <c r="DB34" s="842"/>
      <c r="DC34" s="842"/>
      <c r="DD34" s="842"/>
      <c r="DE34" s="842"/>
      <c r="DF34" s="842"/>
      <c r="DG34" s="842"/>
      <c r="DH34" s="842"/>
      <c r="DI34" s="842"/>
      <c r="DJ34" s="842"/>
      <c r="DK34" s="842"/>
      <c r="DL34" s="842"/>
      <c r="DM34" s="842"/>
      <c r="DN34" s="842"/>
      <c r="DO34" s="842"/>
      <c r="DP34" s="842"/>
      <c r="DQ34" s="842"/>
      <c r="DR34" s="842"/>
      <c r="DS34" s="842"/>
      <c r="DT34" s="842"/>
    </row>
    <row r="35" spans="3:124" ht="15.75" customHeight="1" x14ac:dyDescent="0.25">
      <c r="C35" s="617"/>
      <c r="D35" s="617"/>
      <c r="E35" s="617"/>
      <c r="F35" s="617"/>
      <c r="G35" s="1264" t="s">
        <v>42</v>
      </c>
      <c r="H35" s="1265"/>
      <c r="I35" s="1265"/>
      <c r="J35" s="1265"/>
      <c r="K35" s="1266"/>
      <c r="L35" s="648">
        <f>TINV(0.05,L34)</f>
        <v>1.986978699506285</v>
      </c>
      <c r="M35" s="648">
        <f>1.95996+(2.37356/L34)+(2.818745/L34^2)+(2.546662/L34^3)+(1.7861829/L34^4)+(0.245458/L34^5)+(1.000764/L34^6)</f>
        <v>1.9868060979802822</v>
      </c>
      <c r="O35" s="617"/>
      <c r="P35" s="617"/>
      <c r="Q35" s="617"/>
      <c r="R35" s="617"/>
      <c r="S35" s="1264" t="s">
        <v>42</v>
      </c>
      <c r="T35" s="1265"/>
      <c r="U35" s="1265"/>
      <c r="V35" s="1265"/>
      <c r="W35" s="1266"/>
      <c r="X35" s="648">
        <f>TINV(0.05,X34)</f>
        <v>1.9852510035054973</v>
      </c>
      <c r="Y35" s="648"/>
      <c r="AA35" s="674">
        <v>50</v>
      </c>
      <c r="AB35" s="675">
        <v>0.2</v>
      </c>
      <c r="AC35" s="627"/>
      <c r="AD35" s="627"/>
      <c r="AE35" s="1270" t="s">
        <v>42</v>
      </c>
      <c r="AF35" s="1271"/>
      <c r="AG35" s="1271"/>
      <c r="AH35" s="1271"/>
      <c r="AI35" s="1272"/>
      <c r="AJ35" s="654">
        <f>TINV(0.05,AJ34)</f>
        <v>1.9960083540252964</v>
      </c>
      <c r="AK35" s="654">
        <f>1.95996+(2.37356/AJ34)+(2.818745/AJ34^2)+(2.546662/AJ34^3)+(1.7861829/AJ34^4)+(0.245458/AJ34^5)+(1.000764/AJ34^6)</f>
        <v>1.9956017508544639</v>
      </c>
      <c r="AL35" s="623"/>
      <c r="AM35" s="674">
        <v>150</v>
      </c>
      <c r="AN35" s="675">
        <v>0.2</v>
      </c>
      <c r="AO35" s="627"/>
      <c r="AP35" s="627"/>
      <c r="AQ35" s="1270" t="s">
        <v>42</v>
      </c>
      <c r="AR35" s="1271"/>
      <c r="AS35" s="1271"/>
      <c r="AT35" s="1271"/>
      <c r="AU35" s="1272"/>
      <c r="AV35" s="654">
        <f>TINV(0.05,AV34)</f>
        <v>1.9954689314298424</v>
      </c>
      <c r="AW35" s="654"/>
      <c r="BB35" s="842"/>
      <c r="BC35" s="842"/>
      <c r="BD35" s="842"/>
      <c r="BE35" s="842"/>
      <c r="BF35" s="842"/>
      <c r="BG35" s="842"/>
      <c r="BH35" s="842"/>
      <c r="BI35" s="842"/>
      <c r="BJ35" s="842"/>
      <c r="BK35" s="842"/>
      <c r="BL35" s="842"/>
      <c r="BM35" s="842"/>
      <c r="BN35" s="847"/>
      <c r="BO35" s="847"/>
      <c r="BP35" s="847"/>
      <c r="BQ35" s="886"/>
      <c r="BR35" s="1260"/>
      <c r="BS35" s="1260"/>
      <c r="BT35" s="1260"/>
      <c r="BU35" s="1260"/>
      <c r="BV35" s="1260"/>
      <c r="BW35" s="683"/>
      <c r="BX35" s="683"/>
      <c r="BY35" s="842"/>
      <c r="BZ35" s="842"/>
      <c r="CA35" s="842"/>
      <c r="CB35" s="842"/>
      <c r="CC35" s="842"/>
      <c r="CD35" s="842"/>
      <c r="CE35" s="842"/>
      <c r="CF35" s="842"/>
      <c r="CG35" s="842"/>
      <c r="CH35" s="842"/>
      <c r="CI35" s="842"/>
      <c r="CJ35" s="842"/>
      <c r="CK35" s="842"/>
      <c r="CL35" s="847"/>
      <c r="CM35" s="847"/>
      <c r="CN35" s="847"/>
      <c r="CO35" s="847"/>
      <c r="CP35" s="1260"/>
      <c r="CQ35" s="1260"/>
      <c r="CR35" s="1260"/>
      <c r="CS35" s="1260"/>
      <c r="CT35" s="1260"/>
      <c r="CU35" s="683"/>
      <c r="CV35" s="683"/>
      <c r="CW35" s="842"/>
      <c r="CX35" s="842"/>
      <c r="CY35" s="842"/>
      <c r="CZ35" s="842"/>
      <c r="DA35" s="842"/>
      <c r="DB35" s="842"/>
      <c r="DC35" s="842"/>
      <c r="DD35" s="842"/>
      <c r="DE35" s="842"/>
      <c r="DF35" s="842"/>
      <c r="DG35" s="842"/>
      <c r="DH35" s="842"/>
      <c r="DI35" s="842"/>
      <c r="DJ35" s="842"/>
      <c r="DK35" s="842"/>
      <c r="DL35" s="842"/>
      <c r="DM35" s="842"/>
      <c r="DN35" s="842"/>
      <c r="DO35" s="842"/>
      <c r="DP35" s="842"/>
      <c r="DQ35" s="842"/>
      <c r="DR35" s="842"/>
      <c r="DS35" s="842"/>
      <c r="DT35" s="842"/>
    </row>
    <row r="36" spans="3:124" ht="15.75" customHeight="1" x14ac:dyDescent="0.25">
      <c r="C36" s="617"/>
      <c r="D36" s="617"/>
      <c r="E36" s="617"/>
      <c r="F36" s="617"/>
      <c r="G36" s="1264" t="s">
        <v>122</v>
      </c>
      <c r="H36" s="1265"/>
      <c r="I36" s="1265"/>
      <c r="J36" s="1265"/>
      <c r="K36" s="1266"/>
      <c r="L36" s="676">
        <f>L35*L33</f>
        <v>0.55316336713855274</v>
      </c>
      <c r="M36" s="648"/>
      <c r="O36" s="617"/>
      <c r="P36" s="617"/>
      <c r="Q36" s="617"/>
      <c r="R36" s="617"/>
      <c r="S36" s="1264" t="s">
        <v>122</v>
      </c>
      <c r="T36" s="1265"/>
      <c r="U36" s="1265"/>
      <c r="V36" s="1265"/>
      <c r="W36" s="1266"/>
      <c r="X36" s="676">
        <f>X35*X33</f>
        <v>0.5615137787744543</v>
      </c>
      <c r="Y36" s="648"/>
      <c r="AA36" s="627"/>
      <c r="AB36" s="627"/>
      <c r="AC36" s="627"/>
      <c r="AD36" s="627"/>
      <c r="AE36" s="1270" t="s">
        <v>228</v>
      </c>
      <c r="AF36" s="1271"/>
      <c r="AG36" s="1271"/>
      <c r="AH36" s="1271"/>
      <c r="AI36" s="1272"/>
      <c r="AJ36" s="677">
        <f>AJ35*AJ33</f>
        <v>0.50151593254932558</v>
      </c>
      <c r="AK36" s="655"/>
      <c r="AL36" s="623"/>
      <c r="AM36" s="627"/>
      <c r="AN36" s="627"/>
      <c r="AO36" s="627"/>
      <c r="AP36" s="627"/>
      <c r="AQ36" s="1270" t="s">
        <v>228</v>
      </c>
      <c r="AR36" s="1271"/>
      <c r="AS36" s="1271"/>
      <c r="AT36" s="1271"/>
      <c r="AU36" s="1272"/>
      <c r="AV36" s="677">
        <f>AV35*AV33</f>
        <v>0.5021699915215726</v>
      </c>
      <c r="AW36" s="654"/>
      <c r="BB36" s="842"/>
      <c r="BC36" s="842"/>
      <c r="BD36" s="842"/>
      <c r="BE36" s="842"/>
      <c r="BF36" s="842"/>
      <c r="BG36" s="842"/>
      <c r="BH36" s="842"/>
      <c r="BI36" s="842"/>
      <c r="BJ36" s="842"/>
      <c r="BK36" s="842"/>
      <c r="BL36" s="842"/>
      <c r="BM36" s="842"/>
      <c r="BN36" s="847"/>
      <c r="BO36" s="847"/>
      <c r="BP36" s="847"/>
      <c r="BQ36" s="886"/>
      <c r="BR36" s="1260"/>
      <c r="BS36" s="1260"/>
      <c r="BT36" s="1260"/>
      <c r="BU36" s="1260"/>
      <c r="BV36" s="1260"/>
      <c r="BW36" s="862"/>
      <c r="BX36" s="683"/>
      <c r="BY36" s="842"/>
      <c r="BZ36" s="842"/>
      <c r="CA36" s="842"/>
      <c r="CB36" s="842"/>
      <c r="CC36" s="842"/>
      <c r="CD36" s="842"/>
      <c r="CE36" s="842"/>
      <c r="CF36" s="842"/>
      <c r="CG36" s="842"/>
      <c r="CH36" s="842"/>
      <c r="CI36" s="842"/>
      <c r="CJ36" s="842"/>
      <c r="CK36" s="842"/>
      <c r="CL36" s="847"/>
      <c r="CM36" s="847"/>
      <c r="CN36" s="847"/>
      <c r="CO36" s="847"/>
      <c r="CP36" s="1260"/>
      <c r="CQ36" s="1260"/>
      <c r="CR36" s="1260"/>
      <c r="CS36" s="1260"/>
      <c r="CT36" s="1260"/>
      <c r="CU36" s="862"/>
      <c r="CV36" s="683"/>
      <c r="CW36" s="842"/>
      <c r="CX36" s="842"/>
      <c r="CY36" s="842"/>
      <c r="CZ36" s="842"/>
      <c r="DA36" s="842"/>
      <c r="DB36" s="842"/>
      <c r="DC36" s="842"/>
      <c r="DD36" s="842"/>
      <c r="DE36" s="842"/>
      <c r="DF36" s="842"/>
      <c r="DG36" s="842"/>
      <c r="DH36" s="842"/>
      <c r="DI36" s="842"/>
      <c r="DJ36" s="842"/>
      <c r="DK36" s="842"/>
      <c r="DL36" s="842"/>
      <c r="DM36" s="842"/>
      <c r="DN36" s="842"/>
      <c r="DO36" s="842"/>
      <c r="DP36" s="842"/>
      <c r="DQ36" s="842"/>
      <c r="DR36" s="842"/>
      <c r="DS36" s="842"/>
      <c r="DT36" s="842"/>
    </row>
    <row r="37" spans="3:124" ht="6.75" customHeight="1" x14ac:dyDescent="0.25">
      <c r="C37" s="617"/>
      <c r="D37" s="617"/>
      <c r="E37" s="617"/>
      <c r="F37" s="617"/>
      <c r="G37" s="618"/>
      <c r="H37" s="618"/>
      <c r="I37" s="618"/>
      <c r="J37" s="618"/>
      <c r="K37" s="618"/>
      <c r="L37" s="619"/>
      <c r="M37" s="620"/>
      <c r="AA37" s="627"/>
      <c r="AB37" s="627"/>
      <c r="AC37" s="627"/>
      <c r="AD37" s="627"/>
      <c r="AE37" s="628"/>
      <c r="AF37" s="628"/>
      <c r="AG37" s="628"/>
      <c r="AH37" s="628"/>
      <c r="AI37" s="628"/>
      <c r="AJ37" s="629"/>
      <c r="AK37" s="678"/>
      <c r="AL37" s="623"/>
      <c r="AM37" s="623"/>
      <c r="AN37" s="623"/>
      <c r="AO37" s="623"/>
      <c r="AP37" s="623"/>
      <c r="AQ37" s="623"/>
      <c r="AR37" s="623"/>
      <c r="AS37" s="623"/>
      <c r="AT37" s="623"/>
      <c r="AU37" s="623"/>
      <c r="AV37" s="623"/>
      <c r="AW37" s="623"/>
      <c r="BB37" s="842"/>
      <c r="BC37" s="842"/>
      <c r="BD37" s="842"/>
      <c r="BE37" s="842"/>
      <c r="BF37" s="842"/>
      <c r="BG37" s="842"/>
      <c r="BH37" s="842"/>
      <c r="BI37" s="842"/>
      <c r="BJ37" s="842"/>
      <c r="BK37" s="842"/>
      <c r="BL37" s="842"/>
      <c r="BM37" s="842"/>
      <c r="BN37" s="847"/>
      <c r="BO37" s="847"/>
      <c r="BP37" s="847"/>
      <c r="BQ37" s="886"/>
      <c r="BR37" s="848"/>
      <c r="BS37" s="848"/>
      <c r="BT37" s="848"/>
      <c r="BU37" s="848"/>
      <c r="BV37" s="848"/>
      <c r="BW37" s="684"/>
      <c r="BX37" s="683"/>
      <c r="BY37" s="842"/>
      <c r="BZ37" s="842"/>
      <c r="CA37" s="842"/>
      <c r="CB37" s="842"/>
      <c r="CC37" s="842"/>
      <c r="CD37" s="842"/>
      <c r="CE37" s="842"/>
      <c r="CF37" s="842"/>
      <c r="CG37" s="842"/>
      <c r="CH37" s="842"/>
      <c r="CI37" s="842"/>
      <c r="CJ37" s="842"/>
      <c r="CK37" s="842"/>
      <c r="CL37" s="842"/>
      <c r="CM37" s="842"/>
      <c r="CN37" s="842"/>
      <c r="CO37" s="842"/>
      <c r="CP37" s="842"/>
      <c r="CQ37" s="842"/>
      <c r="CR37" s="842"/>
      <c r="CS37" s="842"/>
      <c r="CT37" s="842"/>
      <c r="CU37" s="842"/>
      <c r="CV37" s="842"/>
      <c r="CW37" s="842"/>
      <c r="CX37" s="842"/>
      <c r="CY37" s="842"/>
      <c r="CZ37" s="842"/>
      <c r="DA37" s="842"/>
      <c r="DB37" s="842"/>
      <c r="DC37" s="842"/>
      <c r="DD37" s="842"/>
      <c r="DE37" s="842"/>
      <c r="DF37" s="842"/>
      <c r="DG37" s="842"/>
      <c r="DH37" s="842"/>
      <c r="DI37" s="842"/>
      <c r="DJ37" s="842"/>
      <c r="DK37" s="842"/>
      <c r="DL37" s="842"/>
      <c r="DM37" s="842"/>
      <c r="DN37" s="842"/>
      <c r="DO37" s="842"/>
      <c r="DP37" s="842"/>
      <c r="DQ37" s="842"/>
      <c r="DR37" s="842"/>
      <c r="DS37" s="842"/>
      <c r="DT37" s="842"/>
    </row>
    <row r="38" spans="3:124" ht="6.75" customHeight="1" x14ac:dyDescent="0.25">
      <c r="C38" s="617"/>
      <c r="D38" s="617"/>
      <c r="E38" s="617"/>
      <c r="F38" s="617"/>
      <c r="G38" s="618"/>
      <c r="H38" s="618"/>
      <c r="I38" s="618"/>
      <c r="J38" s="618"/>
      <c r="K38" s="618"/>
      <c r="L38" s="619"/>
      <c r="M38" s="620"/>
      <c r="AA38" s="627"/>
      <c r="AB38" s="627"/>
      <c r="AC38" s="627"/>
      <c r="AD38" s="627"/>
      <c r="AE38" s="628"/>
      <c r="AF38" s="628"/>
      <c r="AG38" s="628"/>
      <c r="AH38" s="628"/>
      <c r="AI38" s="628"/>
      <c r="AJ38" s="629"/>
      <c r="AK38" s="678"/>
      <c r="AL38" s="623"/>
      <c r="AM38" s="623"/>
      <c r="AN38" s="623"/>
      <c r="AO38" s="623"/>
      <c r="AP38" s="623"/>
      <c r="AQ38" s="623"/>
      <c r="AR38" s="623"/>
      <c r="AS38" s="623"/>
      <c r="AT38" s="623"/>
      <c r="AU38" s="623"/>
      <c r="AV38" s="623"/>
      <c r="AW38" s="623"/>
      <c r="BB38" s="681"/>
      <c r="BC38" s="681"/>
      <c r="BD38" s="681"/>
      <c r="BE38" s="681"/>
      <c r="BF38" s="681"/>
      <c r="BG38" s="681"/>
      <c r="BH38" s="681"/>
      <c r="BI38" s="842"/>
      <c r="BJ38" s="842"/>
      <c r="BK38" s="842"/>
      <c r="BL38" s="842"/>
      <c r="BM38" s="842"/>
      <c r="BN38" s="847"/>
      <c r="BO38" s="847"/>
      <c r="BP38" s="847"/>
      <c r="BQ38" s="886"/>
      <c r="BR38" s="848"/>
      <c r="BS38" s="848"/>
      <c r="BT38" s="848"/>
      <c r="BU38" s="848"/>
      <c r="BV38" s="848"/>
      <c r="BW38" s="684"/>
      <c r="BX38" s="683"/>
      <c r="BY38" s="842"/>
      <c r="BZ38" s="681"/>
      <c r="CA38" s="681"/>
      <c r="CB38" s="681"/>
      <c r="CC38" s="681"/>
      <c r="CD38" s="681"/>
      <c r="CE38" s="681"/>
      <c r="CF38" s="681"/>
      <c r="CG38" s="842"/>
      <c r="CH38" s="842"/>
      <c r="CI38" s="842"/>
      <c r="CJ38" s="842"/>
      <c r="CK38" s="842"/>
      <c r="CL38" s="842"/>
      <c r="CM38" s="842"/>
      <c r="CN38" s="842"/>
      <c r="CO38" s="842"/>
      <c r="CP38" s="842"/>
      <c r="CQ38" s="842"/>
      <c r="CR38" s="842"/>
      <c r="CS38" s="842"/>
      <c r="CT38" s="842"/>
      <c r="CU38" s="842"/>
      <c r="CV38" s="842"/>
      <c r="CW38" s="842"/>
      <c r="CX38" s="842"/>
      <c r="CY38" s="842"/>
      <c r="CZ38" s="842"/>
      <c r="DA38" s="842"/>
      <c r="DB38" s="842"/>
      <c r="DC38" s="842"/>
      <c r="DD38" s="842"/>
      <c r="DE38" s="842"/>
      <c r="DF38" s="842"/>
      <c r="DG38" s="842"/>
      <c r="DH38" s="842"/>
      <c r="DI38" s="842"/>
      <c r="DJ38" s="842"/>
      <c r="DK38" s="842"/>
      <c r="DL38" s="842"/>
      <c r="DM38" s="842"/>
      <c r="DN38" s="842"/>
      <c r="DO38" s="842"/>
      <c r="DP38" s="842"/>
      <c r="DQ38" s="842"/>
      <c r="DR38" s="842"/>
      <c r="DS38" s="842"/>
      <c r="DT38" s="842"/>
    </row>
    <row r="39" spans="3:124" ht="15.75" customHeight="1" x14ac:dyDescent="0.25">
      <c r="C39" s="615">
        <f>ID!A70</f>
        <v>100</v>
      </c>
      <c r="D39" s="616" t="str">
        <f>D40</f>
        <v>mmHg</v>
      </c>
      <c r="E39" s="617"/>
      <c r="F39" s="617"/>
      <c r="G39" s="618"/>
      <c r="H39" s="618"/>
      <c r="I39" s="618"/>
      <c r="J39" s="618"/>
      <c r="K39" s="618"/>
      <c r="L39" s="619"/>
      <c r="M39" s="620"/>
      <c r="O39" s="615">
        <f>ID!A73</f>
        <v>250</v>
      </c>
      <c r="P39" s="616" t="str">
        <f>P40</f>
        <v>mmHg</v>
      </c>
      <c r="Q39" s="617"/>
      <c r="R39" s="617"/>
      <c r="S39" s="618"/>
      <c r="T39" s="618"/>
      <c r="U39" s="618"/>
      <c r="V39" s="618"/>
      <c r="W39" s="618"/>
      <c r="X39" s="619"/>
      <c r="Y39" s="620"/>
      <c r="AA39" s="625">
        <v>100</v>
      </c>
      <c r="AB39" s="626">
        <f>AB40</f>
        <v>0</v>
      </c>
      <c r="AC39" s="627"/>
      <c r="AD39" s="627"/>
      <c r="AE39" s="628"/>
      <c r="AF39" s="628"/>
      <c r="AG39" s="628"/>
      <c r="AH39" s="628"/>
      <c r="AI39" s="628"/>
      <c r="AJ39" s="629"/>
      <c r="AK39" s="678"/>
      <c r="AL39" s="623"/>
      <c r="AM39" s="625">
        <v>250</v>
      </c>
      <c r="AN39" s="626" t="str">
        <f>AN40</f>
        <v>mmHg</v>
      </c>
      <c r="AO39" s="627"/>
      <c r="AP39" s="627"/>
      <c r="AQ39" s="628"/>
      <c r="AR39" s="628"/>
      <c r="AS39" s="628"/>
      <c r="AT39" s="628"/>
      <c r="AU39" s="628"/>
      <c r="AV39" s="629"/>
      <c r="AW39" s="630"/>
      <c r="BB39" s="842"/>
      <c r="BC39" s="842"/>
      <c r="BD39" s="842"/>
      <c r="BE39" s="842"/>
      <c r="BF39" s="842"/>
      <c r="BG39" s="842"/>
      <c r="BH39" s="842"/>
      <c r="BI39" s="842"/>
      <c r="BJ39" s="842"/>
      <c r="BK39" s="842"/>
      <c r="BL39" s="842"/>
      <c r="BM39" s="842"/>
      <c r="BN39" s="845"/>
      <c r="BO39" s="846"/>
      <c r="BP39" s="847"/>
      <c r="BQ39" s="886"/>
      <c r="BR39" s="848"/>
      <c r="BS39" s="848"/>
      <c r="BT39" s="848"/>
      <c r="BU39" s="848"/>
      <c r="BV39" s="848"/>
      <c r="BW39" s="684"/>
      <c r="BX39" s="683"/>
      <c r="BY39" s="842"/>
      <c r="BZ39" s="842"/>
      <c r="CA39" s="842"/>
      <c r="CB39" s="842"/>
      <c r="CC39" s="842"/>
      <c r="CD39" s="842"/>
      <c r="CE39" s="842"/>
      <c r="CF39" s="842"/>
      <c r="CG39" s="842"/>
      <c r="CH39" s="842"/>
      <c r="CI39" s="842"/>
      <c r="CJ39" s="842"/>
      <c r="CK39" s="842"/>
      <c r="CL39" s="845"/>
      <c r="CM39" s="846"/>
      <c r="CN39" s="847"/>
      <c r="CO39" s="847"/>
      <c r="CP39" s="848"/>
      <c r="CQ39" s="848"/>
      <c r="CR39" s="848"/>
      <c r="CS39" s="848"/>
      <c r="CT39" s="848"/>
      <c r="CU39" s="684"/>
      <c r="CV39" s="683"/>
      <c r="CW39" s="842"/>
      <c r="CX39" s="842"/>
      <c r="CY39" s="842"/>
      <c r="CZ39" s="842"/>
      <c r="DA39" s="842"/>
      <c r="DB39" s="842"/>
      <c r="DC39" s="842"/>
      <c r="DD39" s="842"/>
      <c r="DE39" s="842"/>
      <c r="DF39" s="842"/>
      <c r="DG39" s="842"/>
      <c r="DH39" s="842"/>
      <c r="DI39" s="842"/>
      <c r="DJ39" s="842"/>
      <c r="DK39" s="842"/>
      <c r="DL39" s="842"/>
      <c r="DM39" s="842"/>
      <c r="DN39" s="842"/>
      <c r="DO39" s="842"/>
      <c r="DP39" s="842"/>
      <c r="DQ39" s="842"/>
      <c r="DR39" s="842"/>
      <c r="DS39" s="842"/>
      <c r="DT39" s="842"/>
    </row>
    <row r="40" spans="3:124" ht="23.25" customHeight="1" x14ac:dyDescent="0.25">
      <c r="C40" s="633">
        <f>ID!J70</f>
        <v>97.908000000000001</v>
      </c>
      <c r="D40" s="632" t="s">
        <v>38</v>
      </c>
      <c r="O40" s="633">
        <f>ID!J73</f>
        <v>247.86260000000001</v>
      </c>
      <c r="P40" s="632" t="s">
        <v>38</v>
      </c>
      <c r="AA40" s="633">
        <f>ID!J70</f>
        <v>97.908000000000001</v>
      </c>
      <c r="AB40" s="634"/>
      <c r="AC40" s="623"/>
      <c r="AD40" s="623"/>
      <c r="AE40" s="623"/>
      <c r="AF40" s="623"/>
      <c r="AG40" s="623"/>
      <c r="AH40" s="623"/>
      <c r="AI40" s="623"/>
      <c r="AJ40" s="623"/>
      <c r="AK40" s="624"/>
      <c r="AL40" s="623"/>
      <c r="AM40" s="633">
        <f>ID!Z73</f>
        <v>-0.2</v>
      </c>
      <c r="AN40" s="634" t="s">
        <v>38</v>
      </c>
      <c r="AO40" s="623"/>
      <c r="AP40" s="623"/>
      <c r="AQ40" s="623"/>
      <c r="AR40" s="623"/>
      <c r="AS40" s="623"/>
      <c r="AT40" s="623"/>
      <c r="AU40" s="623"/>
      <c r="AV40" s="623"/>
      <c r="AW40" s="623"/>
      <c r="BB40" s="842"/>
      <c r="BC40" s="842"/>
      <c r="BD40" s="842"/>
      <c r="BE40" s="842"/>
      <c r="BF40" s="681"/>
      <c r="BG40" s="681"/>
      <c r="BH40" s="681"/>
      <c r="BI40" s="681"/>
      <c r="BJ40" s="681"/>
      <c r="BK40" s="681"/>
      <c r="BL40" s="681"/>
      <c r="BM40" s="842"/>
      <c r="BN40" s="849"/>
      <c r="BO40" s="850"/>
      <c r="BP40" s="842"/>
      <c r="BQ40" s="882"/>
      <c r="BR40" s="842"/>
      <c r="BS40" s="842"/>
      <c r="BT40" s="842"/>
      <c r="BU40" s="842"/>
      <c r="BV40" s="842"/>
      <c r="BW40" s="842"/>
      <c r="BX40" s="842"/>
      <c r="BY40" s="842"/>
      <c r="BZ40" s="842"/>
      <c r="CA40" s="842"/>
      <c r="CB40" s="842"/>
      <c r="CC40" s="842"/>
      <c r="CD40" s="842"/>
      <c r="CE40" s="842"/>
      <c r="CF40" s="842"/>
      <c r="CG40" s="842"/>
      <c r="CH40" s="842"/>
      <c r="CI40" s="842"/>
      <c r="CJ40" s="842"/>
      <c r="CK40" s="681"/>
      <c r="CL40" s="849"/>
      <c r="CM40" s="850"/>
      <c r="CN40" s="842"/>
      <c r="CO40" s="842"/>
      <c r="CP40" s="842"/>
      <c r="CQ40" s="842"/>
      <c r="CR40" s="842"/>
      <c r="CS40" s="842"/>
      <c r="CT40" s="842"/>
      <c r="CU40" s="842"/>
      <c r="CV40" s="842"/>
      <c r="CW40" s="842"/>
      <c r="CX40" s="842"/>
      <c r="CY40" s="842"/>
      <c r="CZ40" s="842"/>
      <c r="DA40" s="842"/>
      <c r="DB40" s="842"/>
      <c r="DC40" s="842"/>
      <c r="DD40" s="842"/>
      <c r="DE40" s="842"/>
      <c r="DF40" s="842"/>
      <c r="DG40" s="842"/>
      <c r="DH40" s="842"/>
      <c r="DI40" s="842"/>
      <c r="DJ40" s="842"/>
      <c r="DK40" s="842"/>
      <c r="DL40" s="842"/>
      <c r="DM40" s="842"/>
      <c r="DN40" s="842"/>
      <c r="DO40" s="842"/>
      <c r="DP40" s="842"/>
      <c r="DQ40" s="842"/>
      <c r="DR40" s="842"/>
      <c r="DS40" s="842"/>
      <c r="DT40" s="842"/>
    </row>
    <row r="41" spans="3:124" s="637" customFormat="1" ht="37.5" customHeight="1" x14ac:dyDescent="0.35">
      <c r="C41" s="635" t="s">
        <v>40</v>
      </c>
      <c r="D41" s="635" t="s">
        <v>41</v>
      </c>
      <c r="E41" s="635" t="s">
        <v>80</v>
      </c>
      <c r="F41" s="635" t="s">
        <v>79</v>
      </c>
      <c r="G41" s="635" t="s">
        <v>14</v>
      </c>
      <c r="H41" s="635" t="s">
        <v>115</v>
      </c>
      <c r="I41" s="635" t="s">
        <v>116</v>
      </c>
      <c r="J41" s="635" t="s">
        <v>117</v>
      </c>
      <c r="K41" s="635" t="s">
        <v>118</v>
      </c>
      <c r="L41" s="635" t="s">
        <v>119</v>
      </c>
      <c r="M41" s="636" t="s">
        <v>120</v>
      </c>
      <c r="O41" s="635" t="s">
        <v>40</v>
      </c>
      <c r="P41" s="635" t="s">
        <v>41</v>
      </c>
      <c r="Q41" s="635" t="s">
        <v>80</v>
      </c>
      <c r="R41" s="635" t="s">
        <v>79</v>
      </c>
      <c r="S41" s="635" t="s">
        <v>14</v>
      </c>
      <c r="T41" s="635" t="s">
        <v>115</v>
      </c>
      <c r="U41" s="635" t="s">
        <v>116</v>
      </c>
      <c r="V41" s="635" t="s">
        <v>117</v>
      </c>
      <c r="W41" s="635" t="s">
        <v>118</v>
      </c>
      <c r="X41" s="635" t="s">
        <v>119</v>
      </c>
      <c r="Y41" s="636" t="s">
        <v>120</v>
      </c>
      <c r="AA41" s="638" t="s">
        <v>40</v>
      </c>
      <c r="AB41" s="638" t="s">
        <v>41</v>
      </c>
      <c r="AC41" s="638" t="s">
        <v>80</v>
      </c>
      <c r="AD41" s="638" t="s">
        <v>79</v>
      </c>
      <c r="AE41" s="638" t="s">
        <v>14</v>
      </c>
      <c r="AF41" s="638" t="s">
        <v>221</v>
      </c>
      <c r="AG41" s="638" t="s">
        <v>222</v>
      </c>
      <c r="AH41" s="638" t="s">
        <v>223</v>
      </c>
      <c r="AI41" s="638" t="s">
        <v>224</v>
      </c>
      <c r="AJ41" s="638" t="s">
        <v>225</v>
      </c>
      <c r="AK41" s="639" t="s">
        <v>226</v>
      </c>
      <c r="AL41" s="640"/>
      <c r="AM41" s="638" t="s">
        <v>40</v>
      </c>
      <c r="AN41" s="638" t="s">
        <v>41</v>
      </c>
      <c r="AO41" s="638" t="s">
        <v>80</v>
      </c>
      <c r="AP41" s="638" t="s">
        <v>79</v>
      </c>
      <c r="AQ41" s="638" t="s">
        <v>14</v>
      </c>
      <c r="AR41" s="638" t="s">
        <v>221</v>
      </c>
      <c r="AS41" s="638" t="s">
        <v>222</v>
      </c>
      <c r="AT41" s="638" t="s">
        <v>223</v>
      </c>
      <c r="AU41" s="638" t="s">
        <v>224</v>
      </c>
      <c r="AV41" s="638" t="s">
        <v>225</v>
      </c>
      <c r="AW41" s="641" t="s">
        <v>226</v>
      </c>
      <c r="BB41" s="842"/>
      <c r="BC41" s="842"/>
      <c r="BD41" s="842"/>
      <c r="BE41" s="842"/>
      <c r="BF41" s="868"/>
      <c r="BG41" s="868"/>
      <c r="BH41" s="868"/>
      <c r="BI41" s="869"/>
      <c r="BJ41" s="869"/>
      <c r="BK41" s="869"/>
      <c r="BL41" s="869"/>
      <c r="BM41" s="844"/>
      <c r="BN41" s="851"/>
      <c r="BO41" s="851"/>
      <c r="BP41" s="851"/>
      <c r="BQ41" s="883"/>
      <c r="BR41" s="851"/>
      <c r="BS41" s="851"/>
      <c r="BT41" s="851"/>
      <c r="BU41" s="851"/>
      <c r="BV41" s="851"/>
      <c r="BW41" s="851"/>
      <c r="BX41" s="682"/>
      <c r="BY41" s="844"/>
      <c r="BZ41" s="844"/>
      <c r="CA41" s="844"/>
      <c r="CB41" s="844"/>
      <c r="CC41" s="844"/>
      <c r="CD41" s="844"/>
      <c r="CE41" s="844"/>
      <c r="CF41" s="844"/>
      <c r="CG41" s="844"/>
      <c r="CH41" s="844"/>
      <c r="CI41" s="844"/>
      <c r="CJ41" s="844"/>
      <c r="CK41" s="681"/>
      <c r="CL41" s="851"/>
      <c r="CM41" s="851"/>
      <c r="CN41" s="851"/>
      <c r="CO41" s="851"/>
      <c r="CP41" s="851"/>
      <c r="CQ41" s="851"/>
      <c r="CR41" s="851"/>
      <c r="CS41" s="851"/>
      <c r="CT41" s="851"/>
      <c r="CU41" s="851"/>
      <c r="CV41" s="682"/>
      <c r="CW41" s="844"/>
      <c r="CX41" s="844"/>
      <c r="CY41" s="844"/>
      <c r="CZ41" s="844"/>
      <c r="DA41" s="844"/>
      <c r="DB41" s="844"/>
      <c r="DC41" s="844"/>
      <c r="DD41" s="844"/>
      <c r="DE41" s="844"/>
      <c r="DF41" s="844"/>
      <c r="DG41" s="844"/>
      <c r="DH41" s="844"/>
      <c r="DI41" s="844"/>
      <c r="DJ41" s="844"/>
      <c r="DK41" s="844"/>
      <c r="DL41" s="844"/>
      <c r="DM41" s="844"/>
      <c r="DN41" s="844"/>
      <c r="DO41" s="844"/>
      <c r="DP41" s="844"/>
      <c r="DQ41" s="844"/>
      <c r="DR41" s="844"/>
      <c r="DS41" s="844"/>
      <c r="DT41" s="844"/>
    </row>
    <row r="42" spans="3:124" x14ac:dyDescent="0.25">
      <c r="C42" s="643" t="s">
        <v>83</v>
      </c>
      <c r="D42" s="644" t="s">
        <v>38</v>
      </c>
      <c r="E42" s="645" t="s">
        <v>11</v>
      </c>
      <c r="F42" s="646">
        <f>ID!L70</f>
        <v>0</v>
      </c>
      <c r="G42" s="646">
        <f>SQRT(3)</f>
        <v>1.7320508075688772</v>
      </c>
      <c r="H42" s="646">
        <f>(F42/G42)</f>
        <v>0</v>
      </c>
      <c r="I42" s="647">
        <v>1</v>
      </c>
      <c r="J42" s="647">
        <v>5</v>
      </c>
      <c r="K42" s="648">
        <f>H42*I42</f>
        <v>0</v>
      </c>
      <c r="L42" s="648">
        <f>K42^2</f>
        <v>0</v>
      </c>
      <c r="M42" s="648">
        <f>((K42)^4)/J42</f>
        <v>0</v>
      </c>
      <c r="O42" s="643" t="s">
        <v>83</v>
      </c>
      <c r="P42" s="644" t="s">
        <v>38</v>
      </c>
      <c r="Q42" s="645" t="s">
        <v>11</v>
      </c>
      <c r="R42" s="646">
        <f>ID!L73</f>
        <v>5.7735026918959292E-2</v>
      </c>
      <c r="S42" s="646">
        <f>SQRT(3)</f>
        <v>1.7320508075688772</v>
      </c>
      <c r="T42" s="646">
        <f>(R42/S42)</f>
        <v>3.3333333333331439E-2</v>
      </c>
      <c r="U42" s="647">
        <v>1</v>
      </c>
      <c r="V42" s="647">
        <v>5</v>
      </c>
      <c r="W42" s="648">
        <f>T42*U42</f>
        <v>3.3333333333331439E-2</v>
      </c>
      <c r="X42" s="648">
        <f>W42^2</f>
        <v>1.1111111111109847E-3</v>
      </c>
      <c r="Y42" s="648">
        <f>((W42)^4)/V42</f>
        <v>2.4691358024685737E-7</v>
      </c>
      <c r="AA42" s="649" t="s">
        <v>83</v>
      </c>
      <c r="AB42" s="650" t="s">
        <v>38</v>
      </c>
      <c r="AC42" s="651" t="s">
        <v>11</v>
      </c>
      <c r="AD42" s="652">
        <v>0</v>
      </c>
      <c r="AE42" s="652">
        <v>1.7320508075688772</v>
      </c>
      <c r="AF42" s="652">
        <f>0/1.7321</f>
        <v>0</v>
      </c>
      <c r="AG42" s="653">
        <v>1</v>
      </c>
      <c r="AH42" s="653">
        <f>3-1</f>
        <v>2</v>
      </c>
      <c r="AI42" s="654">
        <f>(0*1)</f>
        <v>0</v>
      </c>
      <c r="AJ42" s="654">
        <f>(0*1)^2</f>
        <v>0</v>
      </c>
      <c r="AK42" s="655">
        <f>((0*1)^4)/2</f>
        <v>0</v>
      </c>
      <c r="AL42" s="623"/>
      <c r="AM42" s="649" t="s">
        <v>83</v>
      </c>
      <c r="AN42" s="650" t="s">
        <v>38</v>
      </c>
      <c r="AO42" s="651" t="s">
        <v>11</v>
      </c>
      <c r="AP42" s="652">
        <v>0</v>
      </c>
      <c r="AQ42" s="652">
        <v>1.7320508075688772</v>
      </c>
      <c r="AR42" s="652">
        <f>(AP42/AQ42)</f>
        <v>0</v>
      </c>
      <c r="AS42" s="653">
        <v>1</v>
      </c>
      <c r="AT42" s="653">
        <f>3-1</f>
        <v>2</v>
      </c>
      <c r="AU42" s="654">
        <f>AR42*AS42</f>
        <v>0</v>
      </c>
      <c r="AV42" s="654">
        <f>AU42^2</f>
        <v>0</v>
      </c>
      <c r="AW42" s="654">
        <f>((AU42)^4)/AT42</f>
        <v>0</v>
      </c>
      <c r="BB42" s="865"/>
      <c r="BC42" s="866"/>
      <c r="BD42" s="867"/>
      <c r="BE42" s="844"/>
      <c r="BF42" s="868"/>
      <c r="BG42" s="868"/>
      <c r="BH42" s="868"/>
      <c r="BI42" s="869"/>
      <c r="BJ42" s="869"/>
      <c r="BK42" s="869"/>
      <c r="BL42" s="869"/>
      <c r="BM42" s="842"/>
      <c r="BN42" s="847"/>
      <c r="BO42" s="852"/>
      <c r="BP42" s="853"/>
      <c r="BQ42" s="884"/>
      <c r="BR42" s="660"/>
      <c r="BS42" s="660"/>
      <c r="BT42" s="854"/>
      <c r="BU42" s="854"/>
      <c r="BV42" s="683"/>
      <c r="BW42" s="683"/>
      <c r="BX42" s="683"/>
      <c r="BY42" s="842"/>
      <c r="BZ42" s="842"/>
      <c r="CA42" s="842"/>
      <c r="CB42" s="842"/>
      <c r="CC42" s="842"/>
      <c r="CD42" s="842"/>
      <c r="CE42" s="842"/>
      <c r="CF42" s="842"/>
      <c r="CG42" s="842"/>
      <c r="CH42" s="842"/>
      <c r="CI42" s="842"/>
      <c r="CJ42" s="842"/>
      <c r="CK42" s="681"/>
      <c r="CL42" s="847"/>
      <c r="CM42" s="852"/>
      <c r="CN42" s="853"/>
      <c r="CO42" s="660"/>
      <c r="CP42" s="660"/>
      <c r="CQ42" s="660"/>
      <c r="CR42" s="854"/>
      <c r="CS42" s="854"/>
      <c r="CT42" s="683"/>
      <c r="CU42" s="683"/>
      <c r="CV42" s="683"/>
      <c r="CW42" s="842"/>
      <c r="CX42" s="842"/>
      <c r="CY42" s="842"/>
      <c r="CZ42" s="842"/>
      <c r="DA42" s="842"/>
      <c r="DB42" s="842"/>
      <c r="DC42" s="842"/>
      <c r="DD42" s="842"/>
      <c r="DE42" s="842"/>
      <c r="DF42" s="842"/>
      <c r="DG42" s="842"/>
      <c r="DH42" s="842"/>
      <c r="DI42" s="842"/>
      <c r="DJ42" s="842"/>
      <c r="DK42" s="842"/>
      <c r="DL42" s="842"/>
      <c r="DM42" s="842"/>
      <c r="DN42" s="842"/>
      <c r="DO42" s="842"/>
      <c r="DP42" s="842"/>
      <c r="DQ42" s="842"/>
      <c r="DR42" s="842"/>
      <c r="DS42" s="842"/>
      <c r="DT42" s="842"/>
    </row>
    <row r="43" spans="3:124" ht="33.75" customHeight="1" x14ac:dyDescent="0.25">
      <c r="C43" s="643" t="s">
        <v>82</v>
      </c>
      <c r="D43" s="644" t="s">
        <v>38</v>
      </c>
      <c r="E43" s="645" t="s">
        <v>11</v>
      </c>
      <c r="F43" s="1063">
        <f>'INTERPOLASI  '!AJ20</f>
        <v>0.3</v>
      </c>
      <c r="G43" s="647">
        <v>2</v>
      </c>
      <c r="H43" s="646">
        <f>F43/G43</f>
        <v>0.15</v>
      </c>
      <c r="I43" s="647">
        <v>1</v>
      </c>
      <c r="J43" s="647">
        <v>50</v>
      </c>
      <c r="K43" s="648">
        <f>H43*I43</f>
        <v>0.15</v>
      </c>
      <c r="L43" s="648">
        <f>K43^2</f>
        <v>2.2499999999999999E-2</v>
      </c>
      <c r="M43" s="648">
        <f>((K43)^4)/J43</f>
        <v>1.0124999999999999E-5</v>
      </c>
      <c r="O43" s="643" t="s">
        <v>82</v>
      </c>
      <c r="P43" s="644" t="s">
        <v>38</v>
      </c>
      <c r="Q43" s="645" t="s">
        <v>11</v>
      </c>
      <c r="R43" s="1063">
        <f>'INTERPOLASI  '!AJ23</f>
        <v>0.3</v>
      </c>
      <c r="S43" s="647">
        <v>2</v>
      </c>
      <c r="T43" s="646">
        <f>R43/S43</f>
        <v>0.15</v>
      </c>
      <c r="U43" s="647">
        <v>1</v>
      </c>
      <c r="V43" s="647">
        <v>50</v>
      </c>
      <c r="W43" s="648">
        <f>T43*U43</f>
        <v>0.15</v>
      </c>
      <c r="X43" s="648">
        <f>W43^2</f>
        <v>2.2499999999999999E-2</v>
      </c>
      <c r="Y43" s="648">
        <f>((W43)^4)/V43</f>
        <v>1.0124999999999999E-5</v>
      </c>
      <c r="AA43" s="649" t="s">
        <v>82</v>
      </c>
      <c r="AB43" s="650" t="s">
        <v>38</v>
      </c>
      <c r="AC43" s="651" t="s">
        <v>11</v>
      </c>
      <c r="AD43" s="656">
        <f>(((0.2-0.2)*(99-0.2))/(150-100))+(0.2)</f>
        <v>0.2</v>
      </c>
      <c r="AE43" s="653">
        <v>2</v>
      </c>
      <c r="AF43" s="652">
        <f>0.2/2</f>
        <v>0.1</v>
      </c>
      <c r="AG43" s="653">
        <v>1</v>
      </c>
      <c r="AH43" s="653">
        <v>50</v>
      </c>
      <c r="AI43" s="654">
        <f>(0.1*1)</f>
        <v>0.1</v>
      </c>
      <c r="AJ43" s="654">
        <f>(0.1*1)^2</f>
        <v>1.0000000000000002E-2</v>
      </c>
      <c r="AK43" s="654">
        <f>((0.1*1)^4)/50</f>
        <v>2.0000000000000008E-6</v>
      </c>
      <c r="AL43" s="623"/>
      <c r="AM43" s="649" t="s">
        <v>82</v>
      </c>
      <c r="AN43" s="650" t="s">
        <v>38</v>
      </c>
      <c r="AO43" s="651" t="s">
        <v>11</v>
      </c>
      <c r="AP43" s="656">
        <v>0.60159999999999991</v>
      </c>
      <c r="AQ43" s="653">
        <v>2</v>
      </c>
      <c r="AR43" s="652">
        <f>AP43/AQ43</f>
        <v>0.30079999999999996</v>
      </c>
      <c r="AS43" s="653">
        <v>1</v>
      </c>
      <c r="AT43" s="653">
        <v>50</v>
      </c>
      <c r="AU43" s="654">
        <f>AR43*AS43</f>
        <v>0.30079999999999996</v>
      </c>
      <c r="AV43" s="654">
        <f>AU43^2</f>
        <v>9.0480639999999973E-2</v>
      </c>
      <c r="AW43" s="654">
        <f>((AU43)^4)/AT43</f>
        <v>1.637349242961919E-4</v>
      </c>
      <c r="BB43" s="865"/>
      <c r="BC43" s="866"/>
      <c r="BD43" s="867"/>
      <c r="BE43" s="842"/>
      <c r="BF43" s="868"/>
      <c r="BG43" s="868"/>
      <c r="BH43" s="878">
        <f>C40</f>
        <v>97.908000000000001</v>
      </c>
      <c r="BI43" s="870" t="s">
        <v>428</v>
      </c>
      <c r="BJ43" s="871"/>
      <c r="BK43" s="871" t="s">
        <v>431</v>
      </c>
      <c r="BL43" s="880">
        <v>97.811999999999998</v>
      </c>
      <c r="BM43" s="872">
        <v>50</v>
      </c>
      <c r="BN43" s="873">
        <v>0.1</v>
      </c>
      <c r="BO43" s="874">
        <v>100</v>
      </c>
      <c r="BP43" s="875">
        <v>0.1</v>
      </c>
      <c r="BQ43" s="885">
        <f>((((BP43-BN43)*(BL43-BM43)))/(BO43-BM43))+BN43</f>
        <v>0.1</v>
      </c>
      <c r="BR43" s="854"/>
      <c r="BS43" s="877">
        <f>O40</f>
        <v>247.86260000000001</v>
      </c>
      <c r="BT43" s="870" t="s">
        <v>428</v>
      </c>
      <c r="BU43" s="871"/>
      <c r="BV43" s="871" t="s">
        <v>433</v>
      </c>
      <c r="BW43" s="880">
        <v>165.37299999999999</v>
      </c>
      <c r="BX43" s="872">
        <v>150</v>
      </c>
      <c r="BY43" s="873">
        <v>0.1</v>
      </c>
      <c r="BZ43" s="874">
        <v>200</v>
      </c>
      <c r="CA43" s="875">
        <v>0.1</v>
      </c>
      <c r="CB43" s="885">
        <f>((((CA43-BY43)*(BW43-BX43)))/(BZ43-BX43))+BY43</f>
        <v>0.1</v>
      </c>
      <c r="CC43" s="842"/>
      <c r="CD43" s="842"/>
      <c r="CE43" s="842"/>
      <c r="CF43" s="842"/>
      <c r="CG43" s="842"/>
      <c r="CH43" s="842"/>
      <c r="CI43" s="842"/>
      <c r="CJ43" s="842"/>
      <c r="CK43" s="681"/>
      <c r="CL43" s="847"/>
      <c r="CM43" s="852"/>
      <c r="CN43" s="853"/>
      <c r="CO43" s="856"/>
      <c r="CP43" s="854"/>
      <c r="CQ43" s="660"/>
      <c r="CR43" s="854"/>
      <c r="CS43" s="854"/>
      <c r="CT43" s="683"/>
      <c r="CU43" s="683"/>
      <c r="CV43" s="683"/>
      <c r="CW43" s="842"/>
      <c r="CX43" s="842"/>
      <c r="CY43" s="842"/>
      <c r="CZ43" s="842"/>
      <c r="DA43" s="842"/>
      <c r="DB43" s="842"/>
      <c r="DC43" s="842"/>
      <c r="DD43" s="842"/>
      <c r="DE43" s="842"/>
      <c r="DF43" s="842"/>
      <c r="DG43" s="842"/>
      <c r="DH43" s="842"/>
      <c r="DI43" s="842"/>
      <c r="DJ43" s="842"/>
      <c r="DK43" s="842"/>
      <c r="DL43" s="842"/>
      <c r="DM43" s="842"/>
      <c r="DN43" s="842"/>
      <c r="DO43" s="842"/>
      <c r="DP43" s="842"/>
      <c r="DQ43" s="842"/>
      <c r="DR43" s="842"/>
      <c r="DS43" s="842"/>
      <c r="DT43" s="842"/>
    </row>
    <row r="44" spans="3:124" ht="32.25" customHeight="1" x14ac:dyDescent="0.25">
      <c r="C44" s="643" t="s">
        <v>243</v>
      </c>
      <c r="D44" s="644" t="s">
        <v>38</v>
      </c>
      <c r="E44" s="645" t="s">
        <v>85</v>
      </c>
      <c r="F44" s="646">
        <f>(1/5)*ID!C9</f>
        <v>0.4</v>
      </c>
      <c r="G44" s="646">
        <f>SQRT(3)</f>
        <v>1.7320508075688772</v>
      </c>
      <c r="H44" s="646">
        <f>F44/G44</f>
        <v>0.23094010767585033</v>
      </c>
      <c r="I44" s="647">
        <v>1</v>
      </c>
      <c r="J44" s="647">
        <v>50</v>
      </c>
      <c r="K44" s="648">
        <f>H44*I44</f>
        <v>0.23094010767585033</v>
      </c>
      <c r="L44" s="648">
        <f>K44^2</f>
        <v>5.3333333333333344E-2</v>
      </c>
      <c r="M44" s="648">
        <f>((K44)^4)/J44</f>
        <v>5.6888888888888908E-5</v>
      </c>
      <c r="O44" s="643" t="s">
        <v>243</v>
      </c>
      <c r="P44" s="644" t="s">
        <v>38</v>
      </c>
      <c r="Q44" s="645" t="s">
        <v>85</v>
      </c>
      <c r="R44" s="646">
        <f>(1/5)*ID!C9</f>
        <v>0.4</v>
      </c>
      <c r="S44" s="646">
        <f>SQRT(3)</f>
        <v>1.7320508075688772</v>
      </c>
      <c r="T44" s="646">
        <f>R44/S44</f>
        <v>0.23094010767585033</v>
      </c>
      <c r="U44" s="647">
        <v>1</v>
      </c>
      <c r="V44" s="647">
        <v>50</v>
      </c>
      <c r="W44" s="648">
        <f>T44*U44</f>
        <v>0.23094010767585033</v>
      </c>
      <c r="X44" s="648">
        <f>W44^2</f>
        <v>5.3333333333333344E-2</v>
      </c>
      <c r="Y44" s="648">
        <f>((W44)^4)/V44</f>
        <v>5.6888888888888908E-5</v>
      </c>
      <c r="AA44" s="649" t="s">
        <v>76</v>
      </c>
      <c r="AB44" s="650" t="s">
        <v>38</v>
      </c>
      <c r="AC44" s="651" t="s">
        <v>85</v>
      </c>
      <c r="AD44" s="652">
        <f>(1/5)*2</f>
        <v>0.4</v>
      </c>
      <c r="AE44" s="652">
        <v>1.7320508075688772</v>
      </c>
      <c r="AF44" s="658">
        <f>0.4/1.7321</f>
        <v>0.23093354887131229</v>
      </c>
      <c r="AG44" s="653">
        <v>1</v>
      </c>
      <c r="AH44" s="653">
        <v>50</v>
      </c>
      <c r="AI44" s="654">
        <f>(0.230933548871*1)</f>
        <v>0.23093354887100001</v>
      </c>
      <c r="AJ44" s="654">
        <f>(0.230933548871*1)^2</f>
        <v>5.3330303994154553E-2</v>
      </c>
      <c r="AK44" s="654">
        <f>((0.230933548871*1)^4)/50</f>
        <v>5.6882426482178737E-5</v>
      </c>
      <c r="AL44" s="623"/>
      <c r="AM44" s="649" t="s">
        <v>76</v>
      </c>
      <c r="AN44" s="650" t="s">
        <v>38</v>
      </c>
      <c r="AO44" s="651" t="s">
        <v>85</v>
      </c>
      <c r="AP44" s="652">
        <v>0.4</v>
      </c>
      <c r="AQ44" s="652">
        <v>1.7320508075688772</v>
      </c>
      <c r="AR44" s="652">
        <f>AP44/AQ44</f>
        <v>0.23094010767585033</v>
      </c>
      <c r="AS44" s="653">
        <v>1</v>
      </c>
      <c r="AT44" s="653">
        <v>50</v>
      </c>
      <c r="AU44" s="654">
        <f>AR44*AS44</f>
        <v>0.23094010767585033</v>
      </c>
      <c r="AV44" s="654">
        <f>AU44^2</f>
        <v>5.3333333333333344E-2</v>
      </c>
      <c r="AW44" s="654">
        <f>((AU44)^4)/AT44</f>
        <v>5.6888888888888908E-5</v>
      </c>
      <c r="BB44" s="865"/>
      <c r="BC44" s="866"/>
      <c r="BD44" s="867"/>
      <c r="BE44" s="842"/>
      <c r="BF44" s="868"/>
      <c r="BG44" s="868"/>
      <c r="BH44" s="842"/>
      <c r="BI44" s="859"/>
      <c r="BJ44" s="860"/>
      <c r="BK44" s="860"/>
      <c r="BL44" s="659"/>
      <c r="BM44" s="842"/>
      <c r="BN44" s="847"/>
      <c r="BO44" s="852"/>
      <c r="BP44" s="853"/>
      <c r="BQ44" s="884"/>
      <c r="BR44" s="660"/>
      <c r="BS44" s="859"/>
      <c r="BT44" s="859"/>
      <c r="BU44" s="860"/>
      <c r="BV44" s="860"/>
      <c r="BW44" s="659"/>
      <c r="BX44" s="842"/>
      <c r="BY44" s="847"/>
      <c r="BZ44" s="852"/>
      <c r="CA44" s="853"/>
      <c r="CB44" s="884"/>
      <c r="CC44" s="842"/>
      <c r="CD44" s="842"/>
      <c r="CE44" s="842"/>
      <c r="CF44" s="842"/>
      <c r="CG44" s="842"/>
      <c r="CH44" s="842"/>
      <c r="CI44" s="842"/>
      <c r="CJ44" s="842"/>
      <c r="CK44" s="681"/>
      <c r="CL44" s="847"/>
      <c r="CM44" s="852"/>
      <c r="CN44" s="853"/>
      <c r="CO44" s="660"/>
      <c r="CP44" s="660"/>
      <c r="CQ44" s="660"/>
      <c r="CR44" s="854"/>
      <c r="CS44" s="854"/>
      <c r="CT44" s="683"/>
      <c r="CU44" s="683"/>
      <c r="CV44" s="683"/>
      <c r="CW44" s="842"/>
      <c r="CX44" s="842"/>
      <c r="CY44" s="842"/>
      <c r="CZ44" s="842"/>
      <c r="DA44" s="842"/>
      <c r="DB44" s="842"/>
      <c r="DC44" s="842"/>
      <c r="DD44" s="842"/>
      <c r="DE44" s="842"/>
      <c r="DF44" s="842"/>
      <c r="DG44" s="842"/>
      <c r="DH44" s="842"/>
      <c r="DI44" s="842"/>
      <c r="DJ44" s="842"/>
      <c r="DK44" s="842"/>
      <c r="DL44" s="842"/>
      <c r="DM44" s="842"/>
      <c r="DN44" s="842"/>
      <c r="DO44" s="842"/>
      <c r="DP44" s="842"/>
      <c r="DQ44" s="842"/>
      <c r="DR44" s="842"/>
      <c r="DS44" s="842"/>
      <c r="DT44" s="842"/>
    </row>
    <row r="45" spans="3:124" ht="28.5" customHeight="1" x14ac:dyDescent="0.25">
      <c r="C45" s="643" t="s">
        <v>244</v>
      </c>
      <c r="D45" s="644" t="s">
        <v>38</v>
      </c>
      <c r="E45" s="645" t="s">
        <v>85</v>
      </c>
      <c r="F45" s="660">
        <f>(1/2)*'RESOLUSI STANDAR'!$K$7</f>
        <v>0.05</v>
      </c>
      <c r="G45" s="646">
        <f>SQRT(3)</f>
        <v>1.7320508075688772</v>
      </c>
      <c r="H45" s="646">
        <f>F45/G45</f>
        <v>2.8867513459481291E-2</v>
      </c>
      <c r="I45" s="647">
        <v>1</v>
      </c>
      <c r="J45" s="647">
        <v>50</v>
      </c>
      <c r="K45" s="648">
        <f>H45*I45</f>
        <v>2.8867513459481291E-2</v>
      </c>
      <c r="L45" s="648">
        <f>K45^2</f>
        <v>8.333333333333335E-4</v>
      </c>
      <c r="M45" s="648">
        <f>((K45)^4)/J45</f>
        <v>1.3888888888888894E-8</v>
      </c>
      <c r="O45" s="643" t="s">
        <v>244</v>
      </c>
      <c r="P45" s="644" t="s">
        <v>38</v>
      </c>
      <c r="Q45" s="645" t="s">
        <v>85</v>
      </c>
      <c r="R45" s="660">
        <f>(1/2)*'RESOLUSI STANDAR'!$K$7</f>
        <v>0.05</v>
      </c>
      <c r="S45" s="646">
        <f>SQRT(3)</f>
        <v>1.7320508075688772</v>
      </c>
      <c r="T45" s="646">
        <f>R45/S45</f>
        <v>2.8867513459481291E-2</v>
      </c>
      <c r="U45" s="647">
        <v>1</v>
      </c>
      <c r="V45" s="647">
        <v>50</v>
      </c>
      <c r="W45" s="648">
        <f>T45*U45</f>
        <v>2.8867513459481291E-2</v>
      </c>
      <c r="X45" s="648">
        <f>W45^2</f>
        <v>8.333333333333335E-4</v>
      </c>
      <c r="Y45" s="648">
        <f>((W45)^4)/V45</f>
        <v>1.3888888888888894E-8</v>
      </c>
      <c r="AA45" s="649"/>
      <c r="AB45" s="650"/>
      <c r="AC45" s="651"/>
      <c r="AD45" s="661"/>
      <c r="AE45" s="652"/>
      <c r="AF45" s="658"/>
      <c r="AG45" s="653"/>
      <c r="AH45" s="653"/>
      <c r="AI45" s="654"/>
      <c r="AJ45" s="654"/>
      <c r="AK45" s="654"/>
      <c r="AL45" s="623"/>
      <c r="AM45" s="649"/>
      <c r="AN45" s="650"/>
      <c r="AO45" s="651"/>
      <c r="AP45" s="661"/>
      <c r="AQ45" s="652"/>
      <c r="AR45" s="658"/>
      <c r="AS45" s="653"/>
      <c r="AT45" s="653"/>
      <c r="AU45" s="654"/>
      <c r="AV45" s="654"/>
      <c r="AW45" s="654"/>
      <c r="BB45" s="857"/>
      <c r="BC45" s="857"/>
      <c r="BD45" s="856"/>
      <c r="BE45" s="856"/>
      <c r="BF45" s="858"/>
      <c r="BG45" s="858"/>
      <c r="BH45" s="859"/>
      <c r="BI45" s="859"/>
      <c r="BJ45" s="860"/>
      <c r="BK45" s="860"/>
      <c r="BL45" s="659"/>
      <c r="BM45" s="842"/>
      <c r="BN45" s="847"/>
      <c r="BO45" s="852"/>
      <c r="BP45" s="853"/>
      <c r="BQ45" s="884"/>
      <c r="BR45" s="660"/>
      <c r="BS45" s="859"/>
      <c r="BT45" s="859"/>
      <c r="BU45" s="860"/>
      <c r="BV45" s="860"/>
      <c r="BW45" s="659"/>
      <c r="BX45" s="842"/>
      <c r="BY45" s="847"/>
      <c r="BZ45" s="852"/>
      <c r="CA45" s="853"/>
      <c r="CB45" s="884"/>
      <c r="CC45" s="856"/>
      <c r="CD45" s="858"/>
      <c r="CE45" s="858"/>
      <c r="CF45" s="859"/>
      <c r="CG45" s="859"/>
      <c r="CH45" s="860"/>
      <c r="CI45" s="860"/>
      <c r="CJ45" s="659"/>
      <c r="CK45" s="659"/>
      <c r="CL45" s="847"/>
      <c r="CM45" s="852"/>
      <c r="CN45" s="853"/>
      <c r="CO45" s="660"/>
      <c r="CP45" s="660"/>
      <c r="CQ45" s="660"/>
      <c r="CR45" s="854"/>
      <c r="CS45" s="854"/>
      <c r="CT45" s="683"/>
      <c r="CU45" s="683"/>
      <c r="CV45" s="683"/>
      <c r="CW45" s="842"/>
      <c r="CX45" s="842"/>
      <c r="CY45" s="842"/>
      <c r="CZ45" s="842"/>
      <c r="DA45" s="842"/>
      <c r="DB45" s="842"/>
      <c r="DC45" s="842"/>
      <c r="DD45" s="842"/>
      <c r="DE45" s="842"/>
      <c r="DF45" s="842"/>
      <c r="DG45" s="842"/>
      <c r="DH45" s="842"/>
      <c r="DI45" s="842"/>
      <c r="DJ45" s="842"/>
      <c r="DK45" s="842"/>
      <c r="DL45" s="842"/>
      <c r="DM45" s="842"/>
      <c r="DN45" s="842"/>
      <c r="DO45" s="842"/>
      <c r="DP45" s="842"/>
      <c r="DQ45" s="842"/>
      <c r="DR45" s="842"/>
      <c r="DS45" s="842"/>
      <c r="DT45" s="842"/>
    </row>
    <row r="46" spans="3:124" ht="31.5" x14ac:dyDescent="0.25">
      <c r="C46" s="643" t="s">
        <v>51</v>
      </c>
      <c r="D46" s="644" t="s">
        <v>38</v>
      </c>
      <c r="E46" s="645" t="s">
        <v>85</v>
      </c>
      <c r="F46" s="1063">
        <f>'INTERPOLASI  '!BI20</f>
        <v>9.7907999999999995E-2</v>
      </c>
      <c r="G46" s="646">
        <f>SQRT(3)</f>
        <v>1.7320508075688772</v>
      </c>
      <c r="H46" s="646">
        <f>F46/G46</f>
        <v>5.6527210155817881E-2</v>
      </c>
      <c r="I46" s="647">
        <v>1</v>
      </c>
      <c r="J46" s="647">
        <v>50</v>
      </c>
      <c r="K46" s="648">
        <f>H46*I46</f>
        <v>5.6527210155817881E-2</v>
      </c>
      <c r="L46" s="648">
        <f>K46^2</f>
        <v>3.1953254879999999E-3</v>
      </c>
      <c r="M46" s="648">
        <f>((K46)^4)/J46</f>
        <v>2.0420209948524874E-7</v>
      </c>
      <c r="O46" s="643" t="s">
        <v>51</v>
      </c>
      <c r="P46" s="644" t="s">
        <v>38</v>
      </c>
      <c r="Q46" s="645" t="s">
        <v>85</v>
      </c>
      <c r="R46" s="1063">
        <f>'INTERPOLASI  '!BI23</f>
        <v>5.2137399999999993E-2</v>
      </c>
      <c r="S46" s="646">
        <f>SQRT(3)</f>
        <v>1.7320508075688772</v>
      </c>
      <c r="T46" s="646">
        <f>R46/S46</f>
        <v>3.0101541924847191E-2</v>
      </c>
      <c r="U46" s="647">
        <v>1</v>
      </c>
      <c r="V46" s="647">
        <v>50</v>
      </c>
      <c r="W46" s="648">
        <f>T46*U46</f>
        <v>3.0101541924847191E-2</v>
      </c>
      <c r="X46" s="648">
        <f>W46^2</f>
        <v>9.0610282625333311E-4</v>
      </c>
      <c r="Y46" s="648">
        <f>((W46)^4)/V46</f>
        <v>1.6420446634885559E-8</v>
      </c>
      <c r="AA46" s="649" t="s">
        <v>51</v>
      </c>
      <c r="AB46" s="650" t="s">
        <v>38</v>
      </c>
      <c r="AC46" s="651" t="s">
        <v>85</v>
      </c>
      <c r="AD46" s="656">
        <v>0</v>
      </c>
      <c r="AE46" s="652">
        <v>1.7320508075688772</v>
      </c>
      <c r="AF46" s="652">
        <f>0/1.7321</f>
        <v>0</v>
      </c>
      <c r="AG46" s="653">
        <v>1</v>
      </c>
      <c r="AH46" s="653">
        <v>50</v>
      </c>
      <c r="AI46" s="654">
        <f>(0*1)</f>
        <v>0</v>
      </c>
      <c r="AJ46" s="654">
        <f>(0*1)^2</f>
        <v>0</v>
      </c>
      <c r="AK46" s="655">
        <f>((0*1)^4)/50</f>
        <v>0</v>
      </c>
      <c r="AL46" s="623"/>
      <c r="AM46" s="649" t="s">
        <v>51</v>
      </c>
      <c r="AN46" s="650" t="s">
        <v>38</v>
      </c>
      <c r="AO46" s="651" t="s">
        <v>85</v>
      </c>
      <c r="AP46" s="656">
        <v>5.0399999999997336E-2</v>
      </c>
      <c r="AQ46" s="652">
        <v>1.7320508075688772</v>
      </c>
      <c r="AR46" s="652">
        <f>AP46/AQ46</f>
        <v>2.9098453567155604E-2</v>
      </c>
      <c r="AS46" s="653">
        <v>1</v>
      </c>
      <c r="AT46" s="653">
        <v>50</v>
      </c>
      <c r="AU46" s="654">
        <f>AR46*AS46</f>
        <v>2.9098453567155604E-2</v>
      </c>
      <c r="AV46" s="654">
        <f>AU46^2</f>
        <v>8.4671999999991069E-4</v>
      </c>
      <c r="AW46" s="654">
        <f>((AU46)^4)/AT46</f>
        <v>1.4338695167996975E-8</v>
      </c>
      <c r="BB46" s="865"/>
      <c r="BC46" s="866"/>
      <c r="BD46" s="867"/>
      <c r="BE46" s="842"/>
      <c r="BF46" s="868"/>
      <c r="BG46" s="868"/>
      <c r="BH46" s="842"/>
      <c r="BI46" s="870" t="s">
        <v>428</v>
      </c>
      <c r="BJ46" s="871"/>
      <c r="BK46" s="871" t="s">
        <v>431</v>
      </c>
      <c r="BL46" s="880">
        <v>97.811999999999998</v>
      </c>
      <c r="BM46" s="872">
        <v>50</v>
      </c>
      <c r="BN46" s="876">
        <v>0.05</v>
      </c>
      <c r="BO46" s="874">
        <v>100</v>
      </c>
      <c r="BP46" s="876">
        <v>0.2</v>
      </c>
      <c r="BQ46" s="885">
        <f>((((BP46-BN46)*(BL46-BM46)))/(BO46-BM46))+BN46</f>
        <v>0.193436</v>
      </c>
      <c r="BR46" s="660"/>
      <c r="BS46" s="859"/>
      <c r="BT46" s="870" t="s">
        <v>428</v>
      </c>
      <c r="BU46" s="871"/>
      <c r="BV46" s="871" t="s">
        <v>433</v>
      </c>
      <c r="BW46" s="880">
        <v>165.37299999999999</v>
      </c>
      <c r="BX46" s="872">
        <v>150</v>
      </c>
      <c r="BY46" s="876">
        <v>0.2</v>
      </c>
      <c r="BZ46" s="874">
        <v>200</v>
      </c>
      <c r="CA46" s="876">
        <v>0.35</v>
      </c>
      <c r="CB46" s="885">
        <f>((((CA46-BY46)*(BW46-BX46)))/(BZ46-BX46))+BY46</f>
        <v>0.24611899999999998</v>
      </c>
      <c r="CC46" s="842"/>
      <c r="CD46" s="842"/>
      <c r="CE46" s="842"/>
      <c r="CF46" s="842"/>
      <c r="CG46" s="842"/>
      <c r="CH46" s="842"/>
      <c r="CI46" s="842"/>
      <c r="CJ46" s="842"/>
      <c r="CK46" s="681"/>
      <c r="CL46" s="847"/>
      <c r="CM46" s="852"/>
      <c r="CN46" s="853"/>
      <c r="CO46" s="856"/>
      <c r="CP46" s="660"/>
      <c r="CQ46" s="660"/>
      <c r="CR46" s="854"/>
      <c r="CS46" s="854"/>
      <c r="CT46" s="683"/>
      <c r="CU46" s="683"/>
      <c r="CV46" s="683"/>
      <c r="CW46" s="842"/>
      <c r="CX46" s="842"/>
      <c r="CY46" s="842"/>
      <c r="CZ46" s="842"/>
      <c r="DA46" s="842"/>
      <c r="DB46" s="842"/>
      <c r="DC46" s="842"/>
      <c r="DD46" s="842"/>
      <c r="DE46" s="842"/>
      <c r="DF46" s="842"/>
      <c r="DG46" s="842"/>
      <c r="DH46" s="842"/>
      <c r="DI46" s="842"/>
      <c r="DJ46" s="842"/>
      <c r="DK46" s="842"/>
      <c r="DL46" s="842"/>
      <c r="DM46" s="842"/>
      <c r="DN46" s="842"/>
      <c r="DO46" s="842"/>
      <c r="DP46" s="842"/>
      <c r="DQ46" s="842"/>
      <c r="DR46" s="842"/>
      <c r="DS46" s="842"/>
      <c r="DT46" s="842"/>
    </row>
    <row r="47" spans="3:124" x14ac:dyDescent="0.25">
      <c r="C47" s="662"/>
      <c r="D47" s="662"/>
      <c r="E47" s="662"/>
      <c r="F47" s="662"/>
      <c r="G47" s="663" t="s">
        <v>84</v>
      </c>
      <c r="H47" s="664"/>
      <c r="I47" s="664"/>
      <c r="J47" s="664"/>
      <c r="K47" s="665"/>
      <c r="L47" s="666">
        <f>SUM(L42:L46)</f>
        <v>7.9861992154666675E-2</v>
      </c>
      <c r="M47" s="666">
        <f>SUM(M42:M46)</f>
        <v>6.7231979877263037E-5</v>
      </c>
      <c r="O47" s="662"/>
      <c r="P47" s="662"/>
      <c r="Q47" s="662"/>
      <c r="R47" s="662"/>
      <c r="S47" s="663" t="s">
        <v>84</v>
      </c>
      <c r="T47" s="664"/>
      <c r="U47" s="664"/>
      <c r="V47" s="664"/>
      <c r="W47" s="665"/>
      <c r="X47" s="666">
        <f>SUM(X42:X46)</f>
        <v>7.8683880604031003E-2</v>
      </c>
      <c r="Y47" s="666">
        <f>SUM(Y42:Y46)</f>
        <v>6.7291111804659542E-5</v>
      </c>
      <c r="AA47" s="667"/>
      <c r="AB47" s="667"/>
      <c r="AC47" s="667"/>
      <c r="AD47" s="667"/>
      <c r="AE47" s="668" t="s">
        <v>84</v>
      </c>
      <c r="AF47" s="669"/>
      <c r="AG47" s="669"/>
      <c r="AH47" s="669"/>
      <c r="AI47" s="670"/>
      <c r="AJ47" s="672">
        <f>SUM(AJ42:AJ46)</f>
        <v>6.3330303994154555E-2</v>
      </c>
      <c r="AK47" s="671">
        <f>SUM(AK42:AK46)</f>
        <v>5.8882426482178738E-5</v>
      </c>
      <c r="AL47" s="623"/>
      <c r="AM47" s="667"/>
      <c r="AN47" s="667"/>
      <c r="AO47" s="667"/>
      <c r="AP47" s="667"/>
      <c r="AQ47" s="668" t="s">
        <v>84</v>
      </c>
      <c r="AR47" s="669"/>
      <c r="AS47" s="669"/>
      <c r="AT47" s="669"/>
      <c r="AU47" s="670"/>
      <c r="AV47" s="672">
        <f>SUM(AV42:AV46)</f>
        <v>0.14466069333333323</v>
      </c>
      <c r="AW47" s="672">
        <f>SUM(AW42:AW46)</f>
        <v>2.206381518802488E-4</v>
      </c>
      <c r="BB47" s="865"/>
      <c r="BC47" s="866"/>
      <c r="BD47" s="867"/>
      <c r="BE47" s="842"/>
      <c r="BF47" s="868"/>
      <c r="BG47" s="868"/>
      <c r="BH47" s="868"/>
      <c r="BI47" s="869"/>
      <c r="BJ47" s="869"/>
      <c r="BK47" s="869"/>
      <c r="BL47" s="869"/>
      <c r="BM47" s="842"/>
      <c r="BN47" s="847"/>
      <c r="BO47" s="847"/>
      <c r="BP47" s="847"/>
      <c r="BQ47" s="886"/>
      <c r="BR47" s="848"/>
      <c r="BS47" s="848"/>
      <c r="BT47" s="848"/>
      <c r="BU47" s="848"/>
      <c r="BV47" s="848"/>
      <c r="BW47" s="684"/>
      <c r="BX47" s="684"/>
      <c r="BY47" s="842"/>
      <c r="BZ47" s="842"/>
      <c r="CA47" s="842"/>
      <c r="CB47" s="842"/>
      <c r="CC47" s="842"/>
      <c r="CD47" s="842"/>
      <c r="CE47" s="842"/>
      <c r="CF47" s="842"/>
      <c r="CG47" s="842"/>
      <c r="CH47" s="842"/>
      <c r="CI47" s="842"/>
      <c r="CJ47" s="842"/>
      <c r="CK47" s="681"/>
      <c r="CL47" s="847"/>
      <c r="CM47" s="847"/>
      <c r="CN47" s="847"/>
      <c r="CO47" s="847"/>
      <c r="CP47" s="848"/>
      <c r="CQ47" s="848"/>
      <c r="CR47" s="848"/>
      <c r="CS47" s="848"/>
      <c r="CT47" s="848"/>
      <c r="CU47" s="684"/>
      <c r="CV47" s="684"/>
      <c r="CW47" s="842"/>
      <c r="CX47" s="842"/>
      <c r="CY47" s="842"/>
      <c r="CZ47" s="842"/>
      <c r="DA47" s="842"/>
      <c r="DB47" s="842"/>
      <c r="DC47" s="842"/>
      <c r="DD47" s="842"/>
      <c r="DE47" s="842"/>
      <c r="DF47" s="842"/>
      <c r="DG47" s="842"/>
      <c r="DH47" s="842"/>
      <c r="DI47" s="842"/>
      <c r="DJ47" s="842"/>
      <c r="DK47" s="842"/>
      <c r="DL47" s="842"/>
      <c r="DM47" s="842"/>
      <c r="DN47" s="842"/>
      <c r="DO47" s="842"/>
      <c r="DP47" s="842"/>
      <c r="DQ47" s="842"/>
      <c r="DR47" s="842"/>
      <c r="DS47" s="842"/>
      <c r="DT47" s="842"/>
    </row>
    <row r="48" spans="3:124" ht="18.75" customHeight="1" x14ac:dyDescent="0.35">
      <c r="C48" s="617"/>
      <c r="D48" s="617"/>
      <c r="E48" s="617"/>
      <c r="F48" s="617"/>
      <c r="G48" s="1264" t="s">
        <v>121</v>
      </c>
      <c r="H48" s="1265"/>
      <c r="I48" s="1265"/>
      <c r="J48" s="1265"/>
      <c r="K48" s="1266"/>
      <c r="L48" s="666">
        <f>SQRT(L47)</f>
        <v>0.28259864145934366</v>
      </c>
      <c r="M48" s="648"/>
      <c r="O48" s="617"/>
      <c r="P48" s="617"/>
      <c r="Q48" s="617"/>
      <c r="R48" s="617"/>
      <c r="S48" s="1264" t="s">
        <v>121</v>
      </c>
      <c r="T48" s="1265"/>
      <c r="U48" s="1265"/>
      <c r="V48" s="1265"/>
      <c r="W48" s="1266"/>
      <c r="X48" s="666">
        <f>SQRT(X47)</f>
        <v>0.28050647159028436</v>
      </c>
      <c r="Y48" s="648"/>
      <c r="AA48" s="673" t="s">
        <v>48</v>
      </c>
      <c r="AB48" s="673" t="s">
        <v>197</v>
      </c>
      <c r="AC48" s="627"/>
      <c r="AD48" s="627"/>
      <c r="AE48" s="1270" t="s">
        <v>227</v>
      </c>
      <c r="AF48" s="1271"/>
      <c r="AG48" s="1271"/>
      <c r="AH48" s="1271"/>
      <c r="AI48" s="1272"/>
      <c r="AJ48" s="672">
        <f>SQRT(AJ47)</f>
        <v>0.25165512908374144</v>
      </c>
      <c r="AK48" s="655"/>
      <c r="AL48" s="623"/>
      <c r="AM48" s="627"/>
      <c r="AN48" s="627"/>
      <c r="AO48" s="627"/>
      <c r="AP48" s="627"/>
      <c r="AQ48" s="1270" t="s">
        <v>227</v>
      </c>
      <c r="AR48" s="1271"/>
      <c r="AS48" s="1271"/>
      <c r="AT48" s="1271"/>
      <c r="AU48" s="1272"/>
      <c r="AV48" s="672">
        <f>SQRT(AV47)</f>
        <v>0.3803428628663002</v>
      </c>
      <c r="AW48" s="654"/>
      <c r="BB48" s="865"/>
      <c r="BC48" s="866"/>
      <c r="BD48" s="867"/>
      <c r="BE48" s="842"/>
      <c r="BF48" s="842"/>
      <c r="BG48" s="842"/>
      <c r="BH48" s="842"/>
      <c r="BI48" s="842"/>
      <c r="BJ48" s="842"/>
      <c r="BK48" s="842"/>
      <c r="BL48" s="842"/>
      <c r="BM48" s="842"/>
      <c r="BN48" s="847"/>
      <c r="BO48" s="847"/>
      <c r="BP48" s="847"/>
      <c r="BQ48" s="886"/>
      <c r="BR48" s="1260"/>
      <c r="BS48" s="1260"/>
      <c r="BT48" s="1260"/>
      <c r="BU48" s="1260"/>
      <c r="BV48" s="1260"/>
      <c r="BW48" s="684"/>
      <c r="BX48" s="683"/>
      <c r="BY48" s="842"/>
      <c r="BZ48" s="842"/>
      <c r="CA48" s="842"/>
      <c r="CB48" s="842"/>
      <c r="CC48" s="842"/>
      <c r="CD48" s="842"/>
      <c r="CE48" s="842"/>
      <c r="CF48" s="842"/>
      <c r="CG48" s="842"/>
      <c r="CH48" s="842"/>
      <c r="CI48" s="842"/>
      <c r="CJ48" s="842"/>
      <c r="CK48" s="842"/>
      <c r="CL48" s="847"/>
      <c r="CM48" s="847"/>
      <c r="CN48" s="847"/>
      <c r="CO48" s="847"/>
      <c r="CP48" s="1260"/>
      <c r="CQ48" s="1260"/>
      <c r="CR48" s="1260"/>
      <c r="CS48" s="1260"/>
      <c r="CT48" s="1260"/>
      <c r="CU48" s="684"/>
      <c r="CV48" s="683"/>
      <c r="CW48" s="842"/>
      <c r="CX48" s="842"/>
      <c r="CY48" s="842"/>
      <c r="CZ48" s="842"/>
      <c r="DA48" s="842"/>
      <c r="DB48" s="842"/>
      <c r="DC48" s="842"/>
      <c r="DD48" s="842"/>
      <c r="DE48" s="842"/>
      <c r="DF48" s="842"/>
      <c r="DG48" s="842"/>
      <c r="DH48" s="842"/>
      <c r="DI48" s="842"/>
      <c r="DJ48" s="842"/>
      <c r="DK48" s="842"/>
      <c r="DL48" s="842"/>
      <c r="DM48" s="842"/>
      <c r="DN48" s="842"/>
      <c r="DO48" s="842"/>
      <c r="DP48" s="842"/>
      <c r="DQ48" s="842"/>
      <c r="DR48" s="842"/>
      <c r="DS48" s="842"/>
      <c r="DT48" s="842"/>
    </row>
    <row r="49" spans="3:124" ht="15.75" customHeight="1" x14ac:dyDescent="0.25">
      <c r="C49" s="617"/>
      <c r="D49" s="617"/>
      <c r="E49" s="617"/>
      <c r="F49" s="617"/>
      <c r="G49" s="1264" t="s">
        <v>91</v>
      </c>
      <c r="H49" s="1265"/>
      <c r="I49" s="1265"/>
      <c r="J49" s="1265"/>
      <c r="K49" s="1266"/>
      <c r="L49" s="666">
        <f>((L48)^4)/M47</f>
        <v>94.864643322351057</v>
      </c>
      <c r="M49" s="648"/>
      <c r="O49" s="617"/>
      <c r="P49" s="617"/>
      <c r="Q49" s="617"/>
      <c r="R49" s="617"/>
      <c r="S49" s="1264" t="s">
        <v>91</v>
      </c>
      <c r="T49" s="1265"/>
      <c r="U49" s="1265"/>
      <c r="V49" s="1265"/>
      <c r="W49" s="1266"/>
      <c r="X49" s="666">
        <f>((X48)^4)/Y47</f>
        <v>92.005510101866122</v>
      </c>
      <c r="Y49" s="648"/>
      <c r="AA49" s="674">
        <v>100</v>
      </c>
      <c r="AB49" s="675">
        <v>0.2</v>
      </c>
      <c r="AC49" s="627"/>
      <c r="AD49" s="627"/>
      <c r="AE49" s="1270" t="s">
        <v>91</v>
      </c>
      <c r="AF49" s="1271"/>
      <c r="AG49" s="1271"/>
      <c r="AH49" s="1271"/>
      <c r="AI49" s="1272"/>
      <c r="AJ49" s="672">
        <f>((AJ48)^4)/AK47</f>
        <v>68.114166545190031</v>
      </c>
      <c r="AK49" s="655"/>
      <c r="AL49" s="623"/>
      <c r="AM49" s="627"/>
      <c r="AN49" s="627"/>
      <c r="AO49" s="627"/>
      <c r="AP49" s="627"/>
      <c r="AQ49" s="1270" t="s">
        <v>91</v>
      </c>
      <c r="AR49" s="1271"/>
      <c r="AS49" s="1271"/>
      <c r="AT49" s="1271"/>
      <c r="AU49" s="1272"/>
      <c r="AV49" s="672">
        <f>((AV48)^4)/AW47</f>
        <v>94.846317453921756</v>
      </c>
      <c r="AW49" s="654"/>
      <c r="BB49" s="865"/>
      <c r="BC49" s="866"/>
      <c r="BD49" s="867"/>
      <c r="BE49" s="842"/>
      <c r="BF49" s="842"/>
      <c r="BG49" s="842"/>
      <c r="BH49" s="842"/>
      <c r="BI49" s="842"/>
      <c r="BJ49" s="842"/>
      <c r="BK49" s="842"/>
      <c r="BL49" s="842"/>
      <c r="BM49" s="842"/>
      <c r="BN49" s="847"/>
      <c r="BO49" s="847"/>
      <c r="BP49" s="847"/>
      <c r="BQ49" s="886"/>
      <c r="BR49" s="1260"/>
      <c r="BS49" s="1260"/>
      <c r="BT49" s="1260"/>
      <c r="BU49" s="1260"/>
      <c r="BV49" s="1260"/>
      <c r="BW49" s="684"/>
      <c r="BX49" s="683"/>
      <c r="BY49" s="842"/>
      <c r="BZ49" s="842"/>
      <c r="CA49" s="842"/>
      <c r="CB49" s="842"/>
      <c r="CC49" s="842"/>
      <c r="CD49" s="842"/>
      <c r="CE49" s="842"/>
      <c r="CF49" s="842"/>
      <c r="CG49" s="842"/>
      <c r="CH49" s="842"/>
      <c r="CI49" s="842"/>
      <c r="CJ49" s="842"/>
      <c r="CK49" s="842"/>
      <c r="CL49" s="847"/>
      <c r="CM49" s="847"/>
      <c r="CN49" s="847"/>
      <c r="CO49" s="847"/>
      <c r="CP49" s="1260"/>
      <c r="CQ49" s="1260"/>
      <c r="CR49" s="1260"/>
      <c r="CS49" s="1260"/>
      <c r="CT49" s="1260"/>
      <c r="CU49" s="684"/>
      <c r="CV49" s="683"/>
      <c r="CW49" s="842"/>
      <c r="CX49" s="842"/>
      <c r="CY49" s="842"/>
      <c r="CZ49" s="842"/>
      <c r="DA49" s="842"/>
      <c r="DB49" s="842"/>
      <c r="DC49" s="842"/>
      <c r="DD49" s="842"/>
      <c r="DE49" s="842"/>
      <c r="DF49" s="842"/>
      <c r="DG49" s="842"/>
      <c r="DH49" s="842"/>
      <c r="DI49" s="842"/>
      <c r="DJ49" s="842"/>
      <c r="DK49" s="842"/>
      <c r="DL49" s="842"/>
      <c r="DM49" s="842"/>
      <c r="DN49" s="842"/>
      <c r="DO49" s="842"/>
      <c r="DP49" s="842"/>
      <c r="DQ49" s="842"/>
      <c r="DR49" s="842"/>
      <c r="DS49" s="842"/>
      <c r="DT49" s="842"/>
    </row>
    <row r="50" spans="3:124" ht="15.75" customHeight="1" x14ac:dyDescent="0.25">
      <c r="C50" s="617"/>
      <c r="D50" s="617"/>
      <c r="E50" s="617"/>
      <c r="F50" s="617"/>
      <c r="G50" s="1264" t="s">
        <v>42</v>
      </c>
      <c r="H50" s="1265"/>
      <c r="I50" s="1265"/>
      <c r="J50" s="1265"/>
      <c r="K50" s="1266"/>
      <c r="L50" s="648">
        <f>TINV(0.05,L49)</f>
        <v>1.9855234418666059</v>
      </c>
      <c r="M50" s="648"/>
      <c r="O50" s="617"/>
      <c r="P50" s="617"/>
      <c r="Q50" s="617"/>
      <c r="R50" s="617"/>
      <c r="S50" s="1264" t="s">
        <v>42</v>
      </c>
      <c r="T50" s="1265"/>
      <c r="U50" s="1265"/>
      <c r="V50" s="1265"/>
      <c r="W50" s="1266"/>
      <c r="X50" s="648">
        <f>TINV(0.05,X49)</f>
        <v>1.9860863169511298</v>
      </c>
      <c r="Y50" s="648"/>
      <c r="AA50" s="674">
        <v>150</v>
      </c>
      <c r="AB50" s="675">
        <v>0.2</v>
      </c>
      <c r="AC50" s="627"/>
      <c r="AD50" s="627"/>
      <c r="AE50" s="1270" t="s">
        <v>42</v>
      </c>
      <c r="AF50" s="1271"/>
      <c r="AG50" s="1271"/>
      <c r="AH50" s="1271"/>
      <c r="AI50" s="1272"/>
      <c r="AJ50" s="654">
        <f>TINV(0.05,AJ49)</f>
        <v>1.9954689314298424</v>
      </c>
      <c r="AK50" s="655"/>
      <c r="AL50" s="623"/>
      <c r="AM50" s="627"/>
      <c r="AN50" s="627"/>
      <c r="AO50" s="627"/>
      <c r="AP50" s="627"/>
      <c r="AQ50" s="1270" t="s">
        <v>42</v>
      </c>
      <c r="AR50" s="1271"/>
      <c r="AS50" s="1271"/>
      <c r="AT50" s="1271"/>
      <c r="AU50" s="1272"/>
      <c r="AV50" s="654">
        <f>TINV(0.05,AV49)</f>
        <v>1.9855234418666059</v>
      </c>
      <c r="AW50" s="654"/>
      <c r="BB50" s="842"/>
      <c r="BC50" s="842"/>
      <c r="BD50" s="842"/>
      <c r="BE50" s="842"/>
      <c r="BF50" s="842"/>
      <c r="BG50" s="842"/>
      <c r="BH50" s="842"/>
      <c r="BI50" s="842"/>
      <c r="BJ50" s="842"/>
      <c r="BK50" s="842"/>
      <c r="BL50" s="842"/>
      <c r="BM50" s="842"/>
      <c r="BN50" s="847"/>
      <c r="BO50" s="847"/>
      <c r="BP50" s="847"/>
      <c r="BQ50" s="886"/>
      <c r="BR50" s="1260"/>
      <c r="BS50" s="1260"/>
      <c r="BT50" s="1260"/>
      <c r="BU50" s="1260"/>
      <c r="BV50" s="1260"/>
      <c r="BW50" s="683"/>
      <c r="BX50" s="683"/>
      <c r="BY50" s="842"/>
      <c r="BZ50" s="842"/>
      <c r="CA50" s="842"/>
      <c r="CB50" s="842"/>
      <c r="CC50" s="842"/>
      <c r="CD50" s="842"/>
      <c r="CE50" s="842"/>
      <c r="CF50" s="842"/>
      <c r="CG50" s="842"/>
      <c r="CH50" s="842"/>
      <c r="CI50" s="842"/>
      <c r="CJ50" s="842"/>
      <c r="CK50" s="842"/>
      <c r="CL50" s="847"/>
      <c r="CM50" s="847"/>
      <c r="CN50" s="847"/>
      <c r="CO50" s="847"/>
      <c r="CP50" s="1260"/>
      <c r="CQ50" s="1260"/>
      <c r="CR50" s="1260"/>
      <c r="CS50" s="1260"/>
      <c r="CT50" s="1260"/>
      <c r="CU50" s="683"/>
      <c r="CV50" s="683"/>
      <c r="CW50" s="842"/>
      <c r="CX50" s="842"/>
      <c r="CY50" s="842"/>
      <c r="CZ50" s="842"/>
      <c r="DA50" s="842"/>
      <c r="DB50" s="842"/>
      <c r="DC50" s="842"/>
      <c r="DD50" s="842"/>
      <c r="DE50" s="842"/>
      <c r="DF50" s="842"/>
      <c r="DG50" s="842"/>
      <c r="DH50" s="842"/>
      <c r="DI50" s="842"/>
      <c r="DJ50" s="842"/>
      <c r="DK50" s="842"/>
      <c r="DL50" s="842"/>
      <c r="DM50" s="842"/>
      <c r="DN50" s="842"/>
      <c r="DO50" s="842"/>
      <c r="DP50" s="842"/>
      <c r="DQ50" s="842"/>
      <c r="DR50" s="842"/>
      <c r="DS50" s="842"/>
      <c r="DT50" s="842"/>
    </row>
    <row r="51" spans="3:124" ht="15.75" customHeight="1" x14ac:dyDescent="0.25">
      <c r="C51" s="617"/>
      <c r="D51" s="617"/>
      <c r="E51" s="617"/>
      <c r="F51" s="617"/>
      <c r="G51" s="1264" t="s">
        <v>122</v>
      </c>
      <c r="H51" s="1265"/>
      <c r="I51" s="1265"/>
      <c r="J51" s="1265"/>
      <c r="K51" s="1266"/>
      <c r="L51" s="676">
        <f>L50*L48</f>
        <v>0.56110622725718295</v>
      </c>
      <c r="M51" s="648"/>
      <c r="O51" s="617"/>
      <c r="P51" s="617"/>
      <c r="Q51" s="617"/>
      <c r="R51" s="617"/>
      <c r="S51" s="1264" t="s">
        <v>122</v>
      </c>
      <c r="T51" s="1265"/>
      <c r="U51" s="1265"/>
      <c r="V51" s="1265"/>
      <c r="W51" s="1266"/>
      <c r="X51" s="676">
        <f>X50*X48</f>
        <v>0.55711006504170457</v>
      </c>
      <c r="Y51" s="648"/>
      <c r="AA51" s="627"/>
      <c r="AB51" s="627"/>
      <c r="AC51" s="627"/>
      <c r="AD51" s="627"/>
      <c r="AE51" s="1270" t="s">
        <v>228</v>
      </c>
      <c r="AF51" s="1271"/>
      <c r="AG51" s="1271"/>
      <c r="AH51" s="1271"/>
      <c r="AI51" s="1272"/>
      <c r="AJ51" s="677">
        <f>AJ50*AJ48</f>
        <v>0.5021699915215726</v>
      </c>
      <c r="AK51" s="655"/>
      <c r="AL51" s="623"/>
      <c r="AM51" s="627"/>
      <c r="AN51" s="627"/>
      <c r="AO51" s="627"/>
      <c r="AP51" s="627"/>
      <c r="AQ51" s="1270" t="s">
        <v>228</v>
      </c>
      <c r="AR51" s="1271"/>
      <c r="AS51" s="1271"/>
      <c r="AT51" s="1271"/>
      <c r="AU51" s="1272"/>
      <c r="AV51" s="677">
        <f>AV50*AV48</f>
        <v>0.75517967016769483</v>
      </c>
      <c r="AW51" s="654"/>
      <c r="BB51" s="842"/>
      <c r="BC51" s="842"/>
      <c r="BD51" s="842"/>
      <c r="BE51" s="842"/>
      <c r="BF51" s="842"/>
      <c r="BG51" s="842"/>
      <c r="BH51" s="842"/>
      <c r="BI51" s="842"/>
      <c r="BJ51" s="842"/>
      <c r="BK51" s="842"/>
      <c r="BL51" s="842"/>
      <c r="BM51" s="842"/>
      <c r="BN51" s="847"/>
      <c r="BO51" s="847"/>
      <c r="BP51" s="847"/>
      <c r="BQ51" s="886"/>
      <c r="BR51" s="1260"/>
      <c r="BS51" s="1260"/>
      <c r="BT51" s="1260"/>
      <c r="BU51" s="1260"/>
      <c r="BV51" s="1260"/>
      <c r="BW51" s="862"/>
      <c r="BX51" s="683"/>
      <c r="BY51" s="842"/>
      <c r="BZ51" s="842"/>
      <c r="CA51" s="842"/>
      <c r="CB51" s="842"/>
      <c r="CC51" s="842"/>
      <c r="CD51" s="842"/>
      <c r="CE51" s="842"/>
      <c r="CF51" s="842"/>
      <c r="CG51" s="842"/>
      <c r="CH51" s="842"/>
      <c r="CI51" s="842"/>
      <c r="CJ51" s="842"/>
      <c r="CK51" s="842"/>
      <c r="CL51" s="847"/>
      <c r="CM51" s="847"/>
      <c r="CN51" s="847"/>
      <c r="CO51" s="847"/>
      <c r="CP51" s="1260"/>
      <c r="CQ51" s="1260"/>
      <c r="CR51" s="1260"/>
      <c r="CS51" s="1260"/>
      <c r="CT51" s="1260"/>
      <c r="CU51" s="862"/>
      <c r="CV51" s="683"/>
      <c r="CW51" s="842"/>
      <c r="CX51" s="842"/>
      <c r="CY51" s="842"/>
      <c r="CZ51" s="842"/>
      <c r="DA51" s="842"/>
      <c r="DB51" s="842"/>
      <c r="DC51" s="842"/>
      <c r="DD51" s="842"/>
      <c r="DE51" s="842"/>
      <c r="DF51" s="842"/>
      <c r="DG51" s="842"/>
      <c r="DH51" s="842"/>
      <c r="DI51" s="842"/>
      <c r="DJ51" s="842"/>
      <c r="DK51" s="842"/>
      <c r="DL51" s="842"/>
      <c r="DM51" s="842"/>
      <c r="DN51" s="842"/>
      <c r="DO51" s="842"/>
      <c r="DP51" s="842"/>
      <c r="DQ51" s="842"/>
      <c r="DR51" s="842"/>
      <c r="DS51" s="842"/>
      <c r="DT51" s="842"/>
    </row>
    <row r="52" spans="3:124" x14ac:dyDescent="0.25">
      <c r="BB52" s="842"/>
      <c r="BC52" s="842"/>
      <c r="BD52" s="842"/>
      <c r="BE52" s="842"/>
      <c r="BF52" s="842"/>
      <c r="BG52" s="842"/>
      <c r="BH52" s="842"/>
      <c r="BI52" s="842"/>
      <c r="BJ52" s="842"/>
      <c r="BK52" s="842"/>
      <c r="BL52" s="842"/>
      <c r="BM52" s="842"/>
      <c r="BN52" s="842"/>
      <c r="BO52" s="842"/>
      <c r="BP52" s="842"/>
      <c r="BQ52" s="882"/>
      <c r="BR52" s="842"/>
      <c r="BS52" s="842"/>
      <c r="BT52" s="842"/>
      <c r="BU52" s="842"/>
      <c r="BV52" s="842"/>
      <c r="BW52" s="842"/>
      <c r="BX52" s="842"/>
      <c r="BY52" s="842"/>
      <c r="BZ52" s="842"/>
      <c r="CA52" s="842"/>
      <c r="CB52" s="842"/>
      <c r="CC52" s="842"/>
      <c r="CD52" s="842"/>
      <c r="CE52" s="842"/>
      <c r="CF52" s="842"/>
      <c r="CG52" s="842"/>
      <c r="CH52" s="842"/>
      <c r="CI52" s="842"/>
      <c r="CJ52" s="842"/>
      <c r="CK52" s="842"/>
      <c r="CL52" s="842"/>
      <c r="CM52" s="842"/>
      <c r="CN52" s="842"/>
      <c r="CO52" s="842"/>
      <c r="CP52" s="842"/>
      <c r="CQ52" s="842"/>
      <c r="CR52" s="842"/>
      <c r="CS52" s="842"/>
      <c r="CT52" s="842"/>
      <c r="CU52" s="842"/>
      <c r="CV52" s="842"/>
      <c r="CW52" s="842"/>
      <c r="CX52" s="842"/>
      <c r="CY52" s="842"/>
      <c r="CZ52" s="842"/>
      <c r="DA52" s="842"/>
      <c r="DB52" s="842"/>
      <c r="DC52" s="842"/>
      <c r="DD52" s="842"/>
      <c r="DE52" s="842"/>
      <c r="DF52" s="842"/>
      <c r="DG52" s="842"/>
      <c r="DH52" s="842"/>
      <c r="DI52" s="842"/>
      <c r="DJ52" s="842"/>
      <c r="DK52" s="842"/>
      <c r="DL52" s="842"/>
      <c r="DM52" s="842"/>
      <c r="DN52" s="842"/>
      <c r="DO52" s="842"/>
      <c r="DP52" s="842"/>
      <c r="DQ52" s="842"/>
      <c r="DR52" s="842"/>
      <c r="DS52" s="842"/>
      <c r="DT52" s="842"/>
    </row>
    <row r="53" spans="3:124" x14ac:dyDescent="0.25">
      <c r="BB53" s="842"/>
      <c r="BC53" s="842"/>
      <c r="BD53" s="842"/>
      <c r="BE53" s="842"/>
      <c r="BF53" s="842"/>
      <c r="BG53" s="842"/>
      <c r="BH53" s="842"/>
      <c r="BI53" s="842"/>
      <c r="BJ53" s="842"/>
      <c r="BK53" s="842"/>
      <c r="BL53" s="842"/>
      <c r="BM53" s="842"/>
      <c r="BN53" s="842"/>
      <c r="BO53" s="842"/>
      <c r="BP53" s="842"/>
      <c r="BQ53" s="882"/>
      <c r="BR53" s="842"/>
      <c r="BS53" s="842"/>
      <c r="BT53" s="842"/>
      <c r="BU53" s="842"/>
      <c r="BV53" s="842"/>
      <c r="BW53" s="842"/>
      <c r="BX53" s="842"/>
      <c r="BY53" s="842"/>
      <c r="BZ53" s="842"/>
      <c r="CA53" s="842"/>
      <c r="CB53" s="842"/>
      <c r="CC53" s="842"/>
      <c r="CD53" s="842"/>
      <c r="CE53" s="842"/>
      <c r="CF53" s="842"/>
      <c r="CG53" s="842"/>
      <c r="CH53" s="842"/>
      <c r="CI53" s="842"/>
      <c r="CJ53" s="842"/>
      <c r="CK53" s="842"/>
      <c r="CL53" s="842"/>
      <c r="CM53" s="842"/>
      <c r="CN53" s="842"/>
      <c r="CO53" s="842"/>
      <c r="CP53" s="842"/>
      <c r="CQ53" s="842"/>
      <c r="CR53" s="842"/>
      <c r="CS53" s="842"/>
      <c r="CT53" s="842"/>
      <c r="CU53" s="842"/>
      <c r="CV53" s="842"/>
      <c r="CW53" s="842"/>
      <c r="CX53" s="842"/>
      <c r="CY53" s="842"/>
      <c r="CZ53" s="842"/>
      <c r="DA53" s="842"/>
      <c r="DB53" s="842"/>
      <c r="DC53" s="842"/>
      <c r="DD53" s="842"/>
      <c r="DE53" s="842"/>
      <c r="DF53" s="842"/>
      <c r="DG53" s="842"/>
      <c r="DH53" s="842"/>
      <c r="DI53" s="842"/>
      <c r="DJ53" s="842"/>
      <c r="DK53" s="842"/>
      <c r="DL53" s="842"/>
      <c r="DM53" s="842"/>
      <c r="DN53" s="842"/>
      <c r="DO53" s="842"/>
      <c r="DP53" s="842"/>
      <c r="DQ53" s="842"/>
      <c r="DR53" s="842"/>
      <c r="DS53" s="842"/>
      <c r="DT53" s="842"/>
    </row>
    <row r="54" spans="3:124" x14ac:dyDescent="0.25">
      <c r="BB54" s="842"/>
      <c r="BC54" s="842"/>
      <c r="BD54" s="842"/>
      <c r="BE54" s="842"/>
      <c r="BF54" s="842"/>
      <c r="BG54" s="842"/>
      <c r="BH54" s="842"/>
      <c r="BI54" s="842"/>
      <c r="BJ54" s="842"/>
      <c r="BK54" s="842"/>
      <c r="BL54" s="842"/>
      <c r="BM54" s="842"/>
      <c r="BN54" s="842"/>
      <c r="BO54" s="842"/>
      <c r="BP54" s="842"/>
      <c r="BQ54" s="882"/>
      <c r="BR54" s="842"/>
      <c r="BS54" s="842"/>
      <c r="BT54" s="842"/>
      <c r="BU54" s="842"/>
      <c r="BV54" s="842"/>
      <c r="BW54" s="842"/>
      <c r="BX54" s="842"/>
      <c r="BY54" s="842"/>
      <c r="BZ54" s="842"/>
      <c r="CA54" s="842"/>
      <c r="CB54" s="842"/>
      <c r="CC54" s="842"/>
      <c r="CD54" s="842"/>
      <c r="CE54" s="842"/>
      <c r="CF54" s="842"/>
      <c r="CG54" s="842"/>
      <c r="CH54" s="842"/>
      <c r="CI54" s="842"/>
      <c r="CJ54" s="842"/>
      <c r="CK54" s="842"/>
      <c r="CL54" s="842"/>
      <c r="CM54" s="842"/>
      <c r="CN54" s="842"/>
      <c r="CO54" s="842"/>
      <c r="CP54" s="842"/>
      <c r="CQ54" s="842"/>
      <c r="CR54" s="842"/>
      <c r="CS54" s="842"/>
      <c r="CT54" s="842"/>
      <c r="CU54" s="842"/>
      <c r="CV54" s="842"/>
      <c r="CW54" s="842"/>
      <c r="CX54" s="842"/>
      <c r="CY54" s="842"/>
      <c r="CZ54" s="842"/>
      <c r="DA54" s="842"/>
      <c r="DB54" s="842"/>
      <c r="DC54" s="842"/>
      <c r="DD54" s="842"/>
      <c r="DE54" s="842"/>
      <c r="DF54" s="842"/>
      <c r="DG54" s="842"/>
      <c r="DH54" s="842"/>
      <c r="DI54" s="842"/>
      <c r="DJ54" s="842"/>
      <c r="DK54" s="842"/>
      <c r="DL54" s="842"/>
      <c r="DM54" s="842"/>
      <c r="DN54" s="842"/>
      <c r="DO54" s="842"/>
      <c r="DP54" s="842"/>
      <c r="DQ54" s="842"/>
      <c r="DR54" s="842"/>
      <c r="DS54" s="842"/>
      <c r="DT54" s="842"/>
    </row>
    <row r="55" spans="3:124" x14ac:dyDescent="0.25">
      <c r="BB55" s="842"/>
      <c r="BC55" s="842"/>
      <c r="BD55" s="842"/>
      <c r="BE55" s="842"/>
      <c r="BF55" s="842"/>
      <c r="BG55" s="842"/>
      <c r="BH55" s="842"/>
      <c r="BI55" s="842"/>
      <c r="BJ55" s="842"/>
      <c r="BK55" s="842"/>
      <c r="BL55" s="842"/>
      <c r="BM55" s="842"/>
      <c r="BN55" s="842"/>
      <c r="BO55" s="842"/>
      <c r="BP55" s="842"/>
      <c r="BQ55" s="882"/>
      <c r="BR55" s="842"/>
      <c r="BS55" s="842"/>
      <c r="BT55" s="842"/>
      <c r="BU55" s="842"/>
      <c r="BV55" s="842"/>
      <c r="BW55" s="842"/>
      <c r="BX55" s="842"/>
      <c r="BY55" s="842"/>
      <c r="BZ55" s="842"/>
      <c r="CA55" s="842"/>
      <c r="CB55" s="842"/>
      <c r="CC55" s="842"/>
      <c r="CD55" s="842"/>
      <c r="CE55" s="842"/>
      <c r="CF55" s="842"/>
      <c r="CG55" s="842"/>
      <c r="CH55" s="842"/>
      <c r="CI55" s="842"/>
      <c r="CJ55" s="842"/>
      <c r="CK55" s="842"/>
      <c r="CL55" s="842"/>
      <c r="CM55" s="842"/>
      <c r="CN55" s="842"/>
      <c r="CO55" s="842"/>
      <c r="CP55" s="842"/>
      <c r="CQ55" s="842"/>
      <c r="CR55" s="842"/>
      <c r="CS55" s="842"/>
      <c r="CT55" s="842"/>
      <c r="CU55" s="842"/>
      <c r="CV55" s="842"/>
      <c r="CW55" s="842"/>
      <c r="CX55" s="842"/>
      <c r="CY55" s="842"/>
      <c r="CZ55" s="842"/>
      <c r="DA55" s="842"/>
      <c r="DB55" s="842"/>
      <c r="DC55" s="842"/>
      <c r="DD55" s="842"/>
      <c r="DE55" s="842"/>
      <c r="DF55" s="842"/>
      <c r="DG55" s="842"/>
      <c r="DH55" s="842"/>
      <c r="DI55" s="842"/>
      <c r="DJ55" s="842"/>
      <c r="DK55" s="842"/>
      <c r="DL55" s="842"/>
      <c r="DM55" s="842"/>
      <c r="DN55" s="842"/>
      <c r="DO55" s="842"/>
      <c r="DP55" s="842"/>
      <c r="DQ55" s="842"/>
      <c r="DR55" s="842"/>
      <c r="DS55" s="842"/>
      <c r="DT55" s="842"/>
    </row>
    <row r="56" spans="3:124" x14ac:dyDescent="0.25">
      <c r="BB56" s="842"/>
      <c r="BC56" s="842"/>
      <c r="BD56" s="842"/>
      <c r="BE56" s="842"/>
      <c r="BF56" s="842"/>
      <c r="BG56" s="842"/>
      <c r="BH56" s="842"/>
      <c r="BI56" s="842"/>
      <c r="BJ56" s="842"/>
      <c r="BK56" s="842"/>
      <c r="BL56" s="842"/>
      <c r="BM56" s="842"/>
      <c r="BN56" s="842"/>
      <c r="BO56" s="842"/>
      <c r="BP56" s="842"/>
      <c r="BQ56" s="882"/>
      <c r="BR56" s="842"/>
      <c r="BS56" s="842"/>
      <c r="BT56" s="842"/>
      <c r="BU56" s="842"/>
      <c r="BV56" s="842"/>
      <c r="BW56" s="842"/>
      <c r="BX56" s="842"/>
      <c r="BY56" s="842"/>
      <c r="BZ56" s="842"/>
      <c r="CA56" s="842"/>
      <c r="CB56" s="842"/>
      <c r="CC56" s="842"/>
      <c r="CD56" s="842"/>
      <c r="CE56" s="842"/>
      <c r="CF56" s="842"/>
      <c r="CG56" s="842"/>
      <c r="CH56" s="842"/>
      <c r="CI56" s="842"/>
      <c r="CJ56" s="842"/>
      <c r="CK56" s="842"/>
      <c r="CL56" s="842"/>
      <c r="CM56" s="842"/>
      <c r="CN56" s="842"/>
      <c r="CO56" s="842"/>
      <c r="CP56" s="842"/>
      <c r="CQ56" s="842"/>
      <c r="CR56" s="842"/>
      <c r="CS56" s="842"/>
      <c r="CT56" s="842"/>
      <c r="CU56" s="842"/>
      <c r="CV56" s="842"/>
      <c r="CW56" s="842"/>
      <c r="CX56" s="842"/>
      <c r="CY56" s="842"/>
      <c r="CZ56" s="842"/>
      <c r="DA56" s="842"/>
      <c r="DB56" s="842"/>
      <c r="DC56" s="842"/>
      <c r="DD56" s="842"/>
      <c r="DE56" s="842"/>
      <c r="DF56" s="842"/>
      <c r="DG56" s="842"/>
      <c r="DH56" s="842"/>
      <c r="DI56" s="842"/>
      <c r="DJ56" s="842"/>
      <c r="DK56" s="842"/>
      <c r="DL56" s="842"/>
      <c r="DM56" s="842"/>
      <c r="DN56" s="842"/>
      <c r="DO56" s="842"/>
      <c r="DP56" s="842"/>
      <c r="DQ56" s="842"/>
      <c r="DR56" s="842"/>
      <c r="DS56" s="842"/>
      <c r="DT56" s="842"/>
    </row>
    <row r="57" spans="3:124" x14ac:dyDescent="0.25">
      <c r="BB57" s="842"/>
      <c r="BC57" s="842"/>
      <c r="BD57" s="842"/>
      <c r="BE57" s="842"/>
      <c r="BF57" s="842"/>
      <c r="BG57" s="842"/>
      <c r="BH57" s="842"/>
      <c r="BI57" s="842"/>
      <c r="BJ57" s="842"/>
      <c r="BK57" s="842"/>
      <c r="BL57" s="842"/>
      <c r="BM57" s="842"/>
      <c r="BN57" s="842"/>
      <c r="BO57" s="842"/>
      <c r="BP57" s="842"/>
      <c r="BQ57" s="882"/>
      <c r="BR57" s="842"/>
      <c r="BS57" s="842"/>
      <c r="BT57" s="842"/>
      <c r="BU57" s="842"/>
      <c r="BV57" s="842"/>
      <c r="BW57" s="842"/>
      <c r="BX57" s="842"/>
      <c r="BY57" s="842"/>
      <c r="BZ57" s="842"/>
      <c r="CA57" s="842"/>
      <c r="CB57" s="842"/>
      <c r="CC57" s="842"/>
      <c r="CD57" s="842"/>
      <c r="CE57" s="842"/>
      <c r="CF57" s="842"/>
      <c r="CG57" s="842"/>
      <c r="CH57" s="842"/>
      <c r="CI57" s="842"/>
      <c r="CJ57" s="842"/>
      <c r="CK57" s="842"/>
      <c r="CL57" s="842"/>
      <c r="CM57" s="842"/>
      <c r="CN57" s="842"/>
      <c r="CO57" s="842"/>
      <c r="CP57" s="842"/>
      <c r="CQ57" s="842"/>
      <c r="CR57" s="842"/>
      <c r="CS57" s="842"/>
      <c r="CT57" s="842"/>
      <c r="CU57" s="842"/>
      <c r="CV57" s="842"/>
      <c r="CW57" s="842"/>
      <c r="CX57" s="842"/>
      <c r="CY57" s="842"/>
      <c r="CZ57" s="842"/>
      <c r="DA57" s="842"/>
      <c r="DB57" s="842"/>
      <c r="DC57" s="842"/>
      <c r="DD57" s="842"/>
      <c r="DE57" s="842"/>
      <c r="DF57" s="842"/>
      <c r="DG57" s="842"/>
      <c r="DH57" s="842"/>
      <c r="DI57" s="842"/>
      <c r="DJ57" s="842"/>
      <c r="DK57" s="842"/>
      <c r="DL57" s="842"/>
      <c r="DM57" s="842"/>
      <c r="DN57" s="842"/>
      <c r="DO57" s="842"/>
      <c r="DP57" s="842"/>
      <c r="DQ57" s="842"/>
      <c r="DR57" s="842"/>
      <c r="DS57" s="842"/>
      <c r="DT57" s="842"/>
    </row>
    <row r="58" spans="3:124" x14ac:dyDescent="0.25">
      <c r="BB58" s="842"/>
      <c r="BC58" s="842"/>
      <c r="BD58" s="842"/>
      <c r="BE58" s="842"/>
      <c r="BF58" s="842"/>
      <c r="BG58" s="842"/>
      <c r="BH58" s="842"/>
      <c r="BI58" s="842"/>
      <c r="BJ58" s="842"/>
      <c r="BK58" s="842"/>
      <c r="BL58" s="842"/>
      <c r="BM58" s="842"/>
      <c r="BN58" s="842"/>
      <c r="BO58" s="842"/>
      <c r="BP58" s="842"/>
      <c r="BQ58" s="882"/>
      <c r="BR58" s="842"/>
      <c r="BS58" s="842"/>
      <c r="BT58" s="842"/>
      <c r="BU58" s="842"/>
      <c r="BV58" s="842"/>
      <c r="BW58" s="842"/>
      <c r="BX58" s="842"/>
      <c r="BY58" s="842"/>
      <c r="BZ58" s="842"/>
      <c r="CA58" s="842"/>
      <c r="CB58" s="842"/>
      <c r="CC58" s="842"/>
      <c r="CD58" s="842"/>
      <c r="CE58" s="842"/>
      <c r="CF58" s="842"/>
      <c r="CG58" s="842"/>
      <c r="CH58" s="842"/>
      <c r="CI58" s="842"/>
      <c r="CJ58" s="842"/>
      <c r="CK58" s="842"/>
      <c r="CL58" s="842"/>
      <c r="CM58" s="842"/>
      <c r="CN58" s="842"/>
      <c r="CO58" s="842"/>
      <c r="CP58" s="842"/>
      <c r="CQ58" s="842"/>
      <c r="CR58" s="842"/>
      <c r="CS58" s="842"/>
      <c r="CT58" s="842"/>
      <c r="CU58" s="842"/>
      <c r="CV58" s="842"/>
      <c r="CW58" s="842"/>
      <c r="CX58" s="842"/>
      <c r="CY58" s="842"/>
      <c r="CZ58" s="842"/>
      <c r="DA58" s="842"/>
      <c r="DB58" s="842"/>
      <c r="DC58" s="842"/>
      <c r="DD58" s="842"/>
      <c r="DE58" s="842"/>
      <c r="DF58" s="842"/>
      <c r="DG58" s="842"/>
      <c r="DH58" s="842"/>
      <c r="DI58" s="842"/>
      <c r="DJ58" s="842"/>
      <c r="DK58" s="842"/>
      <c r="DL58" s="842"/>
      <c r="DM58" s="842"/>
      <c r="DN58" s="842"/>
      <c r="DO58" s="842"/>
      <c r="DP58" s="842"/>
      <c r="DQ58" s="842"/>
      <c r="DR58" s="842"/>
      <c r="DS58" s="842"/>
      <c r="DT58" s="842"/>
    </row>
    <row r="59" spans="3:124" x14ac:dyDescent="0.25">
      <c r="BB59" s="842"/>
      <c r="BC59" s="842"/>
      <c r="BD59" s="842"/>
      <c r="BE59" s="842"/>
      <c r="BF59" s="842"/>
      <c r="BG59" s="842"/>
      <c r="BH59" s="842"/>
      <c r="BI59" s="842"/>
      <c r="BJ59" s="842"/>
      <c r="BK59" s="842"/>
      <c r="BL59" s="842"/>
      <c r="BM59" s="842"/>
      <c r="BN59" s="842"/>
      <c r="BO59" s="842"/>
      <c r="BP59" s="842"/>
      <c r="BQ59" s="882"/>
      <c r="BR59" s="842"/>
      <c r="BS59" s="842"/>
      <c r="BT59" s="842"/>
      <c r="BU59" s="842"/>
      <c r="BV59" s="842"/>
      <c r="BW59" s="842"/>
      <c r="BX59" s="842"/>
      <c r="BY59" s="842"/>
      <c r="BZ59" s="842"/>
      <c r="CA59" s="842"/>
      <c r="CB59" s="842"/>
      <c r="CC59" s="842"/>
      <c r="CD59" s="842"/>
      <c r="CE59" s="842"/>
      <c r="CF59" s="842"/>
      <c r="CG59" s="842"/>
      <c r="CH59" s="842"/>
      <c r="CI59" s="842"/>
      <c r="CJ59" s="842"/>
      <c r="CK59" s="842"/>
      <c r="CL59" s="842"/>
      <c r="CM59" s="842"/>
      <c r="CN59" s="842"/>
      <c r="CO59" s="842"/>
      <c r="CP59" s="842"/>
      <c r="CQ59" s="842"/>
      <c r="CR59" s="842"/>
      <c r="CS59" s="842"/>
      <c r="CT59" s="842"/>
      <c r="CU59" s="842"/>
      <c r="CV59" s="842"/>
      <c r="CW59" s="842"/>
      <c r="CX59" s="842"/>
      <c r="CY59" s="842"/>
      <c r="CZ59" s="842"/>
      <c r="DA59" s="842"/>
      <c r="DB59" s="842"/>
      <c r="DC59" s="842"/>
      <c r="DD59" s="842"/>
      <c r="DE59" s="842"/>
      <c r="DF59" s="842"/>
      <c r="DG59" s="842"/>
      <c r="DH59" s="842"/>
      <c r="DI59" s="842"/>
      <c r="DJ59" s="842"/>
      <c r="DK59" s="842"/>
      <c r="DL59" s="842"/>
      <c r="DM59" s="842"/>
      <c r="DN59" s="842"/>
      <c r="DO59" s="842"/>
      <c r="DP59" s="842"/>
      <c r="DQ59" s="842"/>
      <c r="DR59" s="842"/>
      <c r="DS59" s="842"/>
      <c r="DT59" s="842"/>
    </row>
    <row r="60" spans="3:124" x14ac:dyDescent="0.25">
      <c r="BB60" s="842"/>
      <c r="BC60" s="842"/>
      <c r="BD60" s="842"/>
      <c r="BE60" s="842"/>
      <c r="BF60" s="842"/>
      <c r="BG60" s="842"/>
      <c r="BH60" s="842"/>
      <c r="BI60" s="842"/>
      <c r="BJ60" s="842"/>
      <c r="BK60" s="842"/>
      <c r="BL60" s="842"/>
      <c r="BM60" s="842"/>
      <c r="BN60" s="842"/>
      <c r="BO60" s="842"/>
      <c r="BP60" s="842"/>
      <c r="BQ60" s="882"/>
      <c r="BR60" s="842"/>
      <c r="BS60" s="842"/>
      <c r="BT60" s="842"/>
      <c r="BU60" s="842"/>
      <c r="BV60" s="842"/>
      <c r="BW60" s="842"/>
      <c r="BX60" s="842"/>
      <c r="BY60" s="842"/>
      <c r="BZ60" s="842"/>
      <c r="CA60" s="842"/>
      <c r="CB60" s="842"/>
      <c r="CC60" s="842"/>
      <c r="CD60" s="842"/>
      <c r="CE60" s="842"/>
      <c r="CF60" s="842"/>
      <c r="CG60" s="842"/>
      <c r="CH60" s="842"/>
      <c r="CI60" s="842"/>
      <c r="CJ60" s="842"/>
      <c r="CK60" s="842"/>
      <c r="CL60" s="842"/>
      <c r="CM60" s="842"/>
      <c r="CN60" s="842"/>
      <c r="CO60" s="842"/>
      <c r="CP60" s="842"/>
      <c r="CQ60" s="842"/>
      <c r="CR60" s="842"/>
      <c r="CS60" s="842"/>
      <c r="CT60" s="842"/>
      <c r="CU60" s="842"/>
      <c r="CV60" s="842"/>
      <c r="CW60" s="842"/>
      <c r="CX60" s="842"/>
      <c r="CY60" s="842"/>
      <c r="CZ60" s="842"/>
      <c r="DA60" s="842"/>
      <c r="DB60" s="842"/>
      <c r="DC60" s="842"/>
      <c r="DD60" s="842"/>
      <c r="DE60" s="842"/>
      <c r="DF60" s="842"/>
      <c r="DG60" s="842"/>
      <c r="DH60" s="842"/>
      <c r="DI60" s="842"/>
      <c r="DJ60" s="842"/>
      <c r="DK60" s="842"/>
      <c r="DL60" s="842"/>
      <c r="DM60" s="842"/>
      <c r="DN60" s="842"/>
      <c r="DO60" s="842"/>
      <c r="DP60" s="842"/>
      <c r="DQ60" s="842"/>
      <c r="DR60" s="842"/>
      <c r="DS60" s="842"/>
      <c r="DT60" s="842"/>
    </row>
    <row r="61" spans="3:124" x14ac:dyDescent="0.25">
      <c r="BB61" s="842"/>
      <c r="BC61" s="842"/>
      <c r="BD61" s="842"/>
      <c r="BE61" s="842"/>
      <c r="BF61" s="842"/>
      <c r="BG61" s="842"/>
      <c r="BH61" s="842"/>
      <c r="BI61" s="842"/>
      <c r="BJ61" s="842"/>
      <c r="BK61" s="842"/>
      <c r="BL61" s="842"/>
      <c r="BM61" s="842"/>
      <c r="BN61" s="842"/>
      <c r="BO61" s="842"/>
      <c r="BP61" s="842"/>
      <c r="BQ61" s="882"/>
      <c r="BR61" s="842"/>
      <c r="BS61" s="842"/>
      <c r="BT61" s="842"/>
      <c r="BU61" s="842"/>
      <c r="BV61" s="842"/>
      <c r="BW61" s="842"/>
      <c r="BX61" s="842"/>
      <c r="BY61" s="842"/>
      <c r="BZ61" s="842"/>
      <c r="CA61" s="842"/>
      <c r="CB61" s="842"/>
      <c r="CC61" s="842"/>
      <c r="CD61" s="842"/>
      <c r="CE61" s="842"/>
      <c r="CF61" s="842"/>
      <c r="CG61" s="842"/>
      <c r="CH61" s="842"/>
      <c r="CI61" s="842"/>
      <c r="CJ61" s="842"/>
      <c r="CK61" s="842"/>
      <c r="CL61" s="842"/>
      <c r="CM61" s="842"/>
      <c r="CN61" s="842"/>
      <c r="CO61" s="842"/>
      <c r="CP61" s="842"/>
      <c r="CQ61" s="842"/>
      <c r="CR61" s="842"/>
      <c r="CS61" s="842"/>
      <c r="CT61" s="842"/>
      <c r="CU61" s="842"/>
      <c r="CV61" s="842"/>
      <c r="CW61" s="842"/>
      <c r="CX61" s="842"/>
      <c r="CY61" s="842"/>
      <c r="CZ61" s="842"/>
      <c r="DA61" s="842"/>
      <c r="DB61" s="842"/>
      <c r="DC61" s="842"/>
      <c r="DD61" s="842"/>
      <c r="DE61" s="842"/>
      <c r="DF61" s="842"/>
      <c r="DG61" s="842"/>
      <c r="DH61" s="842"/>
      <c r="DI61" s="842"/>
      <c r="DJ61" s="842"/>
      <c r="DK61" s="842"/>
      <c r="DL61" s="842"/>
      <c r="DM61" s="842"/>
      <c r="DN61" s="842"/>
      <c r="DO61" s="842"/>
      <c r="DP61" s="842"/>
      <c r="DQ61" s="842"/>
      <c r="DR61" s="842"/>
      <c r="DS61" s="842"/>
      <c r="DT61" s="842"/>
    </row>
    <row r="62" spans="3:124" x14ac:dyDescent="0.25">
      <c r="BB62" s="842"/>
      <c r="BC62" s="842"/>
      <c r="BD62" s="842"/>
      <c r="BE62" s="842"/>
      <c r="BF62" s="842"/>
      <c r="BG62" s="842"/>
      <c r="BH62" s="842"/>
      <c r="BI62" s="842"/>
      <c r="BJ62" s="842"/>
      <c r="BK62" s="842"/>
      <c r="BL62" s="842"/>
      <c r="BM62" s="842"/>
      <c r="BN62" s="842"/>
      <c r="BO62" s="842"/>
      <c r="BP62" s="842"/>
      <c r="BQ62" s="882"/>
      <c r="BR62" s="842"/>
      <c r="BS62" s="842"/>
      <c r="BT62" s="842"/>
      <c r="BU62" s="842"/>
      <c r="BV62" s="842"/>
      <c r="BW62" s="842"/>
      <c r="BX62" s="842"/>
      <c r="BY62" s="842"/>
      <c r="BZ62" s="842"/>
      <c r="CA62" s="842"/>
      <c r="CB62" s="842"/>
      <c r="CC62" s="842"/>
      <c r="CD62" s="842"/>
      <c r="CE62" s="842"/>
      <c r="CF62" s="842"/>
      <c r="CG62" s="842"/>
      <c r="CH62" s="842"/>
      <c r="CI62" s="842"/>
      <c r="CJ62" s="842"/>
      <c r="CK62" s="842"/>
      <c r="CL62" s="842"/>
      <c r="CM62" s="842"/>
      <c r="CN62" s="842"/>
      <c r="CO62" s="842"/>
      <c r="CP62" s="842"/>
      <c r="CQ62" s="842"/>
      <c r="CR62" s="842"/>
      <c r="CS62" s="842"/>
      <c r="CT62" s="842"/>
      <c r="CU62" s="842"/>
      <c r="CV62" s="842"/>
      <c r="CW62" s="842"/>
      <c r="CX62" s="842"/>
      <c r="CY62" s="842"/>
      <c r="CZ62" s="842"/>
      <c r="DA62" s="842"/>
      <c r="DB62" s="842"/>
      <c r="DC62" s="842"/>
      <c r="DD62" s="842"/>
      <c r="DE62" s="842"/>
      <c r="DF62" s="842"/>
      <c r="DG62" s="842"/>
      <c r="DH62" s="842"/>
      <c r="DI62" s="842"/>
      <c r="DJ62" s="842"/>
      <c r="DK62" s="842"/>
      <c r="DL62" s="842"/>
      <c r="DM62" s="842"/>
      <c r="DN62" s="842"/>
      <c r="DO62" s="842"/>
      <c r="DP62" s="842"/>
      <c r="DQ62" s="842"/>
      <c r="DR62" s="842"/>
      <c r="DS62" s="842"/>
      <c r="DT62" s="842"/>
    </row>
    <row r="63" spans="3:124" x14ac:dyDescent="0.25">
      <c r="BB63" s="842"/>
      <c r="BC63" s="842"/>
      <c r="BD63" s="842"/>
      <c r="BE63" s="842"/>
      <c r="BF63" s="842"/>
      <c r="BG63" s="842"/>
      <c r="BH63" s="842"/>
      <c r="BI63" s="842"/>
      <c r="BJ63" s="842"/>
      <c r="BK63" s="842"/>
      <c r="BL63" s="842"/>
      <c r="BM63" s="842"/>
      <c r="BN63" s="842"/>
      <c r="BO63" s="842"/>
      <c r="BP63" s="842"/>
      <c r="BQ63" s="882"/>
      <c r="BR63" s="842"/>
      <c r="BS63" s="842"/>
      <c r="BT63" s="842"/>
      <c r="BU63" s="842"/>
      <c r="BV63" s="842"/>
      <c r="BW63" s="842"/>
      <c r="BX63" s="842"/>
      <c r="BY63" s="842"/>
      <c r="BZ63" s="842"/>
      <c r="CA63" s="842"/>
      <c r="CB63" s="842"/>
      <c r="CC63" s="842"/>
      <c r="CD63" s="842"/>
      <c r="CE63" s="842"/>
      <c r="CF63" s="842"/>
      <c r="CG63" s="842"/>
      <c r="CH63" s="842"/>
      <c r="CI63" s="842"/>
      <c r="CJ63" s="842"/>
      <c r="CK63" s="842"/>
      <c r="CL63" s="842"/>
      <c r="CM63" s="842"/>
      <c r="CN63" s="842"/>
      <c r="CO63" s="842"/>
      <c r="CP63" s="842"/>
      <c r="CQ63" s="842"/>
      <c r="CR63" s="842"/>
      <c r="CS63" s="842"/>
      <c r="CT63" s="842"/>
      <c r="CU63" s="842"/>
      <c r="CV63" s="842"/>
      <c r="CW63" s="842"/>
      <c r="CX63" s="842"/>
      <c r="CY63" s="842"/>
      <c r="CZ63" s="842"/>
      <c r="DA63" s="842"/>
      <c r="DB63" s="842"/>
      <c r="DC63" s="842"/>
      <c r="DD63" s="842"/>
      <c r="DE63" s="842"/>
      <c r="DF63" s="842"/>
      <c r="DG63" s="842"/>
      <c r="DH63" s="842"/>
      <c r="DI63" s="842"/>
      <c r="DJ63" s="842"/>
      <c r="DK63" s="842"/>
      <c r="DL63" s="842"/>
      <c r="DM63" s="842"/>
      <c r="DN63" s="842"/>
      <c r="DO63" s="842"/>
      <c r="DP63" s="842"/>
      <c r="DQ63" s="842"/>
      <c r="DR63" s="842"/>
      <c r="DS63" s="842"/>
      <c r="DT63" s="842"/>
    </row>
    <row r="64" spans="3:124" x14ac:dyDescent="0.25">
      <c r="BB64" s="842"/>
      <c r="BC64" s="842"/>
      <c r="BD64" s="842"/>
      <c r="BE64" s="842"/>
      <c r="BF64" s="842"/>
      <c r="BG64" s="842"/>
      <c r="BH64" s="842"/>
      <c r="BI64" s="842"/>
      <c r="BJ64" s="842"/>
      <c r="BK64" s="842"/>
      <c r="BL64" s="842"/>
      <c r="BM64" s="842"/>
      <c r="BN64" s="842"/>
      <c r="BO64" s="842"/>
      <c r="BP64" s="842"/>
      <c r="BQ64" s="882"/>
      <c r="BR64" s="842"/>
      <c r="BS64" s="842"/>
      <c r="BT64" s="842"/>
      <c r="BU64" s="842"/>
      <c r="BV64" s="842"/>
      <c r="BW64" s="842"/>
      <c r="BX64" s="842"/>
      <c r="BY64" s="842"/>
      <c r="BZ64" s="842"/>
      <c r="CA64" s="842"/>
      <c r="CB64" s="842"/>
      <c r="CC64" s="842"/>
      <c r="CD64" s="842"/>
      <c r="CE64" s="842"/>
      <c r="CF64" s="842"/>
      <c r="CG64" s="842"/>
      <c r="CH64" s="842"/>
      <c r="CI64" s="842"/>
      <c r="CJ64" s="842"/>
      <c r="CK64" s="842"/>
      <c r="CL64" s="842"/>
      <c r="CM64" s="842"/>
      <c r="CN64" s="842"/>
      <c r="CO64" s="842"/>
      <c r="CP64" s="842"/>
      <c r="CQ64" s="842"/>
      <c r="CR64" s="842"/>
      <c r="CS64" s="842"/>
      <c r="CT64" s="842"/>
      <c r="CU64" s="842"/>
      <c r="CV64" s="842"/>
      <c r="CW64" s="842"/>
      <c r="CX64" s="842"/>
      <c r="CY64" s="842"/>
      <c r="CZ64" s="842"/>
      <c r="DA64" s="842"/>
      <c r="DB64" s="842"/>
      <c r="DC64" s="842"/>
      <c r="DD64" s="842"/>
      <c r="DE64" s="842"/>
      <c r="DF64" s="842"/>
      <c r="DG64" s="842"/>
      <c r="DH64" s="842"/>
      <c r="DI64" s="842"/>
      <c r="DJ64" s="842"/>
      <c r="DK64" s="842"/>
      <c r="DL64" s="842"/>
      <c r="DM64" s="842"/>
      <c r="DN64" s="842"/>
      <c r="DO64" s="842"/>
      <c r="DP64" s="842"/>
      <c r="DQ64" s="842"/>
      <c r="DR64" s="842"/>
      <c r="DS64" s="842"/>
      <c r="DT64" s="842"/>
    </row>
    <row r="65" spans="54:124" x14ac:dyDescent="0.25">
      <c r="BB65" s="842"/>
      <c r="BC65" s="842"/>
      <c r="BD65" s="842"/>
      <c r="BE65" s="842"/>
      <c r="BF65" s="842"/>
      <c r="BG65" s="842"/>
      <c r="BH65" s="842"/>
      <c r="BI65" s="842"/>
      <c r="BJ65" s="842"/>
      <c r="BK65" s="842"/>
      <c r="BL65" s="842"/>
      <c r="BM65" s="842"/>
      <c r="BN65" s="842"/>
      <c r="BO65" s="842"/>
      <c r="BP65" s="842"/>
      <c r="BQ65" s="882"/>
      <c r="BR65" s="842"/>
      <c r="BS65" s="842"/>
      <c r="BT65" s="842"/>
      <c r="BU65" s="842"/>
      <c r="BV65" s="842"/>
      <c r="BW65" s="842"/>
      <c r="BX65" s="842"/>
      <c r="BY65" s="842"/>
      <c r="BZ65" s="842"/>
      <c r="CA65" s="842"/>
      <c r="CB65" s="842"/>
      <c r="CC65" s="842"/>
      <c r="CD65" s="842"/>
      <c r="CE65" s="842"/>
      <c r="CF65" s="842"/>
      <c r="CG65" s="842"/>
      <c r="CH65" s="842"/>
      <c r="CI65" s="842"/>
      <c r="CJ65" s="842"/>
      <c r="CK65" s="842"/>
      <c r="CL65" s="842"/>
      <c r="CM65" s="842"/>
      <c r="CN65" s="842"/>
      <c r="CO65" s="842"/>
      <c r="CP65" s="842"/>
      <c r="CQ65" s="842"/>
      <c r="CR65" s="842"/>
      <c r="CS65" s="842"/>
      <c r="CT65" s="842"/>
      <c r="CU65" s="842"/>
      <c r="CV65" s="842"/>
      <c r="CW65" s="842"/>
      <c r="CX65" s="842"/>
      <c r="CY65" s="842"/>
      <c r="CZ65" s="842"/>
      <c r="DA65" s="842"/>
      <c r="DB65" s="842"/>
      <c r="DC65" s="842"/>
      <c r="DD65" s="842"/>
      <c r="DE65" s="842"/>
      <c r="DF65" s="842"/>
      <c r="DG65" s="842"/>
      <c r="DH65" s="842"/>
      <c r="DI65" s="842"/>
      <c r="DJ65" s="842"/>
      <c r="DK65" s="842"/>
      <c r="DL65" s="842"/>
      <c r="DM65" s="842"/>
      <c r="DN65" s="842"/>
      <c r="DO65" s="842"/>
      <c r="DP65" s="842"/>
      <c r="DQ65" s="842"/>
      <c r="DR65" s="842"/>
      <c r="DS65" s="842"/>
      <c r="DT65" s="842"/>
    </row>
    <row r="66" spans="54:124" x14ac:dyDescent="0.25">
      <c r="BB66" s="842"/>
      <c r="BC66" s="842"/>
      <c r="BD66" s="842"/>
      <c r="BE66" s="842"/>
      <c r="BF66" s="842"/>
      <c r="BG66" s="842"/>
      <c r="BH66" s="842"/>
      <c r="BI66" s="842"/>
      <c r="BJ66" s="842"/>
      <c r="BK66" s="842"/>
      <c r="BL66" s="842"/>
      <c r="BM66" s="842"/>
      <c r="BN66" s="842"/>
      <c r="BO66" s="842"/>
      <c r="BP66" s="842"/>
      <c r="BQ66" s="882"/>
      <c r="BR66" s="842"/>
      <c r="BS66" s="842"/>
      <c r="BT66" s="842"/>
      <c r="BU66" s="842"/>
      <c r="BV66" s="842"/>
      <c r="BW66" s="842"/>
      <c r="BX66" s="842"/>
      <c r="BY66" s="842"/>
      <c r="BZ66" s="842"/>
      <c r="CA66" s="842"/>
      <c r="CB66" s="842"/>
      <c r="CC66" s="842"/>
      <c r="CD66" s="842"/>
      <c r="CE66" s="842"/>
      <c r="CF66" s="842"/>
      <c r="CG66" s="842"/>
      <c r="CH66" s="842"/>
      <c r="CI66" s="842"/>
      <c r="CJ66" s="842"/>
      <c r="CK66" s="842"/>
      <c r="CL66" s="842"/>
      <c r="CM66" s="842"/>
      <c r="CN66" s="842"/>
      <c r="CO66" s="842"/>
      <c r="CP66" s="842"/>
      <c r="CQ66" s="842"/>
      <c r="CR66" s="842"/>
      <c r="CS66" s="842"/>
      <c r="CT66" s="842"/>
      <c r="CU66" s="842"/>
      <c r="CV66" s="842"/>
      <c r="CW66" s="842"/>
      <c r="CX66" s="842"/>
      <c r="CY66" s="842"/>
      <c r="CZ66" s="842"/>
      <c r="DA66" s="842"/>
      <c r="DB66" s="842"/>
      <c r="DC66" s="842"/>
      <c r="DD66" s="842"/>
      <c r="DE66" s="842"/>
      <c r="DF66" s="842"/>
      <c r="DG66" s="842"/>
      <c r="DH66" s="842"/>
      <c r="DI66" s="842"/>
      <c r="DJ66" s="842"/>
      <c r="DK66" s="842"/>
      <c r="DL66" s="842"/>
      <c r="DM66" s="842"/>
      <c r="DN66" s="842"/>
      <c r="DO66" s="842"/>
      <c r="DP66" s="842"/>
      <c r="DQ66" s="842"/>
      <c r="DR66" s="842"/>
      <c r="DS66" s="842"/>
      <c r="DT66" s="842"/>
    </row>
    <row r="67" spans="54:124" x14ac:dyDescent="0.25">
      <c r="BB67" s="842"/>
      <c r="BC67" s="842"/>
      <c r="BD67" s="842"/>
      <c r="BE67" s="842"/>
      <c r="BF67" s="842"/>
      <c r="BG67" s="842"/>
      <c r="BH67" s="842"/>
      <c r="BI67" s="842"/>
      <c r="BJ67" s="842"/>
      <c r="BK67" s="842"/>
      <c r="BL67" s="842"/>
      <c r="BM67" s="842"/>
      <c r="BN67" s="842"/>
      <c r="BO67" s="842"/>
      <c r="BP67" s="842"/>
      <c r="BQ67" s="882"/>
      <c r="BR67" s="842"/>
      <c r="BS67" s="842"/>
      <c r="BT67" s="842"/>
      <c r="BU67" s="842"/>
      <c r="BV67" s="842"/>
      <c r="BW67" s="842"/>
      <c r="BX67" s="842"/>
      <c r="BY67" s="842"/>
      <c r="BZ67" s="842"/>
      <c r="CA67" s="842"/>
      <c r="CB67" s="842"/>
      <c r="CC67" s="842"/>
      <c r="CD67" s="842"/>
      <c r="CE67" s="842"/>
      <c r="CF67" s="842"/>
      <c r="CG67" s="842"/>
      <c r="CH67" s="842"/>
      <c r="CI67" s="842"/>
      <c r="CJ67" s="842"/>
      <c r="CK67" s="842"/>
      <c r="CL67" s="842"/>
      <c r="CM67" s="842"/>
      <c r="CN67" s="842"/>
      <c r="CO67" s="842"/>
      <c r="CP67" s="842"/>
      <c r="CQ67" s="842"/>
      <c r="CR67" s="842"/>
      <c r="CS67" s="842"/>
      <c r="CT67" s="842"/>
      <c r="CU67" s="842"/>
      <c r="CV67" s="842"/>
      <c r="CW67" s="842"/>
      <c r="CX67" s="842"/>
      <c r="CY67" s="842"/>
      <c r="CZ67" s="842"/>
      <c r="DA67" s="842"/>
      <c r="DB67" s="842"/>
      <c r="DC67" s="842"/>
      <c r="DD67" s="842"/>
      <c r="DE67" s="842"/>
      <c r="DF67" s="842"/>
      <c r="DG67" s="842"/>
      <c r="DH67" s="842"/>
      <c r="DI67" s="842"/>
      <c r="DJ67" s="842"/>
      <c r="DK67" s="842"/>
      <c r="DL67" s="842"/>
      <c r="DM67" s="842"/>
      <c r="DN67" s="842"/>
      <c r="DO67" s="842"/>
      <c r="DP67" s="842"/>
      <c r="DQ67" s="842"/>
      <c r="DR67" s="842"/>
      <c r="DS67" s="842"/>
      <c r="DT67" s="842"/>
    </row>
    <row r="68" spans="54:124" x14ac:dyDescent="0.25">
      <c r="BB68" s="842"/>
      <c r="BC68" s="842"/>
      <c r="BD68" s="842"/>
      <c r="BE68" s="842"/>
      <c r="BF68" s="842"/>
      <c r="BG68" s="842"/>
      <c r="BH68" s="842"/>
      <c r="BI68" s="842"/>
      <c r="BJ68" s="842"/>
      <c r="BK68" s="842"/>
      <c r="BL68" s="842"/>
      <c r="BM68" s="842"/>
      <c r="BN68" s="842"/>
      <c r="BO68" s="842"/>
      <c r="BP68" s="842"/>
      <c r="BQ68" s="882"/>
      <c r="BR68" s="842"/>
      <c r="BS68" s="842"/>
      <c r="BT68" s="842"/>
      <c r="BU68" s="842"/>
      <c r="BV68" s="842"/>
      <c r="BW68" s="842"/>
      <c r="BX68" s="842"/>
      <c r="BY68" s="842"/>
      <c r="BZ68" s="842"/>
      <c r="CA68" s="842"/>
      <c r="CB68" s="842"/>
      <c r="CC68" s="842"/>
      <c r="CD68" s="842"/>
      <c r="CE68" s="842"/>
      <c r="CF68" s="842"/>
      <c r="CG68" s="842"/>
      <c r="CH68" s="842"/>
      <c r="CI68" s="842"/>
      <c r="CJ68" s="842"/>
      <c r="CK68" s="842"/>
      <c r="CL68" s="842"/>
      <c r="CM68" s="842"/>
      <c r="CN68" s="842"/>
      <c r="CO68" s="842"/>
      <c r="CP68" s="842"/>
      <c r="CQ68" s="842"/>
      <c r="CR68" s="842"/>
      <c r="CS68" s="842"/>
      <c r="CT68" s="842"/>
      <c r="CU68" s="842"/>
      <c r="CV68" s="842"/>
      <c r="CW68" s="842"/>
      <c r="CX68" s="842"/>
      <c r="CY68" s="842"/>
      <c r="CZ68" s="842"/>
      <c r="DA68" s="842"/>
      <c r="DB68" s="842"/>
      <c r="DC68" s="842"/>
      <c r="DD68" s="842"/>
      <c r="DE68" s="842"/>
      <c r="DF68" s="842"/>
      <c r="DG68" s="842"/>
      <c r="DH68" s="842"/>
      <c r="DI68" s="842"/>
      <c r="DJ68" s="842"/>
      <c r="DK68" s="842"/>
      <c r="DL68" s="842"/>
      <c r="DM68" s="842"/>
      <c r="DN68" s="842"/>
      <c r="DO68" s="842"/>
      <c r="DP68" s="842"/>
      <c r="DQ68" s="842"/>
      <c r="DR68" s="842"/>
      <c r="DS68" s="842"/>
      <c r="DT68" s="842"/>
    </row>
    <row r="69" spans="54:124" x14ac:dyDescent="0.25">
      <c r="BB69" s="842"/>
      <c r="BC69" s="842"/>
      <c r="BD69" s="842"/>
      <c r="BE69" s="842"/>
      <c r="BF69" s="842"/>
      <c r="BG69" s="842"/>
      <c r="BH69" s="842"/>
      <c r="BI69" s="842"/>
      <c r="BJ69" s="842"/>
      <c r="BK69" s="842"/>
      <c r="BL69" s="842"/>
      <c r="BM69" s="842"/>
      <c r="BN69" s="842"/>
      <c r="BO69" s="842"/>
      <c r="BP69" s="842"/>
      <c r="BQ69" s="882"/>
      <c r="BR69" s="842"/>
      <c r="BS69" s="842"/>
      <c r="BT69" s="842"/>
      <c r="BU69" s="842"/>
      <c r="BV69" s="842"/>
      <c r="BW69" s="842"/>
      <c r="BX69" s="842"/>
      <c r="BY69" s="842"/>
      <c r="BZ69" s="842"/>
      <c r="CA69" s="842"/>
      <c r="CB69" s="842"/>
      <c r="CC69" s="842"/>
      <c r="CD69" s="842"/>
      <c r="CE69" s="842"/>
      <c r="CF69" s="842"/>
      <c r="CG69" s="842"/>
      <c r="CH69" s="842"/>
      <c r="CI69" s="842"/>
      <c r="CJ69" s="842"/>
      <c r="CK69" s="842"/>
      <c r="CL69" s="842"/>
      <c r="CM69" s="842"/>
      <c r="CN69" s="842"/>
      <c r="CO69" s="842"/>
      <c r="CP69" s="842"/>
      <c r="CQ69" s="842"/>
      <c r="CR69" s="842"/>
      <c r="CS69" s="842"/>
      <c r="CT69" s="842"/>
      <c r="CU69" s="842"/>
      <c r="CV69" s="842"/>
      <c r="CW69" s="842"/>
      <c r="CX69" s="842"/>
      <c r="CY69" s="842"/>
      <c r="CZ69" s="842"/>
      <c r="DA69" s="842"/>
      <c r="DB69" s="842"/>
      <c r="DC69" s="842"/>
      <c r="DD69" s="842"/>
      <c r="DE69" s="842"/>
      <c r="DF69" s="842"/>
      <c r="DG69" s="842"/>
      <c r="DH69" s="842"/>
      <c r="DI69" s="842"/>
      <c r="DJ69" s="842"/>
      <c r="DK69" s="842"/>
      <c r="DL69" s="842"/>
      <c r="DM69" s="842"/>
      <c r="DN69" s="842"/>
      <c r="DO69" s="842"/>
      <c r="DP69" s="842"/>
      <c r="DQ69" s="842"/>
      <c r="DR69" s="842"/>
      <c r="DS69" s="842"/>
      <c r="DT69" s="842"/>
    </row>
    <row r="70" spans="54:124" x14ac:dyDescent="0.25">
      <c r="BB70" s="842"/>
      <c r="BC70" s="842"/>
      <c r="BD70" s="842"/>
      <c r="BE70" s="842"/>
      <c r="BF70" s="842"/>
      <c r="BG70" s="842"/>
      <c r="BH70" s="842"/>
      <c r="BI70" s="842"/>
      <c r="BJ70" s="842"/>
      <c r="BK70" s="842"/>
      <c r="BL70" s="842"/>
      <c r="BM70" s="842"/>
      <c r="BN70" s="842"/>
      <c r="BO70" s="842"/>
      <c r="BP70" s="842"/>
      <c r="BQ70" s="882"/>
      <c r="BR70" s="842"/>
      <c r="BS70" s="842"/>
      <c r="BT70" s="842"/>
      <c r="BU70" s="842"/>
      <c r="BV70" s="842"/>
      <c r="BW70" s="842"/>
      <c r="BX70" s="842"/>
      <c r="BY70" s="842"/>
      <c r="BZ70" s="842"/>
      <c r="CA70" s="842"/>
      <c r="CB70" s="842"/>
      <c r="CC70" s="842"/>
      <c r="CD70" s="842"/>
      <c r="CE70" s="842"/>
      <c r="CF70" s="842"/>
      <c r="CG70" s="842"/>
      <c r="CH70" s="842"/>
      <c r="CI70" s="842"/>
      <c r="CJ70" s="842"/>
      <c r="CK70" s="842"/>
      <c r="CL70" s="842"/>
      <c r="CM70" s="842"/>
      <c r="CN70" s="842"/>
      <c r="CO70" s="842"/>
      <c r="CP70" s="842"/>
      <c r="CQ70" s="842"/>
      <c r="CR70" s="842"/>
      <c r="CS70" s="842"/>
      <c r="CT70" s="842"/>
      <c r="CU70" s="842"/>
      <c r="CV70" s="842"/>
      <c r="CW70" s="842"/>
      <c r="CX70" s="842"/>
      <c r="CY70" s="842"/>
      <c r="CZ70" s="842"/>
      <c r="DA70" s="842"/>
      <c r="DB70" s="842"/>
      <c r="DC70" s="842"/>
      <c r="DD70" s="842"/>
      <c r="DE70" s="842"/>
      <c r="DF70" s="842"/>
      <c r="DG70" s="842"/>
      <c r="DH70" s="842"/>
      <c r="DI70" s="842"/>
      <c r="DJ70" s="842"/>
      <c r="DK70" s="842"/>
      <c r="DL70" s="842"/>
      <c r="DM70" s="842"/>
      <c r="DN70" s="842"/>
      <c r="DO70" s="842"/>
      <c r="DP70" s="842"/>
      <c r="DQ70" s="842"/>
      <c r="DR70" s="842"/>
      <c r="DS70" s="842"/>
      <c r="DT70" s="842"/>
    </row>
    <row r="71" spans="54:124" x14ac:dyDescent="0.25">
      <c r="BB71" s="842"/>
      <c r="BC71" s="842"/>
      <c r="BD71" s="842"/>
      <c r="BE71" s="842"/>
      <c r="BF71" s="842"/>
      <c r="BG71" s="842"/>
      <c r="BH71" s="842"/>
      <c r="BI71" s="842"/>
      <c r="BJ71" s="842"/>
      <c r="BK71" s="842"/>
      <c r="BL71" s="842"/>
      <c r="BM71" s="842"/>
      <c r="BN71" s="842"/>
      <c r="BO71" s="842"/>
      <c r="BP71" s="842"/>
      <c r="BQ71" s="882"/>
      <c r="BR71" s="842"/>
      <c r="BS71" s="842"/>
      <c r="BT71" s="842"/>
      <c r="BU71" s="842"/>
      <c r="BV71" s="842"/>
      <c r="BW71" s="842"/>
      <c r="BX71" s="842"/>
      <c r="BY71" s="842"/>
      <c r="BZ71" s="842"/>
      <c r="CA71" s="842"/>
      <c r="CB71" s="842"/>
      <c r="CC71" s="842"/>
      <c r="CD71" s="842"/>
      <c r="CE71" s="842"/>
      <c r="CF71" s="842"/>
      <c r="CG71" s="842"/>
      <c r="CH71" s="842"/>
      <c r="CI71" s="842"/>
      <c r="CJ71" s="842"/>
      <c r="CK71" s="842"/>
      <c r="CL71" s="842"/>
      <c r="CM71" s="842"/>
      <c r="CN71" s="842"/>
      <c r="CO71" s="842"/>
      <c r="CP71" s="842"/>
      <c r="CQ71" s="842"/>
      <c r="CR71" s="842"/>
      <c r="CS71" s="842"/>
      <c r="CT71" s="842"/>
      <c r="CU71" s="842"/>
      <c r="CV71" s="842"/>
      <c r="CW71" s="842"/>
      <c r="CX71" s="842"/>
      <c r="CY71" s="842"/>
      <c r="CZ71" s="842"/>
      <c r="DA71" s="842"/>
      <c r="DB71" s="842"/>
      <c r="DC71" s="842"/>
      <c r="DD71" s="842"/>
      <c r="DE71" s="842"/>
      <c r="DF71" s="842"/>
      <c r="DG71" s="842"/>
      <c r="DH71" s="842"/>
      <c r="DI71" s="842"/>
      <c r="DJ71" s="842"/>
      <c r="DK71" s="842"/>
      <c r="DL71" s="842"/>
      <c r="DM71" s="842"/>
      <c r="DN71" s="842"/>
      <c r="DO71" s="842"/>
      <c r="DP71" s="842"/>
      <c r="DQ71" s="842"/>
      <c r="DR71" s="842"/>
      <c r="DS71" s="842"/>
      <c r="DT71" s="842"/>
    </row>
    <row r="72" spans="54:124" x14ac:dyDescent="0.25">
      <c r="BB72" s="842"/>
      <c r="BC72" s="842"/>
      <c r="BD72" s="842"/>
      <c r="BE72" s="842"/>
      <c r="BF72" s="842"/>
      <c r="BG72" s="842"/>
      <c r="BH72" s="842"/>
      <c r="BI72" s="842"/>
      <c r="BJ72" s="842"/>
      <c r="BK72" s="842"/>
      <c r="BL72" s="842"/>
      <c r="BM72" s="842"/>
      <c r="BN72" s="842"/>
      <c r="BO72" s="842"/>
      <c r="BP72" s="842"/>
      <c r="BQ72" s="882"/>
      <c r="BR72" s="842"/>
      <c r="BS72" s="842"/>
      <c r="BT72" s="842"/>
      <c r="BU72" s="842"/>
      <c r="BV72" s="842"/>
      <c r="BW72" s="842"/>
      <c r="BX72" s="842"/>
      <c r="BY72" s="842"/>
      <c r="BZ72" s="842"/>
      <c r="CA72" s="842"/>
      <c r="CB72" s="842"/>
      <c r="CC72" s="842"/>
      <c r="CD72" s="842"/>
      <c r="CE72" s="842"/>
      <c r="CF72" s="842"/>
      <c r="CG72" s="842"/>
      <c r="CH72" s="842"/>
      <c r="CI72" s="842"/>
      <c r="CJ72" s="842"/>
      <c r="CK72" s="842"/>
      <c r="CL72" s="842"/>
      <c r="CM72" s="842"/>
      <c r="CN72" s="842"/>
      <c r="CO72" s="842"/>
      <c r="CP72" s="842"/>
      <c r="CQ72" s="842"/>
      <c r="CR72" s="842"/>
      <c r="CS72" s="842"/>
      <c r="CT72" s="842"/>
      <c r="CU72" s="842"/>
      <c r="CV72" s="842"/>
      <c r="CW72" s="842"/>
      <c r="CX72" s="842"/>
      <c r="CY72" s="842"/>
      <c r="CZ72" s="842"/>
      <c r="DA72" s="842"/>
      <c r="DB72" s="842"/>
      <c r="DC72" s="842"/>
      <c r="DD72" s="842"/>
      <c r="DE72" s="842"/>
      <c r="DF72" s="842"/>
      <c r="DG72" s="842"/>
      <c r="DH72" s="842"/>
      <c r="DI72" s="842"/>
      <c r="DJ72" s="842"/>
      <c r="DK72" s="842"/>
      <c r="DL72" s="842"/>
      <c r="DM72" s="842"/>
      <c r="DN72" s="842"/>
      <c r="DO72" s="842"/>
      <c r="DP72" s="842"/>
      <c r="DQ72" s="842"/>
      <c r="DR72" s="842"/>
      <c r="DS72" s="842"/>
      <c r="DT72" s="842"/>
    </row>
    <row r="73" spans="54:124" x14ac:dyDescent="0.25">
      <c r="BB73" s="842"/>
      <c r="BC73" s="842"/>
      <c r="BD73" s="842"/>
      <c r="BE73" s="842"/>
      <c r="BF73" s="842"/>
      <c r="BG73" s="842"/>
      <c r="BH73" s="842"/>
      <c r="BI73" s="842"/>
      <c r="BJ73" s="842"/>
      <c r="BK73" s="842"/>
      <c r="BL73" s="842"/>
      <c r="BM73" s="842"/>
      <c r="BN73" s="842"/>
      <c r="BO73" s="842"/>
      <c r="BP73" s="842"/>
      <c r="BQ73" s="882"/>
      <c r="BR73" s="842"/>
      <c r="BS73" s="842"/>
      <c r="BT73" s="842"/>
      <c r="BU73" s="842"/>
      <c r="BV73" s="842"/>
      <c r="BW73" s="842"/>
      <c r="BX73" s="842"/>
      <c r="BY73" s="842"/>
      <c r="BZ73" s="842"/>
      <c r="CA73" s="842"/>
      <c r="CB73" s="842"/>
      <c r="CC73" s="842"/>
      <c r="CD73" s="842"/>
      <c r="CE73" s="842"/>
      <c r="CF73" s="842"/>
      <c r="CG73" s="842"/>
      <c r="CH73" s="842"/>
      <c r="CI73" s="842"/>
      <c r="CJ73" s="842"/>
      <c r="CK73" s="842"/>
      <c r="CL73" s="842"/>
      <c r="CM73" s="842"/>
      <c r="CN73" s="842"/>
      <c r="CO73" s="842"/>
      <c r="CP73" s="842"/>
      <c r="CQ73" s="842"/>
      <c r="CR73" s="842"/>
      <c r="CS73" s="842"/>
      <c r="CT73" s="842"/>
      <c r="CU73" s="842"/>
      <c r="CV73" s="842"/>
      <c r="CW73" s="842"/>
      <c r="CX73" s="842"/>
      <c r="CY73" s="842"/>
      <c r="CZ73" s="842"/>
      <c r="DA73" s="842"/>
      <c r="DB73" s="842"/>
      <c r="DC73" s="842"/>
      <c r="DD73" s="842"/>
      <c r="DE73" s="842"/>
      <c r="DF73" s="842"/>
      <c r="DG73" s="842"/>
      <c r="DH73" s="842"/>
      <c r="DI73" s="842"/>
      <c r="DJ73" s="842"/>
      <c r="DK73" s="842"/>
      <c r="DL73" s="842"/>
      <c r="DM73" s="842"/>
      <c r="DN73" s="842"/>
      <c r="DO73" s="842"/>
      <c r="DP73" s="842"/>
      <c r="DQ73" s="842"/>
      <c r="DR73" s="842"/>
      <c r="DS73" s="842"/>
      <c r="DT73" s="842"/>
    </row>
    <row r="74" spans="54:124" x14ac:dyDescent="0.25">
      <c r="BB74" s="842"/>
      <c r="BC74" s="842"/>
      <c r="BD74" s="842"/>
      <c r="BE74" s="842"/>
      <c r="BF74" s="842"/>
      <c r="BG74" s="842"/>
      <c r="BH74" s="842"/>
      <c r="BI74" s="842"/>
      <c r="BJ74" s="842"/>
      <c r="BK74" s="842"/>
      <c r="BL74" s="842"/>
      <c r="BM74" s="842"/>
      <c r="BN74" s="842"/>
      <c r="BO74" s="842"/>
      <c r="BP74" s="842"/>
      <c r="BQ74" s="882"/>
      <c r="BR74" s="842"/>
      <c r="BS74" s="842"/>
      <c r="BT74" s="842"/>
      <c r="BU74" s="842"/>
      <c r="BV74" s="842"/>
      <c r="BW74" s="842"/>
      <c r="BX74" s="842"/>
      <c r="BY74" s="842"/>
      <c r="BZ74" s="842"/>
      <c r="CA74" s="842"/>
      <c r="CB74" s="842"/>
      <c r="CC74" s="842"/>
      <c r="CD74" s="842"/>
      <c r="CE74" s="842"/>
      <c r="CF74" s="842"/>
      <c r="CG74" s="842"/>
      <c r="CH74" s="842"/>
      <c r="CI74" s="842"/>
      <c r="CJ74" s="842"/>
      <c r="CK74" s="842"/>
      <c r="CL74" s="842"/>
      <c r="CM74" s="842"/>
      <c r="CN74" s="842"/>
      <c r="CO74" s="842"/>
      <c r="CP74" s="842"/>
      <c r="CQ74" s="842"/>
      <c r="CR74" s="842"/>
      <c r="CS74" s="842"/>
      <c r="CT74" s="842"/>
      <c r="CU74" s="842"/>
      <c r="CV74" s="842"/>
      <c r="CW74" s="842"/>
      <c r="CX74" s="842"/>
      <c r="CY74" s="842"/>
      <c r="CZ74" s="842"/>
      <c r="DA74" s="842"/>
      <c r="DB74" s="842"/>
      <c r="DC74" s="842"/>
      <c r="DD74" s="842"/>
      <c r="DE74" s="842"/>
      <c r="DF74" s="842"/>
      <c r="DG74" s="842"/>
      <c r="DH74" s="842"/>
      <c r="DI74" s="842"/>
      <c r="DJ74" s="842"/>
      <c r="DK74" s="842"/>
      <c r="DL74" s="842"/>
      <c r="DM74" s="842"/>
      <c r="DN74" s="842"/>
      <c r="DO74" s="842"/>
      <c r="DP74" s="842"/>
      <c r="DQ74" s="842"/>
      <c r="DR74" s="842"/>
      <c r="DS74" s="842"/>
      <c r="DT74" s="842"/>
    </row>
    <row r="75" spans="54:124" x14ac:dyDescent="0.25">
      <c r="BB75" s="842"/>
      <c r="BC75" s="842"/>
      <c r="BD75" s="842"/>
      <c r="BE75" s="842"/>
      <c r="BF75" s="842"/>
      <c r="BG75" s="842"/>
      <c r="BH75" s="842"/>
      <c r="BI75" s="842"/>
      <c r="BJ75" s="842"/>
      <c r="BK75" s="842"/>
      <c r="BL75" s="842"/>
      <c r="BM75" s="842"/>
      <c r="BN75" s="842"/>
      <c r="BO75" s="842"/>
      <c r="BP75" s="842"/>
      <c r="BQ75" s="882"/>
      <c r="BR75" s="842"/>
      <c r="BS75" s="842"/>
      <c r="BT75" s="842"/>
      <c r="BU75" s="842"/>
      <c r="BV75" s="842"/>
      <c r="BW75" s="842"/>
      <c r="BX75" s="842"/>
      <c r="BY75" s="842"/>
      <c r="BZ75" s="842"/>
      <c r="CA75" s="842"/>
      <c r="CB75" s="842"/>
      <c r="CC75" s="842"/>
      <c r="CD75" s="842"/>
      <c r="CE75" s="842"/>
      <c r="CF75" s="842"/>
      <c r="CG75" s="842"/>
      <c r="CH75" s="842"/>
      <c r="CI75" s="842"/>
      <c r="CJ75" s="842"/>
      <c r="CK75" s="842"/>
      <c r="CL75" s="842"/>
      <c r="CM75" s="842"/>
      <c r="CN75" s="842"/>
      <c r="CO75" s="842"/>
      <c r="CP75" s="842"/>
      <c r="CQ75" s="842"/>
      <c r="CR75" s="842"/>
      <c r="CS75" s="842"/>
      <c r="CT75" s="842"/>
      <c r="CU75" s="842"/>
      <c r="CV75" s="842"/>
      <c r="CW75" s="842"/>
      <c r="CX75" s="842"/>
      <c r="CY75" s="842"/>
      <c r="CZ75" s="842"/>
      <c r="DA75" s="842"/>
      <c r="DB75" s="842"/>
      <c r="DC75" s="842"/>
      <c r="DD75" s="842"/>
      <c r="DE75" s="842"/>
      <c r="DF75" s="842"/>
      <c r="DG75" s="842"/>
      <c r="DH75" s="842"/>
      <c r="DI75" s="842"/>
      <c r="DJ75" s="842"/>
      <c r="DK75" s="842"/>
      <c r="DL75" s="842"/>
      <c r="DM75" s="842"/>
      <c r="DN75" s="842"/>
      <c r="DO75" s="842"/>
      <c r="DP75" s="842"/>
      <c r="DQ75" s="842"/>
      <c r="DR75" s="842"/>
      <c r="DS75" s="842"/>
      <c r="DT75" s="842"/>
    </row>
    <row r="76" spans="54:124" x14ac:dyDescent="0.25">
      <c r="BB76" s="842"/>
      <c r="BC76" s="842"/>
      <c r="BD76" s="842"/>
      <c r="BE76" s="842"/>
      <c r="BF76" s="842"/>
      <c r="BG76" s="842"/>
      <c r="BH76" s="842"/>
      <c r="BI76" s="842"/>
      <c r="BJ76" s="842"/>
      <c r="BK76" s="842"/>
      <c r="BL76" s="842"/>
      <c r="BM76" s="842"/>
      <c r="BN76" s="842"/>
      <c r="BO76" s="842"/>
      <c r="BP76" s="842"/>
      <c r="BQ76" s="882"/>
      <c r="BR76" s="842"/>
      <c r="BS76" s="842"/>
      <c r="BT76" s="842"/>
      <c r="BU76" s="842"/>
      <c r="BV76" s="842"/>
      <c r="BW76" s="842"/>
      <c r="BX76" s="842"/>
      <c r="BY76" s="842"/>
      <c r="BZ76" s="842"/>
      <c r="CA76" s="842"/>
      <c r="CB76" s="842"/>
      <c r="CC76" s="842"/>
      <c r="CD76" s="842"/>
      <c r="CE76" s="842"/>
      <c r="CF76" s="842"/>
      <c r="CG76" s="842"/>
      <c r="CH76" s="842"/>
      <c r="CI76" s="842"/>
      <c r="CJ76" s="842"/>
      <c r="CK76" s="842"/>
      <c r="CL76" s="842"/>
      <c r="CM76" s="842"/>
      <c r="CN76" s="842"/>
      <c r="CO76" s="842"/>
      <c r="CP76" s="842"/>
      <c r="CQ76" s="842"/>
      <c r="CR76" s="842"/>
      <c r="CS76" s="842"/>
      <c r="CT76" s="842"/>
      <c r="CU76" s="842"/>
      <c r="CV76" s="842"/>
      <c r="CW76" s="842"/>
      <c r="CX76" s="842"/>
      <c r="CY76" s="842"/>
      <c r="CZ76" s="842"/>
      <c r="DA76" s="842"/>
      <c r="DB76" s="842"/>
      <c r="DC76" s="842"/>
      <c r="DD76" s="842"/>
      <c r="DE76" s="842"/>
      <c r="DF76" s="842"/>
      <c r="DG76" s="842"/>
      <c r="DH76" s="842"/>
      <c r="DI76" s="842"/>
      <c r="DJ76" s="842"/>
      <c r="DK76" s="842"/>
      <c r="DL76" s="842"/>
      <c r="DM76" s="842"/>
      <c r="DN76" s="842"/>
      <c r="DO76" s="842"/>
      <c r="DP76" s="842"/>
      <c r="DQ76" s="842"/>
      <c r="DR76" s="842"/>
      <c r="DS76" s="842"/>
      <c r="DT76" s="842"/>
    </row>
    <row r="77" spans="54:124" x14ac:dyDescent="0.25">
      <c r="BB77" s="842"/>
      <c r="BC77" s="842"/>
      <c r="BD77" s="842"/>
      <c r="BE77" s="842"/>
      <c r="BF77" s="842"/>
      <c r="BG77" s="842"/>
      <c r="BH77" s="842"/>
      <c r="BI77" s="842"/>
      <c r="BJ77" s="842"/>
      <c r="BK77" s="842"/>
      <c r="BL77" s="842"/>
      <c r="BM77" s="842"/>
      <c r="BN77" s="842"/>
      <c r="BO77" s="842"/>
      <c r="BP77" s="842"/>
      <c r="BQ77" s="882"/>
      <c r="BR77" s="842"/>
      <c r="BS77" s="842"/>
      <c r="BT77" s="842"/>
      <c r="BU77" s="842"/>
      <c r="BV77" s="842"/>
      <c r="BW77" s="842"/>
      <c r="BX77" s="842"/>
      <c r="BY77" s="842"/>
      <c r="BZ77" s="842"/>
      <c r="CA77" s="842"/>
      <c r="CB77" s="842"/>
      <c r="CC77" s="842"/>
      <c r="CD77" s="842"/>
      <c r="CE77" s="842"/>
      <c r="CF77" s="842"/>
      <c r="CG77" s="842"/>
      <c r="CH77" s="842"/>
      <c r="CI77" s="842"/>
      <c r="CJ77" s="842"/>
      <c r="CK77" s="842"/>
      <c r="CL77" s="842"/>
      <c r="CM77" s="842"/>
      <c r="CN77" s="842"/>
      <c r="CO77" s="842"/>
      <c r="CP77" s="842"/>
      <c r="CQ77" s="842"/>
      <c r="CR77" s="842"/>
      <c r="CS77" s="842"/>
      <c r="CT77" s="842"/>
      <c r="CU77" s="842"/>
      <c r="CV77" s="842"/>
      <c r="CW77" s="842"/>
      <c r="CX77" s="842"/>
      <c r="CY77" s="842"/>
      <c r="CZ77" s="842"/>
      <c r="DA77" s="842"/>
      <c r="DB77" s="842"/>
      <c r="DC77" s="842"/>
      <c r="DD77" s="842"/>
      <c r="DE77" s="842"/>
      <c r="DF77" s="842"/>
      <c r="DG77" s="842"/>
      <c r="DH77" s="842"/>
      <c r="DI77" s="842"/>
      <c r="DJ77" s="842"/>
      <c r="DK77" s="842"/>
      <c r="DL77" s="842"/>
      <c r="DM77" s="842"/>
      <c r="DN77" s="842"/>
      <c r="DO77" s="842"/>
      <c r="DP77" s="842"/>
      <c r="DQ77" s="842"/>
      <c r="DR77" s="842"/>
      <c r="DS77" s="842"/>
      <c r="DT77" s="842"/>
    </row>
    <row r="78" spans="54:124" x14ac:dyDescent="0.25">
      <c r="BB78" s="842"/>
      <c r="BC78" s="842"/>
      <c r="BD78" s="842"/>
      <c r="BE78" s="842"/>
      <c r="BF78" s="842"/>
      <c r="BG78" s="842"/>
      <c r="BH78" s="842"/>
      <c r="BI78" s="842"/>
      <c r="BJ78" s="842"/>
      <c r="BK78" s="842"/>
      <c r="BL78" s="842"/>
      <c r="BM78" s="842"/>
      <c r="BN78" s="842"/>
      <c r="BO78" s="842"/>
      <c r="BP78" s="842"/>
      <c r="BQ78" s="882"/>
      <c r="BR78" s="842"/>
      <c r="BS78" s="842"/>
      <c r="BT78" s="842"/>
      <c r="BU78" s="842"/>
      <c r="BV78" s="842"/>
      <c r="BW78" s="842"/>
      <c r="BX78" s="842"/>
      <c r="BY78" s="842"/>
      <c r="BZ78" s="842"/>
      <c r="CA78" s="842"/>
      <c r="CB78" s="842"/>
      <c r="CC78" s="842"/>
      <c r="CD78" s="842"/>
      <c r="CE78" s="842"/>
      <c r="CF78" s="842"/>
      <c r="CG78" s="842"/>
      <c r="CH78" s="842"/>
      <c r="CI78" s="842"/>
      <c r="CJ78" s="842"/>
      <c r="CK78" s="842"/>
      <c r="CL78" s="842"/>
      <c r="CM78" s="842"/>
      <c r="CN78" s="842"/>
      <c r="CO78" s="842"/>
      <c r="CP78" s="842"/>
      <c r="CQ78" s="842"/>
      <c r="CR78" s="842"/>
      <c r="CS78" s="842"/>
      <c r="CT78" s="842"/>
      <c r="CU78" s="842"/>
      <c r="CV78" s="842"/>
      <c r="CW78" s="842"/>
      <c r="CX78" s="842"/>
      <c r="CY78" s="842"/>
      <c r="CZ78" s="842"/>
      <c r="DA78" s="842"/>
      <c r="DB78" s="842"/>
      <c r="DC78" s="842"/>
      <c r="DD78" s="842"/>
      <c r="DE78" s="842"/>
      <c r="DF78" s="842"/>
      <c r="DG78" s="842"/>
      <c r="DH78" s="842"/>
      <c r="DI78" s="842"/>
      <c r="DJ78" s="842"/>
      <c r="DK78" s="842"/>
      <c r="DL78" s="842"/>
      <c r="DM78" s="842"/>
      <c r="DN78" s="842"/>
      <c r="DO78" s="842"/>
      <c r="DP78" s="842"/>
      <c r="DQ78" s="842"/>
      <c r="DR78" s="842"/>
      <c r="DS78" s="842"/>
      <c r="DT78" s="842"/>
    </row>
    <row r="79" spans="54:124" x14ac:dyDescent="0.25">
      <c r="BB79" s="842"/>
      <c r="BC79" s="842"/>
      <c r="BD79" s="842"/>
      <c r="BE79" s="842"/>
      <c r="BF79" s="842"/>
      <c r="BG79" s="842"/>
      <c r="BH79" s="842"/>
      <c r="BI79" s="842"/>
      <c r="BJ79" s="842"/>
      <c r="BK79" s="842"/>
      <c r="BL79" s="842"/>
      <c r="BM79" s="842"/>
      <c r="BN79" s="842"/>
      <c r="BO79" s="842"/>
      <c r="BP79" s="842"/>
      <c r="BQ79" s="882"/>
      <c r="BR79" s="842"/>
      <c r="BS79" s="842"/>
      <c r="BT79" s="842"/>
      <c r="BU79" s="842"/>
      <c r="BV79" s="842"/>
      <c r="BW79" s="842"/>
      <c r="BX79" s="842"/>
      <c r="BY79" s="842"/>
      <c r="BZ79" s="842"/>
      <c r="CA79" s="842"/>
      <c r="CB79" s="842"/>
      <c r="CC79" s="842"/>
      <c r="CD79" s="842"/>
      <c r="CE79" s="842"/>
      <c r="CF79" s="842"/>
      <c r="CG79" s="842"/>
      <c r="CH79" s="842"/>
      <c r="CI79" s="842"/>
      <c r="CJ79" s="842"/>
      <c r="CK79" s="842"/>
      <c r="CL79" s="842"/>
      <c r="CM79" s="842"/>
      <c r="CN79" s="842"/>
      <c r="CO79" s="842"/>
      <c r="CP79" s="842"/>
      <c r="CQ79" s="842"/>
      <c r="CR79" s="842"/>
      <c r="CS79" s="842"/>
      <c r="CT79" s="842"/>
      <c r="CU79" s="842"/>
      <c r="CV79" s="842"/>
      <c r="CW79" s="842"/>
      <c r="CX79" s="842"/>
      <c r="CY79" s="842"/>
      <c r="CZ79" s="842"/>
      <c r="DA79" s="842"/>
      <c r="DB79" s="842"/>
      <c r="DC79" s="842"/>
      <c r="DD79" s="842"/>
      <c r="DE79" s="842"/>
      <c r="DF79" s="842"/>
      <c r="DG79" s="842"/>
      <c r="DH79" s="842"/>
      <c r="DI79" s="842"/>
      <c r="DJ79" s="842"/>
      <c r="DK79" s="842"/>
      <c r="DL79" s="842"/>
      <c r="DM79" s="842"/>
      <c r="DN79" s="842"/>
      <c r="DO79" s="842"/>
      <c r="DP79" s="842"/>
      <c r="DQ79" s="842"/>
      <c r="DR79" s="842"/>
      <c r="DS79" s="842"/>
      <c r="DT79" s="842"/>
    </row>
    <row r="80" spans="54:124" x14ac:dyDescent="0.25">
      <c r="BB80" s="842"/>
      <c r="BC80" s="842"/>
      <c r="BD80" s="842"/>
      <c r="BE80" s="842"/>
      <c r="BF80" s="842"/>
      <c r="BG80" s="842"/>
      <c r="BH80" s="842"/>
      <c r="BI80" s="842"/>
      <c r="BJ80" s="842"/>
      <c r="BK80" s="842"/>
      <c r="BL80" s="842"/>
      <c r="BM80" s="842"/>
      <c r="BN80" s="842"/>
      <c r="BO80" s="842"/>
      <c r="BP80" s="842"/>
      <c r="BQ80" s="882"/>
      <c r="BR80" s="842"/>
      <c r="BS80" s="842"/>
      <c r="BT80" s="842"/>
      <c r="BU80" s="842"/>
      <c r="BV80" s="842"/>
      <c r="BW80" s="842"/>
      <c r="BX80" s="842"/>
      <c r="BY80" s="842"/>
      <c r="BZ80" s="842"/>
      <c r="CA80" s="842"/>
      <c r="CB80" s="842"/>
      <c r="CC80" s="842"/>
      <c r="CD80" s="842"/>
      <c r="CE80" s="842"/>
      <c r="CF80" s="842"/>
      <c r="CG80" s="842"/>
      <c r="CH80" s="842"/>
      <c r="CI80" s="842"/>
      <c r="CJ80" s="842"/>
      <c r="CK80" s="842"/>
      <c r="CL80" s="842"/>
      <c r="CM80" s="842"/>
      <c r="CN80" s="842"/>
      <c r="CO80" s="842"/>
      <c r="CP80" s="842"/>
      <c r="CQ80" s="842"/>
      <c r="CR80" s="842"/>
      <c r="CS80" s="842"/>
      <c r="CT80" s="842"/>
      <c r="CU80" s="842"/>
      <c r="CV80" s="842"/>
      <c r="CW80" s="842"/>
      <c r="CX80" s="842"/>
      <c r="CY80" s="842"/>
      <c r="CZ80" s="842"/>
      <c r="DA80" s="842"/>
      <c r="DB80" s="842"/>
      <c r="DC80" s="842"/>
      <c r="DD80" s="842"/>
      <c r="DE80" s="842"/>
      <c r="DF80" s="842"/>
      <c r="DG80" s="842"/>
      <c r="DH80" s="842"/>
      <c r="DI80" s="842"/>
      <c r="DJ80" s="842"/>
      <c r="DK80" s="842"/>
      <c r="DL80" s="842"/>
      <c r="DM80" s="842"/>
      <c r="DN80" s="842"/>
      <c r="DO80" s="842"/>
      <c r="DP80" s="842"/>
      <c r="DQ80" s="842"/>
      <c r="DR80" s="842"/>
      <c r="DS80" s="842"/>
      <c r="DT80" s="842"/>
    </row>
    <row r="81" spans="54:124" x14ac:dyDescent="0.25">
      <c r="BB81" s="842"/>
      <c r="BC81" s="842"/>
      <c r="BD81" s="842"/>
      <c r="BE81" s="842"/>
      <c r="BF81" s="842"/>
      <c r="BG81" s="842"/>
      <c r="BH81" s="842"/>
      <c r="BI81" s="842"/>
      <c r="BJ81" s="842"/>
      <c r="BK81" s="842"/>
      <c r="BL81" s="842"/>
      <c r="BM81" s="842"/>
      <c r="BN81" s="842"/>
      <c r="BO81" s="842"/>
      <c r="BP81" s="842"/>
      <c r="BQ81" s="882"/>
      <c r="BR81" s="842"/>
      <c r="BS81" s="842"/>
      <c r="BT81" s="842"/>
      <c r="BU81" s="842"/>
      <c r="BV81" s="842"/>
      <c r="BW81" s="842"/>
      <c r="BX81" s="842"/>
      <c r="BY81" s="842"/>
      <c r="BZ81" s="842"/>
      <c r="CA81" s="842"/>
      <c r="CB81" s="842"/>
      <c r="CC81" s="842"/>
      <c r="CD81" s="842"/>
      <c r="CE81" s="842"/>
      <c r="CF81" s="842"/>
      <c r="CG81" s="842"/>
      <c r="CH81" s="842"/>
      <c r="CI81" s="842"/>
      <c r="CJ81" s="842"/>
      <c r="CK81" s="842"/>
      <c r="CL81" s="842"/>
      <c r="CM81" s="842"/>
      <c r="CN81" s="842"/>
      <c r="CO81" s="842"/>
      <c r="CP81" s="842"/>
      <c r="CQ81" s="842"/>
      <c r="CR81" s="842"/>
      <c r="CS81" s="842"/>
      <c r="CT81" s="842"/>
      <c r="CU81" s="842"/>
      <c r="CV81" s="842"/>
      <c r="CW81" s="842"/>
      <c r="CX81" s="842"/>
      <c r="CY81" s="842"/>
      <c r="CZ81" s="842"/>
      <c r="DA81" s="842"/>
      <c r="DB81" s="842"/>
      <c r="DC81" s="842"/>
      <c r="DD81" s="842"/>
      <c r="DE81" s="842"/>
      <c r="DF81" s="842"/>
      <c r="DG81" s="842"/>
      <c r="DH81" s="842"/>
      <c r="DI81" s="842"/>
      <c r="DJ81" s="842"/>
      <c r="DK81" s="842"/>
      <c r="DL81" s="842"/>
      <c r="DM81" s="842"/>
      <c r="DN81" s="842"/>
      <c r="DO81" s="842"/>
      <c r="DP81" s="842"/>
      <c r="DQ81" s="842"/>
      <c r="DR81" s="842"/>
      <c r="DS81" s="842"/>
      <c r="DT81" s="842"/>
    </row>
    <row r="82" spans="54:124" x14ac:dyDescent="0.25">
      <c r="BB82" s="842"/>
      <c r="BC82" s="842"/>
      <c r="BD82" s="842"/>
      <c r="BE82" s="842"/>
      <c r="BF82" s="842"/>
      <c r="BG82" s="842"/>
      <c r="BH82" s="842"/>
      <c r="BI82" s="842"/>
      <c r="BJ82" s="842"/>
      <c r="BK82" s="842"/>
      <c r="BL82" s="842"/>
      <c r="BM82" s="842"/>
      <c r="BN82" s="842"/>
      <c r="BO82" s="842"/>
      <c r="BP82" s="842"/>
      <c r="BQ82" s="882"/>
      <c r="BR82" s="842"/>
      <c r="BS82" s="842"/>
      <c r="BT82" s="842"/>
      <c r="BU82" s="842"/>
      <c r="BV82" s="842"/>
      <c r="BW82" s="842"/>
      <c r="BX82" s="842"/>
      <c r="BY82" s="842"/>
      <c r="BZ82" s="842"/>
      <c r="CA82" s="842"/>
      <c r="CB82" s="842"/>
      <c r="CC82" s="842"/>
      <c r="CD82" s="842"/>
      <c r="CE82" s="842"/>
      <c r="CF82" s="842"/>
      <c r="CG82" s="842"/>
      <c r="CH82" s="842"/>
      <c r="CI82" s="842"/>
      <c r="CJ82" s="842"/>
      <c r="CK82" s="842"/>
      <c r="CL82" s="842"/>
      <c r="CM82" s="842"/>
      <c r="CN82" s="842"/>
      <c r="CO82" s="842"/>
      <c r="CP82" s="842"/>
      <c r="CQ82" s="842"/>
      <c r="CR82" s="842"/>
      <c r="CS82" s="842"/>
      <c r="CT82" s="842"/>
      <c r="CU82" s="842"/>
      <c r="CV82" s="842"/>
      <c r="CW82" s="842"/>
      <c r="CX82" s="842"/>
      <c r="CY82" s="842"/>
      <c r="CZ82" s="842"/>
      <c r="DA82" s="842"/>
      <c r="DB82" s="842"/>
      <c r="DC82" s="842"/>
      <c r="DD82" s="842"/>
      <c r="DE82" s="842"/>
      <c r="DF82" s="842"/>
      <c r="DG82" s="842"/>
      <c r="DH82" s="842"/>
      <c r="DI82" s="842"/>
      <c r="DJ82" s="842"/>
      <c r="DK82" s="842"/>
      <c r="DL82" s="842"/>
      <c r="DM82" s="842"/>
      <c r="DN82" s="842"/>
      <c r="DO82" s="842"/>
      <c r="DP82" s="842"/>
      <c r="DQ82" s="842"/>
      <c r="DR82" s="842"/>
      <c r="DS82" s="842"/>
      <c r="DT82" s="842"/>
    </row>
    <row r="83" spans="54:124" x14ac:dyDescent="0.25">
      <c r="BB83" s="842"/>
      <c r="BC83" s="842"/>
      <c r="BD83" s="842"/>
      <c r="BE83" s="842"/>
      <c r="BF83" s="842"/>
      <c r="BG83" s="842"/>
      <c r="BH83" s="842"/>
      <c r="BI83" s="842"/>
      <c r="BJ83" s="842"/>
      <c r="BK83" s="842"/>
      <c r="BL83" s="842"/>
      <c r="BM83" s="842"/>
      <c r="BN83" s="842"/>
      <c r="BO83" s="842"/>
      <c r="BP83" s="842"/>
      <c r="BQ83" s="882"/>
      <c r="BR83" s="842"/>
      <c r="BS83" s="842"/>
      <c r="BT83" s="842"/>
      <c r="BU83" s="842"/>
      <c r="BV83" s="842"/>
      <c r="BW83" s="842"/>
      <c r="BX83" s="842"/>
      <c r="BY83" s="842"/>
      <c r="BZ83" s="842"/>
      <c r="CA83" s="842"/>
      <c r="CB83" s="842"/>
      <c r="CC83" s="842"/>
      <c r="CD83" s="842"/>
      <c r="CE83" s="842"/>
      <c r="CF83" s="842"/>
      <c r="CG83" s="842"/>
      <c r="CH83" s="842"/>
      <c r="CI83" s="842"/>
      <c r="CJ83" s="842"/>
      <c r="CK83" s="842"/>
      <c r="CL83" s="842"/>
      <c r="CM83" s="842"/>
      <c r="CN83" s="842"/>
      <c r="CO83" s="842"/>
      <c r="CP83" s="842"/>
      <c r="CQ83" s="842"/>
      <c r="CR83" s="842"/>
      <c r="CS83" s="842"/>
      <c r="CT83" s="842"/>
      <c r="CU83" s="842"/>
      <c r="CV83" s="842"/>
      <c r="CW83" s="842"/>
      <c r="CX83" s="842"/>
      <c r="CY83" s="842"/>
      <c r="CZ83" s="842"/>
      <c r="DA83" s="842"/>
      <c r="DB83" s="842"/>
      <c r="DC83" s="842"/>
      <c r="DD83" s="842"/>
      <c r="DE83" s="842"/>
      <c r="DF83" s="842"/>
      <c r="DG83" s="842"/>
      <c r="DH83" s="842"/>
      <c r="DI83" s="842"/>
      <c r="DJ83" s="842"/>
      <c r="DK83" s="842"/>
      <c r="DL83" s="842"/>
      <c r="DM83" s="842"/>
      <c r="DN83" s="842"/>
      <c r="DO83" s="842"/>
      <c r="DP83" s="842"/>
      <c r="DQ83" s="842"/>
      <c r="DR83" s="842"/>
      <c r="DS83" s="842"/>
      <c r="DT83" s="842"/>
    </row>
    <row r="84" spans="54:124" x14ac:dyDescent="0.25">
      <c r="BB84" s="842"/>
      <c r="BC84" s="842"/>
      <c r="BD84" s="842"/>
      <c r="BE84" s="842"/>
      <c r="BF84" s="842"/>
      <c r="BG84" s="842"/>
      <c r="BH84" s="842"/>
      <c r="BI84" s="842"/>
      <c r="BJ84" s="842"/>
      <c r="BK84" s="842"/>
      <c r="BL84" s="842"/>
      <c r="BM84" s="842"/>
      <c r="BN84" s="842"/>
      <c r="BO84" s="842"/>
      <c r="BP84" s="842"/>
      <c r="BQ84" s="882"/>
      <c r="BR84" s="842"/>
      <c r="BS84" s="842"/>
      <c r="BT84" s="842"/>
      <c r="BU84" s="842"/>
      <c r="BV84" s="842"/>
      <c r="BW84" s="842"/>
      <c r="BX84" s="842"/>
      <c r="BY84" s="842"/>
      <c r="BZ84" s="842"/>
      <c r="CA84" s="842"/>
      <c r="CB84" s="842"/>
      <c r="CC84" s="842"/>
      <c r="CD84" s="842"/>
      <c r="CE84" s="842"/>
      <c r="CF84" s="842"/>
      <c r="CG84" s="842"/>
      <c r="CH84" s="842"/>
      <c r="CI84" s="842"/>
      <c r="CJ84" s="842"/>
      <c r="CK84" s="842"/>
      <c r="CL84" s="842"/>
      <c r="CM84" s="842"/>
      <c r="CN84" s="842"/>
      <c r="CO84" s="842"/>
      <c r="CP84" s="842"/>
      <c r="CQ84" s="842"/>
      <c r="CR84" s="842"/>
      <c r="CS84" s="842"/>
      <c r="CT84" s="842"/>
      <c r="CU84" s="842"/>
      <c r="CV84" s="842"/>
      <c r="CW84" s="842"/>
      <c r="CX84" s="842"/>
      <c r="CY84" s="842"/>
      <c r="CZ84" s="842"/>
      <c r="DA84" s="842"/>
      <c r="DB84" s="842"/>
      <c r="DC84" s="842"/>
      <c r="DD84" s="842"/>
      <c r="DE84" s="842"/>
      <c r="DF84" s="842"/>
      <c r="DG84" s="842"/>
      <c r="DH84" s="842"/>
      <c r="DI84" s="842"/>
      <c r="DJ84" s="842"/>
      <c r="DK84" s="842"/>
      <c r="DL84" s="842"/>
      <c r="DM84" s="842"/>
      <c r="DN84" s="842"/>
      <c r="DO84" s="842"/>
      <c r="DP84" s="842"/>
      <c r="DQ84" s="842"/>
      <c r="DR84" s="842"/>
      <c r="DS84" s="842"/>
      <c r="DT84" s="842"/>
    </row>
    <row r="85" spans="54:124" x14ac:dyDescent="0.25">
      <c r="BB85" s="842"/>
      <c r="BC85" s="842"/>
      <c r="BD85" s="842"/>
      <c r="BE85" s="842"/>
      <c r="BF85" s="842"/>
      <c r="BG85" s="842"/>
      <c r="BH85" s="842"/>
      <c r="BI85" s="842"/>
      <c r="BJ85" s="842"/>
      <c r="BK85" s="842"/>
      <c r="BL85" s="842"/>
      <c r="BM85" s="842"/>
      <c r="BN85" s="842"/>
      <c r="BO85" s="842"/>
      <c r="BP85" s="842"/>
      <c r="BQ85" s="882"/>
      <c r="BR85" s="842"/>
      <c r="BS85" s="842"/>
      <c r="BT85" s="842"/>
      <c r="BU85" s="842"/>
      <c r="BV85" s="842"/>
      <c r="BW85" s="842"/>
      <c r="BX85" s="842"/>
      <c r="BY85" s="842"/>
      <c r="BZ85" s="842"/>
      <c r="CA85" s="842"/>
      <c r="CB85" s="842"/>
      <c r="CC85" s="842"/>
      <c r="CD85" s="842"/>
      <c r="CE85" s="842"/>
      <c r="CF85" s="842"/>
      <c r="CG85" s="842"/>
      <c r="CH85" s="842"/>
      <c r="CI85" s="842"/>
      <c r="CJ85" s="842"/>
      <c r="CK85" s="842"/>
      <c r="CL85" s="842"/>
      <c r="CM85" s="842"/>
      <c r="CN85" s="842"/>
      <c r="CO85" s="842"/>
      <c r="CP85" s="842"/>
      <c r="CQ85" s="842"/>
      <c r="CR85" s="842"/>
      <c r="CS85" s="842"/>
      <c r="CT85" s="842"/>
      <c r="CU85" s="842"/>
      <c r="CV85" s="842"/>
      <c r="CW85" s="842"/>
      <c r="CX85" s="842"/>
      <c r="CY85" s="842"/>
      <c r="CZ85" s="842"/>
      <c r="DA85" s="842"/>
      <c r="DB85" s="842"/>
      <c r="DC85" s="842"/>
      <c r="DD85" s="842"/>
      <c r="DE85" s="842"/>
      <c r="DF85" s="842"/>
      <c r="DG85" s="842"/>
      <c r="DH85" s="842"/>
      <c r="DI85" s="842"/>
      <c r="DJ85" s="842"/>
      <c r="DK85" s="842"/>
      <c r="DL85" s="842"/>
      <c r="DM85" s="842"/>
      <c r="DN85" s="842"/>
      <c r="DO85" s="842"/>
      <c r="DP85" s="842"/>
      <c r="DQ85" s="842"/>
      <c r="DR85" s="842"/>
      <c r="DS85" s="842"/>
      <c r="DT85" s="842"/>
    </row>
    <row r="86" spans="54:124" x14ac:dyDescent="0.25">
      <c r="BB86" s="842"/>
      <c r="BC86" s="842"/>
      <c r="BD86" s="842"/>
      <c r="BE86" s="842"/>
      <c r="BF86" s="842"/>
      <c r="BG86" s="842"/>
      <c r="BH86" s="842"/>
      <c r="BI86" s="842"/>
      <c r="BJ86" s="842"/>
      <c r="BK86" s="842"/>
      <c r="BL86" s="842"/>
      <c r="BM86" s="842"/>
      <c r="BN86" s="842"/>
      <c r="BO86" s="842"/>
      <c r="BP86" s="842"/>
      <c r="BQ86" s="882"/>
      <c r="BR86" s="842"/>
      <c r="BS86" s="842"/>
      <c r="BT86" s="842"/>
      <c r="BU86" s="842"/>
      <c r="BV86" s="842"/>
      <c r="BW86" s="842"/>
      <c r="BX86" s="842"/>
      <c r="BY86" s="842"/>
      <c r="BZ86" s="842"/>
      <c r="CA86" s="842"/>
      <c r="CB86" s="842"/>
      <c r="CC86" s="842"/>
      <c r="CD86" s="842"/>
      <c r="CE86" s="842"/>
      <c r="CF86" s="842"/>
      <c r="CG86" s="842"/>
      <c r="CH86" s="842"/>
      <c r="CI86" s="842"/>
      <c r="CJ86" s="842"/>
      <c r="CK86" s="842"/>
      <c r="CL86" s="842"/>
      <c r="CM86" s="842"/>
      <c r="CN86" s="842"/>
      <c r="CO86" s="842"/>
      <c r="CP86" s="842"/>
      <c r="CQ86" s="842"/>
      <c r="CR86" s="842"/>
      <c r="CS86" s="842"/>
      <c r="CT86" s="842"/>
      <c r="CU86" s="842"/>
      <c r="CV86" s="842"/>
      <c r="CW86" s="842"/>
      <c r="CX86" s="842"/>
      <c r="CY86" s="842"/>
      <c r="CZ86" s="842"/>
      <c r="DA86" s="842"/>
      <c r="DB86" s="842"/>
      <c r="DC86" s="842"/>
      <c r="DD86" s="842"/>
      <c r="DE86" s="842"/>
      <c r="DF86" s="842"/>
      <c r="DG86" s="842"/>
      <c r="DH86" s="842"/>
      <c r="DI86" s="842"/>
      <c r="DJ86" s="842"/>
      <c r="DK86" s="842"/>
      <c r="DL86" s="842"/>
      <c r="DM86" s="842"/>
      <c r="DN86" s="842"/>
      <c r="DO86" s="842"/>
      <c r="DP86" s="842"/>
      <c r="DQ86" s="842"/>
      <c r="DR86" s="842"/>
      <c r="DS86" s="842"/>
      <c r="DT86" s="842"/>
    </row>
    <row r="87" spans="54:124" x14ac:dyDescent="0.25">
      <c r="BB87" s="842"/>
      <c r="BC87" s="842"/>
      <c r="BD87" s="842"/>
      <c r="BE87" s="842"/>
      <c r="BF87" s="842"/>
      <c r="BG87" s="842"/>
      <c r="BH87" s="842"/>
      <c r="BI87" s="842"/>
      <c r="BJ87" s="842"/>
      <c r="BK87" s="842"/>
      <c r="BL87" s="842"/>
      <c r="BM87" s="842"/>
      <c r="BN87" s="842"/>
      <c r="BO87" s="842"/>
      <c r="BP87" s="842"/>
      <c r="BQ87" s="882"/>
      <c r="BR87" s="842"/>
      <c r="BS87" s="842"/>
      <c r="BT87" s="842"/>
      <c r="BU87" s="842"/>
      <c r="BV87" s="842"/>
      <c r="BW87" s="842"/>
      <c r="BX87" s="842"/>
      <c r="BY87" s="842"/>
      <c r="BZ87" s="842"/>
      <c r="CA87" s="842"/>
      <c r="CB87" s="842"/>
      <c r="CC87" s="842"/>
      <c r="CD87" s="842"/>
      <c r="CE87" s="842"/>
      <c r="CF87" s="842"/>
      <c r="CG87" s="842"/>
      <c r="CH87" s="842"/>
      <c r="CI87" s="842"/>
      <c r="CJ87" s="842"/>
      <c r="CK87" s="842"/>
      <c r="CL87" s="842"/>
      <c r="CM87" s="842"/>
      <c r="CN87" s="842"/>
      <c r="CO87" s="842"/>
      <c r="CP87" s="842"/>
      <c r="CQ87" s="842"/>
      <c r="CR87" s="842"/>
      <c r="CS87" s="842"/>
      <c r="CT87" s="842"/>
      <c r="CU87" s="842"/>
      <c r="CV87" s="842"/>
      <c r="CW87" s="842"/>
      <c r="CX87" s="842"/>
      <c r="CY87" s="842"/>
      <c r="CZ87" s="842"/>
      <c r="DA87" s="842"/>
      <c r="DB87" s="842"/>
      <c r="DC87" s="842"/>
      <c r="DD87" s="842"/>
      <c r="DE87" s="842"/>
      <c r="DF87" s="842"/>
      <c r="DG87" s="842"/>
      <c r="DH87" s="842"/>
      <c r="DI87" s="842"/>
      <c r="DJ87" s="842"/>
      <c r="DK87" s="842"/>
      <c r="DL87" s="842"/>
      <c r="DM87" s="842"/>
      <c r="DN87" s="842"/>
      <c r="DO87" s="842"/>
      <c r="DP87" s="842"/>
      <c r="DQ87" s="842"/>
      <c r="DR87" s="842"/>
      <c r="DS87" s="842"/>
      <c r="DT87" s="842"/>
    </row>
    <row r="88" spans="54:124" x14ac:dyDescent="0.25">
      <c r="BB88" s="842"/>
      <c r="BC88" s="842"/>
      <c r="BD88" s="842"/>
      <c r="BE88" s="842"/>
      <c r="BF88" s="842"/>
      <c r="BG88" s="842"/>
      <c r="BH88" s="842"/>
      <c r="BI88" s="842"/>
      <c r="BJ88" s="842"/>
      <c r="BK88" s="842"/>
      <c r="BL88" s="842"/>
      <c r="BM88" s="842"/>
      <c r="BN88" s="842"/>
      <c r="BO88" s="842"/>
      <c r="BP88" s="842"/>
      <c r="BQ88" s="882"/>
      <c r="BR88" s="842"/>
      <c r="BS88" s="842"/>
      <c r="BT88" s="842"/>
      <c r="BU88" s="842"/>
      <c r="BV88" s="842"/>
      <c r="BW88" s="842"/>
      <c r="BX88" s="842"/>
      <c r="BY88" s="842"/>
      <c r="BZ88" s="842"/>
      <c r="CA88" s="842"/>
      <c r="CB88" s="842"/>
      <c r="CC88" s="842"/>
      <c r="CD88" s="842"/>
      <c r="CE88" s="842"/>
      <c r="CF88" s="842"/>
      <c r="CG88" s="842"/>
      <c r="CH88" s="842"/>
      <c r="CI88" s="842"/>
      <c r="CJ88" s="842"/>
      <c r="CK88" s="842"/>
      <c r="CL88" s="842"/>
      <c r="CM88" s="842"/>
      <c r="CN88" s="842"/>
      <c r="CO88" s="842"/>
      <c r="CP88" s="842"/>
      <c r="CQ88" s="842"/>
      <c r="CR88" s="842"/>
      <c r="CS88" s="842"/>
      <c r="CT88" s="842"/>
      <c r="CU88" s="842"/>
      <c r="CV88" s="842"/>
      <c r="CW88" s="842"/>
      <c r="CX88" s="842"/>
      <c r="CY88" s="842"/>
      <c r="CZ88" s="842"/>
      <c r="DA88" s="842"/>
      <c r="DB88" s="842"/>
      <c r="DC88" s="842"/>
      <c r="DD88" s="842"/>
      <c r="DE88" s="842"/>
      <c r="DF88" s="842"/>
      <c r="DG88" s="842"/>
      <c r="DH88" s="842"/>
      <c r="DI88" s="842"/>
      <c r="DJ88" s="842"/>
      <c r="DK88" s="842"/>
      <c r="DL88" s="842"/>
      <c r="DM88" s="842"/>
      <c r="DN88" s="842"/>
      <c r="DO88" s="842"/>
      <c r="DP88" s="842"/>
      <c r="DQ88" s="842"/>
      <c r="DR88" s="842"/>
      <c r="DS88" s="842"/>
      <c r="DT88" s="842"/>
    </row>
    <row r="89" spans="54:124" x14ac:dyDescent="0.25">
      <c r="BB89" s="842"/>
      <c r="BC89" s="842"/>
      <c r="BD89" s="842"/>
      <c r="BE89" s="842"/>
      <c r="BF89" s="842"/>
      <c r="BG89" s="842"/>
      <c r="BH89" s="842"/>
      <c r="BI89" s="842"/>
      <c r="BJ89" s="842"/>
      <c r="BK89" s="842"/>
      <c r="BL89" s="842"/>
      <c r="BM89" s="842"/>
      <c r="BN89" s="842"/>
      <c r="BO89" s="842"/>
      <c r="BP89" s="842"/>
      <c r="BQ89" s="882"/>
      <c r="BR89" s="842"/>
      <c r="BS89" s="842"/>
      <c r="BT89" s="842"/>
      <c r="BU89" s="842"/>
      <c r="BV89" s="842"/>
      <c r="BW89" s="842"/>
      <c r="BX89" s="842"/>
      <c r="BY89" s="842"/>
      <c r="BZ89" s="842"/>
      <c r="CA89" s="842"/>
      <c r="CB89" s="842"/>
      <c r="CC89" s="842"/>
      <c r="CD89" s="842"/>
      <c r="CE89" s="842"/>
      <c r="CF89" s="842"/>
      <c r="CG89" s="842"/>
      <c r="CH89" s="842"/>
      <c r="CI89" s="842"/>
      <c r="CJ89" s="842"/>
      <c r="CK89" s="842"/>
      <c r="CL89" s="842"/>
      <c r="CM89" s="842"/>
      <c r="CN89" s="842"/>
      <c r="CO89" s="842"/>
      <c r="CP89" s="842"/>
      <c r="CQ89" s="842"/>
      <c r="CR89" s="842"/>
      <c r="CS89" s="842"/>
      <c r="CT89" s="842"/>
      <c r="CU89" s="842"/>
      <c r="CV89" s="842"/>
      <c r="CW89" s="842"/>
      <c r="CX89" s="842"/>
      <c r="CY89" s="842"/>
      <c r="CZ89" s="842"/>
      <c r="DA89" s="842"/>
      <c r="DB89" s="842"/>
      <c r="DC89" s="842"/>
      <c r="DD89" s="842"/>
      <c r="DE89" s="842"/>
      <c r="DF89" s="842"/>
      <c r="DG89" s="842"/>
      <c r="DH89" s="842"/>
      <c r="DI89" s="842"/>
      <c r="DJ89" s="842"/>
      <c r="DK89" s="842"/>
      <c r="DL89" s="842"/>
      <c r="DM89" s="842"/>
      <c r="DN89" s="842"/>
      <c r="DO89" s="842"/>
      <c r="DP89" s="842"/>
      <c r="DQ89" s="842"/>
      <c r="DR89" s="842"/>
      <c r="DS89" s="842"/>
      <c r="DT89" s="842"/>
    </row>
    <row r="90" spans="54:124" x14ac:dyDescent="0.25">
      <c r="BB90" s="842"/>
      <c r="BC90" s="842"/>
      <c r="BD90" s="842"/>
      <c r="BE90" s="842"/>
      <c r="BF90" s="842"/>
      <c r="BG90" s="842"/>
      <c r="BH90" s="842"/>
      <c r="BI90" s="842"/>
      <c r="BJ90" s="842"/>
      <c r="BK90" s="842"/>
      <c r="BL90" s="842"/>
      <c r="BM90" s="842"/>
      <c r="BN90" s="842"/>
      <c r="BO90" s="842"/>
      <c r="BP90" s="842"/>
      <c r="BQ90" s="882"/>
      <c r="BR90" s="842"/>
      <c r="BS90" s="842"/>
      <c r="BT90" s="842"/>
      <c r="BU90" s="842"/>
      <c r="BV90" s="842"/>
      <c r="BW90" s="842"/>
      <c r="BX90" s="842"/>
      <c r="BY90" s="842"/>
      <c r="BZ90" s="842"/>
      <c r="CA90" s="842"/>
      <c r="CB90" s="842"/>
      <c r="CC90" s="842"/>
      <c r="CD90" s="842"/>
      <c r="CE90" s="842"/>
      <c r="CF90" s="842"/>
      <c r="CG90" s="842"/>
      <c r="CH90" s="842"/>
      <c r="CI90" s="842"/>
      <c r="CJ90" s="842"/>
      <c r="CK90" s="842"/>
      <c r="CL90" s="842"/>
      <c r="CM90" s="842"/>
      <c r="CN90" s="842"/>
      <c r="CO90" s="842"/>
      <c r="CP90" s="842"/>
      <c r="CQ90" s="842"/>
      <c r="CR90" s="842"/>
      <c r="CS90" s="842"/>
      <c r="CT90" s="842"/>
      <c r="CU90" s="842"/>
      <c r="CV90" s="842"/>
      <c r="CW90" s="842"/>
      <c r="CX90" s="842"/>
      <c r="CY90" s="842"/>
      <c r="CZ90" s="842"/>
      <c r="DA90" s="842"/>
      <c r="DB90" s="842"/>
      <c r="DC90" s="842"/>
      <c r="DD90" s="842"/>
      <c r="DE90" s="842"/>
      <c r="DF90" s="842"/>
      <c r="DG90" s="842"/>
      <c r="DH90" s="842"/>
      <c r="DI90" s="842"/>
      <c r="DJ90" s="842"/>
      <c r="DK90" s="842"/>
      <c r="DL90" s="842"/>
      <c r="DM90" s="842"/>
      <c r="DN90" s="842"/>
      <c r="DO90" s="842"/>
      <c r="DP90" s="842"/>
      <c r="DQ90" s="842"/>
      <c r="DR90" s="842"/>
      <c r="DS90" s="842"/>
      <c r="DT90" s="842"/>
    </row>
    <row r="91" spans="54:124" x14ac:dyDescent="0.25">
      <c r="BB91" s="842"/>
      <c r="BC91" s="842"/>
      <c r="BD91" s="842"/>
      <c r="BE91" s="842"/>
      <c r="BF91" s="842"/>
      <c r="BG91" s="842"/>
      <c r="BH91" s="842"/>
      <c r="BI91" s="842"/>
      <c r="BJ91" s="842"/>
      <c r="BK91" s="842"/>
      <c r="BL91" s="842"/>
      <c r="BM91" s="842"/>
      <c r="BN91" s="842"/>
      <c r="BO91" s="842"/>
      <c r="BP91" s="842"/>
      <c r="BQ91" s="882"/>
      <c r="BR91" s="842"/>
      <c r="BS91" s="842"/>
      <c r="BT91" s="842"/>
      <c r="BU91" s="842"/>
      <c r="BV91" s="842"/>
      <c r="BW91" s="842"/>
      <c r="BX91" s="842"/>
      <c r="BY91" s="842"/>
      <c r="BZ91" s="842"/>
      <c r="CA91" s="842"/>
      <c r="CB91" s="842"/>
      <c r="CC91" s="842"/>
      <c r="CD91" s="842"/>
      <c r="CE91" s="842"/>
      <c r="CF91" s="842"/>
      <c r="CG91" s="842"/>
      <c r="CH91" s="842"/>
      <c r="CI91" s="842"/>
      <c r="CJ91" s="842"/>
      <c r="CK91" s="842"/>
      <c r="CL91" s="842"/>
      <c r="CM91" s="842"/>
      <c r="CN91" s="842"/>
      <c r="CO91" s="842"/>
      <c r="CP91" s="842"/>
      <c r="CQ91" s="842"/>
      <c r="CR91" s="842"/>
      <c r="CS91" s="842"/>
      <c r="CT91" s="842"/>
      <c r="CU91" s="842"/>
      <c r="CV91" s="842"/>
      <c r="CW91" s="842"/>
      <c r="CX91" s="842"/>
      <c r="CY91" s="842"/>
      <c r="CZ91" s="842"/>
      <c r="DA91" s="842"/>
      <c r="DB91" s="842"/>
      <c r="DC91" s="842"/>
      <c r="DD91" s="842"/>
      <c r="DE91" s="842"/>
      <c r="DF91" s="842"/>
      <c r="DG91" s="842"/>
      <c r="DH91" s="842"/>
      <c r="DI91" s="842"/>
      <c r="DJ91" s="842"/>
      <c r="DK91" s="842"/>
      <c r="DL91" s="842"/>
      <c r="DM91" s="842"/>
      <c r="DN91" s="842"/>
      <c r="DO91" s="842"/>
      <c r="DP91" s="842"/>
      <c r="DQ91" s="842"/>
      <c r="DR91" s="842"/>
      <c r="DS91" s="842"/>
      <c r="DT91" s="842"/>
    </row>
    <row r="92" spans="54:124" x14ac:dyDescent="0.25">
      <c r="BB92" s="842"/>
      <c r="BC92" s="842"/>
      <c r="BD92" s="842"/>
      <c r="BE92" s="842"/>
      <c r="BF92" s="842"/>
      <c r="BG92" s="842"/>
      <c r="BH92" s="842"/>
      <c r="BI92" s="842"/>
      <c r="BJ92" s="842"/>
      <c r="BK92" s="842"/>
      <c r="BL92" s="842"/>
      <c r="BM92" s="842"/>
      <c r="BN92" s="842"/>
      <c r="BO92" s="842"/>
      <c r="BP92" s="842"/>
      <c r="BQ92" s="882"/>
      <c r="BR92" s="842"/>
      <c r="BS92" s="842"/>
      <c r="BT92" s="842"/>
      <c r="BU92" s="842"/>
      <c r="BV92" s="842"/>
      <c r="BW92" s="842"/>
      <c r="BX92" s="842"/>
      <c r="BY92" s="842"/>
      <c r="BZ92" s="842"/>
      <c r="CA92" s="842"/>
      <c r="CB92" s="842"/>
      <c r="CC92" s="842"/>
      <c r="CD92" s="842"/>
      <c r="CE92" s="842"/>
      <c r="CF92" s="842"/>
      <c r="CG92" s="842"/>
      <c r="CH92" s="842"/>
      <c r="CI92" s="842"/>
      <c r="CJ92" s="842"/>
      <c r="CK92" s="842"/>
      <c r="CL92" s="842"/>
      <c r="CM92" s="842"/>
      <c r="CN92" s="842"/>
      <c r="CO92" s="842"/>
      <c r="CP92" s="842"/>
      <c r="CQ92" s="842"/>
      <c r="CR92" s="842"/>
      <c r="CS92" s="842"/>
      <c r="CT92" s="842"/>
      <c r="CU92" s="842"/>
      <c r="CV92" s="842"/>
      <c r="CW92" s="842"/>
      <c r="CX92" s="842"/>
      <c r="CY92" s="842"/>
      <c r="CZ92" s="842"/>
      <c r="DA92" s="842"/>
      <c r="DB92" s="842"/>
      <c r="DC92" s="842"/>
      <c r="DD92" s="842"/>
      <c r="DE92" s="842"/>
      <c r="DF92" s="842"/>
      <c r="DG92" s="842"/>
      <c r="DH92" s="842"/>
      <c r="DI92" s="842"/>
      <c r="DJ92" s="842"/>
      <c r="DK92" s="842"/>
      <c r="DL92" s="842"/>
      <c r="DM92" s="842"/>
      <c r="DN92" s="842"/>
      <c r="DO92" s="842"/>
      <c r="DP92" s="842"/>
      <c r="DQ92" s="842"/>
      <c r="DR92" s="842"/>
      <c r="DS92" s="842"/>
      <c r="DT92" s="842"/>
    </row>
    <row r="93" spans="54:124" x14ac:dyDescent="0.25">
      <c r="BB93" s="842"/>
      <c r="BC93" s="842"/>
      <c r="BD93" s="842"/>
      <c r="BE93" s="842"/>
      <c r="BF93" s="842"/>
      <c r="BG93" s="842"/>
      <c r="BH93" s="842"/>
      <c r="BI93" s="842"/>
      <c r="BJ93" s="842"/>
      <c r="BK93" s="842"/>
      <c r="BL93" s="842"/>
      <c r="BM93" s="842"/>
      <c r="BN93" s="842"/>
      <c r="BO93" s="842"/>
      <c r="BP93" s="842"/>
      <c r="BQ93" s="882"/>
      <c r="BR93" s="842"/>
      <c r="BS93" s="842"/>
      <c r="BT93" s="842"/>
      <c r="BU93" s="842"/>
      <c r="BV93" s="842"/>
      <c r="BW93" s="842"/>
      <c r="BX93" s="842"/>
      <c r="BY93" s="842"/>
      <c r="BZ93" s="842"/>
      <c r="CA93" s="842"/>
      <c r="CB93" s="842"/>
      <c r="CC93" s="842"/>
      <c r="CD93" s="842"/>
      <c r="CE93" s="842"/>
      <c r="CF93" s="842"/>
      <c r="CG93" s="842"/>
      <c r="CH93" s="842"/>
      <c r="CI93" s="842"/>
      <c r="CJ93" s="842"/>
      <c r="CK93" s="842"/>
      <c r="CL93" s="842"/>
      <c r="CM93" s="842"/>
      <c r="CN93" s="842"/>
      <c r="CO93" s="842"/>
      <c r="CP93" s="842"/>
      <c r="CQ93" s="842"/>
      <c r="CR93" s="842"/>
      <c r="CS93" s="842"/>
      <c r="CT93" s="842"/>
      <c r="CU93" s="842"/>
      <c r="CV93" s="842"/>
      <c r="CW93" s="842"/>
      <c r="CX93" s="842"/>
      <c r="CY93" s="842"/>
      <c r="CZ93" s="842"/>
      <c r="DA93" s="842"/>
      <c r="DB93" s="842"/>
      <c r="DC93" s="842"/>
      <c r="DD93" s="842"/>
      <c r="DE93" s="842"/>
      <c r="DF93" s="842"/>
      <c r="DG93" s="842"/>
      <c r="DH93" s="842"/>
      <c r="DI93" s="842"/>
      <c r="DJ93" s="842"/>
      <c r="DK93" s="842"/>
      <c r="DL93" s="842"/>
      <c r="DM93" s="842"/>
      <c r="DN93" s="842"/>
      <c r="DO93" s="842"/>
      <c r="DP93" s="842"/>
      <c r="DQ93" s="842"/>
      <c r="DR93" s="842"/>
      <c r="DS93" s="842"/>
      <c r="DT93" s="842"/>
    </row>
    <row r="94" spans="54:124" x14ac:dyDescent="0.25">
      <c r="BB94" s="842"/>
      <c r="BC94" s="842"/>
      <c r="BD94" s="842"/>
      <c r="BE94" s="842"/>
      <c r="BF94" s="842"/>
      <c r="BG94" s="842"/>
      <c r="BH94" s="842"/>
      <c r="BI94" s="842"/>
      <c r="BJ94" s="842"/>
      <c r="BK94" s="842"/>
      <c r="BL94" s="842"/>
      <c r="BM94" s="842"/>
      <c r="BN94" s="842"/>
      <c r="BO94" s="842"/>
      <c r="BP94" s="842"/>
      <c r="BQ94" s="882"/>
      <c r="BR94" s="842"/>
      <c r="BS94" s="842"/>
      <c r="BT94" s="842"/>
      <c r="BU94" s="842"/>
      <c r="BV94" s="842"/>
      <c r="BW94" s="842"/>
      <c r="BX94" s="842"/>
      <c r="BY94" s="842"/>
      <c r="BZ94" s="842"/>
      <c r="CA94" s="842"/>
      <c r="CB94" s="842"/>
      <c r="CC94" s="842"/>
      <c r="CD94" s="842"/>
      <c r="CE94" s="842"/>
      <c r="CF94" s="842"/>
      <c r="CG94" s="842"/>
      <c r="CH94" s="842"/>
      <c r="CI94" s="842"/>
      <c r="CJ94" s="842"/>
      <c r="CK94" s="842"/>
      <c r="CL94" s="842"/>
      <c r="CM94" s="842"/>
      <c r="CN94" s="842"/>
      <c r="CO94" s="842"/>
      <c r="CP94" s="842"/>
      <c r="CQ94" s="842"/>
      <c r="CR94" s="842"/>
      <c r="CS94" s="842"/>
      <c r="CT94" s="842"/>
      <c r="CU94" s="842"/>
      <c r="CV94" s="842"/>
      <c r="CW94" s="842"/>
      <c r="CX94" s="842"/>
      <c r="CY94" s="842"/>
      <c r="CZ94" s="842"/>
      <c r="DA94" s="842"/>
      <c r="DB94" s="842"/>
      <c r="DC94" s="842"/>
      <c r="DD94" s="842"/>
      <c r="DE94" s="842"/>
      <c r="DF94" s="842"/>
      <c r="DG94" s="842"/>
      <c r="DH94" s="842"/>
      <c r="DI94" s="842"/>
      <c r="DJ94" s="842"/>
      <c r="DK94" s="842"/>
      <c r="DL94" s="842"/>
      <c r="DM94" s="842"/>
      <c r="DN94" s="842"/>
      <c r="DO94" s="842"/>
      <c r="DP94" s="842"/>
      <c r="DQ94" s="842"/>
      <c r="DR94" s="842"/>
      <c r="DS94" s="842"/>
      <c r="DT94" s="842"/>
    </row>
    <row r="95" spans="54:124" x14ac:dyDescent="0.25">
      <c r="BB95" s="842"/>
      <c r="BC95" s="842"/>
      <c r="BD95" s="842"/>
      <c r="BE95" s="842"/>
      <c r="BF95" s="842"/>
      <c r="BG95" s="842"/>
      <c r="BH95" s="842"/>
      <c r="BI95" s="842"/>
      <c r="BJ95" s="842"/>
      <c r="BK95" s="842"/>
      <c r="BL95" s="842"/>
      <c r="BM95" s="842"/>
      <c r="BN95" s="842"/>
      <c r="BO95" s="842"/>
      <c r="BP95" s="842"/>
      <c r="BQ95" s="882"/>
      <c r="BR95" s="842"/>
      <c r="BS95" s="842"/>
      <c r="BT95" s="842"/>
      <c r="BU95" s="842"/>
      <c r="BV95" s="842"/>
      <c r="BW95" s="842"/>
      <c r="BX95" s="842"/>
      <c r="BY95" s="842"/>
      <c r="BZ95" s="842"/>
      <c r="CA95" s="842"/>
      <c r="CB95" s="842"/>
      <c r="CC95" s="842"/>
      <c r="CD95" s="842"/>
      <c r="CE95" s="842"/>
      <c r="CF95" s="842"/>
      <c r="CG95" s="842"/>
      <c r="CH95" s="842"/>
      <c r="CI95" s="842"/>
      <c r="CJ95" s="842"/>
      <c r="CK95" s="842"/>
      <c r="CL95" s="842"/>
      <c r="CM95" s="842"/>
      <c r="CN95" s="842"/>
      <c r="CO95" s="842"/>
      <c r="CP95" s="842"/>
      <c r="CQ95" s="842"/>
      <c r="CR95" s="842"/>
      <c r="CS95" s="842"/>
      <c r="CT95" s="842"/>
      <c r="CU95" s="842"/>
      <c r="CV95" s="842"/>
      <c r="CW95" s="842"/>
      <c r="CX95" s="842"/>
      <c r="CY95" s="842"/>
      <c r="CZ95" s="842"/>
      <c r="DA95" s="842"/>
      <c r="DB95" s="842"/>
      <c r="DC95" s="842"/>
      <c r="DD95" s="842"/>
      <c r="DE95" s="842"/>
      <c r="DF95" s="842"/>
      <c r="DG95" s="842"/>
      <c r="DH95" s="842"/>
      <c r="DI95" s="842"/>
      <c r="DJ95" s="842"/>
      <c r="DK95" s="842"/>
      <c r="DL95" s="842"/>
      <c r="DM95" s="842"/>
      <c r="DN95" s="842"/>
      <c r="DO95" s="842"/>
      <c r="DP95" s="842"/>
      <c r="DQ95" s="842"/>
      <c r="DR95" s="842"/>
      <c r="DS95" s="842"/>
      <c r="DT95" s="842"/>
    </row>
    <row r="96" spans="54:124" x14ac:dyDescent="0.25">
      <c r="BB96" s="842"/>
      <c r="BC96" s="842"/>
      <c r="BD96" s="842"/>
      <c r="BE96" s="842"/>
      <c r="BF96" s="842"/>
      <c r="BG96" s="842"/>
      <c r="BH96" s="842"/>
      <c r="BI96" s="842"/>
      <c r="BJ96" s="842"/>
      <c r="BK96" s="842"/>
      <c r="BL96" s="842"/>
      <c r="BM96" s="842"/>
      <c r="BN96" s="842"/>
      <c r="BO96" s="842"/>
      <c r="BP96" s="842"/>
      <c r="BQ96" s="882"/>
      <c r="BR96" s="842"/>
      <c r="BS96" s="842"/>
      <c r="BT96" s="842"/>
      <c r="BU96" s="842"/>
      <c r="BV96" s="842"/>
      <c r="BW96" s="842"/>
      <c r="BX96" s="842"/>
      <c r="BY96" s="842"/>
      <c r="BZ96" s="842"/>
      <c r="CA96" s="842"/>
      <c r="CB96" s="842"/>
      <c r="CC96" s="842"/>
      <c r="CD96" s="842"/>
      <c r="CE96" s="842"/>
      <c r="CF96" s="842"/>
      <c r="CG96" s="842"/>
      <c r="CH96" s="842"/>
      <c r="CI96" s="842"/>
      <c r="CJ96" s="842"/>
      <c r="CK96" s="842"/>
      <c r="CL96" s="842"/>
      <c r="CM96" s="842"/>
      <c r="CN96" s="842"/>
      <c r="CO96" s="842"/>
      <c r="CP96" s="842"/>
      <c r="CQ96" s="842"/>
      <c r="CR96" s="842"/>
      <c r="CS96" s="842"/>
      <c r="CT96" s="842"/>
      <c r="CU96" s="842"/>
      <c r="CV96" s="842"/>
      <c r="CW96" s="842"/>
      <c r="CX96" s="842"/>
      <c r="CY96" s="842"/>
      <c r="CZ96" s="842"/>
      <c r="DA96" s="842"/>
      <c r="DB96" s="842"/>
      <c r="DC96" s="842"/>
      <c r="DD96" s="842"/>
      <c r="DE96" s="842"/>
      <c r="DF96" s="842"/>
      <c r="DG96" s="842"/>
      <c r="DH96" s="842"/>
      <c r="DI96" s="842"/>
      <c r="DJ96" s="842"/>
      <c r="DK96" s="842"/>
      <c r="DL96" s="842"/>
      <c r="DM96" s="842"/>
      <c r="DN96" s="842"/>
      <c r="DO96" s="842"/>
      <c r="DP96" s="842"/>
      <c r="DQ96" s="842"/>
      <c r="DR96" s="842"/>
      <c r="DS96" s="842"/>
      <c r="DT96" s="842"/>
    </row>
    <row r="97" spans="54:124" x14ac:dyDescent="0.25">
      <c r="BB97" s="842"/>
      <c r="BC97" s="842"/>
      <c r="BD97" s="842"/>
      <c r="BE97" s="842"/>
      <c r="BF97" s="842"/>
      <c r="BG97" s="842"/>
      <c r="BH97" s="842"/>
      <c r="BI97" s="842"/>
      <c r="BJ97" s="842"/>
      <c r="BK97" s="842"/>
      <c r="BL97" s="842"/>
      <c r="BM97" s="842"/>
      <c r="BN97" s="842"/>
      <c r="BO97" s="842"/>
      <c r="BP97" s="842"/>
      <c r="BQ97" s="882"/>
      <c r="BR97" s="842"/>
      <c r="BS97" s="842"/>
      <c r="BT97" s="842"/>
      <c r="BU97" s="842"/>
      <c r="BV97" s="842"/>
      <c r="BW97" s="842"/>
      <c r="BX97" s="842"/>
      <c r="BY97" s="842"/>
      <c r="BZ97" s="842"/>
      <c r="CA97" s="842"/>
      <c r="CB97" s="842"/>
      <c r="CC97" s="842"/>
      <c r="CD97" s="842"/>
      <c r="CE97" s="842"/>
      <c r="CF97" s="842"/>
      <c r="CG97" s="842"/>
      <c r="CH97" s="842"/>
      <c r="CI97" s="842"/>
      <c r="CJ97" s="842"/>
      <c r="CK97" s="842"/>
      <c r="CL97" s="842"/>
      <c r="CM97" s="842"/>
      <c r="CN97" s="842"/>
      <c r="CO97" s="842"/>
      <c r="CP97" s="842"/>
      <c r="CQ97" s="842"/>
      <c r="CR97" s="842"/>
      <c r="CS97" s="842"/>
      <c r="CT97" s="842"/>
      <c r="CU97" s="842"/>
      <c r="CV97" s="842"/>
      <c r="CW97" s="842"/>
      <c r="CX97" s="842"/>
      <c r="CY97" s="842"/>
      <c r="CZ97" s="842"/>
      <c r="DA97" s="842"/>
      <c r="DB97" s="842"/>
      <c r="DC97" s="842"/>
      <c r="DD97" s="842"/>
      <c r="DE97" s="842"/>
      <c r="DF97" s="842"/>
      <c r="DG97" s="842"/>
      <c r="DH97" s="842"/>
      <c r="DI97" s="842"/>
      <c r="DJ97" s="842"/>
      <c r="DK97" s="842"/>
      <c r="DL97" s="842"/>
      <c r="DM97" s="842"/>
      <c r="DN97" s="842"/>
      <c r="DO97" s="842"/>
      <c r="DP97" s="842"/>
      <c r="DQ97" s="842"/>
      <c r="DR97" s="842"/>
      <c r="DS97" s="842"/>
      <c r="DT97" s="842"/>
    </row>
    <row r="98" spans="54:124" x14ac:dyDescent="0.25">
      <c r="BB98" s="842"/>
      <c r="BC98" s="842"/>
      <c r="BD98" s="842"/>
      <c r="BE98" s="842"/>
      <c r="BF98" s="842"/>
      <c r="BG98" s="842"/>
      <c r="BH98" s="842"/>
      <c r="BI98" s="842"/>
      <c r="BJ98" s="842"/>
      <c r="BK98" s="842"/>
      <c r="BL98" s="842"/>
      <c r="BM98" s="842"/>
      <c r="BN98" s="842"/>
      <c r="BO98" s="842"/>
      <c r="BP98" s="842"/>
      <c r="BQ98" s="882"/>
      <c r="BR98" s="842"/>
      <c r="BS98" s="842"/>
      <c r="BT98" s="842"/>
      <c r="BU98" s="842"/>
      <c r="BV98" s="842"/>
      <c r="BW98" s="842"/>
      <c r="BX98" s="842"/>
      <c r="BY98" s="842"/>
      <c r="BZ98" s="842"/>
      <c r="CA98" s="842"/>
      <c r="CB98" s="842"/>
      <c r="CC98" s="842"/>
      <c r="CD98" s="842"/>
      <c r="CE98" s="842"/>
      <c r="CF98" s="842"/>
      <c r="CG98" s="842"/>
      <c r="CH98" s="842"/>
      <c r="CI98" s="842"/>
      <c r="CJ98" s="842"/>
      <c r="CK98" s="842"/>
      <c r="CL98" s="842"/>
      <c r="CM98" s="842"/>
      <c r="CN98" s="842"/>
      <c r="CO98" s="842"/>
      <c r="CP98" s="842"/>
      <c r="CQ98" s="842"/>
      <c r="CR98" s="842"/>
      <c r="CS98" s="842"/>
      <c r="CT98" s="842"/>
      <c r="CU98" s="842"/>
      <c r="CV98" s="842"/>
      <c r="CW98" s="842"/>
      <c r="CX98" s="842"/>
      <c r="CY98" s="842"/>
      <c r="CZ98" s="842"/>
      <c r="DA98" s="842"/>
      <c r="DB98" s="842"/>
      <c r="DC98" s="842"/>
      <c r="DD98" s="842"/>
      <c r="DE98" s="842"/>
      <c r="DF98" s="842"/>
      <c r="DG98" s="842"/>
      <c r="DH98" s="842"/>
      <c r="DI98" s="842"/>
      <c r="DJ98" s="842"/>
      <c r="DK98" s="842"/>
      <c r="DL98" s="842"/>
      <c r="DM98" s="842"/>
      <c r="DN98" s="842"/>
      <c r="DO98" s="842"/>
      <c r="DP98" s="842"/>
      <c r="DQ98" s="842"/>
      <c r="DR98" s="842"/>
      <c r="DS98" s="842"/>
      <c r="DT98" s="842"/>
    </row>
    <row r="99" spans="54:124" x14ac:dyDescent="0.25">
      <c r="BB99" s="842"/>
      <c r="BC99" s="842"/>
      <c r="BD99" s="842"/>
      <c r="BE99" s="842"/>
      <c r="BF99" s="842"/>
      <c r="BG99" s="842"/>
      <c r="BH99" s="842"/>
      <c r="BI99" s="842"/>
      <c r="BJ99" s="842"/>
      <c r="BK99" s="842"/>
      <c r="BL99" s="842"/>
      <c r="BM99" s="842"/>
      <c r="BN99" s="842"/>
      <c r="BO99" s="842"/>
      <c r="BP99" s="842"/>
      <c r="BQ99" s="882"/>
      <c r="BR99" s="842"/>
      <c r="BS99" s="842"/>
      <c r="BT99" s="842"/>
      <c r="BU99" s="842"/>
      <c r="BV99" s="842"/>
      <c r="BW99" s="842"/>
      <c r="BX99" s="842"/>
      <c r="BY99" s="842"/>
      <c r="BZ99" s="842"/>
      <c r="CA99" s="842"/>
      <c r="CB99" s="842"/>
      <c r="CC99" s="842"/>
      <c r="CD99" s="842"/>
      <c r="CE99" s="842"/>
      <c r="CF99" s="842"/>
      <c r="CG99" s="842"/>
      <c r="CH99" s="842"/>
      <c r="CI99" s="842"/>
      <c r="CJ99" s="842"/>
      <c r="CK99" s="842"/>
      <c r="CL99" s="842"/>
      <c r="CM99" s="842"/>
      <c r="CN99" s="842"/>
      <c r="CO99" s="842"/>
      <c r="CP99" s="842"/>
      <c r="CQ99" s="842"/>
      <c r="CR99" s="842"/>
      <c r="CS99" s="842"/>
      <c r="CT99" s="842"/>
      <c r="CU99" s="842"/>
      <c r="CV99" s="842"/>
      <c r="CW99" s="842"/>
      <c r="CX99" s="842"/>
      <c r="CY99" s="842"/>
      <c r="CZ99" s="842"/>
      <c r="DA99" s="842"/>
      <c r="DB99" s="842"/>
      <c r="DC99" s="842"/>
      <c r="DD99" s="842"/>
      <c r="DE99" s="842"/>
      <c r="DF99" s="842"/>
      <c r="DG99" s="842"/>
      <c r="DH99" s="842"/>
      <c r="DI99" s="842"/>
      <c r="DJ99" s="842"/>
      <c r="DK99" s="842"/>
      <c r="DL99" s="842"/>
      <c r="DM99" s="842"/>
      <c r="DN99" s="842"/>
      <c r="DO99" s="842"/>
      <c r="DP99" s="842"/>
      <c r="DQ99" s="842"/>
      <c r="DR99" s="842"/>
      <c r="DS99" s="842"/>
      <c r="DT99" s="842"/>
    </row>
    <row r="100" spans="54:124" x14ac:dyDescent="0.25">
      <c r="BB100" s="842"/>
      <c r="BC100" s="842"/>
      <c r="BD100" s="842"/>
      <c r="BE100" s="842"/>
      <c r="BF100" s="842"/>
      <c r="BG100" s="842"/>
      <c r="BH100" s="842"/>
      <c r="BI100" s="842"/>
      <c r="BJ100" s="842"/>
      <c r="BK100" s="842"/>
      <c r="BL100" s="842"/>
      <c r="BM100" s="842"/>
      <c r="BN100" s="842"/>
      <c r="BO100" s="842"/>
      <c r="BP100" s="842"/>
      <c r="BQ100" s="882"/>
      <c r="BR100" s="842"/>
      <c r="BS100" s="842"/>
      <c r="BT100" s="842"/>
      <c r="BU100" s="842"/>
      <c r="BV100" s="842"/>
      <c r="BW100" s="842"/>
      <c r="BX100" s="842"/>
      <c r="BY100" s="842"/>
      <c r="BZ100" s="842"/>
      <c r="CA100" s="842"/>
      <c r="CB100" s="842"/>
      <c r="CC100" s="842"/>
      <c r="CD100" s="842"/>
      <c r="CE100" s="842"/>
      <c r="CF100" s="842"/>
      <c r="CG100" s="842"/>
      <c r="CH100" s="842"/>
      <c r="CI100" s="842"/>
      <c r="CJ100" s="842"/>
      <c r="CK100" s="842"/>
      <c r="CL100" s="842"/>
      <c r="CM100" s="842"/>
      <c r="CN100" s="842"/>
      <c r="CO100" s="842"/>
      <c r="CP100" s="842"/>
      <c r="CQ100" s="842"/>
      <c r="CR100" s="842"/>
      <c r="CS100" s="842"/>
      <c r="CT100" s="842"/>
      <c r="CU100" s="842"/>
      <c r="CV100" s="842"/>
      <c r="CW100" s="842"/>
      <c r="CX100" s="842"/>
      <c r="CY100" s="842"/>
      <c r="CZ100" s="842"/>
      <c r="DA100" s="842"/>
      <c r="DB100" s="842"/>
      <c r="DC100" s="842"/>
      <c r="DD100" s="842"/>
      <c r="DE100" s="842"/>
      <c r="DF100" s="842"/>
      <c r="DG100" s="842"/>
      <c r="DH100" s="842"/>
      <c r="DI100" s="842"/>
      <c r="DJ100" s="842"/>
      <c r="DK100" s="842"/>
      <c r="DL100" s="842"/>
      <c r="DM100" s="842"/>
      <c r="DN100" s="842"/>
      <c r="DO100" s="842"/>
      <c r="DP100" s="842"/>
      <c r="DQ100" s="842"/>
      <c r="DR100" s="842"/>
      <c r="DS100" s="842"/>
      <c r="DT100" s="842"/>
    </row>
    <row r="101" spans="54:124" x14ac:dyDescent="0.25">
      <c r="BB101" s="842"/>
      <c r="BC101" s="842"/>
      <c r="BD101" s="842"/>
      <c r="BE101" s="842"/>
      <c r="BF101" s="842"/>
      <c r="BG101" s="842"/>
      <c r="BH101" s="842"/>
      <c r="BI101" s="842"/>
      <c r="BJ101" s="842"/>
      <c r="BK101" s="842"/>
      <c r="BL101" s="842"/>
      <c r="BM101" s="842"/>
      <c r="BN101" s="842"/>
      <c r="BO101" s="842"/>
      <c r="BP101" s="842"/>
      <c r="BQ101" s="882"/>
      <c r="BR101" s="842"/>
      <c r="BS101" s="842"/>
      <c r="BT101" s="842"/>
      <c r="BU101" s="842"/>
      <c r="BV101" s="842"/>
      <c r="BW101" s="842"/>
      <c r="BX101" s="842"/>
      <c r="BY101" s="842"/>
      <c r="BZ101" s="842"/>
      <c r="CA101" s="842"/>
      <c r="CB101" s="842"/>
      <c r="CC101" s="842"/>
      <c r="CD101" s="842"/>
      <c r="CE101" s="842"/>
      <c r="CF101" s="842"/>
      <c r="CG101" s="842"/>
      <c r="CH101" s="842"/>
      <c r="CI101" s="842"/>
      <c r="CJ101" s="842"/>
      <c r="CK101" s="842"/>
      <c r="CL101" s="842"/>
      <c r="CM101" s="842"/>
      <c r="CN101" s="842"/>
      <c r="CO101" s="842"/>
      <c r="CP101" s="842"/>
      <c r="CQ101" s="842"/>
      <c r="CR101" s="842"/>
      <c r="CS101" s="842"/>
      <c r="CT101" s="842"/>
      <c r="CU101" s="842"/>
      <c r="CV101" s="842"/>
      <c r="CW101" s="842"/>
      <c r="CX101" s="842"/>
      <c r="CY101" s="842"/>
      <c r="CZ101" s="842"/>
      <c r="DA101" s="842"/>
      <c r="DB101" s="842"/>
      <c r="DC101" s="842"/>
      <c r="DD101" s="842"/>
      <c r="DE101" s="842"/>
      <c r="DF101" s="842"/>
      <c r="DG101" s="842"/>
      <c r="DH101" s="842"/>
      <c r="DI101" s="842"/>
      <c r="DJ101" s="842"/>
      <c r="DK101" s="842"/>
      <c r="DL101" s="842"/>
      <c r="DM101" s="842"/>
      <c r="DN101" s="842"/>
      <c r="DO101" s="842"/>
      <c r="DP101" s="842"/>
      <c r="DQ101" s="842"/>
      <c r="DR101" s="842"/>
      <c r="DS101" s="842"/>
      <c r="DT101" s="842"/>
    </row>
    <row r="102" spans="54:124" x14ac:dyDescent="0.25">
      <c r="BB102" s="842"/>
      <c r="BC102" s="842"/>
      <c r="BD102" s="842"/>
      <c r="BE102" s="842"/>
      <c r="BF102" s="842"/>
      <c r="BG102" s="842"/>
      <c r="BH102" s="842"/>
      <c r="BI102" s="842"/>
      <c r="BJ102" s="842"/>
      <c r="BK102" s="842"/>
      <c r="BL102" s="842"/>
      <c r="BM102" s="842"/>
      <c r="BN102" s="842"/>
      <c r="BO102" s="842"/>
      <c r="BP102" s="842"/>
      <c r="BQ102" s="882"/>
      <c r="BR102" s="842"/>
      <c r="BS102" s="842"/>
      <c r="BT102" s="842"/>
      <c r="BU102" s="842"/>
      <c r="BV102" s="842"/>
      <c r="BW102" s="842"/>
      <c r="BX102" s="842"/>
      <c r="BY102" s="842"/>
      <c r="BZ102" s="842"/>
      <c r="CA102" s="842"/>
      <c r="CB102" s="842"/>
      <c r="CC102" s="842"/>
      <c r="CD102" s="842"/>
      <c r="CE102" s="842"/>
      <c r="CF102" s="842"/>
      <c r="CG102" s="842"/>
      <c r="CH102" s="842"/>
      <c r="CI102" s="842"/>
      <c r="CJ102" s="842"/>
      <c r="CK102" s="842"/>
      <c r="CL102" s="842"/>
      <c r="CM102" s="842"/>
      <c r="CN102" s="842"/>
      <c r="CO102" s="842"/>
      <c r="CP102" s="842"/>
      <c r="CQ102" s="842"/>
      <c r="CR102" s="842"/>
      <c r="CS102" s="842"/>
      <c r="CT102" s="842"/>
      <c r="CU102" s="842"/>
      <c r="CV102" s="842"/>
      <c r="CW102" s="842"/>
      <c r="CX102" s="842"/>
      <c r="CY102" s="842"/>
      <c r="CZ102" s="842"/>
      <c r="DA102" s="842"/>
      <c r="DB102" s="842"/>
      <c r="DC102" s="842"/>
      <c r="DD102" s="842"/>
      <c r="DE102" s="842"/>
      <c r="DF102" s="842"/>
      <c r="DG102" s="842"/>
      <c r="DH102" s="842"/>
      <c r="DI102" s="842"/>
      <c r="DJ102" s="842"/>
      <c r="DK102" s="842"/>
      <c r="DL102" s="842"/>
      <c r="DM102" s="842"/>
      <c r="DN102" s="842"/>
      <c r="DO102" s="842"/>
      <c r="DP102" s="842"/>
      <c r="DQ102" s="842"/>
      <c r="DR102" s="842"/>
      <c r="DS102" s="842"/>
      <c r="DT102" s="842"/>
    </row>
    <row r="103" spans="54:124" x14ac:dyDescent="0.25">
      <c r="BB103" s="842"/>
      <c r="BC103" s="842"/>
      <c r="BD103" s="842"/>
      <c r="BE103" s="842"/>
      <c r="BF103" s="842"/>
      <c r="BG103" s="842"/>
      <c r="BH103" s="842"/>
      <c r="BI103" s="842"/>
      <c r="BJ103" s="842"/>
      <c r="BK103" s="842"/>
      <c r="BL103" s="842"/>
      <c r="BM103" s="842"/>
      <c r="BN103" s="842"/>
      <c r="BO103" s="842"/>
      <c r="BP103" s="842"/>
      <c r="BQ103" s="882"/>
      <c r="BR103" s="842"/>
      <c r="BS103" s="842"/>
      <c r="BT103" s="842"/>
      <c r="BU103" s="842"/>
      <c r="BV103" s="842"/>
      <c r="BW103" s="842"/>
      <c r="BX103" s="842"/>
      <c r="BY103" s="842"/>
      <c r="BZ103" s="842"/>
      <c r="CA103" s="842"/>
      <c r="CB103" s="842"/>
      <c r="CC103" s="842"/>
      <c r="CD103" s="842"/>
      <c r="CE103" s="842"/>
      <c r="CF103" s="842"/>
      <c r="CG103" s="842"/>
      <c r="CH103" s="842"/>
      <c r="CI103" s="842"/>
      <c r="CJ103" s="842"/>
      <c r="CK103" s="842"/>
      <c r="CL103" s="842"/>
      <c r="CM103" s="842"/>
      <c r="CN103" s="842"/>
      <c r="CO103" s="842"/>
      <c r="CP103" s="842"/>
      <c r="CQ103" s="842"/>
      <c r="CR103" s="842"/>
      <c r="CS103" s="842"/>
      <c r="CT103" s="842"/>
      <c r="CU103" s="842"/>
      <c r="CV103" s="842"/>
      <c r="CW103" s="842"/>
      <c r="CX103" s="842"/>
      <c r="CY103" s="842"/>
      <c r="CZ103" s="842"/>
      <c r="DA103" s="842"/>
      <c r="DB103" s="842"/>
      <c r="DC103" s="842"/>
      <c r="DD103" s="842"/>
      <c r="DE103" s="842"/>
      <c r="DF103" s="842"/>
      <c r="DG103" s="842"/>
      <c r="DH103" s="842"/>
      <c r="DI103" s="842"/>
      <c r="DJ103" s="842"/>
      <c r="DK103" s="842"/>
      <c r="DL103" s="842"/>
      <c r="DM103" s="842"/>
      <c r="DN103" s="842"/>
      <c r="DO103" s="842"/>
      <c r="DP103" s="842"/>
      <c r="DQ103" s="842"/>
      <c r="DR103" s="842"/>
      <c r="DS103" s="842"/>
      <c r="DT103" s="842"/>
    </row>
    <row r="104" spans="54:124" x14ac:dyDescent="0.25">
      <c r="BB104" s="842"/>
      <c r="BC104" s="842"/>
      <c r="BD104" s="842"/>
      <c r="BE104" s="842"/>
      <c r="BF104" s="842"/>
      <c r="BG104" s="842"/>
      <c r="BH104" s="842"/>
      <c r="BI104" s="842"/>
      <c r="BJ104" s="842"/>
      <c r="BK104" s="842"/>
      <c r="BL104" s="842"/>
      <c r="BM104" s="842"/>
      <c r="BN104" s="842"/>
      <c r="BO104" s="842"/>
      <c r="BP104" s="842"/>
      <c r="BQ104" s="882"/>
      <c r="BR104" s="842"/>
      <c r="BS104" s="842"/>
      <c r="BT104" s="842"/>
      <c r="BU104" s="842"/>
      <c r="BV104" s="842"/>
      <c r="BW104" s="842"/>
      <c r="BX104" s="842"/>
      <c r="BY104" s="842"/>
      <c r="BZ104" s="842"/>
      <c r="CA104" s="842"/>
      <c r="CB104" s="842"/>
      <c r="CC104" s="842"/>
      <c r="CD104" s="842"/>
      <c r="CE104" s="842"/>
      <c r="CF104" s="842"/>
      <c r="CG104" s="842"/>
      <c r="CH104" s="842"/>
      <c r="CI104" s="842"/>
      <c r="CJ104" s="842"/>
      <c r="CK104" s="842"/>
      <c r="CL104" s="842"/>
      <c r="CM104" s="842"/>
      <c r="CN104" s="842"/>
      <c r="CO104" s="842"/>
      <c r="CP104" s="842"/>
      <c r="CQ104" s="842"/>
      <c r="CR104" s="842"/>
      <c r="CS104" s="842"/>
      <c r="CT104" s="842"/>
      <c r="CU104" s="842"/>
      <c r="CV104" s="842"/>
      <c r="CW104" s="842"/>
      <c r="CX104" s="842"/>
      <c r="CY104" s="842"/>
      <c r="CZ104" s="842"/>
      <c r="DA104" s="842"/>
      <c r="DB104" s="842"/>
      <c r="DC104" s="842"/>
      <c r="DD104" s="842"/>
      <c r="DE104" s="842"/>
      <c r="DF104" s="842"/>
      <c r="DG104" s="842"/>
      <c r="DH104" s="842"/>
      <c r="DI104" s="842"/>
      <c r="DJ104" s="842"/>
      <c r="DK104" s="842"/>
      <c r="DL104" s="842"/>
      <c r="DM104" s="842"/>
      <c r="DN104" s="842"/>
      <c r="DO104" s="842"/>
      <c r="DP104" s="842"/>
      <c r="DQ104" s="842"/>
      <c r="DR104" s="842"/>
      <c r="DS104" s="842"/>
      <c r="DT104" s="842"/>
    </row>
    <row r="105" spans="54:124" x14ac:dyDescent="0.25">
      <c r="BB105" s="842"/>
      <c r="BC105" s="842"/>
      <c r="BD105" s="842"/>
      <c r="BE105" s="842"/>
      <c r="BF105" s="842"/>
      <c r="BG105" s="842"/>
      <c r="BH105" s="842"/>
      <c r="BI105" s="842"/>
      <c r="BJ105" s="842"/>
      <c r="BK105" s="842"/>
      <c r="BL105" s="842"/>
      <c r="BM105" s="842"/>
      <c r="BN105" s="842"/>
      <c r="BO105" s="842"/>
      <c r="BP105" s="842"/>
      <c r="BQ105" s="882"/>
      <c r="BR105" s="842"/>
      <c r="BS105" s="842"/>
      <c r="BT105" s="842"/>
      <c r="BU105" s="842"/>
      <c r="BV105" s="842"/>
      <c r="BW105" s="842"/>
      <c r="BX105" s="842"/>
      <c r="BY105" s="842"/>
      <c r="BZ105" s="842"/>
      <c r="CA105" s="842"/>
      <c r="CB105" s="842"/>
      <c r="CC105" s="842"/>
      <c r="CD105" s="842"/>
      <c r="CE105" s="842"/>
      <c r="CF105" s="842"/>
      <c r="CG105" s="842"/>
      <c r="CH105" s="842"/>
      <c r="CI105" s="842"/>
      <c r="CJ105" s="842"/>
      <c r="CK105" s="842"/>
      <c r="CL105" s="842"/>
      <c r="CM105" s="842"/>
      <c r="CN105" s="842"/>
      <c r="CO105" s="842"/>
      <c r="CP105" s="842"/>
      <c r="CQ105" s="842"/>
      <c r="CR105" s="842"/>
      <c r="CS105" s="842"/>
      <c r="CT105" s="842"/>
      <c r="CU105" s="842"/>
      <c r="CV105" s="842"/>
      <c r="CW105" s="842"/>
      <c r="CX105" s="842"/>
      <c r="CY105" s="842"/>
      <c r="CZ105" s="842"/>
      <c r="DA105" s="842"/>
      <c r="DB105" s="842"/>
      <c r="DC105" s="842"/>
      <c r="DD105" s="842"/>
      <c r="DE105" s="842"/>
      <c r="DF105" s="842"/>
      <c r="DG105" s="842"/>
      <c r="DH105" s="842"/>
      <c r="DI105" s="842"/>
      <c r="DJ105" s="842"/>
      <c r="DK105" s="842"/>
      <c r="DL105" s="842"/>
      <c r="DM105" s="842"/>
      <c r="DN105" s="842"/>
      <c r="DO105" s="842"/>
      <c r="DP105" s="842"/>
      <c r="DQ105" s="842"/>
      <c r="DR105" s="842"/>
      <c r="DS105" s="842"/>
      <c r="DT105" s="842"/>
    </row>
    <row r="106" spans="54:124" x14ac:dyDescent="0.25">
      <c r="BB106" s="842"/>
      <c r="BC106" s="842"/>
      <c r="BD106" s="842"/>
      <c r="BE106" s="842"/>
      <c r="BF106" s="842"/>
      <c r="BG106" s="842"/>
      <c r="BH106" s="842"/>
      <c r="BI106" s="842"/>
      <c r="BJ106" s="842"/>
      <c r="BK106" s="842"/>
      <c r="BL106" s="842"/>
      <c r="BM106" s="842"/>
      <c r="BN106" s="842"/>
      <c r="BO106" s="842"/>
      <c r="BP106" s="842"/>
      <c r="BQ106" s="882"/>
      <c r="BR106" s="842"/>
      <c r="BS106" s="842"/>
      <c r="BT106" s="842"/>
      <c r="BU106" s="842"/>
      <c r="BV106" s="842"/>
      <c r="BW106" s="842"/>
      <c r="BX106" s="842"/>
      <c r="BY106" s="842"/>
      <c r="BZ106" s="842"/>
      <c r="CA106" s="842"/>
      <c r="CB106" s="842"/>
      <c r="CC106" s="842"/>
      <c r="CD106" s="842"/>
      <c r="CE106" s="842"/>
      <c r="CF106" s="842"/>
      <c r="CG106" s="842"/>
      <c r="CH106" s="842"/>
      <c r="CI106" s="842"/>
      <c r="CJ106" s="842"/>
      <c r="CK106" s="842"/>
      <c r="CL106" s="842"/>
      <c r="CM106" s="842"/>
      <c r="CN106" s="842"/>
      <c r="CO106" s="842"/>
      <c r="CP106" s="842"/>
      <c r="CQ106" s="842"/>
      <c r="CR106" s="842"/>
      <c r="CS106" s="842"/>
      <c r="CT106" s="842"/>
      <c r="CU106" s="842"/>
      <c r="CV106" s="842"/>
      <c r="CW106" s="842"/>
      <c r="CX106" s="842"/>
      <c r="CY106" s="842"/>
      <c r="CZ106" s="842"/>
      <c r="DA106" s="842"/>
      <c r="DB106" s="842"/>
      <c r="DC106" s="842"/>
      <c r="DD106" s="842"/>
      <c r="DE106" s="842"/>
      <c r="DF106" s="842"/>
      <c r="DG106" s="842"/>
      <c r="DH106" s="842"/>
      <c r="DI106" s="842"/>
      <c r="DJ106" s="842"/>
      <c r="DK106" s="842"/>
      <c r="DL106" s="842"/>
      <c r="DM106" s="842"/>
      <c r="DN106" s="842"/>
      <c r="DO106" s="842"/>
      <c r="DP106" s="842"/>
      <c r="DQ106" s="842"/>
      <c r="DR106" s="842"/>
      <c r="DS106" s="842"/>
      <c r="DT106" s="842"/>
    </row>
    <row r="107" spans="54:124" x14ac:dyDescent="0.25">
      <c r="BB107" s="842"/>
      <c r="BC107" s="842"/>
      <c r="BD107" s="842"/>
      <c r="BE107" s="842"/>
      <c r="BF107" s="842"/>
      <c r="BG107" s="842"/>
      <c r="BH107" s="842"/>
      <c r="BI107" s="842"/>
      <c r="BJ107" s="842"/>
      <c r="BK107" s="842"/>
      <c r="BL107" s="842"/>
      <c r="BM107" s="842"/>
      <c r="BN107" s="842"/>
      <c r="BO107" s="842"/>
      <c r="BP107" s="842"/>
      <c r="BQ107" s="882"/>
      <c r="BR107" s="842"/>
      <c r="BS107" s="842"/>
      <c r="BT107" s="842"/>
      <c r="BU107" s="842"/>
      <c r="BV107" s="842"/>
      <c r="BW107" s="842"/>
      <c r="BX107" s="842"/>
      <c r="BY107" s="842"/>
      <c r="BZ107" s="842"/>
      <c r="CA107" s="842"/>
      <c r="CB107" s="842"/>
      <c r="CC107" s="842"/>
      <c r="CD107" s="842"/>
      <c r="CE107" s="842"/>
      <c r="CF107" s="842"/>
      <c r="CG107" s="842"/>
      <c r="CH107" s="842"/>
      <c r="CI107" s="842"/>
      <c r="CJ107" s="842"/>
      <c r="CK107" s="842"/>
      <c r="CL107" s="842"/>
      <c r="CM107" s="842"/>
      <c r="CN107" s="842"/>
      <c r="CO107" s="842"/>
      <c r="CP107" s="842"/>
      <c r="CQ107" s="842"/>
      <c r="CR107" s="842"/>
      <c r="CS107" s="842"/>
      <c r="CT107" s="842"/>
      <c r="CU107" s="842"/>
      <c r="CV107" s="842"/>
      <c r="CW107" s="842"/>
      <c r="CX107" s="842"/>
      <c r="CY107" s="842"/>
      <c r="CZ107" s="842"/>
      <c r="DA107" s="842"/>
      <c r="DB107" s="842"/>
      <c r="DC107" s="842"/>
      <c r="DD107" s="842"/>
      <c r="DE107" s="842"/>
      <c r="DF107" s="842"/>
      <c r="DG107" s="842"/>
      <c r="DH107" s="842"/>
      <c r="DI107" s="842"/>
      <c r="DJ107" s="842"/>
      <c r="DK107" s="842"/>
      <c r="DL107" s="842"/>
      <c r="DM107" s="842"/>
      <c r="DN107" s="842"/>
      <c r="DO107" s="842"/>
      <c r="DP107" s="842"/>
      <c r="DQ107" s="842"/>
      <c r="DR107" s="842"/>
      <c r="DS107" s="842"/>
      <c r="DT107" s="842"/>
    </row>
    <row r="108" spans="54:124" x14ac:dyDescent="0.25">
      <c r="BB108" s="842"/>
      <c r="BC108" s="842"/>
      <c r="BD108" s="842"/>
      <c r="BE108" s="842"/>
      <c r="BF108" s="842"/>
      <c r="BG108" s="842"/>
      <c r="BH108" s="842"/>
      <c r="BI108" s="842"/>
      <c r="BJ108" s="842"/>
      <c r="BK108" s="842"/>
      <c r="BL108" s="842"/>
      <c r="BM108" s="842"/>
      <c r="BN108" s="842"/>
      <c r="BO108" s="842"/>
      <c r="BP108" s="842"/>
      <c r="BQ108" s="882"/>
      <c r="BR108" s="842"/>
      <c r="BS108" s="842"/>
      <c r="BT108" s="842"/>
      <c r="BU108" s="842"/>
      <c r="BV108" s="842"/>
      <c r="BW108" s="842"/>
      <c r="BX108" s="842"/>
      <c r="BY108" s="842"/>
      <c r="BZ108" s="842"/>
      <c r="CA108" s="842"/>
      <c r="CB108" s="842"/>
      <c r="CC108" s="842"/>
      <c r="CD108" s="842"/>
      <c r="CE108" s="842"/>
      <c r="CF108" s="842"/>
      <c r="CG108" s="842"/>
      <c r="CH108" s="842"/>
      <c r="CI108" s="842"/>
      <c r="CJ108" s="842"/>
      <c r="CK108" s="842"/>
      <c r="CL108" s="842"/>
      <c r="CM108" s="842"/>
      <c r="CN108" s="842"/>
      <c r="CO108" s="842"/>
      <c r="CP108" s="842"/>
      <c r="CQ108" s="842"/>
      <c r="CR108" s="842"/>
      <c r="CS108" s="842"/>
      <c r="CT108" s="842"/>
      <c r="CU108" s="842"/>
      <c r="CV108" s="842"/>
      <c r="CW108" s="842"/>
      <c r="CX108" s="842"/>
      <c r="CY108" s="842"/>
      <c r="CZ108" s="842"/>
      <c r="DA108" s="842"/>
      <c r="DB108" s="842"/>
      <c r="DC108" s="842"/>
      <c r="DD108" s="842"/>
      <c r="DE108" s="842"/>
      <c r="DF108" s="842"/>
      <c r="DG108" s="842"/>
      <c r="DH108" s="842"/>
      <c r="DI108" s="842"/>
      <c r="DJ108" s="842"/>
      <c r="DK108" s="842"/>
      <c r="DL108" s="842"/>
      <c r="DM108" s="842"/>
      <c r="DN108" s="842"/>
      <c r="DO108" s="842"/>
      <c r="DP108" s="842"/>
      <c r="DQ108" s="842"/>
      <c r="DR108" s="842"/>
      <c r="DS108" s="842"/>
      <c r="DT108" s="842"/>
    </row>
    <row r="109" spans="54:124" x14ac:dyDescent="0.25">
      <c r="BB109" s="842"/>
      <c r="BC109" s="842"/>
      <c r="BD109" s="842"/>
      <c r="BE109" s="842"/>
      <c r="BF109" s="842"/>
      <c r="BG109" s="842"/>
      <c r="BH109" s="842"/>
      <c r="BI109" s="842"/>
      <c r="BJ109" s="842"/>
      <c r="BK109" s="842"/>
      <c r="BL109" s="842"/>
      <c r="BM109" s="842"/>
      <c r="BN109" s="842"/>
      <c r="BO109" s="842"/>
      <c r="BP109" s="842"/>
      <c r="BQ109" s="882"/>
      <c r="BR109" s="842"/>
      <c r="BS109" s="842"/>
      <c r="BT109" s="842"/>
      <c r="BU109" s="842"/>
      <c r="BV109" s="842"/>
      <c r="BW109" s="842"/>
      <c r="BX109" s="842"/>
      <c r="BY109" s="842"/>
      <c r="BZ109" s="842"/>
      <c r="CA109" s="842"/>
      <c r="CB109" s="842"/>
      <c r="CC109" s="842"/>
      <c r="CD109" s="842"/>
      <c r="CE109" s="842"/>
      <c r="CF109" s="842"/>
      <c r="CG109" s="842"/>
      <c r="CH109" s="842"/>
      <c r="CI109" s="842"/>
      <c r="CJ109" s="842"/>
      <c r="CK109" s="842"/>
      <c r="CL109" s="842"/>
      <c r="CM109" s="842"/>
      <c r="CN109" s="842"/>
      <c r="CO109" s="842"/>
      <c r="CP109" s="842"/>
      <c r="CQ109" s="842"/>
      <c r="CR109" s="842"/>
      <c r="CS109" s="842"/>
      <c r="CT109" s="842"/>
      <c r="CU109" s="842"/>
      <c r="CV109" s="842"/>
      <c r="CW109" s="842"/>
      <c r="CX109" s="842"/>
      <c r="CY109" s="842"/>
      <c r="CZ109" s="842"/>
      <c r="DA109" s="842"/>
      <c r="DB109" s="842"/>
      <c r="DC109" s="842"/>
      <c r="DD109" s="842"/>
      <c r="DE109" s="842"/>
      <c r="DF109" s="842"/>
      <c r="DG109" s="842"/>
      <c r="DH109" s="842"/>
      <c r="DI109" s="842"/>
      <c r="DJ109" s="842"/>
      <c r="DK109" s="842"/>
      <c r="DL109" s="842"/>
      <c r="DM109" s="842"/>
      <c r="DN109" s="842"/>
      <c r="DO109" s="842"/>
      <c r="DP109" s="842"/>
      <c r="DQ109" s="842"/>
      <c r="DR109" s="842"/>
      <c r="DS109" s="842"/>
      <c r="DT109" s="842"/>
    </row>
    <row r="110" spans="54:124" x14ac:dyDescent="0.25">
      <c r="BB110" s="842"/>
      <c r="BC110" s="842"/>
      <c r="BD110" s="842"/>
      <c r="BE110" s="842"/>
      <c r="BF110" s="842"/>
      <c r="BG110" s="842"/>
      <c r="BH110" s="842"/>
      <c r="BI110" s="842"/>
      <c r="BJ110" s="842"/>
      <c r="BK110" s="842"/>
      <c r="BL110" s="842"/>
      <c r="BM110" s="842"/>
      <c r="BN110" s="842"/>
      <c r="BO110" s="842"/>
      <c r="BP110" s="842"/>
      <c r="BQ110" s="882"/>
      <c r="BR110" s="842"/>
      <c r="BS110" s="842"/>
      <c r="BT110" s="842"/>
      <c r="BU110" s="842"/>
      <c r="BV110" s="842"/>
      <c r="BW110" s="842"/>
      <c r="BX110" s="842"/>
      <c r="BY110" s="842"/>
      <c r="BZ110" s="842"/>
      <c r="CA110" s="842"/>
      <c r="CB110" s="842"/>
      <c r="CC110" s="842"/>
      <c r="CD110" s="842"/>
      <c r="CE110" s="842"/>
      <c r="CF110" s="842"/>
      <c r="CG110" s="842"/>
      <c r="CH110" s="842"/>
      <c r="CI110" s="842"/>
      <c r="CJ110" s="842"/>
      <c r="CK110" s="842"/>
      <c r="CL110" s="842"/>
      <c r="CM110" s="842"/>
      <c r="CN110" s="842"/>
      <c r="CO110" s="842"/>
      <c r="CP110" s="842"/>
      <c r="CQ110" s="842"/>
      <c r="CR110" s="842"/>
      <c r="CS110" s="842"/>
      <c r="CT110" s="842"/>
      <c r="CU110" s="842"/>
      <c r="CV110" s="842"/>
      <c r="CW110" s="842"/>
      <c r="CX110" s="842"/>
      <c r="CY110" s="842"/>
      <c r="CZ110" s="842"/>
      <c r="DA110" s="842"/>
      <c r="DB110" s="842"/>
      <c r="DC110" s="842"/>
      <c r="DD110" s="842"/>
      <c r="DE110" s="842"/>
      <c r="DF110" s="842"/>
      <c r="DG110" s="842"/>
      <c r="DH110" s="842"/>
      <c r="DI110" s="842"/>
      <c r="DJ110" s="842"/>
      <c r="DK110" s="842"/>
      <c r="DL110" s="842"/>
      <c r="DM110" s="842"/>
      <c r="DN110" s="842"/>
      <c r="DO110" s="842"/>
      <c r="DP110" s="842"/>
      <c r="DQ110" s="842"/>
      <c r="DR110" s="842"/>
      <c r="DS110" s="842"/>
      <c r="DT110" s="842"/>
    </row>
    <row r="111" spans="54:124" x14ac:dyDescent="0.25">
      <c r="BB111" s="842"/>
      <c r="BC111" s="842"/>
      <c r="BD111" s="842"/>
      <c r="BE111" s="842"/>
      <c r="BF111" s="842"/>
      <c r="BG111" s="842"/>
      <c r="BH111" s="842"/>
      <c r="BI111" s="842"/>
      <c r="BJ111" s="842"/>
      <c r="BK111" s="842"/>
      <c r="BL111" s="842"/>
      <c r="BM111" s="842"/>
      <c r="BN111" s="842"/>
      <c r="BO111" s="842"/>
      <c r="BP111" s="842"/>
      <c r="BQ111" s="882"/>
      <c r="BR111" s="842"/>
      <c r="BS111" s="842"/>
      <c r="BT111" s="842"/>
      <c r="BU111" s="842"/>
      <c r="BV111" s="842"/>
      <c r="BW111" s="842"/>
      <c r="BX111" s="842"/>
      <c r="BY111" s="842"/>
      <c r="BZ111" s="842"/>
      <c r="CA111" s="842"/>
      <c r="CB111" s="842"/>
      <c r="CC111" s="842"/>
      <c r="CD111" s="842"/>
      <c r="CE111" s="842"/>
      <c r="CF111" s="842"/>
      <c r="CG111" s="842"/>
      <c r="CH111" s="842"/>
      <c r="CI111" s="842"/>
      <c r="CJ111" s="842"/>
      <c r="CK111" s="842"/>
      <c r="CL111" s="842"/>
      <c r="CM111" s="842"/>
      <c r="CN111" s="842"/>
      <c r="CO111" s="842"/>
      <c r="CP111" s="842"/>
      <c r="CQ111" s="842"/>
      <c r="CR111" s="842"/>
      <c r="CS111" s="842"/>
      <c r="CT111" s="842"/>
      <c r="CU111" s="842"/>
      <c r="CV111" s="842"/>
      <c r="CW111" s="842"/>
      <c r="CX111" s="842"/>
      <c r="CY111" s="842"/>
      <c r="CZ111" s="842"/>
      <c r="DA111" s="842"/>
      <c r="DB111" s="842"/>
      <c r="DC111" s="842"/>
      <c r="DD111" s="842"/>
      <c r="DE111" s="842"/>
      <c r="DF111" s="842"/>
      <c r="DG111" s="842"/>
      <c r="DH111" s="842"/>
      <c r="DI111" s="842"/>
      <c r="DJ111" s="842"/>
      <c r="DK111" s="842"/>
      <c r="DL111" s="842"/>
      <c r="DM111" s="842"/>
      <c r="DN111" s="842"/>
      <c r="DO111" s="842"/>
      <c r="DP111" s="842"/>
      <c r="DQ111" s="842"/>
      <c r="DR111" s="842"/>
      <c r="DS111" s="842"/>
      <c r="DT111" s="842"/>
    </row>
    <row r="112" spans="54:124" x14ac:dyDescent="0.25">
      <c r="BB112" s="842"/>
      <c r="BC112" s="842"/>
      <c r="BD112" s="842"/>
      <c r="BE112" s="842"/>
      <c r="BF112" s="842"/>
      <c r="BG112" s="842"/>
      <c r="BH112" s="842"/>
      <c r="BI112" s="842"/>
      <c r="BJ112" s="842"/>
      <c r="BK112" s="842"/>
      <c r="BL112" s="842"/>
      <c r="BM112" s="842"/>
      <c r="BN112" s="842"/>
      <c r="BO112" s="842"/>
      <c r="BP112" s="842"/>
      <c r="BQ112" s="882"/>
      <c r="BR112" s="842"/>
      <c r="BS112" s="842"/>
      <c r="BT112" s="842"/>
      <c r="BU112" s="842"/>
      <c r="BV112" s="842"/>
      <c r="BW112" s="842"/>
      <c r="BX112" s="842"/>
      <c r="BY112" s="842"/>
      <c r="BZ112" s="842"/>
      <c r="CA112" s="842"/>
      <c r="CB112" s="842"/>
      <c r="CC112" s="842"/>
      <c r="CD112" s="842"/>
      <c r="CE112" s="842"/>
      <c r="CF112" s="842"/>
      <c r="CG112" s="842"/>
      <c r="CH112" s="842"/>
      <c r="CI112" s="842"/>
      <c r="CJ112" s="842"/>
      <c r="CK112" s="842"/>
      <c r="CL112" s="842"/>
      <c r="CM112" s="842"/>
      <c r="CN112" s="842"/>
      <c r="CO112" s="842"/>
      <c r="CP112" s="842"/>
      <c r="CQ112" s="842"/>
      <c r="CR112" s="842"/>
      <c r="CS112" s="842"/>
      <c r="CT112" s="842"/>
      <c r="CU112" s="842"/>
      <c r="CV112" s="842"/>
      <c r="CW112" s="842"/>
      <c r="CX112" s="842"/>
      <c r="CY112" s="842"/>
      <c r="CZ112" s="842"/>
      <c r="DA112" s="842"/>
      <c r="DB112" s="842"/>
      <c r="DC112" s="842"/>
      <c r="DD112" s="842"/>
      <c r="DE112" s="842"/>
      <c r="DF112" s="842"/>
      <c r="DG112" s="842"/>
      <c r="DH112" s="842"/>
      <c r="DI112" s="842"/>
      <c r="DJ112" s="842"/>
      <c r="DK112" s="842"/>
      <c r="DL112" s="842"/>
      <c r="DM112" s="842"/>
      <c r="DN112" s="842"/>
      <c r="DO112" s="842"/>
      <c r="DP112" s="842"/>
      <c r="DQ112" s="842"/>
      <c r="DR112" s="842"/>
      <c r="DS112" s="842"/>
      <c r="DT112" s="842"/>
    </row>
    <row r="113" spans="54:124" x14ac:dyDescent="0.25">
      <c r="BB113" s="842"/>
      <c r="BC113" s="842"/>
      <c r="BD113" s="842"/>
      <c r="BE113" s="842"/>
      <c r="BF113" s="842"/>
      <c r="BG113" s="842"/>
      <c r="BH113" s="842"/>
      <c r="BI113" s="842"/>
      <c r="BJ113" s="842"/>
      <c r="BK113" s="842"/>
      <c r="BL113" s="842"/>
      <c r="BM113" s="842"/>
      <c r="BN113" s="842"/>
      <c r="BO113" s="842"/>
      <c r="BP113" s="842"/>
      <c r="BQ113" s="882"/>
      <c r="BR113" s="842"/>
      <c r="BS113" s="842"/>
      <c r="BT113" s="842"/>
      <c r="BU113" s="842"/>
      <c r="BV113" s="842"/>
      <c r="BW113" s="842"/>
      <c r="BX113" s="842"/>
      <c r="BY113" s="842"/>
      <c r="BZ113" s="842"/>
      <c r="CA113" s="842"/>
      <c r="CB113" s="842"/>
      <c r="CC113" s="842"/>
      <c r="CD113" s="842"/>
      <c r="CE113" s="842"/>
      <c r="CF113" s="842"/>
      <c r="CG113" s="842"/>
      <c r="CH113" s="842"/>
      <c r="CI113" s="842"/>
      <c r="CJ113" s="842"/>
      <c r="CK113" s="842"/>
      <c r="CL113" s="842"/>
      <c r="CM113" s="842"/>
      <c r="CN113" s="842"/>
      <c r="CO113" s="842"/>
      <c r="CP113" s="842"/>
      <c r="CQ113" s="842"/>
      <c r="CR113" s="842"/>
      <c r="CS113" s="842"/>
      <c r="CT113" s="842"/>
      <c r="CU113" s="842"/>
      <c r="CV113" s="842"/>
      <c r="CW113" s="842"/>
      <c r="CX113" s="842"/>
      <c r="CY113" s="842"/>
      <c r="CZ113" s="842"/>
      <c r="DA113" s="842"/>
      <c r="DB113" s="842"/>
      <c r="DC113" s="842"/>
      <c r="DD113" s="842"/>
      <c r="DE113" s="842"/>
      <c r="DF113" s="842"/>
      <c r="DG113" s="842"/>
      <c r="DH113" s="842"/>
      <c r="DI113" s="842"/>
      <c r="DJ113" s="842"/>
      <c r="DK113" s="842"/>
      <c r="DL113" s="842"/>
      <c r="DM113" s="842"/>
      <c r="DN113" s="842"/>
      <c r="DO113" s="842"/>
      <c r="DP113" s="842"/>
      <c r="DQ113" s="842"/>
      <c r="DR113" s="842"/>
      <c r="DS113" s="842"/>
      <c r="DT113" s="842"/>
    </row>
    <row r="114" spans="54:124" x14ac:dyDescent="0.25">
      <c r="BB114" s="842"/>
      <c r="BC114" s="842"/>
      <c r="BD114" s="842"/>
      <c r="BE114" s="842"/>
      <c r="BF114" s="842"/>
      <c r="BG114" s="842"/>
      <c r="BH114" s="842"/>
      <c r="BI114" s="842"/>
      <c r="BJ114" s="842"/>
      <c r="BK114" s="842"/>
      <c r="BL114" s="842"/>
      <c r="BM114" s="842"/>
      <c r="BN114" s="842"/>
      <c r="BO114" s="842"/>
      <c r="BP114" s="842"/>
      <c r="BQ114" s="882"/>
      <c r="BR114" s="842"/>
      <c r="BS114" s="842"/>
      <c r="BT114" s="842"/>
      <c r="BU114" s="842"/>
      <c r="BV114" s="842"/>
      <c r="BW114" s="842"/>
      <c r="BX114" s="842"/>
      <c r="BY114" s="842"/>
      <c r="BZ114" s="842"/>
      <c r="CA114" s="842"/>
      <c r="CB114" s="842"/>
      <c r="CC114" s="842"/>
      <c r="CD114" s="842"/>
      <c r="CE114" s="842"/>
      <c r="CF114" s="842"/>
      <c r="CG114" s="842"/>
      <c r="CH114" s="842"/>
      <c r="CI114" s="842"/>
      <c r="CJ114" s="842"/>
      <c r="CK114" s="842"/>
      <c r="CL114" s="842"/>
      <c r="CM114" s="842"/>
      <c r="CN114" s="842"/>
      <c r="CO114" s="842"/>
      <c r="CP114" s="842"/>
      <c r="CQ114" s="842"/>
      <c r="CR114" s="842"/>
      <c r="CS114" s="842"/>
      <c r="CT114" s="842"/>
      <c r="CU114" s="842"/>
      <c r="CV114" s="842"/>
      <c r="CW114" s="842"/>
      <c r="CX114" s="842"/>
      <c r="CY114" s="842"/>
      <c r="CZ114" s="842"/>
      <c r="DA114" s="842"/>
      <c r="DB114" s="842"/>
      <c r="DC114" s="842"/>
      <c r="DD114" s="842"/>
      <c r="DE114" s="842"/>
      <c r="DF114" s="842"/>
      <c r="DG114" s="842"/>
      <c r="DH114" s="842"/>
      <c r="DI114" s="842"/>
      <c r="DJ114" s="842"/>
      <c r="DK114" s="842"/>
      <c r="DL114" s="842"/>
      <c r="DM114" s="842"/>
      <c r="DN114" s="842"/>
      <c r="DO114" s="842"/>
      <c r="DP114" s="842"/>
      <c r="DQ114" s="842"/>
      <c r="DR114" s="842"/>
      <c r="DS114" s="842"/>
      <c r="DT114" s="842"/>
    </row>
    <row r="115" spans="54:124" x14ac:dyDescent="0.25">
      <c r="BB115" s="842"/>
      <c r="BC115" s="842"/>
      <c r="BD115" s="842"/>
      <c r="BE115" s="842"/>
      <c r="BF115" s="842"/>
      <c r="BG115" s="842"/>
      <c r="BH115" s="842"/>
      <c r="BI115" s="842"/>
      <c r="BJ115" s="842"/>
      <c r="BK115" s="842"/>
      <c r="BL115" s="842"/>
      <c r="BM115" s="842"/>
      <c r="BN115" s="842"/>
      <c r="BO115" s="842"/>
      <c r="BP115" s="842"/>
      <c r="BQ115" s="882"/>
      <c r="BR115" s="842"/>
      <c r="BS115" s="842"/>
      <c r="BT115" s="842"/>
      <c r="BU115" s="842"/>
      <c r="BV115" s="842"/>
      <c r="BW115" s="842"/>
      <c r="BX115" s="842"/>
      <c r="BY115" s="842"/>
      <c r="BZ115" s="842"/>
      <c r="CA115" s="842"/>
      <c r="CB115" s="842"/>
      <c r="CC115" s="842"/>
      <c r="CD115" s="842"/>
      <c r="CE115" s="842"/>
      <c r="CF115" s="842"/>
      <c r="CG115" s="842"/>
      <c r="CH115" s="842"/>
      <c r="CI115" s="842"/>
      <c r="CJ115" s="842"/>
      <c r="CK115" s="842"/>
      <c r="CL115" s="842"/>
      <c r="CM115" s="842"/>
      <c r="CN115" s="842"/>
      <c r="CO115" s="842"/>
      <c r="CP115" s="842"/>
      <c r="CQ115" s="842"/>
      <c r="CR115" s="842"/>
      <c r="CS115" s="842"/>
      <c r="CT115" s="842"/>
      <c r="CU115" s="842"/>
      <c r="CV115" s="842"/>
      <c r="CW115" s="842"/>
      <c r="CX115" s="842"/>
      <c r="CY115" s="842"/>
      <c r="CZ115" s="842"/>
      <c r="DA115" s="842"/>
      <c r="DB115" s="842"/>
      <c r="DC115" s="842"/>
      <c r="DD115" s="842"/>
      <c r="DE115" s="842"/>
      <c r="DF115" s="842"/>
      <c r="DG115" s="842"/>
      <c r="DH115" s="842"/>
      <c r="DI115" s="842"/>
      <c r="DJ115" s="842"/>
      <c r="DK115" s="842"/>
      <c r="DL115" s="842"/>
      <c r="DM115" s="842"/>
      <c r="DN115" s="842"/>
      <c r="DO115" s="842"/>
      <c r="DP115" s="842"/>
      <c r="DQ115" s="842"/>
      <c r="DR115" s="842"/>
      <c r="DS115" s="842"/>
      <c r="DT115" s="842"/>
    </row>
    <row r="116" spans="54:124" x14ac:dyDescent="0.25">
      <c r="BB116" s="842"/>
      <c r="BC116" s="842"/>
      <c r="BD116" s="842"/>
      <c r="BE116" s="842"/>
      <c r="BF116" s="842"/>
      <c r="BG116" s="842"/>
      <c r="BH116" s="842"/>
      <c r="BI116" s="842"/>
      <c r="BJ116" s="842"/>
      <c r="BK116" s="842"/>
      <c r="BL116" s="842"/>
      <c r="BM116" s="842"/>
      <c r="BN116" s="842"/>
      <c r="BO116" s="842"/>
      <c r="BP116" s="842"/>
      <c r="BQ116" s="882"/>
      <c r="BR116" s="842"/>
      <c r="BS116" s="842"/>
      <c r="BT116" s="842"/>
      <c r="BU116" s="842"/>
      <c r="BV116" s="842"/>
      <c r="BW116" s="842"/>
      <c r="BX116" s="842"/>
      <c r="BY116" s="842"/>
      <c r="BZ116" s="842"/>
      <c r="CA116" s="842"/>
      <c r="CB116" s="842"/>
      <c r="CC116" s="842"/>
      <c r="CD116" s="842"/>
      <c r="CE116" s="842"/>
      <c r="CF116" s="842"/>
      <c r="CG116" s="842"/>
      <c r="CH116" s="842"/>
      <c r="CI116" s="842"/>
      <c r="CJ116" s="842"/>
      <c r="CK116" s="842"/>
      <c r="CL116" s="842"/>
      <c r="CM116" s="842"/>
      <c r="CN116" s="842"/>
      <c r="CO116" s="842"/>
      <c r="CP116" s="842"/>
      <c r="CQ116" s="842"/>
      <c r="CR116" s="842"/>
      <c r="CS116" s="842"/>
      <c r="CT116" s="842"/>
      <c r="CU116" s="842"/>
      <c r="CV116" s="842"/>
      <c r="CW116" s="842"/>
      <c r="CX116" s="842"/>
      <c r="CY116" s="842"/>
      <c r="CZ116" s="842"/>
      <c r="DA116" s="842"/>
      <c r="DB116" s="842"/>
      <c r="DC116" s="842"/>
      <c r="DD116" s="842"/>
      <c r="DE116" s="842"/>
      <c r="DF116" s="842"/>
      <c r="DG116" s="842"/>
      <c r="DH116" s="842"/>
      <c r="DI116" s="842"/>
      <c r="DJ116" s="842"/>
      <c r="DK116" s="842"/>
      <c r="DL116" s="842"/>
      <c r="DM116" s="842"/>
      <c r="DN116" s="842"/>
      <c r="DO116" s="842"/>
      <c r="DP116" s="842"/>
      <c r="DQ116" s="842"/>
      <c r="DR116" s="842"/>
      <c r="DS116" s="842"/>
      <c r="DT116" s="842"/>
    </row>
    <row r="117" spans="54:124" x14ac:dyDescent="0.25">
      <c r="BB117" s="842"/>
      <c r="BC117" s="842"/>
      <c r="BD117" s="842"/>
      <c r="BE117" s="842"/>
      <c r="BF117" s="842"/>
      <c r="BG117" s="842"/>
      <c r="BH117" s="842"/>
      <c r="BI117" s="842"/>
      <c r="BJ117" s="842"/>
      <c r="BK117" s="842"/>
      <c r="BL117" s="842"/>
      <c r="BM117" s="842"/>
      <c r="BN117" s="842"/>
      <c r="BO117" s="842"/>
      <c r="BP117" s="842"/>
      <c r="BQ117" s="882"/>
      <c r="BR117" s="842"/>
      <c r="BS117" s="842"/>
      <c r="BT117" s="842"/>
      <c r="BU117" s="842"/>
      <c r="BV117" s="842"/>
      <c r="BW117" s="842"/>
      <c r="BX117" s="842"/>
      <c r="BY117" s="842"/>
      <c r="BZ117" s="842"/>
      <c r="CA117" s="842"/>
      <c r="CB117" s="842"/>
      <c r="CC117" s="842"/>
      <c r="CD117" s="842"/>
      <c r="CE117" s="842"/>
      <c r="CF117" s="842"/>
      <c r="CG117" s="842"/>
      <c r="CH117" s="842"/>
      <c r="CI117" s="842"/>
      <c r="CJ117" s="842"/>
      <c r="CK117" s="842"/>
      <c r="CL117" s="842"/>
      <c r="CM117" s="842"/>
      <c r="CN117" s="842"/>
      <c r="CO117" s="842"/>
      <c r="CP117" s="842"/>
      <c r="CQ117" s="842"/>
      <c r="CR117" s="842"/>
      <c r="CS117" s="842"/>
      <c r="CT117" s="842"/>
      <c r="CU117" s="842"/>
      <c r="CV117" s="842"/>
      <c r="CW117" s="842"/>
      <c r="CX117" s="842"/>
      <c r="CY117" s="842"/>
      <c r="CZ117" s="842"/>
      <c r="DA117" s="842"/>
      <c r="DB117" s="842"/>
      <c r="DC117" s="842"/>
      <c r="DD117" s="842"/>
      <c r="DE117" s="842"/>
      <c r="DF117" s="842"/>
      <c r="DG117" s="842"/>
      <c r="DH117" s="842"/>
      <c r="DI117" s="842"/>
      <c r="DJ117" s="842"/>
      <c r="DK117" s="842"/>
      <c r="DL117" s="842"/>
      <c r="DM117" s="842"/>
      <c r="DN117" s="842"/>
      <c r="DO117" s="842"/>
      <c r="DP117" s="842"/>
      <c r="DQ117" s="842"/>
      <c r="DR117" s="842"/>
      <c r="DS117" s="842"/>
      <c r="DT117" s="842"/>
    </row>
    <row r="118" spans="54:124" x14ac:dyDescent="0.25">
      <c r="BB118" s="842"/>
      <c r="BC118" s="842"/>
      <c r="BD118" s="842"/>
      <c r="BE118" s="842"/>
      <c r="BF118" s="842"/>
      <c r="BG118" s="842"/>
      <c r="BH118" s="842"/>
      <c r="BI118" s="842"/>
      <c r="BJ118" s="842"/>
      <c r="BK118" s="842"/>
      <c r="BL118" s="842"/>
      <c r="BM118" s="842"/>
      <c r="BN118" s="842"/>
      <c r="BO118" s="842"/>
      <c r="BP118" s="842"/>
      <c r="BQ118" s="882"/>
      <c r="BR118" s="842"/>
      <c r="BS118" s="842"/>
      <c r="BT118" s="842"/>
      <c r="BU118" s="842"/>
      <c r="BV118" s="842"/>
      <c r="BW118" s="842"/>
      <c r="BX118" s="842"/>
      <c r="BY118" s="842"/>
      <c r="BZ118" s="842"/>
      <c r="CA118" s="842"/>
      <c r="CB118" s="842"/>
      <c r="CC118" s="842"/>
      <c r="CD118" s="842"/>
      <c r="CE118" s="842"/>
      <c r="CF118" s="842"/>
      <c r="CG118" s="842"/>
      <c r="CH118" s="842"/>
      <c r="CI118" s="842"/>
      <c r="CJ118" s="842"/>
      <c r="CK118" s="842"/>
      <c r="CL118" s="842"/>
      <c r="CM118" s="842"/>
      <c r="CN118" s="842"/>
      <c r="CO118" s="842"/>
      <c r="CP118" s="842"/>
      <c r="CQ118" s="842"/>
      <c r="CR118" s="842"/>
      <c r="CS118" s="842"/>
      <c r="CT118" s="842"/>
      <c r="CU118" s="842"/>
      <c r="CV118" s="842"/>
      <c r="CW118" s="842"/>
      <c r="CX118" s="842"/>
      <c r="CY118" s="842"/>
      <c r="CZ118" s="842"/>
      <c r="DA118" s="842"/>
      <c r="DB118" s="842"/>
      <c r="DC118" s="842"/>
      <c r="DD118" s="842"/>
      <c r="DE118" s="842"/>
      <c r="DF118" s="842"/>
      <c r="DG118" s="842"/>
      <c r="DH118" s="842"/>
      <c r="DI118" s="842"/>
      <c r="DJ118" s="842"/>
      <c r="DK118" s="842"/>
      <c r="DL118" s="842"/>
      <c r="DM118" s="842"/>
      <c r="DN118" s="842"/>
      <c r="DO118" s="842"/>
      <c r="DP118" s="842"/>
      <c r="DQ118" s="842"/>
      <c r="DR118" s="842"/>
      <c r="DS118" s="842"/>
      <c r="DT118" s="842"/>
    </row>
    <row r="119" spans="54:124" x14ac:dyDescent="0.25">
      <c r="BB119" s="842"/>
      <c r="BC119" s="842"/>
      <c r="BD119" s="842"/>
      <c r="BE119" s="842"/>
      <c r="BF119" s="842"/>
      <c r="BG119" s="842"/>
      <c r="BH119" s="842"/>
      <c r="BI119" s="842"/>
      <c r="BJ119" s="842"/>
      <c r="BK119" s="842"/>
      <c r="BL119" s="842"/>
      <c r="BM119" s="842"/>
      <c r="BN119" s="842"/>
      <c r="BO119" s="842"/>
      <c r="BP119" s="842"/>
      <c r="BQ119" s="882"/>
      <c r="BR119" s="842"/>
      <c r="BS119" s="842"/>
      <c r="BT119" s="842"/>
      <c r="BU119" s="842"/>
      <c r="BV119" s="842"/>
      <c r="BW119" s="842"/>
      <c r="BX119" s="842"/>
      <c r="BY119" s="842"/>
      <c r="BZ119" s="842"/>
      <c r="CA119" s="842"/>
      <c r="CB119" s="842"/>
      <c r="CC119" s="842"/>
      <c r="CD119" s="842"/>
      <c r="CE119" s="842"/>
      <c r="CF119" s="842"/>
      <c r="CG119" s="842"/>
      <c r="CH119" s="842"/>
      <c r="CI119" s="842"/>
      <c r="CJ119" s="842"/>
      <c r="CK119" s="842"/>
      <c r="CL119" s="842"/>
      <c r="CM119" s="842"/>
      <c r="CN119" s="842"/>
      <c r="CO119" s="842"/>
      <c r="CP119" s="842"/>
      <c r="CQ119" s="842"/>
      <c r="CR119" s="842"/>
      <c r="CS119" s="842"/>
      <c r="CT119" s="842"/>
      <c r="CU119" s="842"/>
      <c r="CV119" s="842"/>
      <c r="CW119" s="842"/>
      <c r="CX119" s="842"/>
      <c r="CY119" s="842"/>
      <c r="CZ119" s="842"/>
      <c r="DA119" s="842"/>
      <c r="DB119" s="842"/>
      <c r="DC119" s="842"/>
      <c r="DD119" s="842"/>
      <c r="DE119" s="842"/>
      <c r="DF119" s="842"/>
      <c r="DG119" s="842"/>
      <c r="DH119" s="842"/>
      <c r="DI119" s="842"/>
      <c r="DJ119" s="842"/>
      <c r="DK119" s="842"/>
      <c r="DL119" s="842"/>
      <c r="DM119" s="842"/>
      <c r="DN119" s="842"/>
      <c r="DO119" s="842"/>
      <c r="DP119" s="842"/>
      <c r="DQ119" s="842"/>
      <c r="DR119" s="842"/>
      <c r="DS119" s="842"/>
      <c r="DT119" s="842"/>
    </row>
    <row r="120" spans="54:124" x14ac:dyDescent="0.25">
      <c r="BB120" s="842"/>
      <c r="BC120" s="842"/>
      <c r="BD120" s="842"/>
      <c r="BE120" s="842"/>
      <c r="BF120" s="842"/>
      <c r="BG120" s="842"/>
      <c r="BH120" s="842"/>
      <c r="BI120" s="842"/>
      <c r="BJ120" s="842"/>
      <c r="BK120" s="842"/>
      <c r="BL120" s="842"/>
      <c r="BM120" s="842"/>
      <c r="BN120" s="842"/>
      <c r="BO120" s="842"/>
      <c r="BP120" s="842"/>
      <c r="BQ120" s="882"/>
      <c r="BR120" s="842"/>
      <c r="BS120" s="842"/>
      <c r="BT120" s="842"/>
      <c r="BU120" s="842"/>
      <c r="BV120" s="842"/>
      <c r="BW120" s="842"/>
      <c r="BX120" s="842"/>
      <c r="BY120" s="842"/>
      <c r="BZ120" s="842"/>
      <c r="CA120" s="842"/>
      <c r="CB120" s="842"/>
      <c r="CC120" s="842"/>
      <c r="CD120" s="842"/>
      <c r="CE120" s="842"/>
      <c r="CF120" s="842"/>
      <c r="CG120" s="842"/>
      <c r="CH120" s="842"/>
      <c r="CI120" s="842"/>
      <c r="CJ120" s="842"/>
      <c r="CK120" s="842"/>
      <c r="CL120" s="842"/>
      <c r="CM120" s="842"/>
      <c r="CN120" s="842"/>
      <c r="CO120" s="842"/>
      <c r="CP120" s="842"/>
      <c r="CQ120" s="842"/>
      <c r="CR120" s="842"/>
      <c r="CS120" s="842"/>
      <c r="CT120" s="842"/>
      <c r="CU120" s="842"/>
      <c r="CV120" s="842"/>
      <c r="CW120" s="842"/>
      <c r="CX120" s="842"/>
      <c r="CY120" s="842"/>
      <c r="CZ120" s="842"/>
      <c r="DA120" s="842"/>
      <c r="DB120" s="842"/>
      <c r="DC120" s="842"/>
      <c r="DD120" s="842"/>
      <c r="DE120" s="842"/>
      <c r="DF120" s="842"/>
      <c r="DG120" s="842"/>
      <c r="DH120" s="842"/>
      <c r="DI120" s="842"/>
      <c r="DJ120" s="842"/>
      <c r="DK120" s="842"/>
      <c r="DL120" s="842"/>
      <c r="DM120" s="842"/>
      <c r="DN120" s="842"/>
      <c r="DO120" s="842"/>
      <c r="DP120" s="842"/>
      <c r="DQ120" s="842"/>
      <c r="DR120" s="842"/>
      <c r="DS120" s="842"/>
      <c r="DT120" s="842"/>
    </row>
    <row r="121" spans="54:124" x14ac:dyDescent="0.25">
      <c r="BB121" s="842"/>
      <c r="BC121" s="842"/>
      <c r="BD121" s="842"/>
      <c r="BE121" s="842"/>
      <c r="BF121" s="842"/>
      <c r="BG121" s="842"/>
      <c r="BH121" s="842"/>
      <c r="BI121" s="842"/>
      <c r="BJ121" s="842"/>
      <c r="BK121" s="842"/>
      <c r="BL121" s="842"/>
      <c r="BM121" s="842"/>
      <c r="BN121" s="842"/>
      <c r="BO121" s="842"/>
      <c r="BP121" s="842"/>
      <c r="BQ121" s="882"/>
      <c r="BR121" s="842"/>
      <c r="BS121" s="842"/>
      <c r="BT121" s="842"/>
      <c r="BU121" s="842"/>
      <c r="BV121" s="842"/>
      <c r="BW121" s="842"/>
      <c r="BX121" s="842"/>
      <c r="BY121" s="842"/>
      <c r="BZ121" s="842"/>
      <c r="CA121" s="842"/>
      <c r="CB121" s="842"/>
      <c r="CC121" s="842"/>
      <c r="CD121" s="842"/>
      <c r="CE121" s="842"/>
      <c r="CF121" s="842"/>
      <c r="CG121" s="842"/>
      <c r="CH121" s="842"/>
      <c r="CI121" s="842"/>
      <c r="CJ121" s="842"/>
      <c r="CK121" s="842"/>
      <c r="CL121" s="842"/>
      <c r="CM121" s="842"/>
      <c r="CN121" s="842"/>
      <c r="CO121" s="842"/>
      <c r="CP121" s="842"/>
      <c r="CQ121" s="842"/>
      <c r="CR121" s="842"/>
      <c r="CS121" s="842"/>
      <c r="CT121" s="842"/>
      <c r="CU121" s="842"/>
      <c r="CV121" s="842"/>
      <c r="CW121" s="842"/>
      <c r="CX121" s="842"/>
      <c r="CY121" s="842"/>
      <c r="CZ121" s="842"/>
      <c r="DA121" s="842"/>
      <c r="DB121" s="842"/>
      <c r="DC121" s="842"/>
      <c r="DD121" s="842"/>
      <c r="DE121" s="842"/>
      <c r="DF121" s="842"/>
      <c r="DG121" s="842"/>
      <c r="DH121" s="842"/>
      <c r="DI121" s="842"/>
      <c r="DJ121" s="842"/>
      <c r="DK121" s="842"/>
      <c r="DL121" s="842"/>
      <c r="DM121" s="842"/>
      <c r="DN121" s="842"/>
      <c r="DO121" s="842"/>
      <c r="DP121" s="842"/>
      <c r="DQ121" s="842"/>
      <c r="DR121" s="842"/>
      <c r="DS121" s="842"/>
      <c r="DT121" s="842"/>
    </row>
    <row r="122" spans="54:124" x14ac:dyDescent="0.25">
      <c r="BB122" s="842"/>
      <c r="BC122" s="842"/>
      <c r="BD122" s="842"/>
      <c r="BE122" s="842"/>
      <c r="BF122" s="842"/>
      <c r="BG122" s="842"/>
      <c r="BH122" s="842"/>
      <c r="BI122" s="842"/>
      <c r="BJ122" s="842"/>
      <c r="BK122" s="842"/>
      <c r="BL122" s="842"/>
      <c r="BM122" s="842"/>
      <c r="BN122" s="842"/>
      <c r="BO122" s="842"/>
      <c r="BP122" s="842"/>
      <c r="BQ122" s="882"/>
      <c r="BR122" s="842"/>
      <c r="BS122" s="842"/>
      <c r="BT122" s="842"/>
      <c r="BU122" s="842"/>
      <c r="BV122" s="842"/>
      <c r="BW122" s="842"/>
      <c r="BX122" s="842"/>
      <c r="BY122" s="842"/>
      <c r="BZ122" s="842"/>
      <c r="CA122" s="842"/>
      <c r="CB122" s="842"/>
      <c r="CC122" s="842"/>
      <c r="CD122" s="842"/>
      <c r="CE122" s="842"/>
      <c r="CF122" s="842"/>
      <c r="CG122" s="842"/>
      <c r="CH122" s="842"/>
      <c r="CI122" s="842"/>
      <c r="CJ122" s="842"/>
      <c r="CK122" s="842"/>
      <c r="CL122" s="842"/>
      <c r="CM122" s="842"/>
      <c r="CN122" s="842"/>
      <c r="CO122" s="842"/>
      <c r="CP122" s="842"/>
      <c r="CQ122" s="842"/>
      <c r="CR122" s="842"/>
      <c r="CS122" s="842"/>
      <c r="CT122" s="842"/>
      <c r="CU122" s="842"/>
      <c r="CV122" s="842"/>
      <c r="CW122" s="842"/>
      <c r="CX122" s="842"/>
      <c r="CY122" s="842"/>
      <c r="CZ122" s="842"/>
      <c r="DA122" s="842"/>
      <c r="DB122" s="842"/>
      <c r="DC122" s="842"/>
      <c r="DD122" s="842"/>
      <c r="DE122" s="842"/>
      <c r="DF122" s="842"/>
      <c r="DG122" s="842"/>
      <c r="DH122" s="842"/>
      <c r="DI122" s="842"/>
      <c r="DJ122" s="842"/>
      <c r="DK122" s="842"/>
      <c r="DL122" s="842"/>
      <c r="DM122" s="842"/>
      <c r="DN122" s="842"/>
      <c r="DO122" s="842"/>
      <c r="DP122" s="842"/>
      <c r="DQ122" s="842"/>
      <c r="DR122" s="842"/>
      <c r="DS122" s="842"/>
      <c r="DT122" s="842"/>
    </row>
    <row r="123" spans="54:124" x14ac:dyDescent="0.25">
      <c r="BB123" s="842"/>
      <c r="BC123" s="842"/>
      <c r="BD123" s="842"/>
      <c r="BE123" s="842"/>
      <c r="BF123" s="842"/>
      <c r="BG123" s="842"/>
      <c r="BH123" s="842"/>
      <c r="BI123" s="842"/>
      <c r="BJ123" s="842"/>
      <c r="BK123" s="842"/>
      <c r="BL123" s="842"/>
      <c r="BM123" s="842"/>
      <c r="BN123" s="842"/>
      <c r="BO123" s="842"/>
      <c r="BP123" s="842"/>
      <c r="BQ123" s="882"/>
      <c r="BR123" s="842"/>
      <c r="BS123" s="842"/>
      <c r="BT123" s="842"/>
      <c r="BU123" s="842"/>
      <c r="BV123" s="842"/>
      <c r="BW123" s="842"/>
      <c r="BX123" s="842"/>
      <c r="BY123" s="842"/>
      <c r="BZ123" s="842"/>
      <c r="CA123" s="842"/>
      <c r="CB123" s="842"/>
      <c r="CC123" s="842"/>
      <c r="CD123" s="842"/>
      <c r="CE123" s="842"/>
      <c r="CF123" s="842"/>
      <c r="CG123" s="842"/>
      <c r="CH123" s="842"/>
      <c r="CI123" s="842"/>
      <c r="CJ123" s="842"/>
      <c r="CK123" s="842"/>
      <c r="CL123" s="842"/>
      <c r="CM123" s="842"/>
      <c r="CN123" s="842"/>
      <c r="CO123" s="842"/>
      <c r="CP123" s="842"/>
      <c r="CQ123" s="842"/>
      <c r="CR123" s="842"/>
      <c r="CS123" s="842"/>
      <c r="CT123" s="842"/>
      <c r="CU123" s="842"/>
      <c r="CV123" s="842"/>
      <c r="CW123" s="842"/>
      <c r="CX123" s="842"/>
      <c r="CY123" s="842"/>
      <c r="CZ123" s="842"/>
      <c r="DA123" s="842"/>
      <c r="DB123" s="842"/>
      <c r="DC123" s="842"/>
      <c r="DD123" s="842"/>
      <c r="DE123" s="842"/>
      <c r="DF123" s="842"/>
      <c r="DG123" s="842"/>
      <c r="DH123" s="842"/>
      <c r="DI123" s="842"/>
      <c r="DJ123" s="842"/>
      <c r="DK123" s="842"/>
      <c r="DL123" s="842"/>
      <c r="DM123" s="842"/>
      <c r="DN123" s="842"/>
      <c r="DO123" s="842"/>
      <c r="DP123" s="842"/>
      <c r="DQ123" s="842"/>
      <c r="DR123" s="842"/>
      <c r="DS123" s="842"/>
      <c r="DT123" s="842"/>
    </row>
    <row r="124" spans="54:124" x14ac:dyDescent="0.25">
      <c r="BB124" s="842"/>
      <c r="BC124" s="842"/>
      <c r="BD124" s="842"/>
      <c r="BE124" s="842"/>
      <c r="BF124" s="842"/>
      <c r="BG124" s="842"/>
      <c r="BH124" s="842"/>
      <c r="BI124" s="842"/>
      <c r="BJ124" s="842"/>
      <c r="BK124" s="842"/>
      <c r="BL124" s="842"/>
      <c r="BM124" s="842"/>
      <c r="BN124" s="842"/>
      <c r="BO124" s="842"/>
      <c r="BP124" s="842"/>
      <c r="BQ124" s="882"/>
      <c r="BR124" s="842"/>
      <c r="BS124" s="842"/>
      <c r="BT124" s="842"/>
      <c r="BU124" s="842"/>
      <c r="BV124" s="842"/>
      <c r="BW124" s="842"/>
      <c r="BX124" s="842"/>
      <c r="BY124" s="842"/>
      <c r="BZ124" s="842"/>
      <c r="CA124" s="842"/>
      <c r="CB124" s="842"/>
      <c r="CC124" s="842"/>
      <c r="CD124" s="842"/>
      <c r="CE124" s="842"/>
      <c r="CF124" s="842"/>
      <c r="CG124" s="842"/>
      <c r="CH124" s="842"/>
      <c r="CI124" s="842"/>
      <c r="CJ124" s="842"/>
      <c r="CK124" s="842"/>
      <c r="CL124" s="842"/>
      <c r="CM124" s="842"/>
      <c r="CN124" s="842"/>
      <c r="CO124" s="842"/>
      <c r="CP124" s="842"/>
      <c r="CQ124" s="842"/>
      <c r="CR124" s="842"/>
      <c r="CS124" s="842"/>
      <c r="CT124" s="842"/>
      <c r="CU124" s="842"/>
      <c r="CV124" s="842"/>
      <c r="CW124" s="842"/>
      <c r="CX124" s="842"/>
      <c r="CY124" s="842"/>
      <c r="CZ124" s="842"/>
      <c r="DA124" s="842"/>
      <c r="DB124" s="842"/>
      <c r="DC124" s="842"/>
      <c r="DD124" s="842"/>
      <c r="DE124" s="842"/>
      <c r="DF124" s="842"/>
      <c r="DG124" s="842"/>
      <c r="DH124" s="842"/>
      <c r="DI124" s="842"/>
      <c r="DJ124" s="842"/>
      <c r="DK124" s="842"/>
      <c r="DL124" s="842"/>
      <c r="DM124" s="842"/>
      <c r="DN124" s="842"/>
      <c r="DO124" s="842"/>
      <c r="DP124" s="842"/>
      <c r="DQ124" s="842"/>
      <c r="DR124" s="842"/>
      <c r="DS124" s="842"/>
      <c r="DT124" s="842"/>
    </row>
    <row r="125" spans="54:124" x14ac:dyDescent="0.25">
      <c r="BB125" s="842"/>
      <c r="BC125" s="842"/>
      <c r="BD125" s="842"/>
      <c r="BE125" s="842"/>
      <c r="BF125" s="842"/>
      <c r="BG125" s="842"/>
      <c r="BH125" s="842"/>
      <c r="BI125" s="842"/>
      <c r="BJ125" s="842"/>
      <c r="BK125" s="842"/>
      <c r="BL125" s="842"/>
      <c r="BM125" s="842"/>
      <c r="BN125" s="842"/>
      <c r="BO125" s="842"/>
      <c r="BP125" s="842"/>
      <c r="BQ125" s="882"/>
      <c r="BR125" s="842"/>
      <c r="BS125" s="842"/>
      <c r="BT125" s="842"/>
      <c r="BU125" s="842"/>
      <c r="BV125" s="842"/>
      <c r="BW125" s="842"/>
      <c r="BX125" s="842"/>
      <c r="BY125" s="842"/>
      <c r="BZ125" s="842"/>
      <c r="CA125" s="842"/>
      <c r="CB125" s="842"/>
      <c r="CC125" s="842"/>
      <c r="CD125" s="842"/>
      <c r="CE125" s="842"/>
      <c r="CF125" s="842"/>
      <c r="CG125" s="842"/>
      <c r="CH125" s="842"/>
      <c r="CI125" s="842"/>
      <c r="CJ125" s="842"/>
      <c r="CK125" s="842"/>
      <c r="CL125" s="842"/>
      <c r="CM125" s="842"/>
      <c r="CN125" s="842"/>
      <c r="CO125" s="842"/>
      <c r="CP125" s="842"/>
      <c r="CQ125" s="842"/>
      <c r="CR125" s="842"/>
      <c r="CS125" s="842"/>
      <c r="CT125" s="842"/>
      <c r="CU125" s="842"/>
      <c r="CV125" s="842"/>
      <c r="CW125" s="842"/>
      <c r="CX125" s="842"/>
      <c r="CY125" s="842"/>
      <c r="CZ125" s="842"/>
      <c r="DA125" s="842"/>
      <c r="DB125" s="842"/>
      <c r="DC125" s="842"/>
      <c r="DD125" s="842"/>
      <c r="DE125" s="842"/>
      <c r="DF125" s="842"/>
      <c r="DG125" s="842"/>
      <c r="DH125" s="842"/>
      <c r="DI125" s="842"/>
      <c r="DJ125" s="842"/>
      <c r="DK125" s="842"/>
      <c r="DL125" s="842"/>
      <c r="DM125" s="842"/>
      <c r="DN125" s="842"/>
      <c r="DO125" s="842"/>
      <c r="DP125" s="842"/>
      <c r="DQ125" s="842"/>
      <c r="DR125" s="842"/>
      <c r="DS125" s="842"/>
      <c r="DT125" s="842"/>
    </row>
    <row r="126" spans="54:124" x14ac:dyDescent="0.25">
      <c r="BB126" s="842"/>
      <c r="BC126" s="842"/>
      <c r="BD126" s="842"/>
      <c r="BE126" s="842"/>
      <c r="BF126" s="842"/>
      <c r="BG126" s="842"/>
      <c r="BH126" s="842"/>
      <c r="BI126" s="842"/>
      <c r="BJ126" s="842"/>
      <c r="BK126" s="842"/>
      <c r="BL126" s="842"/>
      <c r="BM126" s="842"/>
      <c r="BN126" s="842"/>
      <c r="BO126" s="842"/>
      <c r="BP126" s="842"/>
      <c r="BQ126" s="882"/>
      <c r="BR126" s="842"/>
      <c r="BS126" s="842"/>
      <c r="BT126" s="842"/>
      <c r="BU126" s="842"/>
      <c r="BV126" s="842"/>
      <c r="BW126" s="842"/>
      <c r="BX126" s="842"/>
      <c r="BY126" s="842"/>
      <c r="BZ126" s="842"/>
      <c r="CA126" s="842"/>
      <c r="CB126" s="842"/>
      <c r="CC126" s="842"/>
      <c r="CD126" s="842"/>
      <c r="CE126" s="842"/>
      <c r="CF126" s="842"/>
      <c r="CG126" s="842"/>
      <c r="CH126" s="842"/>
      <c r="CI126" s="842"/>
      <c r="CJ126" s="842"/>
      <c r="CK126" s="842"/>
      <c r="CL126" s="842"/>
      <c r="CM126" s="842"/>
      <c r="CN126" s="842"/>
      <c r="CO126" s="842"/>
      <c r="CP126" s="842"/>
      <c r="CQ126" s="842"/>
      <c r="CR126" s="842"/>
      <c r="CS126" s="842"/>
      <c r="CT126" s="842"/>
      <c r="CU126" s="842"/>
      <c r="CV126" s="842"/>
      <c r="CW126" s="842"/>
      <c r="CX126" s="842"/>
      <c r="CY126" s="842"/>
      <c r="CZ126" s="842"/>
      <c r="DA126" s="842"/>
      <c r="DB126" s="842"/>
      <c r="DC126" s="842"/>
      <c r="DD126" s="842"/>
      <c r="DE126" s="842"/>
      <c r="DF126" s="842"/>
      <c r="DG126" s="842"/>
      <c r="DH126" s="842"/>
      <c r="DI126" s="842"/>
      <c r="DJ126" s="842"/>
      <c r="DK126" s="842"/>
      <c r="DL126" s="842"/>
      <c r="DM126" s="842"/>
      <c r="DN126" s="842"/>
      <c r="DO126" s="842"/>
      <c r="DP126" s="842"/>
      <c r="DQ126" s="842"/>
      <c r="DR126" s="842"/>
      <c r="DS126" s="842"/>
      <c r="DT126" s="842"/>
    </row>
    <row r="127" spans="54:124" x14ac:dyDescent="0.25">
      <c r="BB127" s="842"/>
      <c r="BC127" s="842"/>
      <c r="BD127" s="842"/>
      <c r="BE127" s="842"/>
      <c r="BF127" s="842"/>
      <c r="BG127" s="842"/>
      <c r="BH127" s="842"/>
      <c r="BI127" s="842"/>
      <c r="BJ127" s="842"/>
      <c r="BK127" s="842"/>
      <c r="BL127" s="842"/>
      <c r="BM127" s="842"/>
      <c r="BN127" s="842"/>
      <c r="BO127" s="842"/>
      <c r="BP127" s="842"/>
      <c r="BQ127" s="882"/>
      <c r="BR127" s="842"/>
      <c r="BS127" s="842"/>
      <c r="BT127" s="842"/>
      <c r="BU127" s="842"/>
      <c r="BV127" s="842"/>
      <c r="BW127" s="842"/>
      <c r="BX127" s="842"/>
      <c r="BY127" s="842"/>
      <c r="BZ127" s="842"/>
      <c r="CA127" s="842"/>
      <c r="CB127" s="842"/>
      <c r="CC127" s="842"/>
      <c r="CD127" s="842"/>
      <c r="CE127" s="842"/>
      <c r="CF127" s="842"/>
      <c r="CG127" s="842"/>
      <c r="CH127" s="842"/>
      <c r="CI127" s="842"/>
      <c r="CJ127" s="842"/>
      <c r="CK127" s="842"/>
      <c r="CL127" s="842"/>
      <c r="CM127" s="842"/>
      <c r="CN127" s="842"/>
      <c r="CO127" s="842"/>
      <c r="CP127" s="842"/>
      <c r="CQ127" s="842"/>
      <c r="CR127" s="842"/>
      <c r="CS127" s="842"/>
      <c r="CT127" s="842"/>
      <c r="CU127" s="842"/>
      <c r="CV127" s="842"/>
      <c r="CW127" s="842"/>
      <c r="CX127" s="842"/>
      <c r="CY127" s="842"/>
      <c r="CZ127" s="842"/>
      <c r="DA127" s="842"/>
      <c r="DB127" s="842"/>
      <c r="DC127" s="842"/>
      <c r="DD127" s="842"/>
      <c r="DE127" s="842"/>
      <c r="DF127" s="842"/>
      <c r="DG127" s="842"/>
      <c r="DH127" s="842"/>
      <c r="DI127" s="842"/>
      <c r="DJ127" s="842"/>
      <c r="DK127" s="842"/>
      <c r="DL127" s="842"/>
      <c r="DM127" s="842"/>
      <c r="DN127" s="842"/>
      <c r="DO127" s="842"/>
      <c r="DP127" s="842"/>
      <c r="DQ127" s="842"/>
      <c r="DR127" s="842"/>
      <c r="DS127" s="842"/>
      <c r="DT127" s="842"/>
    </row>
    <row r="128" spans="54:124" x14ac:dyDescent="0.25">
      <c r="BB128" s="842"/>
      <c r="BC128" s="842"/>
      <c r="BD128" s="842"/>
      <c r="BE128" s="842"/>
      <c r="BF128" s="842"/>
      <c r="BG128" s="842"/>
      <c r="BH128" s="842"/>
      <c r="BI128" s="842"/>
      <c r="BJ128" s="842"/>
      <c r="BK128" s="842"/>
      <c r="BL128" s="842"/>
      <c r="BM128" s="842"/>
      <c r="BN128" s="842"/>
      <c r="BO128" s="842"/>
      <c r="BP128" s="842"/>
      <c r="BQ128" s="882"/>
      <c r="BR128" s="842"/>
      <c r="BS128" s="842"/>
      <c r="BT128" s="842"/>
      <c r="BU128" s="842"/>
      <c r="BV128" s="842"/>
      <c r="BW128" s="842"/>
      <c r="BX128" s="842"/>
      <c r="BY128" s="842"/>
      <c r="BZ128" s="842"/>
      <c r="CA128" s="842"/>
      <c r="CB128" s="842"/>
      <c r="CC128" s="842"/>
      <c r="CD128" s="842"/>
      <c r="CE128" s="842"/>
      <c r="CF128" s="842"/>
      <c r="CG128" s="842"/>
      <c r="CH128" s="842"/>
      <c r="CI128" s="842"/>
      <c r="CJ128" s="842"/>
      <c r="CK128" s="842"/>
      <c r="CL128" s="842"/>
      <c r="CM128" s="842"/>
      <c r="CN128" s="842"/>
      <c r="CO128" s="842"/>
      <c r="CP128" s="842"/>
      <c r="CQ128" s="842"/>
      <c r="CR128" s="842"/>
      <c r="CS128" s="842"/>
      <c r="CT128" s="842"/>
      <c r="CU128" s="842"/>
      <c r="CV128" s="842"/>
      <c r="CW128" s="842"/>
      <c r="CX128" s="842"/>
      <c r="CY128" s="842"/>
      <c r="CZ128" s="842"/>
      <c r="DA128" s="842"/>
      <c r="DB128" s="842"/>
      <c r="DC128" s="842"/>
      <c r="DD128" s="842"/>
      <c r="DE128" s="842"/>
      <c r="DF128" s="842"/>
      <c r="DG128" s="842"/>
      <c r="DH128" s="842"/>
      <c r="DI128" s="842"/>
      <c r="DJ128" s="842"/>
      <c r="DK128" s="842"/>
      <c r="DL128" s="842"/>
      <c r="DM128" s="842"/>
      <c r="DN128" s="842"/>
      <c r="DO128" s="842"/>
      <c r="DP128" s="842"/>
      <c r="DQ128" s="842"/>
      <c r="DR128" s="842"/>
      <c r="DS128" s="842"/>
      <c r="DT128" s="842"/>
    </row>
    <row r="129" spans="54:124" x14ac:dyDescent="0.25">
      <c r="BB129" s="842"/>
      <c r="BC129" s="842"/>
      <c r="BD129" s="842"/>
      <c r="BE129" s="842"/>
      <c r="BF129" s="842"/>
      <c r="BG129" s="842"/>
      <c r="BH129" s="842"/>
      <c r="BI129" s="842"/>
      <c r="BJ129" s="842"/>
      <c r="BK129" s="842"/>
      <c r="BL129" s="842"/>
      <c r="BM129" s="842"/>
      <c r="BN129" s="842"/>
      <c r="BO129" s="842"/>
      <c r="BP129" s="842"/>
      <c r="BQ129" s="882"/>
      <c r="BR129" s="842"/>
      <c r="BS129" s="842"/>
      <c r="BT129" s="842"/>
      <c r="BU129" s="842"/>
      <c r="BV129" s="842"/>
      <c r="BW129" s="842"/>
      <c r="BX129" s="842"/>
      <c r="BY129" s="842"/>
      <c r="BZ129" s="842"/>
      <c r="CA129" s="842"/>
      <c r="CB129" s="842"/>
      <c r="CC129" s="842"/>
      <c r="CD129" s="842"/>
      <c r="CE129" s="842"/>
      <c r="CF129" s="842"/>
      <c r="CG129" s="842"/>
      <c r="CH129" s="842"/>
      <c r="CI129" s="842"/>
      <c r="CJ129" s="842"/>
      <c r="CK129" s="842"/>
      <c r="CL129" s="842"/>
      <c r="CM129" s="842"/>
      <c r="CN129" s="842"/>
      <c r="CO129" s="842"/>
      <c r="CP129" s="842"/>
      <c r="CQ129" s="842"/>
      <c r="CR129" s="842"/>
      <c r="CS129" s="842"/>
      <c r="CT129" s="842"/>
      <c r="CU129" s="842"/>
      <c r="CV129" s="842"/>
      <c r="CW129" s="842"/>
      <c r="CX129" s="842"/>
      <c r="CY129" s="842"/>
      <c r="CZ129" s="842"/>
      <c r="DA129" s="842"/>
      <c r="DB129" s="842"/>
      <c r="DC129" s="842"/>
      <c r="DD129" s="842"/>
      <c r="DE129" s="842"/>
      <c r="DF129" s="842"/>
      <c r="DG129" s="842"/>
      <c r="DH129" s="842"/>
      <c r="DI129" s="842"/>
      <c r="DJ129" s="842"/>
      <c r="DK129" s="842"/>
      <c r="DL129" s="842"/>
      <c r="DM129" s="842"/>
      <c r="DN129" s="842"/>
      <c r="DO129" s="842"/>
      <c r="DP129" s="842"/>
      <c r="DQ129" s="842"/>
      <c r="DR129" s="842"/>
      <c r="DS129" s="842"/>
      <c r="DT129" s="842"/>
    </row>
    <row r="130" spans="54:124" x14ac:dyDescent="0.25">
      <c r="BB130" s="842"/>
      <c r="BC130" s="842"/>
      <c r="BD130" s="842"/>
      <c r="BE130" s="842"/>
      <c r="BF130" s="842"/>
      <c r="BG130" s="842"/>
      <c r="BH130" s="842"/>
      <c r="BI130" s="842"/>
      <c r="BJ130" s="842"/>
      <c r="BK130" s="842"/>
      <c r="BL130" s="842"/>
      <c r="BM130" s="842"/>
      <c r="BN130" s="842"/>
      <c r="BO130" s="842"/>
      <c r="BP130" s="842"/>
      <c r="BQ130" s="882"/>
      <c r="BR130" s="842"/>
      <c r="BS130" s="842"/>
      <c r="BT130" s="842"/>
      <c r="BU130" s="842"/>
      <c r="BV130" s="842"/>
      <c r="BW130" s="842"/>
      <c r="BX130" s="842"/>
      <c r="BY130" s="842"/>
      <c r="BZ130" s="842"/>
      <c r="CA130" s="842"/>
      <c r="CB130" s="842"/>
      <c r="CC130" s="842"/>
      <c r="CD130" s="842"/>
      <c r="CE130" s="842"/>
      <c r="CF130" s="842"/>
      <c r="CG130" s="842"/>
      <c r="CH130" s="842"/>
      <c r="CI130" s="842"/>
      <c r="CJ130" s="842"/>
      <c r="CK130" s="842"/>
      <c r="CL130" s="842"/>
      <c r="CM130" s="842"/>
      <c r="CN130" s="842"/>
      <c r="CO130" s="842"/>
      <c r="CP130" s="842"/>
      <c r="CQ130" s="842"/>
      <c r="CR130" s="842"/>
      <c r="CS130" s="842"/>
      <c r="CT130" s="842"/>
      <c r="CU130" s="842"/>
      <c r="CV130" s="842"/>
      <c r="CW130" s="842"/>
      <c r="CX130" s="842"/>
      <c r="CY130" s="842"/>
      <c r="CZ130" s="842"/>
      <c r="DA130" s="842"/>
      <c r="DB130" s="842"/>
      <c r="DC130" s="842"/>
      <c r="DD130" s="842"/>
      <c r="DE130" s="842"/>
      <c r="DF130" s="842"/>
      <c r="DG130" s="842"/>
      <c r="DH130" s="842"/>
      <c r="DI130" s="842"/>
      <c r="DJ130" s="842"/>
      <c r="DK130" s="842"/>
      <c r="DL130" s="842"/>
      <c r="DM130" s="842"/>
      <c r="DN130" s="842"/>
      <c r="DO130" s="842"/>
      <c r="DP130" s="842"/>
      <c r="DQ130" s="842"/>
      <c r="DR130" s="842"/>
      <c r="DS130" s="842"/>
      <c r="DT130" s="842"/>
    </row>
    <row r="131" spans="54:124" x14ac:dyDescent="0.25">
      <c r="BB131" s="842"/>
      <c r="BC131" s="842"/>
      <c r="BD131" s="842"/>
      <c r="BE131" s="842"/>
      <c r="BF131" s="842"/>
      <c r="BG131" s="842"/>
      <c r="BH131" s="842"/>
      <c r="BI131" s="842"/>
      <c r="BJ131" s="842"/>
      <c r="BK131" s="842"/>
      <c r="BL131" s="842"/>
      <c r="BM131" s="842"/>
      <c r="BN131" s="842"/>
      <c r="BO131" s="842"/>
      <c r="BP131" s="842"/>
      <c r="BQ131" s="882"/>
      <c r="BR131" s="842"/>
      <c r="BS131" s="842"/>
      <c r="BT131" s="842"/>
      <c r="BU131" s="842"/>
      <c r="BV131" s="842"/>
      <c r="BW131" s="842"/>
      <c r="BX131" s="842"/>
      <c r="BY131" s="842"/>
      <c r="BZ131" s="842"/>
      <c r="CA131" s="842"/>
      <c r="CB131" s="842"/>
      <c r="CC131" s="842"/>
      <c r="CD131" s="842"/>
      <c r="CE131" s="842"/>
      <c r="CF131" s="842"/>
      <c r="CG131" s="842"/>
      <c r="CH131" s="842"/>
      <c r="CI131" s="842"/>
      <c r="CJ131" s="842"/>
      <c r="CK131" s="842"/>
      <c r="CL131" s="842"/>
      <c r="CM131" s="842"/>
      <c r="CN131" s="842"/>
      <c r="CO131" s="842"/>
      <c r="CP131" s="842"/>
      <c r="CQ131" s="842"/>
      <c r="CR131" s="842"/>
      <c r="CS131" s="842"/>
      <c r="CT131" s="842"/>
      <c r="CU131" s="842"/>
      <c r="CV131" s="842"/>
      <c r="CW131" s="842"/>
      <c r="CX131" s="842"/>
      <c r="CY131" s="842"/>
      <c r="CZ131" s="842"/>
      <c r="DA131" s="842"/>
      <c r="DB131" s="842"/>
      <c r="DC131" s="842"/>
      <c r="DD131" s="842"/>
      <c r="DE131" s="842"/>
      <c r="DF131" s="842"/>
      <c r="DG131" s="842"/>
      <c r="DH131" s="842"/>
      <c r="DI131" s="842"/>
      <c r="DJ131" s="842"/>
      <c r="DK131" s="842"/>
      <c r="DL131" s="842"/>
      <c r="DM131" s="842"/>
      <c r="DN131" s="842"/>
      <c r="DO131" s="842"/>
      <c r="DP131" s="842"/>
      <c r="DQ131" s="842"/>
      <c r="DR131" s="842"/>
      <c r="DS131" s="842"/>
      <c r="DT131" s="842"/>
    </row>
    <row r="132" spans="54:124" x14ac:dyDescent="0.25">
      <c r="BB132" s="842"/>
      <c r="BC132" s="842"/>
      <c r="BD132" s="842"/>
      <c r="BE132" s="842"/>
      <c r="BF132" s="842"/>
      <c r="BG132" s="842"/>
      <c r="BH132" s="842"/>
      <c r="BI132" s="842"/>
      <c r="BJ132" s="842"/>
      <c r="BK132" s="842"/>
      <c r="BL132" s="842"/>
      <c r="BM132" s="842"/>
      <c r="BN132" s="842"/>
      <c r="BO132" s="842"/>
      <c r="BP132" s="842"/>
      <c r="BQ132" s="882"/>
      <c r="BR132" s="842"/>
      <c r="BS132" s="842"/>
      <c r="BT132" s="842"/>
      <c r="BU132" s="842"/>
      <c r="BV132" s="842"/>
      <c r="BW132" s="842"/>
      <c r="BX132" s="842"/>
      <c r="BY132" s="842"/>
      <c r="BZ132" s="842"/>
      <c r="CA132" s="842"/>
      <c r="CB132" s="842"/>
      <c r="CC132" s="842"/>
      <c r="CD132" s="842"/>
      <c r="CE132" s="842"/>
      <c r="CF132" s="842"/>
      <c r="CG132" s="842"/>
      <c r="CH132" s="842"/>
      <c r="CI132" s="842"/>
      <c r="CJ132" s="842"/>
      <c r="CK132" s="842"/>
      <c r="CL132" s="842"/>
      <c r="CM132" s="842"/>
      <c r="CN132" s="842"/>
      <c r="CO132" s="842"/>
      <c r="CP132" s="842"/>
      <c r="CQ132" s="842"/>
      <c r="CR132" s="842"/>
      <c r="CS132" s="842"/>
      <c r="CT132" s="842"/>
      <c r="CU132" s="842"/>
      <c r="CV132" s="842"/>
      <c r="CW132" s="842"/>
      <c r="CX132" s="842"/>
      <c r="CY132" s="842"/>
      <c r="CZ132" s="842"/>
      <c r="DA132" s="842"/>
      <c r="DB132" s="842"/>
      <c r="DC132" s="842"/>
      <c r="DD132" s="842"/>
      <c r="DE132" s="842"/>
      <c r="DF132" s="842"/>
      <c r="DG132" s="842"/>
      <c r="DH132" s="842"/>
      <c r="DI132" s="842"/>
      <c r="DJ132" s="842"/>
      <c r="DK132" s="842"/>
      <c r="DL132" s="842"/>
      <c r="DM132" s="842"/>
      <c r="DN132" s="842"/>
      <c r="DO132" s="842"/>
      <c r="DP132" s="842"/>
      <c r="DQ132" s="842"/>
      <c r="DR132" s="842"/>
      <c r="DS132" s="842"/>
      <c r="DT132" s="842"/>
    </row>
    <row r="133" spans="54:124" x14ac:dyDescent="0.25">
      <c r="BB133" s="842"/>
      <c r="BC133" s="842"/>
      <c r="BD133" s="842"/>
      <c r="BE133" s="842"/>
      <c r="BF133" s="842"/>
      <c r="BG133" s="842"/>
      <c r="BH133" s="842"/>
      <c r="BI133" s="842"/>
      <c r="BJ133" s="842"/>
      <c r="BK133" s="842"/>
      <c r="BL133" s="842"/>
      <c r="BM133" s="842"/>
      <c r="BN133" s="842"/>
      <c r="BO133" s="842"/>
      <c r="BP133" s="842"/>
      <c r="BQ133" s="882"/>
      <c r="BR133" s="842"/>
      <c r="BS133" s="842"/>
      <c r="BT133" s="842"/>
      <c r="BU133" s="842"/>
      <c r="BV133" s="842"/>
      <c r="BW133" s="842"/>
      <c r="BX133" s="842"/>
      <c r="BY133" s="842"/>
      <c r="BZ133" s="842"/>
      <c r="CA133" s="842"/>
      <c r="CB133" s="842"/>
      <c r="CC133" s="842"/>
      <c r="CD133" s="842"/>
      <c r="CE133" s="842"/>
      <c r="CF133" s="842"/>
      <c r="CG133" s="842"/>
      <c r="CH133" s="842"/>
      <c r="CI133" s="842"/>
      <c r="CJ133" s="842"/>
      <c r="CK133" s="842"/>
      <c r="CL133" s="842"/>
      <c r="CM133" s="842"/>
      <c r="CN133" s="842"/>
      <c r="CO133" s="842"/>
      <c r="CP133" s="842"/>
      <c r="CQ133" s="842"/>
      <c r="CR133" s="842"/>
      <c r="CS133" s="842"/>
      <c r="CT133" s="842"/>
      <c r="CU133" s="842"/>
      <c r="CV133" s="842"/>
      <c r="CW133" s="842"/>
      <c r="CX133" s="842"/>
      <c r="CY133" s="842"/>
      <c r="CZ133" s="842"/>
      <c r="DA133" s="842"/>
      <c r="DB133" s="842"/>
      <c r="DC133" s="842"/>
      <c r="DD133" s="842"/>
      <c r="DE133" s="842"/>
      <c r="DF133" s="842"/>
      <c r="DG133" s="842"/>
      <c r="DH133" s="842"/>
      <c r="DI133" s="842"/>
      <c r="DJ133" s="842"/>
      <c r="DK133" s="842"/>
      <c r="DL133" s="842"/>
      <c r="DM133" s="842"/>
      <c r="DN133" s="842"/>
      <c r="DO133" s="842"/>
      <c r="DP133" s="842"/>
      <c r="DQ133" s="842"/>
      <c r="DR133" s="842"/>
      <c r="DS133" s="842"/>
      <c r="DT133" s="842"/>
    </row>
    <row r="134" spans="54:124" x14ac:dyDescent="0.25">
      <c r="BB134" s="842"/>
      <c r="BC134" s="842"/>
      <c r="BD134" s="842"/>
      <c r="BE134" s="842"/>
      <c r="BF134" s="842"/>
      <c r="BG134" s="842"/>
      <c r="BH134" s="842"/>
      <c r="BI134" s="842"/>
      <c r="BJ134" s="842"/>
      <c r="BK134" s="842"/>
      <c r="BL134" s="842"/>
      <c r="BM134" s="842"/>
      <c r="BN134" s="842"/>
      <c r="BO134" s="842"/>
      <c r="BP134" s="842"/>
      <c r="BQ134" s="882"/>
      <c r="BR134" s="842"/>
      <c r="BS134" s="842"/>
      <c r="BT134" s="842"/>
      <c r="BU134" s="842"/>
      <c r="BV134" s="842"/>
      <c r="BW134" s="842"/>
      <c r="BX134" s="842"/>
      <c r="BY134" s="842"/>
      <c r="BZ134" s="842"/>
      <c r="CA134" s="842"/>
      <c r="CB134" s="842"/>
      <c r="CC134" s="842"/>
      <c r="CD134" s="842"/>
      <c r="CE134" s="842"/>
      <c r="CF134" s="842"/>
      <c r="CG134" s="842"/>
      <c r="CH134" s="842"/>
      <c r="CI134" s="842"/>
      <c r="CJ134" s="842"/>
      <c r="CK134" s="842"/>
      <c r="CL134" s="842"/>
      <c r="CM134" s="842"/>
      <c r="CN134" s="842"/>
      <c r="CO134" s="842"/>
      <c r="CP134" s="842"/>
      <c r="CQ134" s="842"/>
      <c r="CR134" s="842"/>
      <c r="CS134" s="842"/>
      <c r="CT134" s="842"/>
      <c r="CU134" s="842"/>
      <c r="CV134" s="842"/>
      <c r="CW134" s="842"/>
      <c r="CX134" s="842"/>
      <c r="CY134" s="842"/>
      <c r="CZ134" s="842"/>
      <c r="DA134" s="842"/>
      <c r="DB134" s="842"/>
      <c r="DC134" s="842"/>
      <c r="DD134" s="842"/>
      <c r="DE134" s="842"/>
      <c r="DF134" s="842"/>
      <c r="DG134" s="842"/>
      <c r="DH134" s="842"/>
      <c r="DI134" s="842"/>
      <c r="DJ134" s="842"/>
      <c r="DK134" s="842"/>
      <c r="DL134" s="842"/>
      <c r="DM134" s="842"/>
      <c r="DN134" s="842"/>
      <c r="DO134" s="842"/>
      <c r="DP134" s="842"/>
      <c r="DQ134" s="842"/>
      <c r="DR134" s="842"/>
      <c r="DS134" s="842"/>
      <c r="DT134" s="842"/>
    </row>
    <row r="135" spans="54:124" x14ac:dyDescent="0.25">
      <c r="BB135" s="842"/>
      <c r="BC135" s="842"/>
      <c r="BD135" s="842"/>
      <c r="BE135" s="842"/>
      <c r="BF135" s="842"/>
      <c r="BG135" s="842"/>
      <c r="BH135" s="842"/>
      <c r="BI135" s="842"/>
      <c r="BJ135" s="842"/>
      <c r="BK135" s="842"/>
      <c r="BL135" s="842"/>
      <c r="BM135" s="842"/>
      <c r="BN135" s="842"/>
      <c r="BO135" s="842"/>
      <c r="BP135" s="842"/>
      <c r="BQ135" s="882"/>
      <c r="BR135" s="842"/>
      <c r="BS135" s="842"/>
      <c r="BT135" s="842"/>
      <c r="BU135" s="842"/>
      <c r="BV135" s="842"/>
      <c r="BW135" s="842"/>
      <c r="BX135" s="842"/>
      <c r="BY135" s="842"/>
      <c r="BZ135" s="842"/>
      <c r="CA135" s="842"/>
      <c r="CB135" s="842"/>
      <c r="CC135" s="842"/>
      <c r="CD135" s="842"/>
      <c r="CE135" s="842"/>
      <c r="CF135" s="842"/>
      <c r="CG135" s="842"/>
      <c r="CH135" s="842"/>
      <c r="CI135" s="842"/>
      <c r="CJ135" s="842"/>
      <c r="CK135" s="842"/>
      <c r="CL135" s="842"/>
      <c r="CM135" s="842"/>
      <c r="CN135" s="842"/>
      <c r="CO135" s="842"/>
      <c r="CP135" s="842"/>
      <c r="CQ135" s="842"/>
      <c r="CR135" s="842"/>
      <c r="CS135" s="842"/>
      <c r="CT135" s="842"/>
      <c r="CU135" s="842"/>
      <c r="CV135" s="842"/>
      <c r="CW135" s="842"/>
      <c r="CX135" s="842"/>
      <c r="CY135" s="842"/>
      <c r="CZ135" s="842"/>
      <c r="DA135" s="842"/>
      <c r="DB135" s="842"/>
      <c r="DC135" s="842"/>
      <c r="DD135" s="842"/>
      <c r="DE135" s="842"/>
      <c r="DF135" s="842"/>
      <c r="DG135" s="842"/>
      <c r="DH135" s="842"/>
      <c r="DI135" s="842"/>
      <c r="DJ135" s="842"/>
      <c r="DK135" s="842"/>
      <c r="DL135" s="842"/>
      <c r="DM135" s="842"/>
      <c r="DN135" s="842"/>
      <c r="DO135" s="842"/>
      <c r="DP135" s="842"/>
      <c r="DQ135" s="842"/>
      <c r="DR135" s="842"/>
      <c r="DS135" s="842"/>
      <c r="DT135" s="842"/>
    </row>
    <row r="136" spans="54:124" x14ac:dyDescent="0.25">
      <c r="BB136" s="842"/>
      <c r="BC136" s="842"/>
      <c r="BD136" s="842"/>
      <c r="BE136" s="842"/>
      <c r="BF136" s="842"/>
      <c r="BG136" s="842"/>
      <c r="BH136" s="842"/>
      <c r="BI136" s="842"/>
      <c r="BJ136" s="842"/>
      <c r="BK136" s="842"/>
      <c r="BL136" s="842"/>
      <c r="BM136" s="842"/>
      <c r="BN136" s="842"/>
      <c r="BO136" s="842"/>
      <c r="BP136" s="842"/>
      <c r="BQ136" s="882"/>
      <c r="BR136" s="842"/>
      <c r="BS136" s="842"/>
      <c r="BT136" s="842"/>
      <c r="BU136" s="842"/>
      <c r="BV136" s="842"/>
      <c r="BW136" s="842"/>
      <c r="BX136" s="842"/>
      <c r="BY136" s="842"/>
      <c r="BZ136" s="842"/>
      <c r="CA136" s="842"/>
      <c r="CB136" s="842"/>
      <c r="CC136" s="842"/>
      <c r="CD136" s="842"/>
      <c r="CE136" s="842"/>
      <c r="CF136" s="842"/>
      <c r="CG136" s="842"/>
      <c r="CH136" s="842"/>
      <c r="CI136" s="842"/>
      <c r="CJ136" s="842"/>
      <c r="CK136" s="842"/>
      <c r="CL136" s="842"/>
      <c r="CM136" s="842"/>
      <c r="CN136" s="842"/>
      <c r="CO136" s="842"/>
      <c r="CP136" s="842"/>
      <c r="CQ136" s="842"/>
      <c r="CR136" s="842"/>
      <c r="CS136" s="842"/>
      <c r="CT136" s="842"/>
      <c r="CU136" s="842"/>
      <c r="CV136" s="842"/>
      <c r="CW136" s="842"/>
      <c r="CX136" s="842"/>
      <c r="CY136" s="842"/>
      <c r="CZ136" s="842"/>
      <c r="DA136" s="842"/>
      <c r="DB136" s="842"/>
      <c r="DC136" s="842"/>
      <c r="DD136" s="842"/>
      <c r="DE136" s="842"/>
      <c r="DF136" s="842"/>
      <c r="DG136" s="842"/>
      <c r="DH136" s="842"/>
      <c r="DI136" s="842"/>
      <c r="DJ136" s="842"/>
      <c r="DK136" s="842"/>
      <c r="DL136" s="842"/>
      <c r="DM136" s="842"/>
      <c r="DN136" s="842"/>
      <c r="DO136" s="842"/>
      <c r="DP136" s="842"/>
      <c r="DQ136" s="842"/>
      <c r="DR136" s="842"/>
      <c r="DS136" s="842"/>
      <c r="DT136" s="842"/>
    </row>
    <row r="137" spans="54:124" x14ac:dyDescent="0.25">
      <c r="BB137" s="842"/>
      <c r="BC137" s="842"/>
      <c r="BD137" s="842"/>
      <c r="BE137" s="842"/>
      <c r="BF137" s="842"/>
      <c r="BG137" s="842"/>
      <c r="BH137" s="842"/>
      <c r="BI137" s="842"/>
      <c r="BJ137" s="842"/>
      <c r="BK137" s="842"/>
      <c r="BL137" s="842"/>
      <c r="BM137" s="842"/>
      <c r="BN137" s="842"/>
      <c r="BO137" s="842"/>
      <c r="BP137" s="842"/>
      <c r="BQ137" s="882"/>
      <c r="BR137" s="842"/>
      <c r="BS137" s="842"/>
      <c r="BT137" s="842"/>
      <c r="BU137" s="842"/>
      <c r="BV137" s="842"/>
      <c r="BW137" s="842"/>
      <c r="BX137" s="842"/>
      <c r="BY137" s="842"/>
      <c r="BZ137" s="842"/>
      <c r="CA137" s="842"/>
      <c r="CB137" s="842"/>
      <c r="CC137" s="842"/>
      <c r="CD137" s="842"/>
      <c r="CE137" s="842"/>
      <c r="CF137" s="842"/>
      <c r="CG137" s="842"/>
      <c r="CH137" s="842"/>
      <c r="CI137" s="842"/>
      <c r="CJ137" s="842"/>
      <c r="CK137" s="842"/>
      <c r="CL137" s="842"/>
      <c r="CM137" s="842"/>
      <c r="CN137" s="842"/>
      <c r="CO137" s="842"/>
      <c r="CP137" s="842"/>
      <c r="CQ137" s="842"/>
      <c r="CR137" s="842"/>
      <c r="CS137" s="842"/>
      <c r="CT137" s="842"/>
      <c r="CU137" s="842"/>
      <c r="CV137" s="842"/>
      <c r="CW137" s="842"/>
      <c r="CX137" s="842"/>
      <c r="CY137" s="842"/>
      <c r="CZ137" s="842"/>
      <c r="DA137" s="842"/>
      <c r="DB137" s="842"/>
      <c r="DC137" s="842"/>
      <c r="DD137" s="842"/>
      <c r="DE137" s="842"/>
      <c r="DF137" s="842"/>
      <c r="DG137" s="842"/>
      <c r="DH137" s="842"/>
      <c r="DI137" s="842"/>
      <c r="DJ137" s="842"/>
      <c r="DK137" s="842"/>
      <c r="DL137" s="842"/>
      <c r="DM137" s="842"/>
      <c r="DN137" s="842"/>
      <c r="DO137" s="842"/>
      <c r="DP137" s="842"/>
      <c r="DQ137" s="842"/>
      <c r="DR137" s="842"/>
      <c r="DS137" s="842"/>
      <c r="DT137" s="842"/>
    </row>
    <row r="138" spans="54:124" x14ac:dyDescent="0.25">
      <c r="BB138" s="842"/>
      <c r="BC138" s="842"/>
      <c r="BD138" s="842"/>
      <c r="BE138" s="842"/>
      <c r="BF138" s="842"/>
      <c r="BG138" s="842"/>
      <c r="BH138" s="842"/>
      <c r="BI138" s="842"/>
      <c r="BJ138" s="842"/>
      <c r="BK138" s="842"/>
      <c r="BL138" s="842"/>
      <c r="BM138" s="842"/>
      <c r="BN138" s="842"/>
      <c r="BO138" s="842"/>
      <c r="BP138" s="842"/>
      <c r="BQ138" s="882"/>
      <c r="BR138" s="842"/>
      <c r="BS138" s="842"/>
      <c r="BT138" s="842"/>
      <c r="BU138" s="842"/>
      <c r="BV138" s="842"/>
      <c r="BW138" s="842"/>
      <c r="BX138" s="842"/>
      <c r="BY138" s="842"/>
      <c r="BZ138" s="842"/>
      <c r="CA138" s="842"/>
      <c r="CB138" s="842"/>
      <c r="CC138" s="842"/>
      <c r="CD138" s="842"/>
      <c r="CE138" s="842"/>
      <c r="CF138" s="842"/>
      <c r="CG138" s="842"/>
      <c r="CH138" s="842"/>
      <c r="CI138" s="842"/>
      <c r="CJ138" s="842"/>
      <c r="CK138" s="842"/>
      <c r="CL138" s="842"/>
      <c r="CM138" s="842"/>
      <c r="CN138" s="842"/>
      <c r="CO138" s="842"/>
      <c r="CP138" s="842"/>
      <c r="CQ138" s="842"/>
      <c r="CR138" s="842"/>
      <c r="CS138" s="842"/>
      <c r="CT138" s="842"/>
      <c r="CU138" s="842"/>
      <c r="CV138" s="842"/>
      <c r="CW138" s="842"/>
      <c r="CX138" s="842"/>
      <c r="CY138" s="842"/>
      <c r="CZ138" s="842"/>
      <c r="DA138" s="842"/>
      <c r="DB138" s="842"/>
      <c r="DC138" s="842"/>
      <c r="DD138" s="842"/>
      <c r="DE138" s="842"/>
      <c r="DF138" s="842"/>
      <c r="DG138" s="842"/>
      <c r="DH138" s="842"/>
      <c r="DI138" s="842"/>
      <c r="DJ138" s="842"/>
      <c r="DK138" s="842"/>
      <c r="DL138" s="842"/>
      <c r="DM138" s="842"/>
      <c r="DN138" s="842"/>
      <c r="DO138" s="842"/>
      <c r="DP138" s="842"/>
      <c r="DQ138" s="842"/>
      <c r="DR138" s="842"/>
      <c r="DS138" s="842"/>
      <c r="DT138" s="842"/>
    </row>
    <row r="139" spans="54:124" x14ac:dyDescent="0.25">
      <c r="BB139" s="842"/>
      <c r="BC139" s="842"/>
      <c r="BD139" s="842"/>
      <c r="BE139" s="842"/>
      <c r="BF139" s="842"/>
      <c r="BG139" s="842"/>
      <c r="BH139" s="842"/>
      <c r="BI139" s="842"/>
      <c r="BJ139" s="842"/>
      <c r="BK139" s="842"/>
      <c r="BL139" s="842"/>
      <c r="BM139" s="842"/>
      <c r="BN139" s="842"/>
      <c r="BO139" s="842"/>
      <c r="BP139" s="842"/>
      <c r="BQ139" s="882"/>
      <c r="BR139" s="842"/>
      <c r="BS139" s="842"/>
      <c r="BT139" s="842"/>
      <c r="BU139" s="842"/>
      <c r="BV139" s="842"/>
      <c r="BW139" s="842"/>
      <c r="BX139" s="842"/>
      <c r="BY139" s="842"/>
      <c r="BZ139" s="842"/>
      <c r="CA139" s="842"/>
      <c r="CB139" s="842"/>
      <c r="CC139" s="842"/>
      <c r="CD139" s="842"/>
      <c r="CE139" s="842"/>
      <c r="CF139" s="842"/>
      <c r="CG139" s="842"/>
      <c r="CH139" s="842"/>
      <c r="CI139" s="842"/>
      <c r="CJ139" s="842"/>
      <c r="CK139" s="842"/>
      <c r="CL139" s="842"/>
      <c r="CM139" s="842"/>
      <c r="CN139" s="842"/>
      <c r="CO139" s="842"/>
      <c r="CP139" s="842"/>
      <c r="CQ139" s="842"/>
      <c r="CR139" s="842"/>
      <c r="CS139" s="842"/>
      <c r="CT139" s="842"/>
      <c r="CU139" s="842"/>
      <c r="CV139" s="842"/>
      <c r="CW139" s="842"/>
      <c r="CX139" s="842"/>
      <c r="CY139" s="842"/>
      <c r="CZ139" s="842"/>
      <c r="DA139" s="842"/>
      <c r="DB139" s="842"/>
      <c r="DC139" s="842"/>
      <c r="DD139" s="842"/>
      <c r="DE139" s="842"/>
      <c r="DF139" s="842"/>
      <c r="DG139" s="842"/>
      <c r="DH139" s="842"/>
      <c r="DI139" s="842"/>
      <c r="DJ139" s="842"/>
      <c r="DK139" s="842"/>
      <c r="DL139" s="842"/>
      <c r="DM139" s="842"/>
      <c r="DN139" s="842"/>
      <c r="DO139" s="842"/>
      <c r="DP139" s="842"/>
      <c r="DQ139" s="842"/>
      <c r="DR139" s="842"/>
      <c r="DS139" s="842"/>
      <c r="DT139" s="842"/>
    </row>
    <row r="140" spans="54:124" x14ac:dyDescent="0.25">
      <c r="BB140" s="842"/>
      <c r="BC140" s="842"/>
      <c r="BD140" s="842"/>
      <c r="BE140" s="842"/>
      <c r="BF140" s="842"/>
      <c r="BG140" s="842"/>
      <c r="BH140" s="842"/>
      <c r="BI140" s="842"/>
      <c r="BJ140" s="842"/>
      <c r="BK140" s="842"/>
      <c r="BL140" s="842"/>
      <c r="BM140" s="842"/>
      <c r="BN140" s="842"/>
      <c r="BO140" s="842"/>
      <c r="BP140" s="842"/>
      <c r="BQ140" s="882"/>
      <c r="BR140" s="842"/>
      <c r="BS140" s="842"/>
      <c r="BT140" s="842"/>
      <c r="BU140" s="842"/>
      <c r="BV140" s="842"/>
      <c r="BW140" s="842"/>
      <c r="BX140" s="842"/>
      <c r="BY140" s="842"/>
      <c r="BZ140" s="842"/>
      <c r="CA140" s="842"/>
      <c r="CB140" s="842"/>
      <c r="CC140" s="842"/>
      <c r="CD140" s="842"/>
      <c r="CE140" s="842"/>
      <c r="CF140" s="842"/>
      <c r="CG140" s="842"/>
      <c r="CH140" s="842"/>
      <c r="CI140" s="842"/>
      <c r="CJ140" s="842"/>
      <c r="CK140" s="842"/>
      <c r="CL140" s="842"/>
      <c r="CM140" s="842"/>
      <c r="CN140" s="842"/>
      <c r="CO140" s="842"/>
      <c r="CP140" s="842"/>
      <c r="CQ140" s="842"/>
      <c r="CR140" s="842"/>
      <c r="CS140" s="842"/>
      <c r="CT140" s="842"/>
      <c r="CU140" s="842"/>
      <c r="CV140" s="842"/>
      <c r="CW140" s="842"/>
      <c r="CX140" s="842"/>
      <c r="CY140" s="842"/>
      <c r="CZ140" s="842"/>
      <c r="DA140" s="842"/>
      <c r="DB140" s="842"/>
      <c r="DC140" s="842"/>
      <c r="DD140" s="842"/>
      <c r="DE140" s="842"/>
      <c r="DF140" s="842"/>
      <c r="DG140" s="842"/>
      <c r="DH140" s="842"/>
      <c r="DI140" s="842"/>
      <c r="DJ140" s="842"/>
      <c r="DK140" s="842"/>
      <c r="DL140" s="842"/>
      <c r="DM140" s="842"/>
      <c r="DN140" s="842"/>
      <c r="DO140" s="842"/>
      <c r="DP140" s="842"/>
      <c r="DQ140" s="842"/>
      <c r="DR140" s="842"/>
      <c r="DS140" s="842"/>
      <c r="DT140" s="842"/>
    </row>
    <row r="141" spans="54:124" x14ac:dyDescent="0.25">
      <c r="BB141" s="842"/>
      <c r="BC141" s="842"/>
      <c r="BD141" s="842"/>
      <c r="BE141" s="842"/>
      <c r="BF141" s="842"/>
      <c r="BG141" s="842"/>
      <c r="BH141" s="842"/>
      <c r="BI141" s="842"/>
      <c r="BJ141" s="842"/>
      <c r="BK141" s="842"/>
      <c r="BL141" s="842"/>
      <c r="BM141" s="842"/>
      <c r="BN141" s="842"/>
      <c r="BO141" s="842"/>
      <c r="BP141" s="842"/>
      <c r="BQ141" s="882"/>
      <c r="BR141" s="842"/>
      <c r="BS141" s="842"/>
      <c r="BT141" s="842"/>
      <c r="BU141" s="842"/>
      <c r="BV141" s="842"/>
      <c r="BW141" s="842"/>
      <c r="BX141" s="842"/>
      <c r="BY141" s="842"/>
      <c r="BZ141" s="842"/>
      <c r="CA141" s="842"/>
      <c r="CB141" s="842"/>
      <c r="CC141" s="842"/>
      <c r="CD141" s="842"/>
      <c r="CE141" s="842"/>
      <c r="CF141" s="842"/>
      <c r="CG141" s="842"/>
      <c r="CH141" s="842"/>
      <c r="CI141" s="842"/>
      <c r="CJ141" s="842"/>
      <c r="CK141" s="842"/>
      <c r="CL141" s="842"/>
      <c r="CM141" s="842"/>
      <c r="CN141" s="842"/>
      <c r="CO141" s="842"/>
      <c r="CP141" s="842"/>
      <c r="CQ141" s="842"/>
      <c r="CR141" s="842"/>
      <c r="CS141" s="842"/>
      <c r="CT141" s="842"/>
      <c r="CU141" s="842"/>
      <c r="CV141" s="842"/>
      <c r="CW141" s="842"/>
      <c r="CX141" s="842"/>
      <c r="CY141" s="842"/>
      <c r="CZ141" s="842"/>
      <c r="DA141" s="842"/>
      <c r="DB141" s="842"/>
      <c r="DC141" s="842"/>
      <c r="DD141" s="842"/>
      <c r="DE141" s="842"/>
      <c r="DF141" s="842"/>
      <c r="DG141" s="842"/>
      <c r="DH141" s="842"/>
      <c r="DI141" s="842"/>
      <c r="DJ141" s="842"/>
      <c r="DK141" s="842"/>
      <c r="DL141" s="842"/>
      <c r="DM141" s="842"/>
      <c r="DN141" s="842"/>
      <c r="DO141" s="842"/>
      <c r="DP141" s="842"/>
      <c r="DQ141" s="842"/>
      <c r="DR141" s="842"/>
      <c r="DS141" s="842"/>
      <c r="DT141" s="842"/>
    </row>
    <row r="142" spans="54:124" x14ac:dyDescent="0.25">
      <c r="BB142" s="842"/>
      <c r="BC142" s="842"/>
      <c r="BD142" s="842"/>
      <c r="BE142" s="842"/>
      <c r="BF142" s="842"/>
      <c r="BG142" s="842"/>
      <c r="BH142" s="842"/>
      <c r="BI142" s="842"/>
      <c r="BJ142" s="842"/>
      <c r="BK142" s="842"/>
      <c r="BL142" s="842"/>
      <c r="BM142" s="842"/>
      <c r="BN142" s="842"/>
      <c r="BO142" s="842"/>
      <c r="BP142" s="842"/>
      <c r="BQ142" s="882"/>
      <c r="BR142" s="842"/>
      <c r="BS142" s="842"/>
      <c r="BT142" s="842"/>
      <c r="BU142" s="842"/>
      <c r="BV142" s="842"/>
      <c r="BW142" s="842"/>
      <c r="BX142" s="842"/>
      <c r="BY142" s="842"/>
      <c r="BZ142" s="842"/>
      <c r="CA142" s="842"/>
      <c r="CB142" s="842"/>
      <c r="CC142" s="842"/>
      <c r="CD142" s="842"/>
      <c r="CE142" s="842"/>
      <c r="CF142" s="842"/>
      <c r="CG142" s="842"/>
      <c r="CH142" s="842"/>
      <c r="CI142" s="842"/>
      <c r="CJ142" s="842"/>
      <c r="CK142" s="842"/>
      <c r="CL142" s="842"/>
      <c r="CM142" s="842"/>
      <c r="CN142" s="842"/>
      <c r="CO142" s="842"/>
      <c r="CP142" s="842"/>
      <c r="CQ142" s="842"/>
      <c r="CR142" s="842"/>
      <c r="CS142" s="842"/>
      <c r="CT142" s="842"/>
      <c r="CU142" s="842"/>
      <c r="CV142" s="842"/>
      <c r="CW142" s="842"/>
      <c r="CX142" s="842"/>
      <c r="CY142" s="842"/>
      <c r="CZ142" s="842"/>
      <c r="DA142" s="842"/>
      <c r="DB142" s="842"/>
      <c r="DC142" s="842"/>
      <c r="DD142" s="842"/>
      <c r="DE142" s="842"/>
      <c r="DF142" s="842"/>
      <c r="DG142" s="842"/>
      <c r="DH142" s="842"/>
      <c r="DI142" s="842"/>
      <c r="DJ142" s="842"/>
      <c r="DK142" s="842"/>
      <c r="DL142" s="842"/>
      <c r="DM142" s="842"/>
      <c r="DN142" s="842"/>
      <c r="DO142" s="842"/>
      <c r="DP142" s="842"/>
      <c r="DQ142" s="842"/>
      <c r="DR142" s="842"/>
      <c r="DS142" s="842"/>
      <c r="DT142" s="842"/>
    </row>
    <row r="143" spans="54:124" x14ac:dyDescent="0.25">
      <c r="BB143" s="842"/>
      <c r="BC143" s="842"/>
      <c r="BD143" s="842"/>
      <c r="BE143" s="842"/>
      <c r="BF143" s="842"/>
      <c r="BG143" s="842"/>
      <c r="BH143" s="842"/>
      <c r="BI143" s="842"/>
      <c r="BJ143" s="842"/>
      <c r="BK143" s="842"/>
      <c r="BL143" s="842"/>
      <c r="BM143" s="842"/>
      <c r="BN143" s="842"/>
      <c r="BO143" s="842"/>
      <c r="BP143" s="842"/>
      <c r="BQ143" s="882"/>
      <c r="BR143" s="842"/>
      <c r="BS143" s="842"/>
      <c r="BT143" s="842"/>
      <c r="BU143" s="842"/>
      <c r="BV143" s="842"/>
      <c r="BW143" s="842"/>
      <c r="BX143" s="842"/>
      <c r="BY143" s="842"/>
      <c r="BZ143" s="842"/>
      <c r="CA143" s="842"/>
      <c r="CB143" s="842"/>
      <c r="CC143" s="842"/>
      <c r="CD143" s="842"/>
      <c r="CE143" s="842"/>
      <c r="CF143" s="842"/>
      <c r="CG143" s="842"/>
      <c r="CH143" s="842"/>
      <c r="CI143" s="842"/>
      <c r="CJ143" s="842"/>
      <c r="CK143" s="842"/>
      <c r="CL143" s="842"/>
      <c r="CM143" s="842"/>
      <c r="CN143" s="842"/>
      <c r="CO143" s="842"/>
      <c r="CP143" s="842"/>
      <c r="CQ143" s="842"/>
      <c r="CR143" s="842"/>
      <c r="CS143" s="842"/>
      <c r="CT143" s="842"/>
      <c r="CU143" s="842"/>
      <c r="CV143" s="842"/>
      <c r="CW143" s="842"/>
      <c r="CX143" s="842"/>
      <c r="CY143" s="842"/>
      <c r="CZ143" s="842"/>
      <c r="DA143" s="842"/>
      <c r="DB143" s="842"/>
      <c r="DC143" s="842"/>
      <c r="DD143" s="842"/>
      <c r="DE143" s="842"/>
      <c r="DF143" s="842"/>
      <c r="DG143" s="842"/>
      <c r="DH143" s="842"/>
      <c r="DI143" s="842"/>
      <c r="DJ143" s="842"/>
      <c r="DK143" s="842"/>
      <c r="DL143" s="842"/>
      <c r="DM143" s="842"/>
      <c r="DN143" s="842"/>
      <c r="DO143" s="842"/>
      <c r="DP143" s="842"/>
      <c r="DQ143" s="842"/>
      <c r="DR143" s="842"/>
      <c r="DS143" s="842"/>
      <c r="DT143" s="842"/>
    </row>
    <row r="144" spans="54:124" x14ac:dyDescent="0.25">
      <c r="BB144" s="842"/>
      <c r="BC144" s="842"/>
      <c r="BD144" s="842"/>
      <c r="BE144" s="842"/>
      <c r="BF144" s="842"/>
      <c r="BG144" s="842"/>
      <c r="BH144" s="842"/>
      <c r="BI144" s="842"/>
      <c r="BJ144" s="842"/>
      <c r="BK144" s="842"/>
      <c r="BL144" s="842"/>
      <c r="BM144" s="842"/>
      <c r="BN144" s="842"/>
      <c r="BO144" s="842"/>
      <c r="BP144" s="842"/>
      <c r="BQ144" s="882"/>
      <c r="BR144" s="842"/>
      <c r="BS144" s="842"/>
      <c r="BT144" s="842"/>
      <c r="BU144" s="842"/>
      <c r="BV144" s="842"/>
      <c r="BW144" s="842"/>
      <c r="BX144" s="842"/>
      <c r="BY144" s="842"/>
      <c r="BZ144" s="842"/>
      <c r="CA144" s="842"/>
      <c r="CB144" s="842"/>
      <c r="CC144" s="842"/>
      <c r="CD144" s="842"/>
      <c r="CE144" s="842"/>
      <c r="CF144" s="842"/>
      <c r="CG144" s="842"/>
      <c r="CH144" s="842"/>
      <c r="CI144" s="842"/>
      <c r="CJ144" s="842"/>
      <c r="CK144" s="842"/>
      <c r="CL144" s="842"/>
      <c r="CM144" s="842"/>
      <c r="CN144" s="842"/>
      <c r="CO144" s="842"/>
      <c r="CP144" s="842"/>
      <c r="CQ144" s="842"/>
      <c r="CR144" s="842"/>
      <c r="CS144" s="842"/>
      <c r="CT144" s="842"/>
      <c r="CU144" s="842"/>
      <c r="CV144" s="842"/>
      <c r="CW144" s="842"/>
      <c r="CX144" s="842"/>
      <c r="CY144" s="842"/>
      <c r="CZ144" s="842"/>
      <c r="DA144" s="842"/>
      <c r="DB144" s="842"/>
      <c r="DC144" s="842"/>
      <c r="DD144" s="842"/>
      <c r="DE144" s="842"/>
      <c r="DF144" s="842"/>
      <c r="DG144" s="842"/>
      <c r="DH144" s="842"/>
      <c r="DI144" s="842"/>
      <c r="DJ144" s="842"/>
      <c r="DK144" s="842"/>
      <c r="DL144" s="842"/>
      <c r="DM144" s="842"/>
      <c r="DN144" s="842"/>
      <c r="DO144" s="842"/>
      <c r="DP144" s="842"/>
      <c r="DQ144" s="842"/>
      <c r="DR144" s="842"/>
      <c r="DS144" s="842"/>
      <c r="DT144" s="842"/>
    </row>
    <row r="145" spans="54:124" x14ac:dyDescent="0.25">
      <c r="BB145" s="842"/>
      <c r="BC145" s="842"/>
      <c r="BD145" s="842"/>
      <c r="BE145" s="842"/>
      <c r="BF145" s="842"/>
      <c r="BG145" s="842"/>
      <c r="BH145" s="842"/>
      <c r="BI145" s="842"/>
      <c r="BJ145" s="842"/>
      <c r="BK145" s="842"/>
      <c r="BL145" s="842"/>
      <c r="BM145" s="842"/>
      <c r="BN145" s="842"/>
      <c r="BO145" s="842"/>
      <c r="BP145" s="842"/>
      <c r="BQ145" s="882"/>
      <c r="BR145" s="842"/>
      <c r="BS145" s="842"/>
      <c r="BT145" s="842"/>
      <c r="BU145" s="842"/>
      <c r="BV145" s="842"/>
      <c r="BW145" s="842"/>
      <c r="BX145" s="842"/>
      <c r="BY145" s="842"/>
      <c r="BZ145" s="842"/>
      <c r="CA145" s="842"/>
      <c r="CB145" s="842"/>
      <c r="CC145" s="842"/>
      <c r="CD145" s="842"/>
      <c r="CE145" s="842"/>
      <c r="CF145" s="842"/>
      <c r="CG145" s="842"/>
      <c r="CH145" s="842"/>
      <c r="CI145" s="842"/>
      <c r="CJ145" s="842"/>
      <c r="CK145" s="842"/>
      <c r="CL145" s="842"/>
      <c r="CM145" s="842"/>
      <c r="CN145" s="842"/>
      <c r="CO145" s="842"/>
      <c r="CP145" s="842"/>
      <c r="CQ145" s="842"/>
      <c r="CR145" s="842"/>
      <c r="CS145" s="842"/>
      <c r="CT145" s="842"/>
      <c r="CU145" s="842"/>
      <c r="CV145" s="842"/>
      <c r="CW145" s="842"/>
      <c r="CX145" s="842"/>
      <c r="CY145" s="842"/>
      <c r="CZ145" s="842"/>
      <c r="DA145" s="842"/>
      <c r="DB145" s="842"/>
      <c r="DC145" s="842"/>
      <c r="DD145" s="842"/>
      <c r="DE145" s="842"/>
      <c r="DF145" s="842"/>
      <c r="DG145" s="842"/>
      <c r="DH145" s="842"/>
      <c r="DI145" s="842"/>
      <c r="DJ145" s="842"/>
      <c r="DK145" s="842"/>
      <c r="DL145" s="842"/>
      <c r="DM145" s="842"/>
      <c r="DN145" s="842"/>
      <c r="DO145" s="842"/>
      <c r="DP145" s="842"/>
      <c r="DQ145" s="842"/>
      <c r="DR145" s="842"/>
      <c r="DS145" s="842"/>
      <c r="DT145" s="842"/>
    </row>
    <row r="146" spans="54:124" x14ac:dyDescent="0.25">
      <c r="BB146" s="842"/>
      <c r="BC146" s="842"/>
      <c r="BD146" s="842"/>
      <c r="BE146" s="842"/>
      <c r="BF146" s="842"/>
      <c r="BG146" s="842"/>
      <c r="BH146" s="842"/>
      <c r="BI146" s="842"/>
      <c r="BJ146" s="842"/>
      <c r="BK146" s="842"/>
      <c r="BL146" s="842"/>
      <c r="BM146" s="842"/>
      <c r="BN146" s="842"/>
      <c r="BO146" s="842"/>
      <c r="BP146" s="842"/>
      <c r="BQ146" s="882"/>
      <c r="BR146" s="842"/>
      <c r="BS146" s="842"/>
      <c r="BT146" s="842"/>
      <c r="BU146" s="842"/>
      <c r="BV146" s="842"/>
      <c r="BW146" s="842"/>
      <c r="BX146" s="842"/>
      <c r="BY146" s="842"/>
      <c r="BZ146" s="842"/>
      <c r="CA146" s="842"/>
      <c r="CB146" s="842"/>
      <c r="CC146" s="842"/>
      <c r="CD146" s="842"/>
      <c r="CE146" s="842"/>
      <c r="CF146" s="842"/>
      <c r="CG146" s="842"/>
      <c r="CH146" s="842"/>
      <c r="CI146" s="842"/>
      <c r="CJ146" s="842"/>
      <c r="CK146" s="842"/>
      <c r="CL146" s="842"/>
      <c r="CM146" s="842"/>
      <c r="CN146" s="842"/>
      <c r="CO146" s="842"/>
      <c r="CP146" s="842"/>
      <c r="CQ146" s="842"/>
      <c r="CR146" s="842"/>
      <c r="CS146" s="842"/>
      <c r="CT146" s="842"/>
      <c r="CU146" s="842"/>
      <c r="CV146" s="842"/>
      <c r="CW146" s="842"/>
      <c r="CX146" s="842"/>
      <c r="CY146" s="842"/>
      <c r="CZ146" s="842"/>
      <c r="DA146" s="842"/>
      <c r="DB146" s="842"/>
      <c r="DC146" s="842"/>
      <c r="DD146" s="842"/>
      <c r="DE146" s="842"/>
      <c r="DF146" s="842"/>
      <c r="DG146" s="842"/>
      <c r="DH146" s="842"/>
      <c r="DI146" s="842"/>
      <c r="DJ146" s="842"/>
      <c r="DK146" s="842"/>
      <c r="DL146" s="842"/>
      <c r="DM146" s="842"/>
      <c r="DN146" s="842"/>
      <c r="DO146" s="842"/>
      <c r="DP146" s="842"/>
      <c r="DQ146" s="842"/>
      <c r="DR146" s="842"/>
      <c r="DS146" s="842"/>
      <c r="DT146" s="842"/>
    </row>
    <row r="147" spans="54:124" x14ac:dyDescent="0.25">
      <c r="BB147" s="842"/>
      <c r="BC147" s="842"/>
      <c r="BD147" s="842"/>
      <c r="BE147" s="842"/>
      <c r="BF147" s="842"/>
      <c r="BG147" s="842"/>
      <c r="BH147" s="842"/>
      <c r="BI147" s="842"/>
      <c r="BJ147" s="842"/>
      <c r="BK147" s="842"/>
      <c r="BL147" s="842"/>
      <c r="BM147" s="842"/>
      <c r="BN147" s="842"/>
      <c r="BO147" s="842"/>
      <c r="BP147" s="842"/>
      <c r="BQ147" s="882"/>
      <c r="BR147" s="842"/>
      <c r="BS147" s="842"/>
      <c r="BT147" s="842"/>
      <c r="BU147" s="842"/>
      <c r="BV147" s="842"/>
      <c r="BW147" s="842"/>
      <c r="BX147" s="842"/>
      <c r="BY147" s="842"/>
      <c r="BZ147" s="842"/>
      <c r="CA147" s="842"/>
      <c r="CB147" s="842"/>
      <c r="CC147" s="842"/>
      <c r="CD147" s="842"/>
      <c r="CE147" s="842"/>
      <c r="CF147" s="842"/>
      <c r="CG147" s="842"/>
      <c r="CH147" s="842"/>
      <c r="CI147" s="842"/>
      <c r="CJ147" s="842"/>
      <c r="CK147" s="842"/>
      <c r="CL147" s="842"/>
      <c r="CM147" s="842"/>
      <c r="CN147" s="842"/>
      <c r="CO147" s="842"/>
      <c r="CP147" s="842"/>
      <c r="CQ147" s="842"/>
      <c r="CR147" s="842"/>
      <c r="CS147" s="842"/>
      <c r="CT147" s="842"/>
      <c r="CU147" s="842"/>
      <c r="CV147" s="842"/>
      <c r="CW147" s="842"/>
      <c r="CX147" s="842"/>
      <c r="CY147" s="842"/>
      <c r="CZ147" s="842"/>
      <c r="DA147" s="842"/>
      <c r="DB147" s="842"/>
      <c r="DC147" s="842"/>
      <c r="DD147" s="842"/>
      <c r="DE147" s="842"/>
      <c r="DF147" s="842"/>
      <c r="DG147" s="842"/>
      <c r="DH147" s="842"/>
      <c r="DI147" s="842"/>
      <c r="DJ147" s="842"/>
      <c r="DK147" s="842"/>
      <c r="DL147" s="842"/>
      <c r="DM147" s="842"/>
      <c r="DN147" s="842"/>
      <c r="DO147" s="842"/>
      <c r="DP147" s="842"/>
      <c r="DQ147" s="842"/>
      <c r="DR147" s="842"/>
      <c r="DS147" s="842"/>
      <c r="DT147" s="842"/>
    </row>
    <row r="148" spans="54:124" x14ac:dyDescent="0.25">
      <c r="BB148" s="842"/>
      <c r="BC148" s="842"/>
      <c r="BD148" s="842"/>
      <c r="BE148" s="842"/>
      <c r="BF148" s="842"/>
      <c r="BG148" s="842"/>
      <c r="BH148" s="842"/>
      <c r="BI148" s="842"/>
      <c r="BJ148" s="842"/>
      <c r="BK148" s="842"/>
      <c r="BL148" s="842"/>
      <c r="BM148" s="842"/>
      <c r="BN148" s="842"/>
      <c r="BO148" s="842"/>
      <c r="BP148" s="842"/>
      <c r="BQ148" s="882"/>
      <c r="BR148" s="842"/>
      <c r="BS148" s="842"/>
      <c r="BT148" s="842"/>
      <c r="BU148" s="842"/>
      <c r="BV148" s="842"/>
      <c r="BW148" s="842"/>
      <c r="BX148" s="842"/>
      <c r="BY148" s="842"/>
      <c r="BZ148" s="842"/>
      <c r="CA148" s="842"/>
      <c r="CB148" s="842"/>
      <c r="CC148" s="842"/>
      <c r="CD148" s="842"/>
      <c r="CE148" s="842"/>
      <c r="CF148" s="842"/>
      <c r="CG148" s="842"/>
      <c r="CH148" s="842"/>
      <c r="CI148" s="842"/>
      <c r="CJ148" s="842"/>
      <c r="CK148" s="842"/>
      <c r="CL148" s="842"/>
      <c r="CM148" s="842"/>
      <c r="CN148" s="842"/>
      <c r="CO148" s="842"/>
      <c r="CP148" s="842"/>
      <c r="CQ148" s="842"/>
      <c r="CR148" s="842"/>
      <c r="CS148" s="842"/>
      <c r="CT148" s="842"/>
      <c r="CU148" s="842"/>
      <c r="CV148" s="842"/>
      <c r="CW148" s="842"/>
      <c r="CX148" s="842"/>
      <c r="CY148" s="842"/>
      <c r="CZ148" s="842"/>
      <c r="DA148" s="842"/>
      <c r="DB148" s="842"/>
      <c r="DC148" s="842"/>
      <c r="DD148" s="842"/>
      <c r="DE148" s="842"/>
      <c r="DF148" s="842"/>
      <c r="DG148" s="842"/>
      <c r="DH148" s="842"/>
      <c r="DI148" s="842"/>
      <c r="DJ148" s="842"/>
      <c r="DK148" s="842"/>
      <c r="DL148" s="842"/>
      <c r="DM148" s="842"/>
      <c r="DN148" s="842"/>
      <c r="DO148" s="842"/>
      <c r="DP148" s="842"/>
      <c r="DQ148" s="842"/>
      <c r="DR148" s="842"/>
      <c r="DS148" s="842"/>
      <c r="DT148" s="842"/>
    </row>
    <row r="149" spans="54:124" x14ac:dyDescent="0.25">
      <c r="BB149" s="842"/>
      <c r="BC149" s="842"/>
      <c r="BD149" s="842"/>
      <c r="BE149" s="842"/>
      <c r="BF149" s="842"/>
      <c r="BG149" s="842"/>
      <c r="BH149" s="842"/>
      <c r="BI149" s="842"/>
      <c r="BJ149" s="842"/>
      <c r="BK149" s="842"/>
      <c r="BL149" s="842"/>
      <c r="BM149" s="842"/>
      <c r="BN149" s="842"/>
      <c r="BO149" s="842"/>
      <c r="BP149" s="842"/>
      <c r="BQ149" s="882"/>
      <c r="BR149" s="842"/>
      <c r="BS149" s="842"/>
      <c r="BT149" s="842"/>
      <c r="BU149" s="842"/>
      <c r="BV149" s="842"/>
      <c r="BW149" s="842"/>
      <c r="BX149" s="842"/>
      <c r="BY149" s="842"/>
      <c r="BZ149" s="842"/>
      <c r="CA149" s="842"/>
      <c r="CB149" s="842"/>
      <c r="CC149" s="842"/>
      <c r="CD149" s="842"/>
      <c r="CE149" s="842"/>
      <c r="CF149" s="842"/>
      <c r="CG149" s="842"/>
      <c r="CH149" s="842"/>
      <c r="CI149" s="842"/>
      <c r="CJ149" s="842"/>
      <c r="CK149" s="842"/>
      <c r="CL149" s="842"/>
      <c r="CM149" s="842"/>
      <c r="CN149" s="842"/>
      <c r="CO149" s="842"/>
      <c r="CP149" s="842"/>
      <c r="CQ149" s="842"/>
      <c r="CR149" s="842"/>
      <c r="CS149" s="842"/>
      <c r="CT149" s="842"/>
      <c r="CU149" s="842"/>
      <c r="CV149" s="842"/>
      <c r="CW149" s="842"/>
      <c r="CX149" s="842"/>
      <c r="CY149" s="842"/>
      <c r="CZ149" s="842"/>
      <c r="DA149" s="842"/>
      <c r="DB149" s="842"/>
      <c r="DC149" s="842"/>
      <c r="DD149" s="842"/>
      <c r="DE149" s="842"/>
      <c r="DF149" s="842"/>
      <c r="DG149" s="842"/>
      <c r="DH149" s="842"/>
      <c r="DI149" s="842"/>
      <c r="DJ149" s="842"/>
      <c r="DK149" s="842"/>
      <c r="DL149" s="842"/>
      <c r="DM149" s="842"/>
      <c r="DN149" s="842"/>
      <c r="DO149" s="842"/>
      <c r="DP149" s="842"/>
      <c r="DQ149" s="842"/>
      <c r="DR149" s="842"/>
      <c r="DS149" s="842"/>
      <c r="DT149" s="842"/>
    </row>
    <row r="150" spans="54:124" x14ac:dyDescent="0.25">
      <c r="BB150" s="842"/>
      <c r="BC150" s="842"/>
      <c r="BD150" s="842"/>
      <c r="BE150" s="842"/>
      <c r="BF150" s="842"/>
      <c r="BG150" s="842"/>
      <c r="BH150" s="842"/>
      <c r="BI150" s="842"/>
      <c r="BJ150" s="842"/>
      <c r="BK150" s="842"/>
      <c r="BL150" s="842"/>
      <c r="BM150" s="842"/>
      <c r="BN150" s="842"/>
      <c r="BO150" s="842"/>
      <c r="BP150" s="842"/>
      <c r="BQ150" s="882"/>
      <c r="BR150" s="842"/>
      <c r="BS150" s="842"/>
      <c r="BT150" s="842"/>
      <c r="BU150" s="842"/>
      <c r="BV150" s="842"/>
      <c r="BW150" s="842"/>
      <c r="BX150" s="842"/>
      <c r="BY150" s="842"/>
      <c r="BZ150" s="842"/>
      <c r="CA150" s="842"/>
      <c r="CB150" s="842"/>
      <c r="CC150" s="842"/>
      <c r="CD150" s="842"/>
      <c r="CE150" s="842"/>
      <c r="CF150" s="842"/>
      <c r="CG150" s="842"/>
      <c r="CH150" s="842"/>
      <c r="CI150" s="842"/>
      <c r="CJ150" s="842"/>
      <c r="CK150" s="842"/>
      <c r="CL150" s="842"/>
      <c r="CM150" s="842"/>
      <c r="CN150" s="842"/>
      <c r="CO150" s="842"/>
      <c r="CP150" s="842"/>
      <c r="CQ150" s="842"/>
      <c r="CR150" s="842"/>
      <c r="CS150" s="842"/>
      <c r="CT150" s="842"/>
      <c r="CU150" s="842"/>
      <c r="CV150" s="842"/>
      <c r="CW150" s="842"/>
      <c r="CX150" s="842"/>
      <c r="CY150" s="842"/>
      <c r="CZ150" s="842"/>
      <c r="DA150" s="842"/>
      <c r="DB150" s="842"/>
      <c r="DC150" s="842"/>
      <c r="DD150" s="842"/>
      <c r="DE150" s="842"/>
      <c r="DF150" s="842"/>
      <c r="DG150" s="842"/>
      <c r="DH150" s="842"/>
      <c r="DI150" s="842"/>
      <c r="DJ150" s="842"/>
      <c r="DK150" s="842"/>
      <c r="DL150" s="842"/>
      <c r="DM150" s="842"/>
      <c r="DN150" s="842"/>
      <c r="DO150" s="842"/>
      <c r="DP150" s="842"/>
      <c r="DQ150" s="842"/>
      <c r="DR150" s="842"/>
      <c r="DS150" s="842"/>
      <c r="DT150" s="842"/>
    </row>
    <row r="151" spans="54:124" x14ac:dyDescent="0.25">
      <c r="BB151" s="842"/>
      <c r="BC151" s="842"/>
      <c r="BD151" s="842"/>
      <c r="BE151" s="842"/>
      <c r="BF151" s="842"/>
      <c r="BG151" s="842"/>
      <c r="BH151" s="842"/>
      <c r="BI151" s="842"/>
      <c r="BJ151" s="842"/>
      <c r="BK151" s="842"/>
      <c r="BL151" s="842"/>
      <c r="BM151" s="842"/>
      <c r="BN151" s="842"/>
      <c r="BO151" s="842"/>
      <c r="BP151" s="842"/>
      <c r="BQ151" s="882"/>
      <c r="BR151" s="842"/>
      <c r="BS151" s="842"/>
      <c r="BT151" s="842"/>
      <c r="BU151" s="842"/>
      <c r="BV151" s="842"/>
      <c r="BW151" s="842"/>
      <c r="BX151" s="842"/>
      <c r="BY151" s="842"/>
      <c r="BZ151" s="842"/>
      <c r="CA151" s="842"/>
      <c r="CB151" s="842"/>
      <c r="CC151" s="842"/>
      <c r="CD151" s="842"/>
      <c r="CE151" s="842"/>
      <c r="CF151" s="842"/>
      <c r="CG151" s="842"/>
      <c r="CH151" s="842"/>
      <c r="CI151" s="842"/>
      <c r="CJ151" s="842"/>
      <c r="CK151" s="842"/>
      <c r="CL151" s="842"/>
      <c r="CM151" s="842"/>
      <c r="CN151" s="842"/>
      <c r="CO151" s="842"/>
      <c r="CP151" s="842"/>
      <c r="CQ151" s="842"/>
      <c r="CR151" s="842"/>
      <c r="CS151" s="842"/>
      <c r="CT151" s="842"/>
      <c r="CU151" s="842"/>
      <c r="CV151" s="842"/>
      <c r="CW151" s="842"/>
      <c r="CX151" s="842"/>
      <c r="CY151" s="842"/>
      <c r="CZ151" s="842"/>
      <c r="DA151" s="842"/>
      <c r="DB151" s="842"/>
      <c r="DC151" s="842"/>
      <c r="DD151" s="842"/>
      <c r="DE151" s="842"/>
      <c r="DF151" s="842"/>
      <c r="DG151" s="842"/>
      <c r="DH151" s="842"/>
      <c r="DI151" s="842"/>
      <c r="DJ151" s="842"/>
      <c r="DK151" s="842"/>
      <c r="DL151" s="842"/>
      <c r="DM151" s="842"/>
      <c r="DN151" s="842"/>
      <c r="DO151" s="842"/>
      <c r="DP151" s="842"/>
      <c r="DQ151" s="842"/>
      <c r="DR151" s="842"/>
      <c r="DS151" s="842"/>
      <c r="DT151" s="842"/>
    </row>
    <row r="152" spans="54:124" x14ac:dyDescent="0.25">
      <c r="BB152" s="842"/>
      <c r="BC152" s="842"/>
      <c r="BD152" s="842"/>
      <c r="BE152" s="842"/>
      <c r="BF152" s="842"/>
      <c r="BG152" s="842"/>
      <c r="BH152" s="842"/>
      <c r="BI152" s="842"/>
      <c r="BJ152" s="842"/>
      <c r="BK152" s="842"/>
      <c r="BL152" s="842"/>
      <c r="BM152" s="842"/>
      <c r="BN152" s="842"/>
      <c r="BO152" s="842"/>
      <c r="BP152" s="842"/>
      <c r="BQ152" s="882"/>
      <c r="BR152" s="842"/>
      <c r="BS152" s="842"/>
      <c r="BT152" s="842"/>
      <c r="BU152" s="842"/>
      <c r="BV152" s="842"/>
      <c r="BW152" s="842"/>
      <c r="BX152" s="842"/>
      <c r="BY152" s="842"/>
      <c r="BZ152" s="842"/>
      <c r="CA152" s="842"/>
      <c r="CB152" s="842"/>
      <c r="CC152" s="842"/>
      <c r="CD152" s="842"/>
      <c r="CE152" s="842"/>
      <c r="CF152" s="842"/>
      <c r="CG152" s="842"/>
      <c r="CH152" s="842"/>
      <c r="CI152" s="842"/>
      <c r="CJ152" s="842"/>
      <c r="CK152" s="842"/>
      <c r="CL152" s="842"/>
      <c r="CM152" s="842"/>
      <c r="CN152" s="842"/>
      <c r="CO152" s="842"/>
      <c r="CP152" s="842"/>
      <c r="CQ152" s="842"/>
      <c r="CR152" s="842"/>
      <c r="CS152" s="842"/>
      <c r="CT152" s="842"/>
      <c r="CU152" s="842"/>
      <c r="CV152" s="842"/>
      <c r="CW152" s="842"/>
      <c r="CX152" s="842"/>
      <c r="CY152" s="842"/>
      <c r="CZ152" s="842"/>
      <c r="DA152" s="842"/>
      <c r="DB152" s="842"/>
      <c r="DC152" s="842"/>
      <c r="DD152" s="842"/>
      <c r="DE152" s="842"/>
      <c r="DF152" s="842"/>
      <c r="DG152" s="842"/>
      <c r="DH152" s="842"/>
      <c r="DI152" s="842"/>
      <c r="DJ152" s="842"/>
      <c r="DK152" s="842"/>
      <c r="DL152" s="842"/>
      <c r="DM152" s="842"/>
      <c r="DN152" s="842"/>
      <c r="DO152" s="842"/>
      <c r="DP152" s="842"/>
      <c r="DQ152" s="842"/>
      <c r="DR152" s="842"/>
      <c r="DS152" s="842"/>
      <c r="DT152" s="842"/>
    </row>
    <row r="153" spans="54:124" x14ac:dyDescent="0.25">
      <c r="BB153" s="842"/>
      <c r="BC153" s="842"/>
      <c r="BD153" s="842"/>
      <c r="BE153" s="842"/>
      <c r="BF153" s="842"/>
      <c r="BG153" s="842"/>
      <c r="BH153" s="842"/>
      <c r="BI153" s="842"/>
      <c r="BJ153" s="842"/>
      <c r="BK153" s="842"/>
      <c r="BL153" s="842"/>
      <c r="BM153" s="842"/>
      <c r="BN153" s="842"/>
      <c r="BO153" s="842"/>
      <c r="BP153" s="842"/>
      <c r="BQ153" s="882"/>
      <c r="BR153" s="842"/>
      <c r="BS153" s="842"/>
      <c r="BT153" s="842"/>
      <c r="BU153" s="842"/>
      <c r="BV153" s="842"/>
      <c r="BW153" s="842"/>
      <c r="BX153" s="842"/>
      <c r="BY153" s="842"/>
      <c r="BZ153" s="842"/>
      <c r="CA153" s="842"/>
      <c r="CB153" s="842"/>
      <c r="CC153" s="842"/>
      <c r="CD153" s="842"/>
      <c r="CE153" s="842"/>
      <c r="CF153" s="842"/>
      <c r="CG153" s="842"/>
      <c r="CH153" s="842"/>
      <c r="CI153" s="842"/>
      <c r="CJ153" s="842"/>
      <c r="CK153" s="842"/>
      <c r="CL153" s="842"/>
      <c r="CM153" s="842"/>
      <c r="CN153" s="842"/>
      <c r="CO153" s="842"/>
      <c r="CP153" s="842"/>
      <c r="CQ153" s="842"/>
      <c r="CR153" s="842"/>
      <c r="CS153" s="842"/>
      <c r="CT153" s="842"/>
      <c r="CU153" s="842"/>
      <c r="CV153" s="842"/>
      <c r="CW153" s="842"/>
      <c r="CX153" s="842"/>
      <c r="CY153" s="842"/>
      <c r="CZ153" s="842"/>
      <c r="DA153" s="842"/>
      <c r="DB153" s="842"/>
      <c r="DC153" s="842"/>
      <c r="DD153" s="842"/>
      <c r="DE153" s="842"/>
      <c r="DF153" s="842"/>
      <c r="DG153" s="842"/>
      <c r="DH153" s="842"/>
      <c r="DI153" s="842"/>
      <c r="DJ153" s="842"/>
      <c r="DK153" s="842"/>
      <c r="DL153" s="842"/>
      <c r="DM153" s="842"/>
      <c r="DN153" s="842"/>
      <c r="DO153" s="842"/>
      <c r="DP153" s="842"/>
      <c r="DQ153" s="842"/>
      <c r="DR153" s="842"/>
      <c r="DS153" s="842"/>
      <c r="DT153" s="842"/>
    </row>
    <row r="154" spans="54:124" x14ac:dyDescent="0.25">
      <c r="BB154" s="842"/>
      <c r="BC154" s="842"/>
      <c r="BD154" s="842"/>
      <c r="BE154" s="842"/>
      <c r="BF154" s="842"/>
      <c r="BG154" s="842"/>
      <c r="BH154" s="842"/>
      <c r="BI154" s="842"/>
      <c r="BJ154" s="842"/>
      <c r="BK154" s="842"/>
      <c r="BL154" s="842"/>
      <c r="BM154" s="842"/>
      <c r="BN154" s="842"/>
      <c r="BO154" s="842"/>
      <c r="BP154" s="842"/>
      <c r="BQ154" s="882"/>
      <c r="BR154" s="842"/>
      <c r="BS154" s="842"/>
      <c r="BT154" s="842"/>
      <c r="BU154" s="842"/>
      <c r="BV154" s="842"/>
      <c r="BW154" s="842"/>
      <c r="BX154" s="842"/>
      <c r="BY154" s="842"/>
      <c r="BZ154" s="842"/>
      <c r="CA154" s="842"/>
      <c r="CB154" s="842"/>
      <c r="CC154" s="842"/>
      <c r="CD154" s="842"/>
      <c r="CE154" s="842"/>
      <c r="CF154" s="842"/>
      <c r="CG154" s="842"/>
      <c r="CH154" s="842"/>
      <c r="CI154" s="842"/>
      <c r="CJ154" s="842"/>
      <c r="CK154" s="842"/>
      <c r="CL154" s="842"/>
      <c r="CM154" s="842"/>
      <c r="CN154" s="842"/>
      <c r="CO154" s="842"/>
      <c r="CP154" s="842"/>
      <c r="CQ154" s="842"/>
      <c r="CR154" s="842"/>
      <c r="CS154" s="842"/>
      <c r="CT154" s="842"/>
      <c r="CU154" s="842"/>
      <c r="CV154" s="842"/>
      <c r="CW154" s="842"/>
      <c r="CX154" s="842"/>
      <c r="CY154" s="842"/>
      <c r="CZ154" s="842"/>
      <c r="DA154" s="842"/>
      <c r="DB154" s="842"/>
      <c r="DC154" s="842"/>
      <c r="DD154" s="842"/>
      <c r="DE154" s="842"/>
      <c r="DF154" s="842"/>
      <c r="DG154" s="842"/>
      <c r="DH154" s="842"/>
      <c r="DI154" s="842"/>
      <c r="DJ154" s="842"/>
      <c r="DK154" s="842"/>
      <c r="DL154" s="842"/>
      <c r="DM154" s="842"/>
      <c r="DN154" s="842"/>
      <c r="DO154" s="842"/>
      <c r="DP154" s="842"/>
      <c r="DQ154" s="842"/>
      <c r="DR154" s="842"/>
      <c r="DS154" s="842"/>
      <c r="DT154" s="842"/>
    </row>
    <row r="155" spans="54:124" x14ac:dyDescent="0.25">
      <c r="BB155" s="842"/>
      <c r="BC155" s="842"/>
      <c r="BD155" s="842"/>
      <c r="BE155" s="842"/>
      <c r="BF155" s="842"/>
      <c r="BG155" s="842"/>
      <c r="BH155" s="842"/>
      <c r="BI155" s="842"/>
      <c r="BJ155" s="842"/>
      <c r="BK155" s="842"/>
      <c r="BL155" s="842"/>
      <c r="BM155" s="842"/>
      <c r="BN155" s="842"/>
      <c r="BO155" s="842"/>
      <c r="BP155" s="842"/>
      <c r="BQ155" s="882"/>
      <c r="BR155" s="842"/>
      <c r="BS155" s="842"/>
      <c r="BT155" s="842"/>
      <c r="BU155" s="842"/>
      <c r="BV155" s="842"/>
      <c r="BW155" s="842"/>
      <c r="BX155" s="842"/>
      <c r="BY155" s="842"/>
      <c r="BZ155" s="842"/>
      <c r="CA155" s="842"/>
      <c r="CB155" s="842"/>
      <c r="CC155" s="842"/>
      <c r="CD155" s="842"/>
      <c r="CE155" s="842"/>
      <c r="CF155" s="842"/>
      <c r="CG155" s="842"/>
      <c r="CH155" s="842"/>
      <c r="CI155" s="842"/>
      <c r="CJ155" s="842"/>
      <c r="CK155" s="842"/>
      <c r="CL155" s="842"/>
      <c r="CM155" s="842"/>
      <c r="CN155" s="842"/>
      <c r="CO155" s="842"/>
      <c r="CP155" s="842"/>
      <c r="CQ155" s="842"/>
      <c r="CR155" s="842"/>
      <c r="CS155" s="842"/>
      <c r="CT155" s="842"/>
      <c r="CU155" s="842"/>
      <c r="CV155" s="842"/>
      <c r="CW155" s="842"/>
      <c r="CX155" s="842"/>
      <c r="CY155" s="842"/>
      <c r="CZ155" s="842"/>
      <c r="DA155" s="842"/>
      <c r="DB155" s="842"/>
      <c r="DC155" s="842"/>
      <c r="DD155" s="842"/>
      <c r="DE155" s="842"/>
      <c r="DF155" s="842"/>
      <c r="DG155" s="842"/>
      <c r="DH155" s="842"/>
      <c r="DI155" s="842"/>
      <c r="DJ155" s="842"/>
      <c r="DK155" s="842"/>
      <c r="DL155" s="842"/>
      <c r="DM155" s="842"/>
      <c r="DN155" s="842"/>
      <c r="DO155" s="842"/>
      <c r="DP155" s="842"/>
      <c r="DQ155" s="842"/>
      <c r="DR155" s="842"/>
      <c r="DS155" s="842"/>
      <c r="DT155" s="842"/>
    </row>
    <row r="156" spans="54:124" x14ac:dyDescent="0.25">
      <c r="BB156" s="842"/>
      <c r="BC156" s="842"/>
      <c r="BD156" s="842"/>
      <c r="BE156" s="842"/>
      <c r="BF156" s="842"/>
      <c r="BG156" s="842"/>
      <c r="BH156" s="842"/>
      <c r="BI156" s="842"/>
      <c r="BJ156" s="842"/>
      <c r="BK156" s="842"/>
      <c r="BL156" s="842"/>
      <c r="BM156" s="842"/>
      <c r="BN156" s="842"/>
      <c r="BO156" s="842"/>
      <c r="BP156" s="842"/>
      <c r="BQ156" s="882"/>
      <c r="BR156" s="842"/>
      <c r="BS156" s="842"/>
      <c r="BT156" s="842"/>
      <c r="BU156" s="842"/>
      <c r="BV156" s="842"/>
      <c r="BW156" s="842"/>
      <c r="BX156" s="842"/>
      <c r="BY156" s="842"/>
      <c r="BZ156" s="842"/>
      <c r="CA156" s="842"/>
      <c r="CB156" s="842"/>
      <c r="CC156" s="842"/>
      <c r="CD156" s="842"/>
      <c r="CE156" s="842"/>
      <c r="CF156" s="842"/>
      <c r="CG156" s="842"/>
      <c r="CH156" s="842"/>
      <c r="CI156" s="842"/>
      <c r="CJ156" s="842"/>
      <c r="CK156" s="842"/>
      <c r="CL156" s="842"/>
      <c r="CM156" s="842"/>
      <c r="CN156" s="842"/>
      <c r="CO156" s="842"/>
      <c r="CP156" s="842"/>
      <c r="CQ156" s="842"/>
      <c r="CR156" s="842"/>
      <c r="CS156" s="842"/>
      <c r="CT156" s="842"/>
      <c r="CU156" s="842"/>
      <c r="CV156" s="842"/>
      <c r="CW156" s="842"/>
      <c r="CX156" s="842"/>
      <c r="CY156" s="842"/>
      <c r="CZ156" s="842"/>
      <c r="DA156" s="842"/>
      <c r="DB156" s="842"/>
      <c r="DC156" s="842"/>
      <c r="DD156" s="842"/>
      <c r="DE156" s="842"/>
      <c r="DF156" s="842"/>
      <c r="DG156" s="842"/>
      <c r="DH156" s="842"/>
      <c r="DI156" s="842"/>
      <c r="DJ156" s="842"/>
      <c r="DK156" s="842"/>
      <c r="DL156" s="842"/>
      <c r="DM156" s="842"/>
      <c r="DN156" s="842"/>
      <c r="DO156" s="842"/>
      <c r="DP156" s="842"/>
      <c r="DQ156" s="842"/>
      <c r="DR156" s="842"/>
      <c r="DS156" s="842"/>
      <c r="DT156" s="842"/>
    </row>
    <row r="157" spans="54:124" x14ac:dyDescent="0.25">
      <c r="BB157" s="842"/>
      <c r="BC157" s="842"/>
      <c r="BD157" s="842"/>
      <c r="BE157" s="842"/>
      <c r="BF157" s="842"/>
      <c r="BG157" s="842"/>
      <c r="BH157" s="842"/>
      <c r="BI157" s="842"/>
      <c r="BJ157" s="842"/>
      <c r="BK157" s="842"/>
      <c r="BL157" s="842"/>
      <c r="BM157" s="842"/>
      <c r="BN157" s="842"/>
      <c r="BO157" s="842"/>
      <c r="BP157" s="842"/>
      <c r="BQ157" s="882"/>
      <c r="BR157" s="842"/>
      <c r="BS157" s="842"/>
      <c r="BT157" s="842"/>
      <c r="BU157" s="842"/>
      <c r="BV157" s="842"/>
      <c r="BW157" s="842"/>
      <c r="BX157" s="842"/>
      <c r="BY157" s="842"/>
      <c r="BZ157" s="842"/>
      <c r="CA157" s="842"/>
      <c r="CB157" s="842"/>
      <c r="CC157" s="842"/>
      <c r="CD157" s="842"/>
      <c r="CE157" s="842"/>
      <c r="CF157" s="842"/>
      <c r="CG157" s="842"/>
      <c r="CH157" s="842"/>
      <c r="CI157" s="842"/>
      <c r="CJ157" s="842"/>
      <c r="CK157" s="842"/>
      <c r="CL157" s="842"/>
      <c r="CM157" s="842"/>
      <c r="CN157" s="842"/>
      <c r="CO157" s="842"/>
      <c r="CP157" s="842"/>
      <c r="CQ157" s="842"/>
      <c r="CR157" s="842"/>
      <c r="CS157" s="842"/>
      <c r="CT157" s="842"/>
      <c r="CU157" s="842"/>
      <c r="CV157" s="842"/>
      <c r="CW157" s="842"/>
      <c r="CX157" s="842"/>
      <c r="CY157" s="842"/>
      <c r="CZ157" s="842"/>
      <c r="DA157" s="842"/>
      <c r="DB157" s="842"/>
      <c r="DC157" s="842"/>
      <c r="DD157" s="842"/>
      <c r="DE157" s="842"/>
      <c r="DF157" s="842"/>
      <c r="DG157" s="842"/>
      <c r="DH157" s="842"/>
      <c r="DI157" s="842"/>
      <c r="DJ157" s="842"/>
      <c r="DK157" s="842"/>
      <c r="DL157" s="842"/>
      <c r="DM157" s="842"/>
      <c r="DN157" s="842"/>
      <c r="DO157" s="842"/>
      <c r="DP157" s="842"/>
      <c r="DQ157" s="842"/>
      <c r="DR157" s="842"/>
      <c r="DS157" s="842"/>
      <c r="DT157" s="842"/>
    </row>
    <row r="158" spans="54:124" x14ac:dyDescent="0.25">
      <c r="BB158" s="842"/>
      <c r="BC158" s="842"/>
      <c r="BD158" s="842"/>
      <c r="BE158" s="842"/>
      <c r="BF158" s="842"/>
      <c r="BG158" s="842"/>
      <c r="BH158" s="842"/>
      <c r="BI158" s="842"/>
      <c r="BJ158" s="842"/>
      <c r="BK158" s="842"/>
      <c r="BL158" s="842"/>
      <c r="BM158" s="842"/>
      <c r="BN158" s="842"/>
      <c r="BO158" s="842"/>
      <c r="BP158" s="842"/>
      <c r="BQ158" s="882"/>
      <c r="BR158" s="842"/>
      <c r="BS158" s="842"/>
      <c r="BT158" s="842"/>
      <c r="BU158" s="842"/>
      <c r="BV158" s="842"/>
      <c r="BW158" s="842"/>
      <c r="BX158" s="842"/>
      <c r="BY158" s="842"/>
      <c r="BZ158" s="842"/>
      <c r="CA158" s="842"/>
      <c r="CB158" s="842"/>
      <c r="CC158" s="842"/>
      <c r="CD158" s="842"/>
      <c r="CE158" s="842"/>
      <c r="CF158" s="842"/>
      <c r="CG158" s="842"/>
      <c r="CH158" s="842"/>
      <c r="CI158" s="842"/>
      <c r="CJ158" s="842"/>
      <c r="CK158" s="842"/>
      <c r="CL158" s="842"/>
      <c r="CM158" s="842"/>
      <c r="CN158" s="842"/>
      <c r="CO158" s="842"/>
      <c r="CP158" s="842"/>
      <c r="CQ158" s="842"/>
      <c r="CR158" s="842"/>
      <c r="CS158" s="842"/>
      <c r="CT158" s="842"/>
      <c r="CU158" s="842"/>
      <c r="CV158" s="842"/>
      <c r="CW158" s="842"/>
      <c r="CX158" s="842"/>
      <c r="CY158" s="842"/>
      <c r="CZ158" s="842"/>
      <c r="DA158" s="842"/>
      <c r="DB158" s="842"/>
      <c r="DC158" s="842"/>
      <c r="DD158" s="842"/>
      <c r="DE158" s="842"/>
      <c r="DF158" s="842"/>
      <c r="DG158" s="842"/>
      <c r="DH158" s="842"/>
      <c r="DI158" s="842"/>
      <c r="DJ158" s="842"/>
      <c r="DK158" s="842"/>
      <c r="DL158" s="842"/>
      <c r="DM158" s="842"/>
      <c r="DN158" s="842"/>
      <c r="DO158" s="842"/>
      <c r="DP158" s="842"/>
      <c r="DQ158" s="842"/>
      <c r="DR158" s="842"/>
      <c r="DS158" s="842"/>
      <c r="DT158" s="842"/>
    </row>
    <row r="159" spans="54:124" x14ac:dyDescent="0.25">
      <c r="BB159" s="842"/>
      <c r="BC159" s="842"/>
      <c r="BD159" s="842"/>
      <c r="BE159" s="842"/>
      <c r="BF159" s="842"/>
      <c r="BG159" s="842"/>
      <c r="BH159" s="842"/>
      <c r="BI159" s="842"/>
      <c r="BJ159" s="842"/>
      <c r="BK159" s="842"/>
      <c r="BL159" s="842"/>
      <c r="BM159" s="842"/>
      <c r="BN159" s="842"/>
      <c r="BO159" s="842"/>
      <c r="BP159" s="842"/>
      <c r="BQ159" s="882"/>
      <c r="BR159" s="842"/>
      <c r="BS159" s="842"/>
      <c r="BT159" s="842"/>
      <c r="BU159" s="842"/>
      <c r="BV159" s="842"/>
      <c r="BW159" s="842"/>
      <c r="BX159" s="842"/>
      <c r="BY159" s="842"/>
      <c r="BZ159" s="842"/>
      <c r="CA159" s="842"/>
      <c r="CB159" s="842"/>
      <c r="CC159" s="842"/>
      <c r="CD159" s="842"/>
      <c r="CE159" s="842"/>
      <c r="CF159" s="842"/>
      <c r="CG159" s="842"/>
      <c r="CH159" s="842"/>
      <c r="CI159" s="842"/>
      <c r="CJ159" s="842"/>
      <c r="CK159" s="842"/>
      <c r="CL159" s="842"/>
      <c r="CM159" s="842"/>
      <c r="CN159" s="842"/>
      <c r="CO159" s="842"/>
      <c r="CP159" s="842"/>
      <c r="CQ159" s="842"/>
      <c r="CR159" s="842"/>
      <c r="CS159" s="842"/>
      <c r="CT159" s="842"/>
      <c r="CU159" s="842"/>
      <c r="CV159" s="842"/>
      <c r="CW159" s="842"/>
      <c r="CX159" s="842"/>
      <c r="CY159" s="842"/>
      <c r="CZ159" s="842"/>
      <c r="DA159" s="842"/>
      <c r="DB159" s="842"/>
      <c r="DC159" s="842"/>
      <c r="DD159" s="842"/>
      <c r="DE159" s="842"/>
      <c r="DF159" s="842"/>
      <c r="DG159" s="842"/>
      <c r="DH159" s="842"/>
      <c r="DI159" s="842"/>
      <c r="DJ159" s="842"/>
      <c r="DK159" s="842"/>
      <c r="DL159" s="842"/>
      <c r="DM159" s="842"/>
      <c r="DN159" s="842"/>
      <c r="DO159" s="842"/>
      <c r="DP159" s="842"/>
      <c r="DQ159" s="842"/>
      <c r="DR159" s="842"/>
      <c r="DS159" s="842"/>
      <c r="DT159" s="842"/>
    </row>
    <row r="160" spans="54:124" x14ac:dyDescent="0.25">
      <c r="BB160" s="842"/>
      <c r="BC160" s="842"/>
      <c r="BD160" s="842"/>
      <c r="BE160" s="842"/>
      <c r="BF160" s="842"/>
      <c r="BG160" s="842"/>
      <c r="BH160" s="842"/>
      <c r="BI160" s="842"/>
      <c r="BJ160" s="842"/>
      <c r="BK160" s="842"/>
      <c r="BL160" s="842"/>
      <c r="BM160" s="842"/>
      <c r="BN160" s="842"/>
      <c r="BO160" s="842"/>
      <c r="BP160" s="842"/>
      <c r="BQ160" s="882"/>
      <c r="BR160" s="842"/>
      <c r="BS160" s="842"/>
      <c r="BT160" s="842"/>
      <c r="BU160" s="842"/>
      <c r="BV160" s="842"/>
      <c r="BW160" s="842"/>
      <c r="BX160" s="842"/>
      <c r="BY160" s="842"/>
      <c r="BZ160" s="842"/>
      <c r="CA160" s="842"/>
      <c r="CB160" s="842"/>
      <c r="CC160" s="842"/>
      <c r="CD160" s="842"/>
      <c r="CE160" s="842"/>
      <c r="CF160" s="842"/>
      <c r="CG160" s="842"/>
      <c r="CH160" s="842"/>
      <c r="CI160" s="842"/>
      <c r="CJ160" s="842"/>
      <c r="CK160" s="842"/>
      <c r="CL160" s="842"/>
      <c r="CM160" s="842"/>
      <c r="CN160" s="842"/>
      <c r="CO160" s="842"/>
      <c r="CP160" s="842"/>
      <c r="CQ160" s="842"/>
      <c r="CR160" s="842"/>
      <c r="CS160" s="842"/>
      <c r="CT160" s="842"/>
      <c r="CU160" s="842"/>
      <c r="CV160" s="842"/>
      <c r="CW160" s="842"/>
      <c r="CX160" s="842"/>
      <c r="CY160" s="842"/>
      <c r="CZ160" s="842"/>
      <c r="DA160" s="842"/>
      <c r="DB160" s="842"/>
      <c r="DC160" s="842"/>
      <c r="DD160" s="842"/>
      <c r="DE160" s="842"/>
      <c r="DF160" s="842"/>
      <c r="DG160" s="842"/>
      <c r="DH160" s="842"/>
      <c r="DI160" s="842"/>
      <c r="DJ160" s="842"/>
      <c r="DK160" s="842"/>
      <c r="DL160" s="842"/>
      <c r="DM160" s="842"/>
      <c r="DN160" s="842"/>
      <c r="DO160" s="842"/>
      <c r="DP160" s="842"/>
      <c r="DQ160" s="842"/>
      <c r="DR160" s="842"/>
      <c r="DS160" s="842"/>
      <c r="DT160" s="842"/>
    </row>
    <row r="161" spans="54:124" x14ac:dyDescent="0.25">
      <c r="BB161" s="842"/>
      <c r="BC161" s="842"/>
      <c r="BD161" s="842"/>
      <c r="BE161" s="842"/>
      <c r="BF161" s="842"/>
      <c r="BG161" s="842"/>
      <c r="BH161" s="842"/>
      <c r="BI161" s="842"/>
      <c r="BJ161" s="842"/>
      <c r="BK161" s="842"/>
      <c r="BL161" s="842"/>
      <c r="BM161" s="842"/>
      <c r="BN161" s="842"/>
      <c r="BO161" s="842"/>
      <c r="BP161" s="842"/>
      <c r="BQ161" s="882"/>
      <c r="BR161" s="842"/>
      <c r="BS161" s="842"/>
      <c r="BT161" s="842"/>
      <c r="BU161" s="842"/>
      <c r="BV161" s="842"/>
      <c r="BW161" s="842"/>
      <c r="BX161" s="842"/>
      <c r="BY161" s="842"/>
      <c r="BZ161" s="842"/>
      <c r="CA161" s="842"/>
      <c r="CB161" s="842"/>
      <c r="CC161" s="842"/>
      <c r="CD161" s="842"/>
      <c r="CE161" s="842"/>
      <c r="CF161" s="842"/>
      <c r="CG161" s="842"/>
      <c r="CH161" s="842"/>
      <c r="CI161" s="842"/>
      <c r="CJ161" s="842"/>
      <c r="CK161" s="842"/>
      <c r="CL161" s="842"/>
      <c r="CM161" s="842"/>
      <c r="CN161" s="842"/>
      <c r="CO161" s="842"/>
      <c r="CP161" s="842"/>
      <c r="CQ161" s="842"/>
      <c r="CR161" s="842"/>
      <c r="CS161" s="842"/>
      <c r="CT161" s="842"/>
      <c r="CU161" s="842"/>
      <c r="CV161" s="842"/>
      <c r="CW161" s="842"/>
      <c r="CX161" s="842"/>
      <c r="CY161" s="842"/>
      <c r="CZ161" s="842"/>
      <c r="DA161" s="842"/>
      <c r="DB161" s="842"/>
      <c r="DC161" s="842"/>
      <c r="DD161" s="842"/>
      <c r="DE161" s="842"/>
      <c r="DF161" s="842"/>
      <c r="DG161" s="842"/>
      <c r="DH161" s="842"/>
      <c r="DI161" s="842"/>
      <c r="DJ161" s="842"/>
      <c r="DK161" s="842"/>
      <c r="DL161" s="842"/>
      <c r="DM161" s="842"/>
      <c r="DN161" s="842"/>
      <c r="DO161" s="842"/>
      <c r="DP161" s="842"/>
      <c r="DQ161" s="842"/>
      <c r="DR161" s="842"/>
      <c r="DS161" s="842"/>
      <c r="DT161" s="842"/>
    </row>
    <row r="162" spans="54:124" x14ac:dyDescent="0.25">
      <c r="BB162" s="842"/>
      <c r="BC162" s="842"/>
      <c r="BD162" s="842"/>
      <c r="BE162" s="842"/>
      <c r="BF162" s="842"/>
      <c r="BG162" s="842"/>
      <c r="BH162" s="842"/>
      <c r="BI162" s="842"/>
      <c r="BJ162" s="842"/>
      <c r="BK162" s="842"/>
      <c r="BL162" s="842"/>
      <c r="BM162" s="842"/>
      <c r="BN162" s="842"/>
      <c r="BO162" s="842"/>
      <c r="BP162" s="842"/>
      <c r="BQ162" s="882"/>
      <c r="BR162" s="842"/>
      <c r="BS162" s="842"/>
      <c r="BT162" s="842"/>
      <c r="BU162" s="842"/>
      <c r="BV162" s="842"/>
      <c r="BW162" s="842"/>
      <c r="BX162" s="842"/>
      <c r="BY162" s="842"/>
      <c r="BZ162" s="842"/>
      <c r="CA162" s="842"/>
      <c r="CB162" s="842"/>
      <c r="CC162" s="842"/>
      <c r="CD162" s="842"/>
      <c r="CE162" s="842"/>
      <c r="CF162" s="842"/>
      <c r="CG162" s="842"/>
      <c r="CH162" s="842"/>
      <c r="CI162" s="842"/>
      <c r="CJ162" s="842"/>
      <c r="CK162" s="842"/>
      <c r="CL162" s="842"/>
      <c r="CM162" s="842"/>
      <c r="CN162" s="842"/>
      <c r="CO162" s="842"/>
      <c r="CP162" s="842"/>
      <c r="CQ162" s="842"/>
      <c r="CR162" s="842"/>
      <c r="CS162" s="842"/>
      <c r="CT162" s="842"/>
      <c r="CU162" s="842"/>
      <c r="CV162" s="842"/>
      <c r="CW162" s="842"/>
      <c r="CX162" s="842"/>
      <c r="CY162" s="842"/>
      <c r="CZ162" s="842"/>
      <c r="DA162" s="842"/>
      <c r="DB162" s="842"/>
      <c r="DC162" s="842"/>
      <c r="DD162" s="842"/>
      <c r="DE162" s="842"/>
      <c r="DF162" s="842"/>
      <c r="DG162" s="842"/>
      <c r="DH162" s="842"/>
      <c r="DI162" s="842"/>
      <c r="DJ162" s="842"/>
      <c r="DK162" s="842"/>
      <c r="DL162" s="842"/>
      <c r="DM162" s="842"/>
      <c r="DN162" s="842"/>
      <c r="DO162" s="842"/>
      <c r="DP162" s="842"/>
      <c r="DQ162" s="842"/>
      <c r="DR162" s="842"/>
      <c r="DS162" s="842"/>
      <c r="DT162" s="842"/>
    </row>
    <row r="163" spans="54:124" x14ac:dyDescent="0.25">
      <c r="BB163" s="842"/>
      <c r="BC163" s="842"/>
      <c r="BD163" s="842"/>
      <c r="BE163" s="842"/>
      <c r="BF163" s="842"/>
      <c r="BG163" s="842"/>
      <c r="BH163" s="842"/>
      <c r="BI163" s="842"/>
      <c r="BJ163" s="842"/>
      <c r="BK163" s="842"/>
      <c r="BL163" s="842"/>
      <c r="BM163" s="842"/>
      <c r="BN163" s="842"/>
      <c r="BO163" s="842"/>
      <c r="BP163" s="842"/>
      <c r="BQ163" s="882"/>
      <c r="BR163" s="842"/>
      <c r="BS163" s="842"/>
      <c r="BT163" s="842"/>
      <c r="BU163" s="842"/>
      <c r="BV163" s="842"/>
      <c r="BW163" s="842"/>
      <c r="BX163" s="842"/>
      <c r="BY163" s="842"/>
      <c r="BZ163" s="842"/>
      <c r="CA163" s="842"/>
      <c r="CB163" s="842"/>
      <c r="CC163" s="842"/>
      <c r="CD163" s="842"/>
      <c r="CE163" s="842"/>
      <c r="CF163" s="842"/>
      <c r="CG163" s="842"/>
      <c r="CH163" s="842"/>
      <c r="CI163" s="842"/>
      <c r="CJ163" s="842"/>
      <c r="CK163" s="842"/>
      <c r="CL163" s="842"/>
      <c r="CM163" s="842"/>
      <c r="CN163" s="842"/>
      <c r="CO163" s="842"/>
      <c r="CP163" s="842"/>
      <c r="CQ163" s="842"/>
      <c r="CR163" s="842"/>
      <c r="CS163" s="842"/>
      <c r="CT163" s="842"/>
      <c r="CU163" s="842"/>
      <c r="CV163" s="842"/>
      <c r="CW163" s="842"/>
      <c r="CX163" s="842"/>
      <c r="CY163" s="842"/>
      <c r="CZ163" s="842"/>
      <c r="DA163" s="842"/>
      <c r="DB163" s="842"/>
      <c r="DC163" s="842"/>
      <c r="DD163" s="842"/>
      <c r="DE163" s="842"/>
      <c r="DF163" s="842"/>
      <c r="DG163" s="842"/>
      <c r="DH163" s="842"/>
      <c r="DI163" s="842"/>
      <c r="DJ163" s="842"/>
      <c r="DK163" s="842"/>
      <c r="DL163" s="842"/>
      <c r="DM163" s="842"/>
      <c r="DN163" s="842"/>
      <c r="DO163" s="842"/>
      <c r="DP163" s="842"/>
      <c r="DQ163" s="842"/>
      <c r="DR163" s="842"/>
      <c r="DS163" s="842"/>
      <c r="DT163" s="842"/>
    </row>
    <row r="164" spans="54:124" x14ac:dyDescent="0.25">
      <c r="BB164" s="842"/>
      <c r="BC164" s="842"/>
      <c r="BD164" s="842"/>
      <c r="BE164" s="842"/>
      <c r="BF164" s="842"/>
      <c r="BG164" s="842"/>
      <c r="BH164" s="842"/>
      <c r="BI164" s="842"/>
      <c r="BJ164" s="842"/>
      <c r="BK164" s="842"/>
      <c r="BL164" s="842"/>
      <c r="BM164" s="842"/>
      <c r="BN164" s="842"/>
      <c r="BO164" s="842"/>
      <c r="BP164" s="842"/>
      <c r="BQ164" s="882"/>
      <c r="BR164" s="842"/>
      <c r="BS164" s="842"/>
      <c r="BT164" s="842"/>
      <c r="BU164" s="842"/>
      <c r="BV164" s="842"/>
      <c r="BW164" s="842"/>
      <c r="BX164" s="842"/>
      <c r="BY164" s="842"/>
      <c r="BZ164" s="842"/>
      <c r="CA164" s="842"/>
      <c r="CB164" s="842"/>
      <c r="CC164" s="842"/>
      <c r="CD164" s="842"/>
      <c r="CE164" s="842"/>
      <c r="CF164" s="842"/>
      <c r="CG164" s="842"/>
      <c r="CH164" s="842"/>
      <c r="CI164" s="842"/>
      <c r="CJ164" s="842"/>
      <c r="CK164" s="842"/>
      <c r="CL164" s="842"/>
      <c r="CM164" s="842"/>
      <c r="CN164" s="842"/>
      <c r="CO164" s="842"/>
      <c r="CP164" s="842"/>
      <c r="CQ164" s="842"/>
      <c r="CR164" s="842"/>
      <c r="CS164" s="842"/>
      <c r="CT164" s="842"/>
      <c r="CU164" s="842"/>
      <c r="CV164" s="842"/>
      <c r="CW164" s="842"/>
      <c r="CX164" s="842"/>
      <c r="CY164" s="842"/>
      <c r="CZ164" s="842"/>
      <c r="DA164" s="842"/>
      <c r="DB164" s="842"/>
      <c r="DC164" s="842"/>
      <c r="DD164" s="842"/>
      <c r="DE164" s="842"/>
      <c r="DF164" s="842"/>
      <c r="DG164" s="842"/>
      <c r="DH164" s="842"/>
      <c r="DI164" s="842"/>
      <c r="DJ164" s="842"/>
      <c r="DK164" s="842"/>
      <c r="DL164" s="842"/>
      <c r="DM164" s="842"/>
      <c r="DN164" s="842"/>
      <c r="DO164" s="842"/>
      <c r="DP164" s="842"/>
      <c r="DQ164" s="842"/>
      <c r="DR164" s="842"/>
      <c r="DS164" s="842"/>
      <c r="DT164" s="842"/>
    </row>
    <row r="165" spans="54:124" x14ac:dyDescent="0.25">
      <c r="BB165" s="842"/>
      <c r="BC165" s="842"/>
      <c r="BD165" s="842"/>
      <c r="BE165" s="842"/>
      <c r="BF165" s="842"/>
      <c r="BG165" s="842"/>
      <c r="BH165" s="842"/>
      <c r="BI165" s="842"/>
      <c r="BJ165" s="842"/>
      <c r="BK165" s="842"/>
      <c r="BL165" s="842"/>
      <c r="BM165" s="842"/>
      <c r="BN165" s="842"/>
      <c r="BO165" s="842"/>
      <c r="BP165" s="842"/>
      <c r="BQ165" s="882"/>
      <c r="BR165" s="842"/>
      <c r="BS165" s="842"/>
      <c r="BT165" s="842"/>
      <c r="BU165" s="842"/>
      <c r="BV165" s="842"/>
      <c r="BW165" s="842"/>
      <c r="BX165" s="842"/>
      <c r="BY165" s="842"/>
      <c r="BZ165" s="842"/>
      <c r="CA165" s="842"/>
      <c r="CB165" s="842"/>
      <c r="CC165" s="842"/>
      <c r="CD165" s="842"/>
      <c r="CE165" s="842"/>
      <c r="CF165" s="842"/>
      <c r="CG165" s="842"/>
      <c r="CH165" s="842"/>
      <c r="CI165" s="842"/>
      <c r="CJ165" s="842"/>
      <c r="CK165" s="842"/>
      <c r="CL165" s="842"/>
      <c r="CM165" s="842"/>
      <c r="CN165" s="842"/>
      <c r="CO165" s="842"/>
      <c r="CP165" s="842"/>
      <c r="CQ165" s="842"/>
      <c r="CR165" s="842"/>
      <c r="CS165" s="842"/>
      <c r="CT165" s="842"/>
      <c r="CU165" s="842"/>
      <c r="CV165" s="842"/>
      <c r="CW165" s="842"/>
      <c r="CX165" s="842"/>
      <c r="CY165" s="842"/>
      <c r="CZ165" s="842"/>
      <c r="DA165" s="842"/>
      <c r="DB165" s="842"/>
      <c r="DC165" s="842"/>
      <c r="DD165" s="842"/>
      <c r="DE165" s="842"/>
      <c r="DF165" s="842"/>
      <c r="DG165" s="842"/>
      <c r="DH165" s="842"/>
      <c r="DI165" s="842"/>
      <c r="DJ165" s="842"/>
      <c r="DK165" s="842"/>
      <c r="DL165" s="842"/>
      <c r="DM165" s="842"/>
      <c r="DN165" s="842"/>
      <c r="DO165" s="842"/>
      <c r="DP165" s="842"/>
      <c r="DQ165" s="842"/>
      <c r="DR165" s="842"/>
      <c r="DS165" s="842"/>
      <c r="DT165" s="842"/>
    </row>
    <row r="166" spans="54:124" x14ac:dyDescent="0.25">
      <c r="BB166" s="842"/>
      <c r="BC166" s="842"/>
      <c r="BD166" s="842"/>
      <c r="BE166" s="842"/>
      <c r="BF166" s="842"/>
      <c r="BG166" s="842"/>
      <c r="BH166" s="842"/>
      <c r="BI166" s="842"/>
      <c r="BJ166" s="842"/>
      <c r="BK166" s="842"/>
      <c r="BL166" s="842"/>
      <c r="BM166" s="842"/>
      <c r="BN166" s="842"/>
      <c r="BO166" s="842"/>
      <c r="BP166" s="842"/>
      <c r="BQ166" s="882"/>
      <c r="BR166" s="842"/>
      <c r="BS166" s="842"/>
      <c r="BT166" s="842"/>
      <c r="BU166" s="842"/>
      <c r="BV166" s="842"/>
      <c r="BW166" s="842"/>
      <c r="BX166" s="842"/>
      <c r="BY166" s="842"/>
      <c r="BZ166" s="842"/>
      <c r="CA166" s="842"/>
      <c r="CB166" s="842"/>
      <c r="CC166" s="842"/>
      <c r="CD166" s="842"/>
      <c r="CE166" s="842"/>
      <c r="CF166" s="842"/>
      <c r="CG166" s="842"/>
      <c r="CH166" s="842"/>
      <c r="CI166" s="842"/>
      <c r="CJ166" s="842"/>
      <c r="CK166" s="842"/>
      <c r="CL166" s="842"/>
      <c r="CM166" s="842"/>
      <c r="CN166" s="842"/>
      <c r="CO166" s="842"/>
      <c r="CP166" s="842"/>
      <c r="CQ166" s="842"/>
      <c r="CR166" s="842"/>
      <c r="CS166" s="842"/>
      <c r="CT166" s="842"/>
      <c r="CU166" s="842"/>
      <c r="CV166" s="842"/>
      <c r="CW166" s="842"/>
      <c r="CX166" s="842"/>
      <c r="CY166" s="842"/>
      <c r="CZ166" s="842"/>
      <c r="DA166" s="842"/>
      <c r="DB166" s="842"/>
      <c r="DC166" s="842"/>
      <c r="DD166" s="842"/>
      <c r="DE166" s="842"/>
      <c r="DF166" s="842"/>
      <c r="DG166" s="842"/>
      <c r="DH166" s="842"/>
      <c r="DI166" s="842"/>
      <c r="DJ166" s="842"/>
      <c r="DK166" s="842"/>
      <c r="DL166" s="842"/>
      <c r="DM166" s="842"/>
      <c r="DN166" s="842"/>
      <c r="DO166" s="842"/>
      <c r="DP166" s="842"/>
      <c r="DQ166" s="842"/>
      <c r="DR166" s="842"/>
      <c r="DS166" s="842"/>
      <c r="DT166" s="842"/>
    </row>
    <row r="167" spans="54:124" x14ac:dyDescent="0.25">
      <c r="BB167" s="842"/>
      <c r="BC167" s="842"/>
      <c r="BD167" s="842"/>
      <c r="BE167" s="842"/>
      <c r="BF167" s="842"/>
      <c r="BG167" s="842"/>
      <c r="BH167" s="842"/>
      <c r="BI167" s="842"/>
      <c r="BJ167" s="842"/>
      <c r="BK167" s="842"/>
      <c r="BL167" s="842"/>
      <c r="BM167" s="842"/>
      <c r="BN167" s="842"/>
      <c r="BO167" s="842"/>
      <c r="BP167" s="842"/>
      <c r="BQ167" s="882"/>
      <c r="BR167" s="842"/>
      <c r="BS167" s="842"/>
      <c r="BT167" s="842"/>
      <c r="BU167" s="842"/>
      <c r="BV167" s="842"/>
      <c r="BW167" s="842"/>
      <c r="BX167" s="842"/>
      <c r="BY167" s="842"/>
      <c r="BZ167" s="842"/>
      <c r="CA167" s="842"/>
      <c r="CB167" s="842"/>
      <c r="CC167" s="842"/>
      <c r="CD167" s="842"/>
      <c r="CE167" s="842"/>
      <c r="CF167" s="842"/>
      <c r="CG167" s="842"/>
      <c r="CH167" s="842"/>
      <c r="CI167" s="842"/>
      <c r="CJ167" s="842"/>
      <c r="CK167" s="842"/>
      <c r="CL167" s="842"/>
      <c r="CM167" s="842"/>
      <c r="CN167" s="842"/>
      <c r="CO167" s="842"/>
      <c r="CP167" s="842"/>
      <c r="CQ167" s="842"/>
      <c r="CR167" s="842"/>
      <c r="CS167" s="842"/>
      <c r="CT167" s="842"/>
      <c r="CU167" s="842"/>
      <c r="CV167" s="842"/>
      <c r="CW167" s="842"/>
      <c r="CX167" s="842"/>
      <c r="CY167" s="842"/>
      <c r="CZ167" s="842"/>
      <c r="DA167" s="842"/>
      <c r="DB167" s="842"/>
      <c r="DC167" s="842"/>
      <c r="DD167" s="842"/>
      <c r="DE167" s="842"/>
      <c r="DF167" s="842"/>
      <c r="DG167" s="842"/>
      <c r="DH167" s="842"/>
      <c r="DI167" s="842"/>
      <c r="DJ167" s="842"/>
      <c r="DK167" s="842"/>
      <c r="DL167" s="842"/>
      <c r="DM167" s="842"/>
      <c r="DN167" s="842"/>
      <c r="DO167" s="842"/>
      <c r="DP167" s="842"/>
      <c r="DQ167" s="842"/>
      <c r="DR167" s="842"/>
      <c r="DS167" s="842"/>
      <c r="DT167" s="842"/>
    </row>
    <row r="168" spans="54:124" x14ac:dyDescent="0.25">
      <c r="BB168" s="842"/>
      <c r="BC168" s="842"/>
      <c r="BD168" s="842"/>
      <c r="BE168" s="842"/>
      <c r="BF168" s="842"/>
      <c r="BG168" s="842"/>
      <c r="BH168" s="842"/>
      <c r="BI168" s="842"/>
      <c r="BJ168" s="842"/>
      <c r="BK168" s="842"/>
      <c r="BL168" s="842"/>
      <c r="BM168" s="842"/>
      <c r="BN168" s="842"/>
      <c r="BO168" s="842"/>
      <c r="BP168" s="842"/>
      <c r="BQ168" s="882"/>
      <c r="BR168" s="842"/>
      <c r="BS168" s="842"/>
      <c r="BT168" s="842"/>
      <c r="BU168" s="842"/>
      <c r="BV168" s="842"/>
      <c r="BW168" s="842"/>
      <c r="BX168" s="842"/>
      <c r="BY168" s="842"/>
      <c r="BZ168" s="842"/>
      <c r="CA168" s="842"/>
      <c r="CB168" s="842"/>
      <c r="CC168" s="842"/>
      <c r="CD168" s="842"/>
      <c r="CE168" s="842"/>
      <c r="CF168" s="842"/>
      <c r="CG168" s="842"/>
      <c r="CH168" s="842"/>
      <c r="CI168" s="842"/>
      <c r="CJ168" s="842"/>
      <c r="CK168" s="842"/>
      <c r="CL168" s="842"/>
      <c r="CM168" s="842"/>
      <c r="CN168" s="842"/>
      <c r="CO168" s="842"/>
      <c r="CP168" s="842"/>
      <c r="CQ168" s="842"/>
      <c r="CR168" s="842"/>
      <c r="CS168" s="842"/>
      <c r="CT168" s="842"/>
      <c r="CU168" s="842"/>
      <c r="CV168" s="842"/>
      <c r="CW168" s="842"/>
      <c r="CX168" s="842"/>
      <c r="CY168" s="842"/>
      <c r="CZ168" s="842"/>
      <c r="DA168" s="842"/>
      <c r="DB168" s="842"/>
      <c r="DC168" s="842"/>
      <c r="DD168" s="842"/>
      <c r="DE168" s="842"/>
      <c r="DF168" s="842"/>
      <c r="DG168" s="842"/>
      <c r="DH168" s="842"/>
      <c r="DI168" s="842"/>
      <c r="DJ168" s="842"/>
      <c r="DK168" s="842"/>
      <c r="DL168" s="842"/>
      <c r="DM168" s="842"/>
      <c r="DN168" s="842"/>
      <c r="DO168" s="842"/>
      <c r="DP168" s="842"/>
      <c r="DQ168" s="842"/>
      <c r="DR168" s="842"/>
      <c r="DS168" s="842"/>
      <c r="DT168" s="842"/>
    </row>
    <row r="169" spans="54:124" x14ac:dyDescent="0.25">
      <c r="BB169" s="842"/>
      <c r="BC169" s="842"/>
      <c r="BD169" s="842"/>
      <c r="BE169" s="842"/>
      <c r="BF169" s="842"/>
      <c r="BG169" s="842"/>
      <c r="BH169" s="842"/>
      <c r="BI169" s="842"/>
      <c r="BJ169" s="842"/>
      <c r="BK169" s="842"/>
      <c r="BL169" s="842"/>
      <c r="BM169" s="842"/>
      <c r="BN169" s="842"/>
      <c r="BO169" s="842"/>
      <c r="BP169" s="842"/>
      <c r="BQ169" s="882"/>
      <c r="BR169" s="842"/>
      <c r="BS169" s="842"/>
      <c r="BT169" s="842"/>
      <c r="BU169" s="842"/>
      <c r="BV169" s="842"/>
      <c r="BW169" s="842"/>
      <c r="BX169" s="842"/>
      <c r="BY169" s="842"/>
      <c r="BZ169" s="842"/>
      <c r="CA169" s="842"/>
      <c r="CB169" s="842"/>
      <c r="CC169" s="842"/>
      <c r="CD169" s="842"/>
      <c r="CE169" s="842"/>
      <c r="CF169" s="842"/>
      <c r="CG169" s="842"/>
      <c r="CH169" s="842"/>
      <c r="CI169" s="842"/>
      <c r="CJ169" s="842"/>
      <c r="CK169" s="842"/>
      <c r="CL169" s="842"/>
      <c r="CM169" s="842"/>
      <c r="CN169" s="842"/>
      <c r="CO169" s="842"/>
      <c r="CP169" s="842"/>
      <c r="CQ169" s="842"/>
      <c r="CR169" s="842"/>
      <c r="CS169" s="842"/>
      <c r="CT169" s="842"/>
      <c r="CU169" s="842"/>
      <c r="CV169" s="842"/>
      <c r="CW169" s="842"/>
      <c r="CX169" s="842"/>
      <c r="CY169" s="842"/>
      <c r="CZ169" s="842"/>
      <c r="DA169" s="842"/>
      <c r="DB169" s="842"/>
      <c r="DC169" s="842"/>
      <c r="DD169" s="842"/>
      <c r="DE169" s="842"/>
      <c r="DF169" s="842"/>
      <c r="DG169" s="842"/>
      <c r="DH169" s="842"/>
      <c r="DI169" s="842"/>
      <c r="DJ169" s="842"/>
      <c r="DK169" s="842"/>
      <c r="DL169" s="842"/>
      <c r="DM169" s="842"/>
      <c r="DN169" s="842"/>
      <c r="DO169" s="842"/>
      <c r="DP169" s="842"/>
      <c r="DQ169" s="842"/>
      <c r="DR169" s="842"/>
      <c r="DS169" s="842"/>
      <c r="DT169" s="842"/>
    </row>
    <row r="170" spans="54:124" x14ac:dyDescent="0.25">
      <c r="BB170" s="842"/>
      <c r="BC170" s="842"/>
      <c r="BD170" s="842"/>
      <c r="BE170" s="842"/>
      <c r="BF170" s="842"/>
      <c r="BG170" s="842"/>
      <c r="BH170" s="842"/>
      <c r="BI170" s="842"/>
      <c r="BJ170" s="842"/>
      <c r="BK170" s="842"/>
      <c r="BL170" s="842"/>
      <c r="BM170" s="842"/>
      <c r="BN170" s="842"/>
      <c r="BO170" s="842"/>
      <c r="BP170" s="842"/>
      <c r="BQ170" s="882"/>
      <c r="BR170" s="842"/>
      <c r="BS170" s="842"/>
      <c r="BT170" s="842"/>
      <c r="BU170" s="842"/>
      <c r="BV170" s="842"/>
      <c r="BW170" s="842"/>
      <c r="BX170" s="842"/>
      <c r="BY170" s="842"/>
      <c r="BZ170" s="842"/>
      <c r="CA170" s="842"/>
      <c r="CB170" s="842"/>
      <c r="CC170" s="842"/>
      <c r="CD170" s="842"/>
      <c r="CE170" s="842"/>
      <c r="CF170" s="842"/>
      <c r="CG170" s="842"/>
      <c r="CH170" s="842"/>
      <c r="CI170" s="842"/>
      <c r="CJ170" s="842"/>
      <c r="CK170" s="842"/>
      <c r="CL170" s="842"/>
      <c r="CM170" s="842"/>
      <c r="CN170" s="842"/>
      <c r="CO170" s="842"/>
      <c r="CP170" s="842"/>
      <c r="CQ170" s="842"/>
      <c r="CR170" s="842"/>
      <c r="CS170" s="842"/>
      <c r="CT170" s="842"/>
      <c r="CU170" s="842"/>
      <c r="CV170" s="842"/>
      <c r="CW170" s="842"/>
      <c r="CX170" s="842"/>
      <c r="CY170" s="842"/>
      <c r="CZ170" s="842"/>
      <c r="DA170" s="842"/>
      <c r="DB170" s="842"/>
      <c r="DC170" s="842"/>
      <c r="DD170" s="842"/>
      <c r="DE170" s="842"/>
      <c r="DF170" s="842"/>
      <c r="DG170" s="842"/>
      <c r="DH170" s="842"/>
      <c r="DI170" s="842"/>
      <c r="DJ170" s="842"/>
      <c r="DK170" s="842"/>
      <c r="DL170" s="842"/>
      <c r="DM170" s="842"/>
      <c r="DN170" s="842"/>
      <c r="DO170" s="842"/>
      <c r="DP170" s="842"/>
      <c r="DQ170" s="842"/>
      <c r="DR170" s="842"/>
      <c r="DS170" s="842"/>
      <c r="DT170" s="842"/>
    </row>
    <row r="171" spans="54:124" x14ac:dyDescent="0.25">
      <c r="BB171" s="842"/>
      <c r="BC171" s="842"/>
      <c r="BD171" s="842"/>
      <c r="BE171" s="842"/>
      <c r="BF171" s="842"/>
      <c r="BG171" s="842"/>
      <c r="BH171" s="842"/>
      <c r="BI171" s="842"/>
      <c r="BJ171" s="842"/>
      <c r="BK171" s="842"/>
      <c r="BL171" s="842"/>
      <c r="BM171" s="842"/>
      <c r="BN171" s="842"/>
      <c r="BO171" s="842"/>
      <c r="BP171" s="842"/>
      <c r="BQ171" s="882"/>
      <c r="BR171" s="842"/>
      <c r="BS171" s="842"/>
      <c r="BT171" s="842"/>
      <c r="BU171" s="842"/>
      <c r="BV171" s="842"/>
      <c r="BW171" s="842"/>
      <c r="BX171" s="842"/>
      <c r="BY171" s="842"/>
      <c r="BZ171" s="842"/>
      <c r="CA171" s="842"/>
      <c r="CB171" s="842"/>
      <c r="CC171" s="842"/>
      <c r="CD171" s="842"/>
      <c r="CE171" s="842"/>
      <c r="CF171" s="842"/>
      <c r="CG171" s="842"/>
      <c r="CH171" s="842"/>
      <c r="CI171" s="842"/>
      <c r="CJ171" s="842"/>
      <c r="CK171" s="842"/>
      <c r="CL171" s="842"/>
      <c r="CM171" s="842"/>
      <c r="CN171" s="842"/>
      <c r="CO171" s="842"/>
      <c r="CP171" s="842"/>
      <c r="CQ171" s="842"/>
      <c r="CR171" s="842"/>
      <c r="CS171" s="842"/>
      <c r="CT171" s="842"/>
      <c r="CU171" s="842"/>
      <c r="CV171" s="842"/>
      <c r="CW171" s="842"/>
      <c r="CX171" s="842"/>
      <c r="CY171" s="842"/>
      <c r="CZ171" s="842"/>
      <c r="DA171" s="842"/>
      <c r="DB171" s="842"/>
      <c r="DC171" s="842"/>
      <c r="DD171" s="842"/>
      <c r="DE171" s="842"/>
      <c r="DF171" s="842"/>
      <c r="DG171" s="842"/>
      <c r="DH171" s="842"/>
      <c r="DI171" s="842"/>
      <c r="DJ171" s="842"/>
      <c r="DK171" s="842"/>
      <c r="DL171" s="842"/>
      <c r="DM171" s="842"/>
      <c r="DN171" s="842"/>
      <c r="DO171" s="842"/>
      <c r="DP171" s="842"/>
      <c r="DQ171" s="842"/>
      <c r="DR171" s="842"/>
      <c r="DS171" s="842"/>
      <c r="DT171" s="842"/>
    </row>
    <row r="172" spans="54:124" x14ac:dyDescent="0.25">
      <c r="BB172" s="842"/>
      <c r="BC172" s="842"/>
      <c r="BD172" s="842"/>
      <c r="BE172" s="842"/>
      <c r="BF172" s="842"/>
      <c r="BG172" s="842"/>
      <c r="BH172" s="842"/>
      <c r="BI172" s="842"/>
      <c r="BJ172" s="842"/>
      <c r="BK172" s="842"/>
      <c r="BL172" s="842"/>
      <c r="BM172" s="842"/>
      <c r="BN172" s="842"/>
      <c r="BO172" s="842"/>
      <c r="BP172" s="842"/>
      <c r="BQ172" s="882"/>
      <c r="BR172" s="842"/>
      <c r="BS172" s="842"/>
      <c r="BT172" s="842"/>
      <c r="BU172" s="842"/>
      <c r="BV172" s="842"/>
      <c r="BW172" s="842"/>
      <c r="BX172" s="842"/>
      <c r="BY172" s="842"/>
      <c r="BZ172" s="842"/>
      <c r="CA172" s="842"/>
      <c r="CB172" s="842"/>
      <c r="CC172" s="842"/>
      <c r="CD172" s="842"/>
      <c r="CE172" s="842"/>
      <c r="CF172" s="842"/>
      <c r="CG172" s="842"/>
      <c r="CH172" s="842"/>
      <c r="CI172" s="842"/>
      <c r="CJ172" s="842"/>
      <c r="CK172" s="842"/>
      <c r="CL172" s="842"/>
      <c r="CM172" s="842"/>
      <c r="CN172" s="842"/>
      <c r="CO172" s="842"/>
      <c r="CP172" s="842"/>
      <c r="CQ172" s="842"/>
      <c r="CR172" s="842"/>
      <c r="CS172" s="842"/>
      <c r="CT172" s="842"/>
      <c r="CU172" s="842"/>
      <c r="CV172" s="842"/>
      <c r="CW172" s="842"/>
      <c r="CX172" s="842"/>
      <c r="CY172" s="842"/>
      <c r="CZ172" s="842"/>
      <c r="DA172" s="842"/>
      <c r="DB172" s="842"/>
      <c r="DC172" s="842"/>
      <c r="DD172" s="842"/>
      <c r="DE172" s="842"/>
      <c r="DF172" s="842"/>
      <c r="DG172" s="842"/>
      <c r="DH172" s="842"/>
      <c r="DI172" s="842"/>
      <c r="DJ172" s="842"/>
      <c r="DK172" s="842"/>
      <c r="DL172" s="842"/>
      <c r="DM172" s="842"/>
      <c r="DN172" s="842"/>
      <c r="DO172" s="842"/>
      <c r="DP172" s="842"/>
      <c r="DQ172" s="842"/>
      <c r="DR172" s="842"/>
      <c r="DS172" s="842"/>
      <c r="DT172" s="842"/>
    </row>
    <row r="173" spans="54:124" x14ac:dyDescent="0.25">
      <c r="BB173" s="842"/>
      <c r="BC173" s="842"/>
      <c r="BD173" s="842"/>
      <c r="BE173" s="842"/>
      <c r="BF173" s="842"/>
      <c r="BG173" s="842"/>
      <c r="BH173" s="842"/>
      <c r="BI173" s="842"/>
      <c r="BJ173" s="842"/>
      <c r="BK173" s="842"/>
      <c r="BL173" s="842"/>
      <c r="BM173" s="842"/>
      <c r="BN173" s="842"/>
      <c r="BO173" s="842"/>
      <c r="BP173" s="842"/>
      <c r="BQ173" s="882"/>
      <c r="BR173" s="842"/>
      <c r="BS173" s="842"/>
      <c r="BT173" s="842"/>
      <c r="BU173" s="842"/>
      <c r="BV173" s="842"/>
      <c r="BW173" s="842"/>
      <c r="BX173" s="842"/>
      <c r="BY173" s="842"/>
      <c r="BZ173" s="842"/>
      <c r="CA173" s="842"/>
      <c r="CB173" s="842"/>
      <c r="CC173" s="842"/>
      <c r="CD173" s="842"/>
      <c r="CE173" s="842"/>
      <c r="CF173" s="842"/>
      <c r="CG173" s="842"/>
      <c r="CH173" s="842"/>
      <c r="CI173" s="842"/>
      <c r="CJ173" s="842"/>
      <c r="CK173" s="842"/>
      <c r="CL173" s="842"/>
      <c r="CM173" s="842"/>
      <c r="CN173" s="842"/>
      <c r="CO173" s="842"/>
      <c r="CP173" s="842"/>
      <c r="CQ173" s="842"/>
      <c r="CR173" s="842"/>
      <c r="CS173" s="842"/>
      <c r="CT173" s="842"/>
      <c r="CU173" s="842"/>
      <c r="CV173" s="842"/>
      <c r="CW173" s="842"/>
      <c r="CX173" s="842"/>
      <c r="CY173" s="842"/>
      <c r="CZ173" s="842"/>
      <c r="DA173" s="842"/>
      <c r="DB173" s="842"/>
      <c r="DC173" s="842"/>
      <c r="DD173" s="842"/>
      <c r="DE173" s="842"/>
      <c r="DF173" s="842"/>
      <c r="DG173" s="842"/>
      <c r="DH173" s="842"/>
      <c r="DI173" s="842"/>
      <c r="DJ173" s="842"/>
      <c r="DK173" s="842"/>
      <c r="DL173" s="842"/>
      <c r="DM173" s="842"/>
      <c r="DN173" s="842"/>
      <c r="DO173" s="842"/>
      <c r="DP173" s="842"/>
      <c r="DQ173" s="842"/>
      <c r="DR173" s="842"/>
      <c r="DS173" s="842"/>
      <c r="DT173" s="842"/>
    </row>
    <row r="174" spans="54:124" x14ac:dyDescent="0.25">
      <c r="BB174" s="842"/>
      <c r="BC174" s="842"/>
      <c r="BD174" s="842"/>
      <c r="BE174" s="842"/>
      <c r="BF174" s="842"/>
      <c r="BG174" s="842"/>
      <c r="BH174" s="842"/>
      <c r="BI174" s="842"/>
      <c r="BJ174" s="842"/>
      <c r="BK174" s="842"/>
      <c r="BL174" s="842"/>
      <c r="BM174" s="842"/>
      <c r="BN174" s="842"/>
      <c r="BO174" s="842"/>
      <c r="BP174" s="842"/>
      <c r="BQ174" s="882"/>
      <c r="BR174" s="842"/>
      <c r="BS174" s="842"/>
      <c r="BT174" s="842"/>
      <c r="BU174" s="842"/>
      <c r="BV174" s="842"/>
      <c r="BW174" s="842"/>
      <c r="BX174" s="842"/>
      <c r="BY174" s="842"/>
      <c r="BZ174" s="842"/>
      <c r="CA174" s="842"/>
      <c r="CB174" s="842"/>
      <c r="CC174" s="842"/>
      <c r="CD174" s="842"/>
      <c r="CE174" s="842"/>
      <c r="CF174" s="842"/>
      <c r="CG174" s="842"/>
      <c r="CH174" s="842"/>
      <c r="CI174" s="842"/>
      <c r="CJ174" s="842"/>
      <c r="CK174" s="842"/>
      <c r="CL174" s="842"/>
      <c r="CM174" s="842"/>
      <c r="CN174" s="842"/>
      <c r="CO174" s="842"/>
      <c r="CP174" s="842"/>
      <c r="CQ174" s="842"/>
      <c r="CR174" s="842"/>
      <c r="CS174" s="842"/>
      <c r="CT174" s="842"/>
      <c r="CU174" s="842"/>
      <c r="CV174" s="842"/>
      <c r="CW174" s="842"/>
      <c r="CX174" s="842"/>
      <c r="CY174" s="842"/>
      <c r="CZ174" s="842"/>
      <c r="DA174" s="842"/>
      <c r="DB174" s="842"/>
      <c r="DC174" s="842"/>
      <c r="DD174" s="842"/>
      <c r="DE174" s="842"/>
      <c r="DF174" s="842"/>
      <c r="DG174" s="842"/>
      <c r="DH174" s="842"/>
      <c r="DI174" s="842"/>
      <c r="DJ174" s="842"/>
      <c r="DK174" s="842"/>
      <c r="DL174" s="842"/>
      <c r="DM174" s="842"/>
      <c r="DN174" s="842"/>
      <c r="DO174" s="842"/>
      <c r="DP174" s="842"/>
      <c r="DQ174" s="842"/>
      <c r="DR174" s="842"/>
      <c r="DS174" s="842"/>
      <c r="DT174" s="842"/>
    </row>
    <row r="175" spans="54:124" x14ac:dyDescent="0.25">
      <c r="BB175" s="842"/>
      <c r="BC175" s="842"/>
      <c r="BD175" s="842"/>
      <c r="BE175" s="842"/>
      <c r="BF175" s="842"/>
      <c r="BG175" s="842"/>
      <c r="BH175" s="842"/>
      <c r="BI175" s="842"/>
      <c r="BJ175" s="842"/>
      <c r="BK175" s="842"/>
      <c r="BL175" s="842"/>
      <c r="BM175" s="842"/>
      <c r="BN175" s="842"/>
      <c r="BO175" s="842"/>
      <c r="BP175" s="842"/>
      <c r="BQ175" s="882"/>
      <c r="BR175" s="842"/>
      <c r="BS175" s="842"/>
      <c r="BT175" s="842"/>
      <c r="BU175" s="842"/>
      <c r="BV175" s="842"/>
      <c r="BW175" s="842"/>
      <c r="BX175" s="842"/>
      <c r="BY175" s="842"/>
      <c r="BZ175" s="842"/>
      <c r="CA175" s="842"/>
      <c r="CB175" s="842"/>
      <c r="CC175" s="842"/>
      <c r="CD175" s="842"/>
      <c r="CE175" s="842"/>
      <c r="CF175" s="842"/>
      <c r="CG175" s="842"/>
      <c r="CH175" s="842"/>
      <c r="CI175" s="842"/>
      <c r="CJ175" s="842"/>
      <c r="CK175" s="842"/>
      <c r="CL175" s="842"/>
      <c r="CM175" s="842"/>
      <c r="CN175" s="842"/>
      <c r="CO175" s="842"/>
      <c r="CP175" s="842"/>
      <c r="CQ175" s="842"/>
      <c r="CR175" s="842"/>
      <c r="CS175" s="842"/>
      <c r="CT175" s="842"/>
      <c r="CU175" s="842"/>
      <c r="CV175" s="842"/>
      <c r="CW175" s="842"/>
      <c r="CX175" s="842"/>
      <c r="CY175" s="842"/>
      <c r="CZ175" s="842"/>
      <c r="DA175" s="842"/>
      <c r="DB175" s="842"/>
      <c r="DC175" s="842"/>
      <c r="DD175" s="842"/>
      <c r="DE175" s="842"/>
      <c r="DF175" s="842"/>
      <c r="DG175" s="842"/>
      <c r="DH175" s="842"/>
      <c r="DI175" s="842"/>
      <c r="DJ175" s="842"/>
      <c r="DK175" s="842"/>
      <c r="DL175" s="842"/>
      <c r="DM175" s="842"/>
      <c r="DN175" s="842"/>
      <c r="DO175" s="842"/>
      <c r="DP175" s="842"/>
      <c r="DQ175" s="842"/>
      <c r="DR175" s="842"/>
      <c r="DS175" s="842"/>
      <c r="DT175" s="842"/>
    </row>
    <row r="176" spans="54:124" x14ac:dyDescent="0.25">
      <c r="BB176" s="842"/>
      <c r="BC176" s="842"/>
      <c r="BD176" s="842"/>
      <c r="BE176" s="842"/>
      <c r="BF176" s="842"/>
      <c r="BG176" s="842"/>
      <c r="BH176" s="842"/>
      <c r="BI176" s="842"/>
      <c r="BJ176" s="842"/>
      <c r="BK176" s="842"/>
      <c r="BL176" s="842"/>
      <c r="BM176" s="842"/>
      <c r="BN176" s="842"/>
      <c r="BO176" s="842"/>
      <c r="BP176" s="842"/>
      <c r="BQ176" s="882"/>
      <c r="BR176" s="842"/>
      <c r="BS176" s="842"/>
      <c r="BT176" s="842"/>
      <c r="BU176" s="842"/>
      <c r="BV176" s="842"/>
      <c r="BW176" s="842"/>
      <c r="BX176" s="842"/>
      <c r="BY176" s="842"/>
      <c r="BZ176" s="842"/>
      <c r="CA176" s="842"/>
      <c r="CB176" s="842"/>
      <c r="CC176" s="842"/>
      <c r="CD176" s="842"/>
      <c r="CE176" s="842"/>
      <c r="CF176" s="842"/>
      <c r="CG176" s="842"/>
      <c r="CH176" s="842"/>
      <c r="CI176" s="842"/>
      <c r="CJ176" s="842"/>
      <c r="CK176" s="842"/>
      <c r="CL176" s="842"/>
      <c r="CM176" s="842"/>
      <c r="CN176" s="842"/>
      <c r="CO176" s="842"/>
      <c r="CP176" s="842"/>
      <c r="CQ176" s="842"/>
      <c r="CR176" s="842"/>
      <c r="CS176" s="842"/>
      <c r="CT176" s="842"/>
      <c r="CU176" s="842"/>
      <c r="CV176" s="842"/>
      <c r="CW176" s="842"/>
      <c r="CX176" s="842"/>
      <c r="CY176" s="842"/>
      <c r="CZ176" s="842"/>
      <c r="DA176" s="842"/>
      <c r="DB176" s="842"/>
      <c r="DC176" s="842"/>
      <c r="DD176" s="842"/>
      <c r="DE176" s="842"/>
      <c r="DF176" s="842"/>
      <c r="DG176" s="842"/>
      <c r="DH176" s="842"/>
      <c r="DI176" s="842"/>
      <c r="DJ176" s="842"/>
      <c r="DK176" s="842"/>
      <c r="DL176" s="842"/>
      <c r="DM176" s="842"/>
      <c r="DN176" s="842"/>
      <c r="DO176" s="842"/>
      <c r="DP176" s="842"/>
      <c r="DQ176" s="842"/>
      <c r="DR176" s="842"/>
      <c r="DS176" s="842"/>
      <c r="DT176" s="842"/>
    </row>
    <row r="177" spans="54:124" x14ac:dyDescent="0.25">
      <c r="BB177" s="842"/>
      <c r="BC177" s="842"/>
      <c r="BD177" s="842"/>
      <c r="BE177" s="842"/>
      <c r="BF177" s="842"/>
      <c r="BG177" s="842"/>
      <c r="BH177" s="842"/>
      <c r="BI177" s="842"/>
      <c r="BJ177" s="842"/>
      <c r="BK177" s="842"/>
      <c r="BL177" s="842"/>
      <c r="BM177" s="842"/>
      <c r="BN177" s="842"/>
      <c r="BO177" s="842"/>
      <c r="BP177" s="842"/>
      <c r="BQ177" s="882"/>
      <c r="BR177" s="842"/>
      <c r="BS177" s="842"/>
      <c r="BT177" s="842"/>
      <c r="BU177" s="842"/>
      <c r="BV177" s="842"/>
      <c r="BW177" s="842"/>
      <c r="BX177" s="842"/>
      <c r="BY177" s="842"/>
      <c r="BZ177" s="842"/>
      <c r="CA177" s="842"/>
      <c r="CB177" s="842"/>
      <c r="CC177" s="842"/>
      <c r="CD177" s="842"/>
      <c r="CE177" s="842"/>
      <c r="CF177" s="842"/>
      <c r="CG177" s="842"/>
      <c r="CH177" s="842"/>
      <c r="CI177" s="842"/>
      <c r="CJ177" s="842"/>
      <c r="CK177" s="842"/>
      <c r="CL177" s="842"/>
      <c r="CM177" s="842"/>
      <c r="CN177" s="842"/>
      <c r="CO177" s="842"/>
      <c r="CP177" s="842"/>
      <c r="CQ177" s="842"/>
      <c r="CR177" s="842"/>
      <c r="CS177" s="842"/>
      <c r="CT177" s="842"/>
      <c r="CU177" s="842"/>
      <c r="CV177" s="842"/>
      <c r="CW177" s="842"/>
      <c r="CX177" s="842"/>
      <c r="CY177" s="842"/>
      <c r="CZ177" s="842"/>
      <c r="DA177" s="842"/>
      <c r="DB177" s="842"/>
      <c r="DC177" s="842"/>
      <c r="DD177" s="842"/>
      <c r="DE177" s="842"/>
      <c r="DF177" s="842"/>
      <c r="DG177" s="842"/>
      <c r="DH177" s="842"/>
      <c r="DI177" s="842"/>
      <c r="DJ177" s="842"/>
      <c r="DK177" s="842"/>
      <c r="DL177" s="842"/>
      <c r="DM177" s="842"/>
      <c r="DN177" s="842"/>
      <c r="DO177" s="842"/>
      <c r="DP177" s="842"/>
      <c r="DQ177" s="842"/>
      <c r="DR177" s="842"/>
      <c r="DS177" s="842"/>
      <c r="DT177" s="842"/>
    </row>
    <row r="178" spans="54:124" x14ac:dyDescent="0.25">
      <c r="BB178" s="842"/>
      <c r="BC178" s="842"/>
      <c r="BD178" s="842"/>
      <c r="BE178" s="842"/>
      <c r="BF178" s="842"/>
      <c r="BG178" s="842"/>
      <c r="BH178" s="842"/>
      <c r="BI178" s="842"/>
      <c r="BJ178" s="842"/>
      <c r="BK178" s="842"/>
      <c r="BL178" s="842"/>
      <c r="BM178" s="842"/>
      <c r="BN178" s="842"/>
      <c r="BO178" s="842"/>
      <c r="BP178" s="842"/>
      <c r="BQ178" s="882"/>
      <c r="BR178" s="842"/>
      <c r="BS178" s="842"/>
      <c r="BT178" s="842"/>
      <c r="BU178" s="842"/>
      <c r="BV178" s="842"/>
      <c r="BW178" s="842"/>
      <c r="BX178" s="842"/>
      <c r="BY178" s="842"/>
      <c r="BZ178" s="842"/>
      <c r="CA178" s="842"/>
      <c r="CB178" s="842"/>
      <c r="CC178" s="842"/>
      <c r="CD178" s="842"/>
      <c r="CE178" s="842"/>
      <c r="CF178" s="842"/>
      <c r="CG178" s="842"/>
      <c r="CH178" s="842"/>
      <c r="CI178" s="842"/>
      <c r="CJ178" s="842"/>
      <c r="CK178" s="842"/>
      <c r="CL178" s="842"/>
      <c r="CM178" s="842"/>
      <c r="CN178" s="842"/>
      <c r="CO178" s="842"/>
      <c r="CP178" s="842"/>
      <c r="CQ178" s="842"/>
      <c r="CR178" s="842"/>
      <c r="CS178" s="842"/>
      <c r="CT178" s="842"/>
      <c r="CU178" s="842"/>
      <c r="CV178" s="842"/>
      <c r="CW178" s="842"/>
      <c r="CX178" s="842"/>
      <c r="CY178" s="842"/>
      <c r="CZ178" s="842"/>
      <c r="DA178" s="842"/>
      <c r="DB178" s="842"/>
      <c r="DC178" s="842"/>
      <c r="DD178" s="842"/>
      <c r="DE178" s="842"/>
      <c r="DF178" s="842"/>
      <c r="DG178" s="842"/>
      <c r="DH178" s="842"/>
      <c r="DI178" s="842"/>
      <c r="DJ178" s="842"/>
      <c r="DK178" s="842"/>
      <c r="DL178" s="842"/>
      <c r="DM178" s="842"/>
      <c r="DN178" s="842"/>
      <c r="DO178" s="842"/>
      <c r="DP178" s="842"/>
      <c r="DQ178" s="842"/>
      <c r="DR178" s="842"/>
      <c r="DS178" s="842"/>
      <c r="DT178" s="842"/>
    </row>
    <row r="179" spans="54:124" x14ac:dyDescent="0.25">
      <c r="BB179" s="842"/>
      <c r="BC179" s="842"/>
      <c r="BD179" s="842"/>
      <c r="BE179" s="842"/>
      <c r="BF179" s="842"/>
      <c r="BG179" s="842"/>
      <c r="BH179" s="842"/>
      <c r="BI179" s="842"/>
      <c r="BJ179" s="842"/>
      <c r="BK179" s="842"/>
      <c r="BL179" s="842"/>
      <c r="BM179" s="842"/>
      <c r="BN179" s="842"/>
      <c r="BO179" s="842"/>
      <c r="BP179" s="842"/>
      <c r="BQ179" s="882"/>
      <c r="BR179" s="842"/>
      <c r="BS179" s="842"/>
      <c r="BT179" s="842"/>
      <c r="BU179" s="842"/>
      <c r="BV179" s="842"/>
      <c r="BW179" s="842"/>
      <c r="BX179" s="842"/>
      <c r="BY179" s="842"/>
      <c r="BZ179" s="842"/>
      <c r="CA179" s="842"/>
      <c r="CB179" s="842"/>
      <c r="CC179" s="842"/>
      <c r="CD179" s="842"/>
      <c r="CE179" s="842"/>
      <c r="CF179" s="842"/>
      <c r="CG179" s="842"/>
      <c r="CH179" s="842"/>
      <c r="CI179" s="842"/>
      <c r="CJ179" s="842"/>
      <c r="CK179" s="842"/>
      <c r="CL179" s="842"/>
      <c r="CM179" s="842"/>
      <c r="CN179" s="842"/>
      <c r="CO179" s="842"/>
      <c r="CP179" s="842"/>
      <c r="CQ179" s="842"/>
      <c r="CR179" s="842"/>
      <c r="CS179" s="842"/>
      <c r="CT179" s="842"/>
      <c r="CU179" s="842"/>
      <c r="CV179" s="842"/>
      <c r="CW179" s="842"/>
      <c r="CX179" s="842"/>
      <c r="CY179" s="842"/>
      <c r="CZ179" s="842"/>
      <c r="DA179" s="842"/>
      <c r="DB179" s="842"/>
      <c r="DC179" s="842"/>
      <c r="DD179" s="842"/>
      <c r="DE179" s="842"/>
      <c r="DF179" s="842"/>
      <c r="DG179" s="842"/>
      <c r="DH179" s="842"/>
      <c r="DI179" s="842"/>
      <c r="DJ179" s="842"/>
      <c r="DK179" s="842"/>
      <c r="DL179" s="842"/>
      <c r="DM179" s="842"/>
      <c r="DN179" s="842"/>
      <c r="DO179" s="842"/>
      <c r="DP179" s="842"/>
      <c r="DQ179" s="842"/>
      <c r="DR179" s="842"/>
      <c r="DS179" s="842"/>
      <c r="DT179" s="842"/>
    </row>
    <row r="180" spans="54:124" x14ac:dyDescent="0.25">
      <c r="BB180" s="842"/>
      <c r="BC180" s="842"/>
      <c r="BD180" s="842"/>
      <c r="BE180" s="842"/>
      <c r="BF180" s="842"/>
      <c r="BG180" s="842"/>
      <c r="BH180" s="842"/>
      <c r="BI180" s="842"/>
      <c r="BJ180" s="842"/>
      <c r="BK180" s="842"/>
      <c r="BL180" s="842"/>
      <c r="BM180" s="842"/>
      <c r="BN180" s="842"/>
      <c r="BO180" s="842"/>
      <c r="BP180" s="842"/>
      <c r="BQ180" s="882"/>
      <c r="BR180" s="842"/>
      <c r="BS180" s="842"/>
      <c r="BT180" s="842"/>
      <c r="BU180" s="842"/>
      <c r="BV180" s="842"/>
      <c r="BW180" s="842"/>
      <c r="BX180" s="842"/>
      <c r="BY180" s="842"/>
      <c r="BZ180" s="842"/>
      <c r="CA180" s="842"/>
      <c r="CB180" s="842"/>
      <c r="CC180" s="842"/>
      <c r="CD180" s="842"/>
      <c r="CE180" s="842"/>
      <c r="CF180" s="842"/>
      <c r="CG180" s="842"/>
      <c r="CH180" s="842"/>
      <c r="CI180" s="842"/>
      <c r="CJ180" s="842"/>
      <c r="CK180" s="842"/>
      <c r="CL180" s="842"/>
      <c r="CM180" s="842"/>
      <c r="CN180" s="842"/>
      <c r="CO180" s="842"/>
      <c r="CP180" s="842"/>
      <c r="CQ180" s="842"/>
      <c r="CR180" s="842"/>
      <c r="CS180" s="842"/>
      <c r="CT180" s="842"/>
      <c r="CU180" s="842"/>
      <c r="CV180" s="842"/>
      <c r="CW180" s="842"/>
      <c r="CX180" s="842"/>
      <c r="CY180" s="842"/>
      <c r="CZ180" s="842"/>
      <c r="DA180" s="842"/>
      <c r="DB180" s="842"/>
      <c r="DC180" s="842"/>
      <c r="DD180" s="842"/>
      <c r="DE180" s="842"/>
      <c r="DF180" s="842"/>
      <c r="DG180" s="842"/>
      <c r="DH180" s="842"/>
      <c r="DI180" s="842"/>
      <c r="DJ180" s="842"/>
      <c r="DK180" s="842"/>
      <c r="DL180" s="842"/>
      <c r="DM180" s="842"/>
      <c r="DN180" s="842"/>
      <c r="DO180" s="842"/>
      <c r="DP180" s="842"/>
      <c r="DQ180" s="842"/>
      <c r="DR180" s="842"/>
      <c r="DS180" s="842"/>
      <c r="DT180" s="842"/>
    </row>
    <row r="181" spans="54:124" x14ac:dyDescent="0.25">
      <c r="BB181" s="842"/>
      <c r="BC181" s="842"/>
      <c r="BD181" s="842"/>
      <c r="BE181" s="842"/>
      <c r="BF181" s="842"/>
      <c r="BG181" s="842"/>
      <c r="BH181" s="842"/>
      <c r="BI181" s="842"/>
      <c r="BJ181" s="842"/>
      <c r="BK181" s="842"/>
      <c r="BL181" s="842"/>
      <c r="BM181" s="842"/>
      <c r="BN181" s="842"/>
      <c r="BO181" s="842"/>
      <c r="BP181" s="842"/>
      <c r="BQ181" s="882"/>
      <c r="BR181" s="842"/>
      <c r="BS181" s="842"/>
      <c r="BT181" s="842"/>
      <c r="BU181" s="842"/>
      <c r="BV181" s="842"/>
      <c r="BW181" s="842"/>
      <c r="BX181" s="842"/>
      <c r="BY181" s="842"/>
      <c r="BZ181" s="842"/>
      <c r="CA181" s="842"/>
      <c r="CB181" s="842"/>
      <c r="CC181" s="842"/>
      <c r="CD181" s="842"/>
      <c r="CE181" s="842"/>
      <c r="CF181" s="842"/>
      <c r="CG181" s="842"/>
      <c r="CH181" s="842"/>
      <c r="CI181" s="842"/>
      <c r="CJ181" s="842"/>
      <c r="CK181" s="842"/>
      <c r="CL181" s="842"/>
      <c r="CM181" s="842"/>
      <c r="CN181" s="842"/>
      <c r="CO181" s="842"/>
      <c r="CP181" s="842"/>
      <c r="CQ181" s="842"/>
      <c r="CR181" s="842"/>
      <c r="CS181" s="842"/>
      <c r="CT181" s="842"/>
      <c r="CU181" s="842"/>
      <c r="CV181" s="842"/>
      <c r="CW181" s="842"/>
      <c r="CX181" s="842"/>
      <c r="CY181" s="842"/>
      <c r="CZ181" s="842"/>
      <c r="DA181" s="842"/>
      <c r="DB181" s="842"/>
      <c r="DC181" s="842"/>
      <c r="DD181" s="842"/>
      <c r="DE181" s="842"/>
      <c r="DF181" s="842"/>
      <c r="DG181" s="842"/>
      <c r="DH181" s="842"/>
      <c r="DI181" s="842"/>
      <c r="DJ181" s="842"/>
      <c r="DK181" s="842"/>
      <c r="DL181" s="842"/>
      <c r="DM181" s="842"/>
      <c r="DN181" s="842"/>
      <c r="DO181" s="842"/>
      <c r="DP181" s="842"/>
      <c r="DQ181" s="842"/>
      <c r="DR181" s="842"/>
      <c r="DS181" s="842"/>
      <c r="DT181" s="842"/>
    </row>
    <row r="182" spans="54:124" x14ac:dyDescent="0.25">
      <c r="BB182" s="842"/>
      <c r="BC182" s="842"/>
      <c r="BD182" s="842"/>
      <c r="BE182" s="842"/>
      <c r="BF182" s="842"/>
      <c r="BG182" s="842"/>
      <c r="BH182" s="842"/>
      <c r="BI182" s="842"/>
      <c r="BJ182" s="842"/>
      <c r="BK182" s="842"/>
      <c r="BL182" s="842"/>
      <c r="BM182" s="842"/>
      <c r="BN182" s="842"/>
      <c r="BO182" s="842"/>
      <c r="BP182" s="842"/>
      <c r="BQ182" s="882"/>
      <c r="BR182" s="842"/>
      <c r="BS182" s="842"/>
      <c r="BT182" s="842"/>
      <c r="BU182" s="842"/>
      <c r="BV182" s="842"/>
      <c r="BW182" s="842"/>
      <c r="BX182" s="842"/>
      <c r="BY182" s="842"/>
      <c r="BZ182" s="842"/>
      <c r="CA182" s="842"/>
      <c r="CB182" s="842"/>
      <c r="CC182" s="842"/>
      <c r="CD182" s="842"/>
      <c r="CE182" s="842"/>
      <c r="CF182" s="842"/>
      <c r="CG182" s="842"/>
      <c r="CH182" s="842"/>
      <c r="CI182" s="842"/>
      <c r="CJ182" s="842"/>
      <c r="CK182" s="842"/>
      <c r="CL182" s="842"/>
      <c r="CM182" s="842"/>
      <c r="CN182" s="842"/>
      <c r="CO182" s="842"/>
      <c r="CP182" s="842"/>
      <c r="CQ182" s="842"/>
      <c r="CR182" s="842"/>
      <c r="CS182" s="842"/>
      <c r="CT182" s="842"/>
      <c r="CU182" s="842"/>
      <c r="CV182" s="842"/>
      <c r="CW182" s="842"/>
      <c r="CX182" s="842"/>
      <c r="CY182" s="842"/>
      <c r="CZ182" s="842"/>
      <c r="DA182" s="842"/>
      <c r="DB182" s="842"/>
      <c r="DC182" s="842"/>
      <c r="DD182" s="842"/>
      <c r="DE182" s="842"/>
      <c r="DF182" s="842"/>
      <c r="DG182" s="842"/>
      <c r="DH182" s="842"/>
      <c r="DI182" s="842"/>
      <c r="DJ182" s="842"/>
      <c r="DK182" s="842"/>
      <c r="DL182" s="842"/>
      <c r="DM182" s="842"/>
      <c r="DN182" s="842"/>
      <c r="DO182" s="842"/>
      <c r="DP182" s="842"/>
      <c r="DQ182" s="842"/>
      <c r="DR182" s="842"/>
      <c r="DS182" s="842"/>
      <c r="DT182" s="842"/>
    </row>
    <row r="183" spans="54:124" x14ac:dyDescent="0.25">
      <c r="BB183" s="842"/>
      <c r="BC183" s="842"/>
      <c r="BD183" s="842"/>
      <c r="BE183" s="842"/>
      <c r="BF183" s="842"/>
      <c r="BG183" s="842"/>
      <c r="BH183" s="842"/>
      <c r="BI183" s="842"/>
      <c r="BJ183" s="842"/>
      <c r="BK183" s="842"/>
      <c r="BL183" s="842"/>
      <c r="BM183" s="842"/>
      <c r="BN183" s="842"/>
      <c r="BO183" s="842"/>
      <c r="BP183" s="842"/>
      <c r="BQ183" s="882"/>
      <c r="BR183" s="842"/>
      <c r="BS183" s="842"/>
      <c r="BT183" s="842"/>
      <c r="BU183" s="842"/>
      <c r="BV183" s="842"/>
      <c r="BW183" s="842"/>
      <c r="BX183" s="842"/>
      <c r="BY183" s="842"/>
      <c r="BZ183" s="842"/>
      <c r="CA183" s="842"/>
      <c r="CB183" s="842"/>
      <c r="CC183" s="842"/>
      <c r="CD183" s="842"/>
      <c r="CE183" s="842"/>
      <c r="CF183" s="842"/>
      <c r="CG183" s="842"/>
      <c r="CH183" s="842"/>
      <c r="CI183" s="842"/>
      <c r="CJ183" s="842"/>
      <c r="CK183" s="842"/>
      <c r="CL183" s="842"/>
      <c r="CM183" s="842"/>
      <c r="CN183" s="842"/>
      <c r="CO183" s="842"/>
      <c r="CP183" s="842"/>
      <c r="CQ183" s="842"/>
      <c r="CR183" s="842"/>
      <c r="CS183" s="842"/>
      <c r="CT183" s="842"/>
      <c r="CU183" s="842"/>
      <c r="CV183" s="842"/>
      <c r="CW183" s="842"/>
      <c r="CX183" s="842"/>
      <c r="CY183" s="842"/>
      <c r="CZ183" s="842"/>
      <c r="DA183" s="842"/>
      <c r="DB183" s="842"/>
      <c r="DC183" s="842"/>
      <c r="DD183" s="842"/>
      <c r="DE183" s="842"/>
      <c r="DF183" s="842"/>
      <c r="DG183" s="842"/>
      <c r="DH183" s="842"/>
      <c r="DI183" s="842"/>
      <c r="DJ183" s="842"/>
      <c r="DK183" s="842"/>
      <c r="DL183" s="842"/>
      <c r="DM183" s="842"/>
      <c r="DN183" s="842"/>
      <c r="DO183" s="842"/>
      <c r="DP183" s="842"/>
      <c r="DQ183" s="842"/>
      <c r="DR183" s="842"/>
      <c r="DS183" s="842"/>
      <c r="DT183" s="842"/>
    </row>
    <row r="184" spans="54:124" x14ac:dyDescent="0.25">
      <c r="BB184" s="842"/>
      <c r="BC184" s="842"/>
      <c r="BD184" s="842"/>
      <c r="BE184" s="842"/>
      <c r="BF184" s="842"/>
      <c r="BG184" s="842"/>
      <c r="BH184" s="842"/>
      <c r="BI184" s="842"/>
      <c r="BJ184" s="842"/>
      <c r="BK184" s="842"/>
      <c r="BL184" s="842"/>
      <c r="BM184" s="842"/>
      <c r="BN184" s="842"/>
      <c r="BO184" s="842"/>
      <c r="BP184" s="842"/>
      <c r="BQ184" s="882"/>
      <c r="BR184" s="842"/>
      <c r="BS184" s="842"/>
      <c r="BT184" s="842"/>
      <c r="BU184" s="842"/>
      <c r="BV184" s="842"/>
      <c r="BW184" s="842"/>
      <c r="BX184" s="842"/>
      <c r="BY184" s="842"/>
      <c r="BZ184" s="842"/>
      <c r="CA184" s="842"/>
      <c r="CB184" s="842"/>
      <c r="CC184" s="842"/>
      <c r="CD184" s="842"/>
      <c r="CE184" s="842"/>
      <c r="CF184" s="842"/>
      <c r="CG184" s="842"/>
      <c r="CH184" s="842"/>
      <c r="CI184" s="842"/>
      <c r="CJ184" s="842"/>
      <c r="CK184" s="842"/>
      <c r="CL184" s="842"/>
      <c r="CM184" s="842"/>
      <c r="CN184" s="842"/>
      <c r="CO184" s="842"/>
      <c r="CP184" s="842"/>
      <c r="CQ184" s="842"/>
      <c r="CR184" s="842"/>
      <c r="CS184" s="842"/>
      <c r="CT184" s="842"/>
      <c r="CU184" s="842"/>
      <c r="CV184" s="842"/>
      <c r="CW184" s="842"/>
      <c r="CX184" s="842"/>
      <c r="CY184" s="842"/>
      <c r="CZ184" s="842"/>
      <c r="DA184" s="842"/>
      <c r="DB184" s="842"/>
      <c r="DC184" s="842"/>
      <c r="DD184" s="842"/>
      <c r="DE184" s="842"/>
      <c r="DF184" s="842"/>
      <c r="DG184" s="842"/>
      <c r="DH184" s="842"/>
      <c r="DI184" s="842"/>
      <c r="DJ184" s="842"/>
      <c r="DK184" s="842"/>
      <c r="DL184" s="842"/>
      <c r="DM184" s="842"/>
      <c r="DN184" s="842"/>
      <c r="DO184" s="842"/>
      <c r="DP184" s="842"/>
      <c r="DQ184" s="842"/>
      <c r="DR184" s="842"/>
      <c r="DS184" s="842"/>
      <c r="DT184" s="842"/>
    </row>
    <row r="185" spans="54:124" x14ac:dyDescent="0.25">
      <c r="BB185" s="842"/>
      <c r="BC185" s="842"/>
      <c r="BD185" s="842"/>
      <c r="BE185" s="842"/>
      <c r="BF185" s="842"/>
      <c r="BG185" s="842"/>
      <c r="BH185" s="842"/>
      <c r="BI185" s="842"/>
      <c r="BJ185" s="842"/>
      <c r="BK185" s="842"/>
      <c r="BL185" s="842"/>
      <c r="BM185" s="842"/>
      <c r="BN185" s="842"/>
      <c r="BO185" s="842"/>
      <c r="BP185" s="842"/>
      <c r="BQ185" s="882"/>
      <c r="BR185" s="842"/>
      <c r="BS185" s="842"/>
      <c r="BT185" s="842"/>
      <c r="BU185" s="842"/>
      <c r="BV185" s="842"/>
      <c r="BW185" s="842"/>
      <c r="BX185" s="842"/>
      <c r="BY185" s="842"/>
      <c r="BZ185" s="842"/>
      <c r="CA185" s="842"/>
      <c r="CB185" s="842"/>
      <c r="CC185" s="842"/>
      <c r="CD185" s="842"/>
      <c r="CE185" s="842"/>
      <c r="CF185" s="842"/>
      <c r="CG185" s="842"/>
      <c r="CH185" s="842"/>
      <c r="CI185" s="842"/>
      <c r="CJ185" s="842"/>
      <c r="CK185" s="842"/>
      <c r="CL185" s="842"/>
      <c r="CM185" s="842"/>
      <c r="CN185" s="842"/>
      <c r="CO185" s="842"/>
      <c r="CP185" s="842"/>
      <c r="CQ185" s="842"/>
      <c r="CR185" s="842"/>
      <c r="CS185" s="842"/>
      <c r="CT185" s="842"/>
      <c r="CU185" s="842"/>
      <c r="CV185" s="842"/>
      <c r="CW185" s="842"/>
      <c r="CX185" s="842"/>
      <c r="CY185" s="842"/>
      <c r="CZ185" s="842"/>
      <c r="DA185" s="842"/>
      <c r="DB185" s="842"/>
      <c r="DC185" s="842"/>
      <c r="DD185" s="842"/>
      <c r="DE185" s="842"/>
      <c r="DF185" s="842"/>
      <c r="DG185" s="842"/>
      <c r="DH185" s="842"/>
      <c r="DI185" s="842"/>
      <c r="DJ185" s="842"/>
      <c r="DK185" s="842"/>
      <c r="DL185" s="842"/>
      <c r="DM185" s="842"/>
      <c r="DN185" s="842"/>
      <c r="DO185" s="842"/>
      <c r="DP185" s="842"/>
      <c r="DQ185" s="842"/>
      <c r="DR185" s="842"/>
      <c r="DS185" s="842"/>
      <c r="DT185" s="842"/>
    </row>
    <row r="186" spans="54:124" x14ac:dyDescent="0.25">
      <c r="BB186" s="842"/>
      <c r="BC186" s="842"/>
      <c r="BD186" s="842"/>
      <c r="BE186" s="842"/>
      <c r="BF186" s="842"/>
      <c r="BG186" s="842"/>
      <c r="BH186" s="842"/>
      <c r="BI186" s="842"/>
      <c r="BJ186" s="842"/>
      <c r="BK186" s="842"/>
      <c r="BL186" s="842"/>
      <c r="BM186" s="842"/>
      <c r="BN186" s="842"/>
      <c r="BO186" s="842"/>
      <c r="BP186" s="842"/>
      <c r="BQ186" s="882"/>
      <c r="BR186" s="842"/>
      <c r="BS186" s="842"/>
      <c r="BT186" s="842"/>
      <c r="BU186" s="842"/>
      <c r="BV186" s="842"/>
      <c r="BW186" s="842"/>
      <c r="BX186" s="842"/>
      <c r="BY186" s="842"/>
      <c r="BZ186" s="842"/>
      <c r="CA186" s="842"/>
      <c r="CB186" s="842"/>
      <c r="CC186" s="842"/>
      <c r="CD186" s="842"/>
      <c r="CE186" s="842"/>
      <c r="CF186" s="842"/>
      <c r="CG186" s="842"/>
      <c r="CH186" s="842"/>
      <c r="CI186" s="842"/>
      <c r="CJ186" s="842"/>
      <c r="CK186" s="842"/>
      <c r="CL186" s="842"/>
      <c r="CM186" s="842"/>
      <c r="CN186" s="842"/>
      <c r="CO186" s="842"/>
      <c r="CP186" s="842"/>
      <c r="CQ186" s="842"/>
      <c r="CR186" s="842"/>
      <c r="CS186" s="842"/>
      <c r="CT186" s="842"/>
      <c r="CU186" s="842"/>
      <c r="CV186" s="842"/>
      <c r="CW186" s="842"/>
      <c r="CX186" s="842"/>
      <c r="CY186" s="842"/>
      <c r="CZ186" s="842"/>
      <c r="DA186" s="842"/>
      <c r="DB186" s="842"/>
      <c r="DC186" s="842"/>
      <c r="DD186" s="842"/>
      <c r="DE186" s="842"/>
      <c r="DF186" s="842"/>
      <c r="DG186" s="842"/>
      <c r="DH186" s="842"/>
      <c r="DI186" s="842"/>
      <c r="DJ186" s="842"/>
      <c r="DK186" s="842"/>
      <c r="DL186" s="842"/>
      <c r="DM186" s="842"/>
      <c r="DN186" s="842"/>
      <c r="DO186" s="842"/>
      <c r="DP186" s="842"/>
      <c r="DQ186" s="842"/>
      <c r="DR186" s="842"/>
      <c r="DS186" s="842"/>
      <c r="DT186" s="842"/>
    </row>
  </sheetData>
  <sheetProtection algorithmName="SHA-512" hashValue="YeIAJuexTPM9e0nmrV6iL0kwLga9yu8rMMWXGDJQCqBmDKPE98JFB9iryWDdL2G2O+IdNx0S8muXBK5AOdjViA==" saltValue="Z2XGvL3RHKxtMMbAisUdpw==" spinCount="100000" sheet="1" objects="1" scenarios="1"/>
  <mergeCells count="85">
    <mergeCell ref="BR50:BV50"/>
    <mergeCell ref="CP50:CT50"/>
    <mergeCell ref="BR51:BV51"/>
    <mergeCell ref="CP51:CT51"/>
    <mergeCell ref="BZ11:CA12"/>
    <mergeCell ref="CB11:CC12"/>
    <mergeCell ref="CD11:CE12"/>
    <mergeCell ref="CF11:CG12"/>
    <mergeCell ref="CH11:CI12"/>
    <mergeCell ref="BR48:BV48"/>
    <mergeCell ref="CP48:CT48"/>
    <mergeCell ref="BR49:BV49"/>
    <mergeCell ref="CP49:CT49"/>
    <mergeCell ref="BR33:BV33"/>
    <mergeCell ref="CP33:CT33"/>
    <mergeCell ref="BR34:BV34"/>
    <mergeCell ref="AA5:AW5"/>
    <mergeCell ref="AE18:AI18"/>
    <mergeCell ref="AQ18:AU18"/>
    <mergeCell ref="CP21:CT21"/>
    <mergeCell ref="AE21:AI21"/>
    <mergeCell ref="AQ21:AU21"/>
    <mergeCell ref="BB11:BC12"/>
    <mergeCell ref="BD11:BE12"/>
    <mergeCell ref="BF11:BG12"/>
    <mergeCell ref="BH11:BI12"/>
    <mergeCell ref="BJ11:BK12"/>
    <mergeCell ref="CP20:CT20"/>
    <mergeCell ref="AE33:AI33"/>
    <mergeCell ref="AQ33:AU33"/>
    <mergeCell ref="AE34:AI34"/>
    <mergeCell ref="AQ34:AU34"/>
    <mergeCell ref="AE19:AI19"/>
    <mergeCell ref="AQ19:AU19"/>
    <mergeCell ref="AE20:AI20"/>
    <mergeCell ref="AQ20:AU20"/>
    <mergeCell ref="AE51:AI51"/>
    <mergeCell ref="AQ51:AU51"/>
    <mergeCell ref="AE35:AI35"/>
    <mergeCell ref="AQ35:AU35"/>
    <mergeCell ref="AE36:AI36"/>
    <mergeCell ref="AQ36:AU36"/>
    <mergeCell ref="AE48:AI48"/>
    <mergeCell ref="AQ48:AU48"/>
    <mergeCell ref="AE49:AI49"/>
    <mergeCell ref="AQ49:AU49"/>
    <mergeCell ref="AE50:AI50"/>
    <mergeCell ref="AQ50:AU50"/>
    <mergeCell ref="G18:K18"/>
    <mergeCell ref="G50:K50"/>
    <mergeCell ref="G51:K51"/>
    <mergeCell ref="G21:K21"/>
    <mergeCell ref="G33:K33"/>
    <mergeCell ref="G34:K34"/>
    <mergeCell ref="G36:K36"/>
    <mergeCell ref="G19:K19"/>
    <mergeCell ref="G20:K20"/>
    <mergeCell ref="G48:K48"/>
    <mergeCell ref="G49:K49"/>
    <mergeCell ref="S50:W50"/>
    <mergeCell ref="S51:W51"/>
    <mergeCell ref="S36:W36"/>
    <mergeCell ref="S48:W48"/>
    <mergeCell ref="X4:Y4"/>
    <mergeCell ref="C4:W4"/>
    <mergeCell ref="C5:W5"/>
    <mergeCell ref="S34:W34"/>
    <mergeCell ref="S35:W35"/>
    <mergeCell ref="G35:K35"/>
    <mergeCell ref="S49:W49"/>
    <mergeCell ref="S18:W18"/>
    <mergeCell ref="S19:W19"/>
    <mergeCell ref="S20:W20"/>
    <mergeCell ref="S21:W21"/>
    <mergeCell ref="S33:W33"/>
    <mergeCell ref="CU4:CV4"/>
    <mergeCell ref="BN5:CT5"/>
    <mergeCell ref="CP18:CT18"/>
    <mergeCell ref="CP19:CT19"/>
    <mergeCell ref="BN4:CT4"/>
    <mergeCell ref="CP34:CT34"/>
    <mergeCell ref="BR35:BV35"/>
    <mergeCell ref="CP35:CT35"/>
    <mergeCell ref="BR36:BV36"/>
    <mergeCell ref="CP36:CT36"/>
  </mergeCells>
  <phoneticPr fontId="5" type="noConversion"/>
  <printOptions horizontalCentered="1"/>
  <pageMargins left="0.19685039370078741" right="0.23622047244094491" top="0.19685039370078741" bottom="0.15748031496062992" header="0.19685039370078741" footer="0.19685039370078741"/>
  <pageSetup paperSize="9" scale="55" orientation="landscape" horizontalDpi="4294967294" r:id="rId1"/>
  <headerFooter>
    <oddFooter>&amp;R&amp;8&amp;K00-014Software Spygmomanometer 2018</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C2:DM200"/>
  <sheetViews>
    <sheetView view="pageBreakPreview" zoomScale="70" zoomScaleNormal="100" zoomScaleSheetLayoutView="70" workbookViewId="0">
      <selection activeCell="F15" sqref="F15"/>
    </sheetView>
  </sheetViews>
  <sheetFormatPr defaultColWidth="9.140625" defaultRowHeight="15.75" x14ac:dyDescent="0.25"/>
  <cols>
    <col min="1" max="1" width="3.140625" style="610" customWidth="1"/>
    <col min="2" max="2" width="10.140625" style="610" customWidth="1"/>
    <col min="3" max="3" width="13.85546875" style="610" customWidth="1"/>
    <col min="4" max="4" width="7.140625" style="610" customWidth="1"/>
    <col min="5" max="5" width="12.42578125" style="610" customWidth="1"/>
    <col min="6" max="6" width="8.85546875" style="610" bestFit="1" customWidth="1"/>
    <col min="7" max="7" width="9.42578125" style="610" customWidth="1"/>
    <col min="8" max="8" width="10.140625" style="610" customWidth="1"/>
    <col min="9" max="9" width="4.7109375" style="610" customWidth="1"/>
    <col min="10" max="10" width="6.28515625" style="610" customWidth="1"/>
    <col min="11" max="11" width="13.85546875" style="610" customWidth="1"/>
    <col min="12" max="12" width="18.85546875" style="610" customWidth="1"/>
    <col min="13" max="13" width="14.85546875" style="610" customWidth="1"/>
    <col min="14" max="14" width="1.7109375" style="610" customWidth="1"/>
    <col min="15" max="15" width="13.140625" style="610" customWidth="1"/>
    <col min="16" max="16" width="7.42578125" style="610" customWidth="1"/>
    <col min="17" max="17" width="13" style="610" customWidth="1"/>
    <col min="18" max="20" width="9.140625" style="610"/>
    <col min="21" max="22" width="6" style="610" customWidth="1"/>
    <col min="23" max="23" width="16.85546875" style="610" customWidth="1"/>
    <col min="24" max="24" width="17.28515625" style="610" customWidth="1"/>
    <col min="25" max="25" width="14.28515625" style="610" customWidth="1"/>
    <col min="26" max="26" width="0" style="610" hidden="1" customWidth="1"/>
    <col min="27" max="27" width="13.85546875" style="610" hidden="1" customWidth="1"/>
    <col min="28" max="28" width="7.140625" style="610" hidden="1" customWidth="1"/>
    <col min="29" max="29" width="12.42578125" style="610" hidden="1" customWidth="1"/>
    <col min="30" max="30" width="7.85546875" style="610" hidden="1" customWidth="1"/>
    <col min="31" max="31" width="9.42578125" style="610" hidden="1" customWidth="1"/>
    <col min="32" max="32" width="10.140625" style="610" hidden="1" customWidth="1"/>
    <col min="33" max="33" width="4.7109375" style="610" hidden="1" customWidth="1"/>
    <col min="34" max="34" width="6.28515625" style="610" hidden="1" customWidth="1"/>
    <col min="35" max="35" width="15.28515625" style="610" hidden="1" customWidth="1"/>
    <col min="36" max="36" width="17.7109375" style="610" hidden="1" customWidth="1"/>
    <col min="37" max="37" width="20.28515625" style="610" hidden="1" customWidth="1"/>
    <col min="38" max="38" width="1.7109375" style="610" hidden="1" customWidth="1"/>
    <col min="39" max="39" width="13.140625" style="610" hidden="1" customWidth="1"/>
    <col min="40" max="40" width="7.42578125" style="610" hidden="1" customWidth="1"/>
    <col min="41" max="41" width="13" style="610" hidden="1" customWidth="1"/>
    <col min="42" max="44" width="0" style="610" hidden="1" customWidth="1"/>
    <col min="45" max="46" width="6" style="610" hidden="1" customWidth="1"/>
    <col min="47" max="47" width="16.85546875" style="610" hidden="1" customWidth="1"/>
    <col min="48" max="48" width="15.5703125" style="610" hidden="1" customWidth="1"/>
    <col min="49" max="49" width="14.28515625" style="610" hidden="1" customWidth="1"/>
    <col min="50" max="60" width="9.140625" style="610"/>
    <col min="61" max="61" width="19.42578125" style="610" customWidth="1"/>
    <col min="62" max="63" width="9.140625" style="610"/>
    <col min="64" max="64" width="33.42578125" style="610" customWidth="1"/>
    <col min="65" max="65" width="17.140625" style="610" customWidth="1"/>
    <col min="66" max="66" width="9.140625" style="610"/>
    <col min="67" max="67" width="15.85546875" style="610" customWidth="1"/>
    <col min="68" max="68" width="9.140625" style="610"/>
    <col min="69" max="69" width="33.42578125" style="610" customWidth="1"/>
    <col min="70" max="71" width="9.140625" style="610"/>
    <col min="72" max="72" width="23.5703125" style="610" customWidth="1"/>
    <col min="73" max="73" width="15.7109375" style="610" customWidth="1"/>
    <col min="74" max="74" width="18.42578125" style="610" customWidth="1"/>
    <col min="75" max="75" width="33.42578125" style="610" customWidth="1"/>
    <col min="76" max="79" width="9.140625" style="610"/>
    <col min="80" max="80" width="33.42578125" style="610" customWidth="1"/>
    <col min="81" max="90" width="9.140625" style="610"/>
    <col min="91" max="91" width="15.140625" style="610" customWidth="1"/>
    <col min="92" max="92" width="9.140625" style="610"/>
    <col min="93" max="93" width="13.42578125" style="610" customWidth="1"/>
    <col min="94" max="98" width="9.140625" style="610"/>
    <col min="99" max="101" width="16.7109375" style="610" customWidth="1"/>
    <col min="102" max="16384" width="9.140625" style="610"/>
  </cols>
  <sheetData>
    <row r="2" spans="3:117" x14ac:dyDescent="0.25">
      <c r="AZ2" s="887"/>
      <c r="BA2" s="887"/>
      <c r="BB2" s="887"/>
      <c r="BC2" s="887"/>
      <c r="BD2" s="887"/>
      <c r="BE2" s="887"/>
      <c r="BF2" s="887"/>
      <c r="BG2" s="887"/>
      <c r="BH2" s="887"/>
      <c r="BI2" s="887"/>
      <c r="BJ2" s="887"/>
      <c r="BK2" s="887"/>
      <c r="BL2" s="887"/>
      <c r="BM2" s="887"/>
      <c r="BN2" s="887"/>
      <c r="BO2" s="887"/>
      <c r="BP2" s="887"/>
      <c r="BQ2" s="887"/>
      <c r="BR2" s="887"/>
      <c r="BS2" s="887"/>
      <c r="BT2" s="887"/>
      <c r="BU2" s="887"/>
      <c r="BV2" s="887"/>
      <c r="BW2" s="887"/>
      <c r="BX2" s="887"/>
      <c r="BY2" s="887"/>
      <c r="BZ2" s="887"/>
      <c r="CA2" s="887"/>
      <c r="CB2" s="887"/>
      <c r="CC2" s="887"/>
      <c r="CD2" s="887"/>
      <c r="CE2" s="887"/>
      <c r="CF2" s="887"/>
      <c r="CG2" s="887"/>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row>
    <row r="3" spans="3:117" x14ac:dyDescent="0.25">
      <c r="AZ3" s="887"/>
      <c r="BA3" s="887"/>
      <c r="BB3" s="887"/>
      <c r="BC3" s="887"/>
      <c r="BD3" s="887"/>
      <c r="BE3" s="887"/>
      <c r="BF3" s="887"/>
      <c r="BG3" s="887"/>
      <c r="BH3" s="887"/>
      <c r="BI3" s="887"/>
      <c r="BJ3" s="887"/>
      <c r="BK3" s="887"/>
      <c r="BL3" s="887"/>
      <c r="BM3" s="887"/>
      <c r="BN3" s="887"/>
      <c r="BO3" s="887"/>
      <c r="BP3" s="887"/>
      <c r="BQ3" s="887"/>
      <c r="BR3" s="887"/>
      <c r="BS3" s="887"/>
      <c r="BT3" s="887"/>
      <c r="BU3" s="887"/>
      <c r="BV3" s="887"/>
      <c r="BW3" s="887"/>
      <c r="BX3" s="887"/>
      <c r="BY3" s="887"/>
      <c r="BZ3" s="887"/>
      <c r="CA3" s="887"/>
      <c r="CB3" s="887"/>
      <c r="CC3" s="887"/>
      <c r="CD3" s="887"/>
      <c r="CE3" s="887"/>
      <c r="CF3" s="887"/>
      <c r="CG3" s="887"/>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row>
    <row r="4" spans="3:117" ht="18.75" x14ac:dyDescent="0.3">
      <c r="C4" s="1268" t="s">
        <v>170</v>
      </c>
      <c r="D4" s="1268"/>
      <c r="E4" s="1268"/>
      <c r="F4" s="1268"/>
      <c r="G4" s="1268"/>
      <c r="H4" s="1268"/>
      <c r="I4" s="1268"/>
      <c r="J4" s="1268"/>
      <c r="K4" s="1268"/>
      <c r="L4" s="1268"/>
      <c r="M4" s="1268"/>
      <c r="N4" s="1268"/>
      <c r="O4" s="1268"/>
      <c r="P4" s="1268"/>
      <c r="Q4" s="1268"/>
      <c r="R4" s="1268"/>
      <c r="S4" s="1268"/>
      <c r="T4" s="1268"/>
      <c r="U4" s="1268"/>
      <c r="V4" s="1268"/>
      <c r="W4" s="1268"/>
      <c r="X4" s="1267" t="s">
        <v>694</v>
      </c>
      <c r="Y4" s="1267"/>
      <c r="Z4" s="609"/>
      <c r="AA4" s="1273" t="s">
        <v>229</v>
      </c>
      <c r="AB4" s="1273"/>
      <c r="AC4" s="1273"/>
      <c r="AD4" s="1273"/>
      <c r="AE4" s="1273"/>
      <c r="AF4" s="1273"/>
      <c r="AG4" s="1273"/>
      <c r="AH4" s="1273"/>
      <c r="AI4" s="1273"/>
      <c r="AJ4" s="1273"/>
      <c r="AK4" s="1273"/>
      <c r="AL4" s="1273"/>
      <c r="AM4" s="1273"/>
      <c r="AN4" s="1273"/>
      <c r="AO4" s="1273"/>
      <c r="AP4" s="1273"/>
      <c r="AQ4" s="1273"/>
      <c r="AR4" s="1273"/>
      <c r="AS4" s="1273"/>
      <c r="AT4" s="1273"/>
      <c r="AU4" s="1273"/>
      <c r="AV4" s="1273"/>
      <c r="AW4" s="1273"/>
      <c r="AZ4" s="887"/>
      <c r="BA4" s="887"/>
      <c r="BB4" s="887"/>
      <c r="BC4" s="887"/>
      <c r="BD4" s="887"/>
      <c r="BE4" s="887"/>
      <c r="BF4" s="887"/>
      <c r="BG4" s="887"/>
      <c r="BH4" s="887"/>
      <c r="BI4" s="887"/>
      <c r="BJ4" s="887"/>
      <c r="BK4" s="887"/>
      <c r="BL4" s="887"/>
      <c r="BM4" s="887"/>
      <c r="BN4" s="887"/>
      <c r="BO4" s="887"/>
      <c r="BP4" s="887"/>
      <c r="BQ4" s="887"/>
      <c r="BR4" s="887"/>
      <c r="BS4" s="887"/>
      <c r="BT4" s="887"/>
      <c r="BU4" s="887"/>
      <c r="BV4" s="887"/>
      <c r="BW4" s="887"/>
      <c r="BX4" s="887"/>
      <c r="BY4" s="887"/>
      <c r="BZ4" s="887"/>
      <c r="CA4" s="887"/>
      <c r="CB4" s="887"/>
      <c r="CC4" s="887"/>
      <c r="CD4" s="887"/>
      <c r="CE4" s="887"/>
      <c r="CF4" s="887"/>
      <c r="CG4" s="887"/>
      <c r="CH4" s="887"/>
      <c r="CI4" s="887"/>
      <c r="CJ4" s="887"/>
      <c r="CK4" s="887"/>
      <c r="CL4" s="887"/>
      <c r="CM4" s="887"/>
      <c r="CN4" s="887"/>
      <c r="CO4" s="887"/>
      <c r="CP4" s="887"/>
      <c r="CQ4" s="887"/>
      <c r="CR4" s="887"/>
      <c r="CS4" s="887"/>
      <c r="CT4" s="887"/>
      <c r="CU4" s="887"/>
      <c r="CV4" s="887"/>
      <c r="CW4" s="887"/>
      <c r="CX4" s="887"/>
      <c r="CY4" s="887"/>
      <c r="CZ4" s="887"/>
      <c r="DA4" s="887"/>
      <c r="DB4" s="887"/>
      <c r="DC4" s="887"/>
      <c r="DD4" s="887"/>
      <c r="DE4" s="887"/>
      <c r="DF4" s="887"/>
      <c r="DG4" s="887"/>
      <c r="DH4" s="887"/>
      <c r="DI4" s="887"/>
      <c r="DJ4" s="887"/>
      <c r="DK4" s="887"/>
      <c r="DL4" s="887"/>
      <c r="DM4" s="887"/>
    </row>
    <row r="5" spans="3:117" ht="17.25" x14ac:dyDescent="0.3">
      <c r="C5" s="1269" t="str">
        <f>ID!D2&amp;" "&amp;ID!I2</f>
        <v>Nomor Sertifikat : 44 / 11 / II - 21 / E - 035.66 DL</v>
      </c>
      <c r="D5" s="1269"/>
      <c r="E5" s="1269"/>
      <c r="F5" s="1269"/>
      <c r="G5" s="1269"/>
      <c r="H5" s="1269"/>
      <c r="I5" s="1269"/>
      <c r="J5" s="1269"/>
      <c r="K5" s="1269"/>
      <c r="L5" s="1269"/>
      <c r="M5" s="1269"/>
      <c r="N5" s="1269"/>
      <c r="O5" s="1269"/>
      <c r="P5" s="1269"/>
      <c r="Q5" s="1269"/>
      <c r="R5" s="1269"/>
      <c r="S5" s="1269"/>
      <c r="T5" s="1269"/>
      <c r="U5" s="1269"/>
      <c r="V5" s="1269"/>
      <c r="W5" s="1269"/>
      <c r="X5" s="612"/>
      <c r="AZ5" s="887"/>
      <c r="BA5" s="887"/>
      <c r="BB5" s="887"/>
      <c r="BC5" s="887"/>
      <c r="BD5" s="887"/>
      <c r="BE5" s="887"/>
      <c r="BF5" s="887"/>
      <c r="BG5" s="887"/>
      <c r="BH5" s="887"/>
      <c r="BI5" s="887"/>
      <c r="BJ5" s="887"/>
      <c r="BK5" s="887"/>
      <c r="BL5" s="887"/>
      <c r="BM5" s="887"/>
      <c r="BN5" s="887"/>
      <c r="BO5" s="887"/>
      <c r="BP5" s="887"/>
      <c r="BQ5" s="887"/>
      <c r="BR5" s="887"/>
      <c r="BS5" s="887"/>
      <c r="BT5" s="887"/>
      <c r="BU5" s="887"/>
      <c r="BV5" s="887"/>
      <c r="BW5" s="887"/>
      <c r="BX5" s="887"/>
      <c r="BY5" s="887"/>
      <c r="BZ5" s="887"/>
      <c r="CA5" s="887"/>
      <c r="CB5" s="887"/>
      <c r="CC5" s="887"/>
      <c r="CD5" s="887"/>
      <c r="CE5" s="887"/>
      <c r="CF5" s="887"/>
      <c r="CG5" s="887"/>
      <c r="CH5" s="887"/>
      <c r="CI5" s="887"/>
      <c r="CJ5" s="887"/>
      <c r="CK5" s="887"/>
      <c r="CL5" s="887"/>
      <c r="CM5" s="887"/>
      <c r="CN5" s="887"/>
      <c r="CO5" s="887"/>
      <c r="CP5" s="887"/>
      <c r="CQ5" s="887"/>
      <c r="CR5" s="887"/>
      <c r="CS5" s="887"/>
      <c r="CT5" s="887"/>
      <c r="CU5" s="887"/>
      <c r="CV5" s="887"/>
      <c r="CW5" s="887"/>
      <c r="CX5" s="887"/>
      <c r="CY5" s="887"/>
      <c r="CZ5" s="887"/>
      <c r="DA5" s="887"/>
      <c r="DB5" s="887"/>
      <c r="DC5" s="887"/>
      <c r="DD5" s="887"/>
      <c r="DE5" s="887"/>
      <c r="DF5" s="887"/>
      <c r="DG5" s="887"/>
      <c r="DH5" s="887"/>
      <c r="DI5" s="887"/>
      <c r="DJ5" s="887"/>
      <c r="DK5" s="887"/>
      <c r="DL5" s="887"/>
      <c r="DM5" s="887"/>
    </row>
    <row r="6" spans="3:117" ht="1.5" customHeight="1" x14ac:dyDescent="0.25">
      <c r="AZ6" s="887"/>
      <c r="BA6" s="887"/>
      <c r="BB6" s="887"/>
      <c r="BC6" s="887"/>
      <c r="BD6" s="887"/>
      <c r="BE6" s="887"/>
      <c r="BF6" s="887"/>
      <c r="BG6" s="887"/>
      <c r="BH6" s="887"/>
      <c r="BI6" s="887"/>
      <c r="BJ6" s="887"/>
      <c r="BK6" s="887"/>
      <c r="BL6" s="887"/>
      <c r="BM6" s="887"/>
      <c r="BN6" s="887"/>
      <c r="BO6" s="887"/>
      <c r="BP6" s="887"/>
      <c r="BQ6" s="887"/>
      <c r="BR6" s="887"/>
      <c r="BS6" s="887"/>
      <c r="BT6" s="887"/>
      <c r="BU6" s="887"/>
      <c r="BV6" s="887"/>
      <c r="BW6" s="887"/>
      <c r="BX6" s="887"/>
      <c r="BY6" s="887"/>
      <c r="BZ6" s="887"/>
      <c r="CA6" s="887"/>
      <c r="CB6" s="887"/>
      <c r="CC6" s="887"/>
      <c r="CD6" s="887"/>
      <c r="CE6" s="887"/>
      <c r="CF6" s="887"/>
      <c r="CG6" s="887"/>
      <c r="CH6" s="887"/>
      <c r="CI6" s="887"/>
      <c r="CJ6" s="887"/>
      <c r="CK6" s="887"/>
      <c r="CL6" s="887"/>
      <c r="CM6" s="887"/>
      <c r="CN6" s="887"/>
      <c r="CO6" s="887"/>
      <c r="CP6" s="887"/>
      <c r="CQ6" s="887"/>
      <c r="CR6" s="887"/>
      <c r="CS6" s="887"/>
      <c r="CT6" s="887"/>
      <c r="CU6" s="887"/>
      <c r="CV6" s="887"/>
      <c r="CW6" s="887"/>
      <c r="CX6" s="887"/>
      <c r="CY6" s="887"/>
      <c r="CZ6" s="887"/>
      <c r="DA6" s="887"/>
      <c r="DB6" s="887"/>
      <c r="DC6" s="887"/>
      <c r="DD6" s="887"/>
      <c r="DE6" s="887"/>
      <c r="DF6" s="887"/>
      <c r="DG6" s="887"/>
      <c r="DH6" s="887"/>
      <c r="DI6" s="887"/>
      <c r="DJ6" s="887"/>
      <c r="DK6" s="887"/>
      <c r="DL6" s="887"/>
      <c r="DM6" s="887"/>
    </row>
    <row r="7" spans="3:117" ht="1.5" customHeight="1" x14ac:dyDescent="0.25">
      <c r="AZ7" s="887"/>
      <c r="BA7" s="887"/>
      <c r="BB7" s="887"/>
      <c r="BC7" s="887"/>
      <c r="BD7" s="887"/>
      <c r="BE7" s="887"/>
      <c r="BF7" s="887"/>
      <c r="BG7" s="887"/>
      <c r="BH7" s="887"/>
      <c r="BI7" s="887"/>
      <c r="BJ7" s="887"/>
      <c r="BK7" s="887"/>
      <c r="BL7" s="887"/>
      <c r="BM7" s="887"/>
      <c r="BN7" s="887"/>
      <c r="BO7" s="887"/>
      <c r="BP7" s="887"/>
      <c r="BQ7" s="887"/>
      <c r="BR7" s="887"/>
      <c r="BS7" s="887"/>
      <c r="BT7" s="887"/>
      <c r="BU7" s="887"/>
      <c r="BV7" s="887"/>
      <c r="BW7" s="887"/>
      <c r="BX7" s="887"/>
      <c r="BY7" s="887"/>
      <c r="BZ7" s="887"/>
      <c r="CA7" s="887"/>
      <c r="CB7" s="887"/>
      <c r="CC7" s="887"/>
      <c r="CD7" s="887"/>
      <c r="CE7" s="887"/>
      <c r="CF7" s="887"/>
      <c r="CG7" s="887"/>
      <c r="CH7" s="887"/>
      <c r="CI7" s="887"/>
      <c r="CJ7" s="887"/>
      <c r="CK7" s="887"/>
      <c r="CL7" s="887"/>
      <c r="CM7" s="887"/>
      <c r="CN7" s="887"/>
      <c r="CO7" s="887"/>
      <c r="CP7" s="887"/>
      <c r="CQ7" s="887"/>
      <c r="CR7" s="887"/>
      <c r="CS7" s="887"/>
      <c r="CT7" s="887"/>
      <c r="CU7" s="887"/>
      <c r="CV7" s="887"/>
      <c r="CW7" s="887"/>
      <c r="CX7" s="887"/>
      <c r="CY7" s="887"/>
      <c r="CZ7" s="887"/>
      <c r="DA7" s="887"/>
      <c r="DB7" s="887"/>
      <c r="DC7" s="887"/>
      <c r="DD7" s="887"/>
      <c r="DE7" s="887"/>
      <c r="DF7" s="887"/>
      <c r="DG7" s="887"/>
      <c r="DH7" s="887"/>
      <c r="DI7" s="887"/>
      <c r="DJ7" s="887"/>
      <c r="DK7" s="887"/>
      <c r="DL7" s="887"/>
      <c r="DM7" s="887"/>
    </row>
    <row r="8" spans="3:117" ht="1.5" customHeight="1" x14ac:dyDescent="0.25">
      <c r="AZ8" s="887"/>
      <c r="BA8" s="887"/>
      <c r="BB8" s="887"/>
      <c r="BC8" s="887"/>
      <c r="BD8" s="887"/>
      <c r="BE8" s="887"/>
      <c r="BF8" s="887"/>
      <c r="BG8" s="887"/>
      <c r="BH8" s="887"/>
      <c r="BI8" s="887"/>
      <c r="BJ8" s="887"/>
      <c r="BK8" s="887"/>
      <c r="BL8" s="887"/>
      <c r="BM8" s="887"/>
      <c r="BN8" s="887"/>
      <c r="BO8" s="887"/>
      <c r="BP8" s="887"/>
      <c r="BQ8" s="887"/>
      <c r="BR8" s="887"/>
      <c r="BS8" s="887"/>
      <c r="BT8" s="887"/>
      <c r="BU8" s="887"/>
      <c r="BV8" s="887"/>
      <c r="BW8" s="887"/>
      <c r="BX8" s="887"/>
      <c r="BY8" s="887"/>
      <c r="BZ8" s="887"/>
      <c r="CA8" s="887"/>
      <c r="CB8" s="887"/>
      <c r="CC8" s="887"/>
      <c r="CD8" s="887"/>
      <c r="CE8" s="887"/>
      <c r="CF8" s="887"/>
      <c r="CG8" s="887"/>
      <c r="CH8" s="887"/>
      <c r="CI8" s="887"/>
      <c r="CJ8" s="887"/>
      <c r="CK8" s="887"/>
      <c r="CL8" s="887"/>
      <c r="CM8" s="887"/>
      <c r="CN8" s="887"/>
      <c r="CO8" s="887"/>
      <c r="CP8" s="887"/>
      <c r="CQ8" s="887"/>
      <c r="CR8" s="887"/>
      <c r="CS8" s="887"/>
      <c r="CT8" s="887"/>
      <c r="CU8" s="887"/>
      <c r="CV8" s="887"/>
      <c r="CW8" s="887"/>
      <c r="CX8" s="887"/>
      <c r="CY8" s="887"/>
      <c r="CZ8" s="887"/>
      <c r="DA8" s="887"/>
      <c r="DB8" s="887"/>
      <c r="DC8" s="887"/>
      <c r="DD8" s="887"/>
      <c r="DE8" s="887"/>
      <c r="DF8" s="887"/>
      <c r="DG8" s="887"/>
      <c r="DH8" s="887"/>
      <c r="DI8" s="887"/>
      <c r="DJ8" s="887"/>
      <c r="DK8" s="887"/>
      <c r="DL8" s="887"/>
      <c r="DM8" s="887"/>
    </row>
    <row r="9" spans="3:117" ht="18.75" customHeight="1" x14ac:dyDescent="0.25">
      <c r="C9" s="613">
        <f>ID!A68</f>
        <v>0</v>
      </c>
      <c r="D9" s="614" t="str">
        <f>D10</f>
        <v>mmHg</v>
      </c>
      <c r="O9" s="615">
        <f>ID!A71</f>
        <v>150</v>
      </c>
      <c r="P9" s="616" t="str">
        <f>P10</f>
        <v>mmHg</v>
      </c>
      <c r="Q9" s="617"/>
      <c r="R9" s="617"/>
      <c r="S9" s="618"/>
      <c r="T9" s="618"/>
      <c r="U9" s="618"/>
      <c r="V9" s="618"/>
      <c r="W9" s="618"/>
      <c r="X9" s="619"/>
      <c r="Y9" s="620"/>
      <c r="AA9" s="621" t="e">
        <f>ID!#REF!</f>
        <v>#REF!</v>
      </c>
      <c r="AB9" s="622">
        <f>AB10</f>
        <v>0</v>
      </c>
      <c r="AC9" s="623"/>
      <c r="AD9" s="623"/>
      <c r="AE9" s="623"/>
      <c r="AF9" s="623"/>
      <c r="AG9" s="623"/>
      <c r="AH9" s="623"/>
      <c r="AI9" s="623"/>
      <c r="AJ9" s="623"/>
      <c r="AK9" s="624"/>
      <c r="AL9" s="623"/>
      <c r="AM9" s="625">
        <v>150</v>
      </c>
      <c r="AN9" s="626">
        <f>AN10</f>
        <v>0</v>
      </c>
      <c r="AO9" s="627"/>
      <c r="AP9" s="627"/>
      <c r="AQ9" s="628"/>
      <c r="AR9" s="628"/>
      <c r="AS9" s="628"/>
      <c r="AT9" s="628"/>
      <c r="AU9" s="628"/>
      <c r="AV9" s="629"/>
      <c r="AW9" s="630"/>
      <c r="AZ9" s="887"/>
      <c r="BA9" s="887"/>
      <c r="BB9" s="887"/>
      <c r="BC9" s="887"/>
      <c r="BD9" s="887"/>
      <c r="BE9" s="887"/>
      <c r="BF9" s="887"/>
      <c r="BG9" s="887"/>
      <c r="BH9" s="887"/>
      <c r="BI9" s="887"/>
      <c r="BJ9" s="887"/>
      <c r="BK9" s="887"/>
      <c r="BL9" s="887"/>
      <c r="BM9" s="887"/>
      <c r="BN9" s="887"/>
      <c r="BO9" s="887"/>
      <c r="BP9" s="887"/>
      <c r="BQ9" s="887"/>
      <c r="BR9" s="887"/>
      <c r="BS9" s="887"/>
      <c r="BT9" s="887"/>
      <c r="BU9" s="887"/>
      <c r="BV9" s="887"/>
      <c r="BW9" s="887"/>
      <c r="BX9" s="887"/>
      <c r="BY9" s="887"/>
      <c r="BZ9" s="887"/>
      <c r="CA9" s="887"/>
      <c r="CB9" s="887"/>
      <c r="CC9" s="887"/>
      <c r="CD9" s="887"/>
      <c r="CE9" s="887"/>
      <c r="CF9" s="887"/>
      <c r="CG9" s="887"/>
      <c r="CH9" s="887"/>
      <c r="CI9" s="887"/>
      <c r="CJ9" s="887"/>
      <c r="CK9" s="887"/>
      <c r="CL9" s="887"/>
      <c r="CM9" s="887"/>
      <c r="CN9" s="887"/>
      <c r="CO9" s="887"/>
      <c r="CP9" s="887"/>
      <c r="CQ9" s="887"/>
      <c r="CR9" s="887"/>
      <c r="CS9" s="887"/>
      <c r="CT9" s="887"/>
      <c r="CU9" s="887"/>
      <c r="CV9" s="887"/>
      <c r="CW9" s="887"/>
      <c r="CX9" s="887"/>
      <c r="CY9" s="887"/>
      <c r="CZ9" s="887"/>
      <c r="DA9" s="887"/>
      <c r="DB9" s="887"/>
      <c r="DC9" s="887"/>
      <c r="DD9" s="887"/>
      <c r="DE9" s="887"/>
      <c r="DF9" s="887"/>
      <c r="DG9" s="887"/>
      <c r="DH9" s="887"/>
      <c r="DI9" s="887"/>
      <c r="DJ9" s="887"/>
      <c r="DK9" s="887"/>
      <c r="DL9" s="887"/>
      <c r="DM9" s="887"/>
    </row>
    <row r="10" spans="3:117" ht="9" customHeight="1" x14ac:dyDescent="0.25">
      <c r="C10" s="633">
        <f>ID!K68</f>
        <v>1.00199998E-6</v>
      </c>
      <c r="D10" s="632" t="s">
        <v>38</v>
      </c>
      <c r="O10" s="633">
        <f>ID!K71</f>
        <v>147.9</v>
      </c>
      <c r="P10" s="632" t="s">
        <v>38</v>
      </c>
      <c r="AA10" s="631"/>
      <c r="AB10" s="632"/>
      <c r="AC10" s="623"/>
      <c r="AD10" s="623"/>
      <c r="AE10" s="623"/>
      <c r="AF10" s="623"/>
      <c r="AG10" s="623"/>
      <c r="AH10" s="623"/>
      <c r="AI10" s="623"/>
      <c r="AJ10" s="623"/>
      <c r="AK10" s="624"/>
      <c r="AL10" s="623"/>
      <c r="AM10" s="633"/>
      <c r="AN10" s="634"/>
      <c r="AO10" s="623"/>
      <c r="AP10" s="623"/>
      <c r="AQ10" s="623"/>
      <c r="AR10" s="623"/>
      <c r="AS10" s="623"/>
      <c r="AT10" s="623"/>
      <c r="AU10" s="623"/>
      <c r="AV10" s="623"/>
      <c r="AW10" s="623"/>
      <c r="AZ10" s="887"/>
      <c r="BA10" s="887"/>
      <c r="BB10" s="887"/>
      <c r="BC10" s="887"/>
      <c r="BD10" s="887"/>
      <c r="BE10" s="887"/>
      <c r="BF10" s="887"/>
      <c r="BG10" s="887"/>
      <c r="BH10" s="887"/>
      <c r="BI10" s="887"/>
      <c r="BJ10" s="887"/>
      <c r="BK10" s="887"/>
      <c r="BL10" s="887"/>
      <c r="BM10" s="887"/>
      <c r="BN10" s="887"/>
      <c r="BO10" s="887"/>
      <c r="BP10" s="887"/>
      <c r="BQ10" s="887"/>
      <c r="BR10" s="887"/>
      <c r="BS10" s="887"/>
      <c r="BT10" s="887"/>
      <c r="BU10" s="887"/>
      <c r="BV10" s="887"/>
      <c r="BW10" s="887"/>
      <c r="BX10" s="887"/>
      <c r="BY10" s="887"/>
      <c r="BZ10" s="887"/>
      <c r="CA10" s="887"/>
      <c r="CB10" s="887"/>
      <c r="CC10" s="887"/>
      <c r="CD10" s="887"/>
      <c r="CE10" s="887"/>
      <c r="CF10" s="887"/>
      <c r="CG10" s="887"/>
      <c r="CH10" s="887"/>
      <c r="CI10" s="887"/>
      <c r="CJ10" s="887"/>
      <c r="CK10" s="887"/>
      <c r="CL10" s="887"/>
      <c r="CM10" s="887"/>
      <c r="CN10" s="887"/>
      <c r="CO10" s="887"/>
      <c r="CP10" s="887"/>
      <c r="CQ10" s="887"/>
      <c r="CR10" s="887"/>
      <c r="CS10" s="887"/>
      <c r="CT10" s="887"/>
      <c r="CU10" s="887"/>
      <c r="CV10" s="887"/>
      <c r="CW10" s="887"/>
      <c r="CX10" s="887"/>
      <c r="CY10" s="887"/>
      <c r="CZ10" s="887"/>
      <c r="DA10" s="887"/>
      <c r="DB10" s="887"/>
      <c r="DC10" s="887"/>
      <c r="DD10" s="887"/>
      <c r="DE10" s="887"/>
      <c r="DF10" s="887"/>
      <c r="DG10" s="887"/>
      <c r="DH10" s="887"/>
      <c r="DI10" s="887"/>
      <c r="DJ10" s="887"/>
      <c r="DK10" s="887"/>
      <c r="DL10" s="887"/>
      <c r="DM10" s="887"/>
    </row>
    <row r="11" spans="3:117" s="637" customFormat="1" ht="18.75" customHeight="1" x14ac:dyDescent="0.35">
      <c r="C11" s="635" t="s">
        <v>40</v>
      </c>
      <c r="D11" s="635" t="s">
        <v>41</v>
      </c>
      <c r="E11" s="635" t="s">
        <v>80</v>
      </c>
      <c r="F11" s="635" t="s">
        <v>79</v>
      </c>
      <c r="G11" s="635" t="s">
        <v>14</v>
      </c>
      <c r="H11" s="635" t="s">
        <v>115</v>
      </c>
      <c r="I11" s="635" t="s">
        <v>116</v>
      </c>
      <c r="J11" s="635" t="s">
        <v>117</v>
      </c>
      <c r="K11" s="635" t="s">
        <v>118</v>
      </c>
      <c r="L11" s="635" t="s">
        <v>119</v>
      </c>
      <c r="M11" s="636" t="s">
        <v>120</v>
      </c>
      <c r="O11" s="635" t="s">
        <v>40</v>
      </c>
      <c r="P11" s="635" t="s">
        <v>41</v>
      </c>
      <c r="Q11" s="635" t="s">
        <v>80</v>
      </c>
      <c r="R11" s="635" t="s">
        <v>79</v>
      </c>
      <c r="S11" s="635" t="s">
        <v>14</v>
      </c>
      <c r="T11" s="635" t="s">
        <v>115</v>
      </c>
      <c r="U11" s="635" t="s">
        <v>116</v>
      </c>
      <c r="V11" s="635" t="s">
        <v>117</v>
      </c>
      <c r="W11" s="635" t="s">
        <v>118</v>
      </c>
      <c r="X11" s="635" t="s">
        <v>119</v>
      </c>
      <c r="Y11" s="636" t="s">
        <v>120</v>
      </c>
      <c r="AA11" s="638" t="s">
        <v>40</v>
      </c>
      <c r="AB11" s="638" t="s">
        <v>41</v>
      </c>
      <c r="AC11" s="638" t="s">
        <v>80</v>
      </c>
      <c r="AD11" s="638" t="s">
        <v>79</v>
      </c>
      <c r="AE11" s="638" t="s">
        <v>14</v>
      </c>
      <c r="AF11" s="638" t="s">
        <v>221</v>
      </c>
      <c r="AG11" s="638" t="s">
        <v>222</v>
      </c>
      <c r="AH11" s="638" t="s">
        <v>223</v>
      </c>
      <c r="AI11" s="638" t="s">
        <v>224</v>
      </c>
      <c r="AJ11" s="638" t="s">
        <v>225</v>
      </c>
      <c r="AK11" s="639" t="s">
        <v>226</v>
      </c>
      <c r="AL11" s="640"/>
      <c r="AM11" s="638" t="s">
        <v>40</v>
      </c>
      <c r="AN11" s="638" t="s">
        <v>41</v>
      </c>
      <c r="AO11" s="638" t="s">
        <v>80</v>
      </c>
      <c r="AP11" s="638" t="s">
        <v>79</v>
      </c>
      <c r="AQ11" s="638" t="s">
        <v>14</v>
      </c>
      <c r="AR11" s="638" t="s">
        <v>221</v>
      </c>
      <c r="AS11" s="638" t="s">
        <v>222</v>
      </c>
      <c r="AT11" s="638" t="s">
        <v>223</v>
      </c>
      <c r="AU11" s="638" t="s">
        <v>224</v>
      </c>
      <c r="AV11" s="638" t="s">
        <v>225</v>
      </c>
      <c r="AW11" s="641" t="s">
        <v>226</v>
      </c>
      <c r="AZ11" s="887"/>
      <c r="BA11" s="887"/>
      <c r="BB11" s="887"/>
      <c r="BC11" s="887"/>
      <c r="BD11" s="887"/>
      <c r="BE11" s="887"/>
      <c r="BF11" s="887"/>
      <c r="BG11" s="887"/>
      <c r="BH11" s="887"/>
      <c r="BI11" s="887"/>
      <c r="BJ11" s="887"/>
      <c r="BK11" s="887"/>
      <c r="BL11" s="887"/>
      <c r="BM11" s="887"/>
      <c r="BN11" s="887"/>
      <c r="BO11" s="887"/>
      <c r="BP11" s="887"/>
      <c r="BQ11" s="887"/>
      <c r="BR11" s="887"/>
      <c r="BS11" s="887"/>
      <c r="BT11" s="887"/>
      <c r="BU11" s="887"/>
      <c r="BV11" s="887"/>
      <c r="BW11" s="887"/>
      <c r="BX11" s="887"/>
      <c r="BY11" s="887"/>
      <c r="BZ11" s="887"/>
      <c r="CA11" s="887"/>
      <c r="CB11" s="887"/>
      <c r="CC11" s="887"/>
      <c r="CD11" s="887"/>
      <c r="CE11" s="887"/>
      <c r="CF11" s="887"/>
      <c r="CG11" s="887"/>
      <c r="CH11" s="887"/>
      <c r="CI11" s="887"/>
      <c r="CJ11" s="887"/>
      <c r="CK11" s="887"/>
      <c r="CL11" s="887"/>
      <c r="CM11" s="887"/>
      <c r="CN11" s="887"/>
      <c r="CO11" s="887"/>
      <c r="CP11" s="887"/>
      <c r="CQ11" s="887"/>
      <c r="CR11" s="887"/>
      <c r="CS11" s="887"/>
      <c r="CT11" s="887"/>
      <c r="CU11" s="887"/>
      <c r="CV11" s="887"/>
      <c r="CW11" s="887"/>
      <c r="CX11" s="887"/>
      <c r="CY11" s="887"/>
      <c r="CZ11" s="887"/>
      <c r="DA11" s="887"/>
      <c r="DB11" s="887"/>
      <c r="DC11" s="887"/>
      <c r="DD11" s="887"/>
      <c r="DE11" s="887"/>
      <c r="DF11" s="887"/>
      <c r="DG11" s="887"/>
      <c r="DH11" s="887"/>
      <c r="DI11" s="887"/>
      <c r="DJ11" s="887"/>
      <c r="DK11" s="887"/>
      <c r="DL11" s="887"/>
      <c r="DM11" s="887"/>
    </row>
    <row r="12" spans="3:117" ht="31.5" x14ac:dyDescent="0.25">
      <c r="C12" s="643" t="s">
        <v>83</v>
      </c>
      <c r="D12" s="644" t="s">
        <v>38</v>
      </c>
      <c r="E12" s="645" t="s">
        <v>11</v>
      </c>
      <c r="F12" s="646">
        <f>ID!M68</f>
        <v>0</v>
      </c>
      <c r="G12" s="646">
        <f>SQRT(3)</f>
        <v>1.7320508075688772</v>
      </c>
      <c r="H12" s="646">
        <f>(F12/G12)</f>
        <v>0</v>
      </c>
      <c r="I12" s="647">
        <v>1</v>
      </c>
      <c r="J12" s="647">
        <v>5</v>
      </c>
      <c r="K12" s="648">
        <f>H12*I12</f>
        <v>0</v>
      </c>
      <c r="L12" s="648">
        <f>K12^2</f>
        <v>0</v>
      </c>
      <c r="M12" s="648">
        <f>((K12)^4)/J12</f>
        <v>0</v>
      </c>
      <c r="O12" s="643" t="s">
        <v>83</v>
      </c>
      <c r="P12" s="644" t="s">
        <v>38</v>
      </c>
      <c r="Q12" s="645" t="s">
        <v>11</v>
      </c>
      <c r="R12" s="646">
        <f>ID!M71</f>
        <v>0</v>
      </c>
      <c r="S12" s="646">
        <f>SQRT(3)</f>
        <v>1.7320508075688772</v>
      </c>
      <c r="T12" s="646">
        <f>(R12/S12)</f>
        <v>0</v>
      </c>
      <c r="U12" s="647">
        <v>1</v>
      </c>
      <c r="V12" s="647">
        <v>5</v>
      </c>
      <c r="W12" s="648">
        <f>T12*U12</f>
        <v>0</v>
      </c>
      <c r="X12" s="648">
        <f>W12^2</f>
        <v>0</v>
      </c>
      <c r="Y12" s="648">
        <f>((W12)^4)/V12</f>
        <v>0</v>
      </c>
      <c r="AA12" s="649" t="s">
        <v>83</v>
      </c>
      <c r="AB12" s="650" t="s">
        <v>38</v>
      </c>
      <c r="AC12" s="651" t="s">
        <v>11</v>
      </c>
      <c r="AD12" s="652">
        <v>0</v>
      </c>
      <c r="AE12" s="652">
        <v>1.7320508075688772</v>
      </c>
      <c r="AF12" s="652">
        <f>0/1.7321</f>
        <v>0</v>
      </c>
      <c r="AG12" s="653">
        <v>1</v>
      </c>
      <c r="AH12" s="653">
        <f>3-1</f>
        <v>2</v>
      </c>
      <c r="AI12" s="654">
        <f>(0*1)</f>
        <v>0</v>
      </c>
      <c r="AJ12" s="654">
        <f>(0*1)^2</f>
        <v>0</v>
      </c>
      <c r="AK12" s="655">
        <f>((0*1)^4)/2</f>
        <v>0</v>
      </c>
      <c r="AL12" s="623"/>
      <c r="AM12" s="649" t="s">
        <v>83</v>
      </c>
      <c r="AN12" s="650" t="s">
        <v>38</v>
      </c>
      <c r="AO12" s="651" t="s">
        <v>11</v>
      </c>
      <c r="AP12" s="652">
        <v>0</v>
      </c>
      <c r="AQ12" s="652">
        <v>1.7320508075688772</v>
      </c>
      <c r="AR12" s="652">
        <f>0/1.7321</f>
        <v>0</v>
      </c>
      <c r="AS12" s="653">
        <v>1</v>
      </c>
      <c r="AT12" s="653">
        <f>3-1</f>
        <v>2</v>
      </c>
      <c r="AU12" s="654">
        <f>(0*1)</f>
        <v>0</v>
      </c>
      <c r="AV12" s="654">
        <f>(0*1)^2</f>
        <v>0</v>
      </c>
      <c r="AW12" s="655">
        <f>((0*1)^4)/2</f>
        <v>0</v>
      </c>
      <c r="AZ12" s="887"/>
      <c r="BA12" s="887"/>
      <c r="BB12" s="887"/>
      <c r="BC12" s="887"/>
      <c r="BD12" s="887"/>
      <c r="BE12" s="887"/>
      <c r="BF12" s="887"/>
      <c r="BG12" s="887"/>
      <c r="BH12" s="887"/>
      <c r="BI12" s="887"/>
      <c r="BJ12" s="887"/>
      <c r="BK12" s="887"/>
      <c r="BL12" s="887"/>
      <c r="BM12" s="887"/>
      <c r="BN12" s="887"/>
      <c r="BO12" s="887"/>
      <c r="BP12" s="887"/>
      <c r="BQ12" s="887"/>
      <c r="BR12" s="887"/>
      <c r="BS12" s="887"/>
      <c r="BT12" s="887"/>
      <c r="BU12" s="887"/>
      <c r="BV12" s="887"/>
      <c r="BW12" s="887"/>
      <c r="BX12" s="887"/>
      <c r="BY12" s="887"/>
      <c r="BZ12" s="887"/>
      <c r="CA12" s="887"/>
      <c r="CB12" s="887"/>
      <c r="CC12" s="887"/>
      <c r="CD12" s="887"/>
      <c r="CE12" s="887"/>
      <c r="CF12" s="887"/>
      <c r="CG12" s="887"/>
      <c r="CH12" s="887"/>
      <c r="CI12" s="887"/>
      <c r="CJ12" s="887"/>
      <c r="CK12" s="887"/>
      <c r="CL12" s="887"/>
      <c r="CM12" s="887"/>
      <c r="CN12" s="887"/>
      <c r="CO12" s="887"/>
      <c r="CP12" s="887"/>
      <c r="CQ12" s="887"/>
      <c r="CR12" s="887"/>
      <c r="CS12" s="887"/>
      <c r="CT12" s="887"/>
      <c r="CU12" s="887"/>
      <c r="CV12" s="887"/>
      <c r="CW12" s="887"/>
      <c r="CX12" s="887"/>
      <c r="CY12" s="887"/>
      <c r="CZ12" s="887"/>
      <c r="DA12" s="887"/>
      <c r="DB12" s="887"/>
      <c r="DC12" s="887"/>
      <c r="DD12" s="887"/>
      <c r="DE12" s="887"/>
      <c r="DF12" s="887"/>
      <c r="DG12" s="887"/>
      <c r="DH12" s="887"/>
      <c r="DI12" s="887"/>
      <c r="DJ12" s="887"/>
      <c r="DK12" s="887"/>
      <c r="DL12" s="887"/>
      <c r="DM12" s="887"/>
    </row>
    <row r="13" spans="3:117" ht="31.5" customHeight="1" x14ac:dyDescent="0.25">
      <c r="C13" s="643" t="s">
        <v>82</v>
      </c>
      <c r="D13" s="644" t="s">
        <v>38</v>
      </c>
      <c r="E13" s="645" t="s">
        <v>11</v>
      </c>
      <c r="F13" s="1063">
        <f>'INTERPOLASI  '!AU18</f>
        <v>0.3</v>
      </c>
      <c r="G13" s="647">
        <v>2</v>
      </c>
      <c r="H13" s="646">
        <f>F13/G13</f>
        <v>0.15</v>
      </c>
      <c r="I13" s="647">
        <v>1</v>
      </c>
      <c r="J13" s="647">
        <v>50</v>
      </c>
      <c r="K13" s="648">
        <f>H13*I13</f>
        <v>0.15</v>
      </c>
      <c r="L13" s="648">
        <f>K13^2</f>
        <v>2.2499999999999999E-2</v>
      </c>
      <c r="M13" s="648">
        <f>((K13)^4)/J13</f>
        <v>1.0124999999999999E-5</v>
      </c>
      <c r="O13" s="643" t="s">
        <v>82</v>
      </c>
      <c r="P13" s="644" t="s">
        <v>38</v>
      </c>
      <c r="Q13" s="645" t="s">
        <v>11</v>
      </c>
      <c r="R13" s="1063">
        <f>'INTERPOLASI  '!AU21</f>
        <v>0.3</v>
      </c>
      <c r="S13" s="647">
        <v>2</v>
      </c>
      <c r="T13" s="646">
        <f>R13/S13</f>
        <v>0.15</v>
      </c>
      <c r="U13" s="647">
        <v>1</v>
      </c>
      <c r="V13" s="647">
        <v>50</v>
      </c>
      <c r="W13" s="648">
        <f>T13*U13</f>
        <v>0.15</v>
      </c>
      <c r="X13" s="648">
        <f>W13^2</f>
        <v>2.2499999999999999E-2</v>
      </c>
      <c r="Y13" s="648">
        <f>((W13)^4)/V13</f>
        <v>1.0124999999999999E-5</v>
      </c>
      <c r="AA13" s="649" t="s">
        <v>82</v>
      </c>
      <c r="AB13" s="650" t="s">
        <v>38</v>
      </c>
      <c r="AC13" s="651" t="s">
        <v>11</v>
      </c>
      <c r="AD13" s="656">
        <f>(((0.2-0.1)*(0-0))/(50-0))+(0.1)</f>
        <v>0.1</v>
      </c>
      <c r="AE13" s="653">
        <v>2</v>
      </c>
      <c r="AF13" s="652">
        <f>0.1/2</f>
        <v>0.05</v>
      </c>
      <c r="AG13" s="653">
        <v>1</v>
      </c>
      <c r="AH13" s="653">
        <v>50</v>
      </c>
      <c r="AI13" s="654">
        <f>(0.005*1)</f>
        <v>5.0000000000000001E-3</v>
      </c>
      <c r="AJ13" s="654">
        <f>(0.005*1)^2</f>
        <v>2.5000000000000001E-5</v>
      </c>
      <c r="AK13" s="655">
        <f>((0.005*1)^4)/50</f>
        <v>1.25E-11</v>
      </c>
      <c r="AL13" s="623"/>
      <c r="AM13" s="649" t="s">
        <v>82</v>
      </c>
      <c r="AN13" s="650" t="s">
        <v>38</v>
      </c>
      <c r="AO13" s="651" t="s">
        <v>11</v>
      </c>
      <c r="AP13" s="656">
        <f>(((0.2-0.2)*(149-0.2))/(150-100))+(0.2)</f>
        <v>0.2</v>
      </c>
      <c r="AQ13" s="653">
        <v>2</v>
      </c>
      <c r="AR13" s="652">
        <f>0.2/2</f>
        <v>0.1</v>
      </c>
      <c r="AS13" s="653">
        <v>1</v>
      </c>
      <c r="AT13" s="653">
        <v>50</v>
      </c>
      <c r="AU13" s="654">
        <f>(0.1*1)</f>
        <v>0.1</v>
      </c>
      <c r="AV13" s="654">
        <f>(0.1*1)^2</f>
        <v>1.0000000000000002E-2</v>
      </c>
      <c r="AW13" s="654">
        <f>((0.1*1)^4)/50</f>
        <v>2.0000000000000008E-6</v>
      </c>
      <c r="AZ13" s="887"/>
      <c r="BA13" s="887"/>
      <c r="BB13" s="887"/>
      <c r="BC13" s="887"/>
      <c r="BD13" s="887"/>
      <c r="BE13" s="887"/>
      <c r="BF13" s="887"/>
      <c r="BG13" s="887"/>
      <c r="BH13" s="877">
        <f>C10</f>
        <v>1.00199998E-6</v>
      </c>
      <c r="BI13" s="870" t="s">
        <v>428</v>
      </c>
      <c r="BJ13" s="871"/>
      <c r="BK13" s="871" t="s">
        <v>430</v>
      </c>
      <c r="BL13" s="888">
        <v>0</v>
      </c>
      <c r="BM13" s="872">
        <v>0</v>
      </c>
      <c r="BN13" s="873">
        <v>0.1</v>
      </c>
      <c r="BO13" s="874">
        <v>50</v>
      </c>
      <c r="BP13" s="875">
        <v>0.1</v>
      </c>
      <c r="BQ13" s="885">
        <f>((((BP13-BN13)*(BL13-BM13)))/(BO13-BM13))+BN13</f>
        <v>0.1</v>
      </c>
      <c r="BR13" s="879"/>
      <c r="BS13" s="877">
        <f>O10</f>
        <v>147.9</v>
      </c>
      <c r="BT13" s="870" t="s">
        <v>428</v>
      </c>
      <c r="BU13" s="871"/>
      <c r="BV13" s="871" t="s">
        <v>432</v>
      </c>
      <c r="BW13" s="888">
        <v>147.9</v>
      </c>
      <c r="BX13" s="872">
        <v>100</v>
      </c>
      <c r="BY13" s="873">
        <v>0.1</v>
      </c>
      <c r="BZ13" s="874">
        <v>150</v>
      </c>
      <c r="CA13" s="875">
        <v>0.1</v>
      </c>
      <c r="CB13" s="885">
        <f>((((CA13-BY13)*(BW13-BX13)))/(BZ13-BX13))+BY13</f>
        <v>0.1</v>
      </c>
      <c r="CC13" s="887"/>
      <c r="CD13" s="887"/>
      <c r="CE13" s="887"/>
      <c r="CF13" s="887"/>
      <c r="CG13" s="887"/>
      <c r="CH13" s="887"/>
      <c r="CI13" s="887"/>
      <c r="CJ13" s="887"/>
      <c r="CK13" s="887"/>
      <c r="CL13" s="887"/>
      <c r="CM13" s="887"/>
      <c r="CN13" s="887"/>
      <c r="CO13" s="887"/>
      <c r="CP13" s="887"/>
      <c r="CQ13" s="887"/>
      <c r="CR13" s="887"/>
      <c r="CS13" s="887"/>
      <c r="CT13" s="887"/>
      <c r="CU13" s="887"/>
      <c r="CV13" s="887"/>
      <c r="CW13" s="887"/>
      <c r="CX13" s="887"/>
      <c r="CY13" s="887"/>
      <c r="CZ13" s="887"/>
      <c r="DA13" s="887"/>
      <c r="DB13" s="887"/>
      <c r="DC13" s="887"/>
      <c r="DD13" s="887"/>
      <c r="DE13" s="887"/>
      <c r="DF13" s="887"/>
      <c r="DG13" s="887"/>
      <c r="DH13" s="887"/>
      <c r="DI13" s="887"/>
      <c r="DJ13" s="887"/>
      <c r="DK13" s="887"/>
      <c r="DL13" s="887"/>
      <c r="DM13" s="887"/>
    </row>
    <row r="14" spans="3:117" ht="28.5" customHeight="1" x14ac:dyDescent="0.25">
      <c r="C14" s="643" t="s">
        <v>243</v>
      </c>
      <c r="D14" s="644" t="s">
        <v>38</v>
      </c>
      <c r="E14" s="645" t="s">
        <v>85</v>
      </c>
      <c r="F14" s="646">
        <f>(1/5)*ID!C9</f>
        <v>0.4</v>
      </c>
      <c r="G14" s="646">
        <f>SQRT(3)</f>
        <v>1.7320508075688772</v>
      </c>
      <c r="H14" s="646">
        <f>F14/G14</f>
        <v>0.23094010767585033</v>
      </c>
      <c r="I14" s="647">
        <v>1</v>
      </c>
      <c r="J14" s="647">
        <v>50</v>
      </c>
      <c r="K14" s="648">
        <f>H14*I14</f>
        <v>0.23094010767585033</v>
      </c>
      <c r="L14" s="648">
        <f>K14^2</f>
        <v>5.3333333333333344E-2</v>
      </c>
      <c r="M14" s="648">
        <f>((K14)^4)/J14</f>
        <v>5.6888888888888908E-5</v>
      </c>
      <c r="O14" s="643" t="s">
        <v>243</v>
      </c>
      <c r="P14" s="644" t="s">
        <v>38</v>
      </c>
      <c r="Q14" s="645" t="s">
        <v>85</v>
      </c>
      <c r="R14" s="646">
        <f>(1/5)*ID!C9</f>
        <v>0.4</v>
      </c>
      <c r="S14" s="646">
        <f>SQRT(3)</f>
        <v>1.7320508075688772</v>
      </c>
      <c r="T14" s="646">
        <f>R14/S14</f>
        <v>0.23094010767585033</v>
      </c>
      <c r="U14" s="647">
        <v>1</v>
      </c>
      <c r="V14" s="647">
        <v>50</v>
      </c>
      <c r="W14" s="648">
        <f>T14*U14</f>
        <v>0.23094010767585033</v>
      </c>
      <c r="X14" s="648">
        <f>W14^2</f>
        <v>5.3333333333333344E-2</v>
      </c>
      <c r="Y14" s="648">
        <f>((W14)^4)/V14</f>
        <v>5.6888888888888908E-5</v>
      </c>
      <c r="AA14" s="649" t="s">
        <v>76</v>
      </c>
      <c r="AB14" s="650" t="s">
        <v>38</v>
      </c>
      <c r="AC14" s="651" t="s">
        <v>85</v>
      </c>
      <c r="AD14" s="652">
        <f>(1/5)*2</f>
        <v>0.4</v>
      </c>
      <c r="AE14" s="652">
        <v>1.7320508075688772</v>
      </c>
      <c r="AF14" s="658">
        <f>0.4/1.7321</f>
        <v>0.23093354887131229</v>
      </c>
      <c r="AG14" s="653">
        <v>1</v>
      </c>
      <c r="AH14" s="653">
        <v>50</v>
      </c>
      <c r="AI14" s="654">
        <f>(0.230933548871*1)</f>
        <v>0.23093354887100001</v>
      </c>
      <c r="AJ14" s="654">
        <f>(0.230933548871*1)^2</f>
        <v>5.3330303994154553E-2</v>
      </c>
      <c r="AK14" s="654">
        <f>((0.230933548871*1)^4)/50</f>
        <v>5.6882426482178737E-5</v>
      </c>
      <c r="AL14" s="623"/>
      <c r="AM14" s="649" t="s">
        <v>76</v>
      </c>
      <c r="AN14" s="650" t="s">
        <v>38</v>
      </c>
      <c r="AO14" s="651" t="s">
        <v>85</v>
      </c>
      <c r="AP14" s="652">
        <f>(1/5)*2</f>
        <v>0.4</v>
      </c>
      <c r="AQ14" s="652">
        <v>1.7320508075688772</v>
      </c>
      <c r="AR14" s="658">
        <f>0.4/1.7321</f>
        <v>0.23093354887131229</v>
      </c>
      <c r="AS14" s="653">
        <v>1</v>
      </c>
      <c r="AT14" s="653">
        <v>50</v>
      </c>
      <c r="AU14" s="654">
        <f>(0.230933548871*1)</f>
        <v>0.23093354887100001</v>
      </c>
      <c r="AV14" s="654">
        <f>(0.230933548871*1)^2</f>
        <v>5.3330303994154553E-2</v>
      </c>
      <c r="AW14" s="654">
        <f>((0.230933548871*1)^4)/50</f>
        <v>5.6882426482178737E-5</v>
      </c>
      <c r="AZ14" s="887"/>
      <c r="BA14" s="887"/>
      <c r="BB14" s="887"/>
      <c r="BC14" s="887"/>
      <c r="BD14" s="887"/>
      <c r="BE14" s="887"/>
      <c r="BF14" s="887"/>
      <c r="BG14" s="887"/>
      <c r="BH14" s="859"/>
      <c r="BI14" s="859"/>
      <c r="BJ14" s="860"/>
      <c r="BK14" s="860"/>
      <c r="BL14" s="659"/>
      <c r="BM14" s="842"/>
      <c r="BN14" s="847"/>
      <c r="BO14" s="852"/>
      <c r="BP14" s="853"/>
      <c r="BQ14" s="884"/>
      <c r="BR14" s="879"/>
      <c r="BS14" s="859"/>
      <c r="BT14" s="859"/>
      <c r="BU14" s="860"/>
      <c r="BV14" s="860"/>
      <c r="BW14" s="659"/>
      <c r="BX14" s="842"/>
      <c r="BY14" s="847"/>
      <c r="BZ14" s="852"/>
      <c r="CA14" s="853"/>
      <c r="CB14" s="884"/>
      <c r="CC14" s="887"/>
      <c r="CD14" s="887"/>
      <c r="CE14" s="887"/>
      <c r="CF14" s="887"/>
      <c r="CG14" s="887"/>
      <c r="CH14" s="887"/>
      <c r="CI14" s="887"/>
      <c r="CJ14" s="887"/>
      <c r="CK14" s="887"/>
      <c r="CL14" s="887"/>
      <c r="CM14" s="887"/>
      <c r="CN14" s="887"/>
      <c r="CO14" s="887"/>
      <c r="CP14" s="887"/>
      <c r="CQ14" s="887"/>
      <c r="CR14" s="887"/>
      <c r="CS14" s="887"/>
      <c r="CT14" s="887"/>
      <c r="CU14" s="887"/>
      <c r="CV14" s="887"/>
      <c r="CW14" s="887"/>
      <c r="CX14" s="887"/>
      <c r="CY14" s="887"/>
      <c r="CZ14" s="887"/>
      <c r="DA14" s="887"/>
      <c r="DB14" s="887"/>
      <c r="DC14" s="887"/>
      <c r="DD14" s="887"/>
      <c r="DE14" s="887"/>
      <c r="DF14" s="887"/>
      <c r="DG14" s="887"/>
      <c r="DH14" s="887"/>
      <c r="DI14" s="887"/>
      <c r="DJ14" s="887"/>
      <c r="DK14" s="887"/>
      <c r="DL14" s="887"/>
      <c r="DM14" s="887"/>
    </row>
    <row r="15" spans="3:117" ht="28.5" customHeight="1" x14ac:dyDescent="0.25">
      <c r="C15" s="643" t="s">
        <v>244</v>
      </c>
      <c r="D15" s="644" t="s">
        <v>38</v>
      </c>
      <c r="E15" s="645" t="s">
        <v>85</v>
      </c>
      <c r="F15" s="660">
        <f>(1/2)*'RESOLUSI STANDAR'!$K$7</f>
        <v>0.05</v>
      </c>
      <c r="G15" s="646">
        <f>SQRT(3)</f>
        <v>1.7320508075688772</v>
      </c>
      <c r="H15" s="646">
        <f>F15/G15</f>
        <v>2.8867513459481291E-2</v>
      </c>
      <c r="I15" s="647">
        <v>1</v>
      </c>
      <c r="J15" s="647">
        <v>50</v>
      </c>
      <c r="K15" s="648">
        <f>H15*I15</f>
        <v>2.8867513459481291E-2</v>
      </c>
      <c r="L15" s="648">
        <f>K15^2</f>
        <v>8.333333333333335E-4</v>
      </c>
      <c r="M15" s="648">
        <f>((K15)^4)/J15</f>
        <v>1.3888888888888894E-8</v>
      </c>
      <c r="O15" s="643" t="s">
        <v>244</v>
      </c>
      <c r="P15" s="644" t="s">
        <v>38</v>
      </c>
      <c r="Q15" s="645" t="s">
        <v>85</v>
      </c>
      <c r="R15" s="660">
        <f>(1/2)*'RESOLUSI STANDAR'!$K$7</f>
        <v>0.05</v>
      </c>
      <c r="S15" s="646">
        <f>SQRT(3)</f>
        <v>1.7320508075688772</v>
      </c>
      <c r="T15" s="646">
        <f>R15/S15</f>
        <v>2.8867513459481291E-2</v>
      </c>
      <c r="U15" s="647">
        <v>1</v>
      </c>
      <c r="V15" s="647">
        <v>50</v>
      </c>
      <c r="W15" s="648">
        <f>T15*U15</f>
        <v>2.8867513459481291E-2</v>
      </c>
      <c r="X15" s="648">
        <f>W15^2</f>
        <v>8.333333333333335E-4</v>
      </c>
      <c r="Y15" s="648">
        <f>((W15)^4)/V15</f>
        <v>1.3888888888888894E-8</v>
      </c>
      <c r="AA15" s="649"/>
      <c r="AB15" s="650"/>
      <c r="AC15" s="651"/>
      <c r="AD15" s="661"/>
      <c r="AE15" s="652"/>
      <c r="AF15" s="658"/>
      <c r="AG15" s="653"/>
      <c r="AH15" s="653"/>
      <c r="AI15" s="654"/>
      <c r="AJ15" s="654"/>
      <c r="AK15" s="654"/>
      <c r="AL15" s="623"/>
      <c r="AM15" s="649"/>
      <c r="AN15" s="650"/>
      <c r="AO15" s="651"/>
      <c r="AP15" s="661"/>
      <c r="AQ15" s="652"/>
      <c r="AR15" s="658"/>
      <c r="AS15" s="653"/>
      <c r="AT15" s="653"/>
      <c r="AU15" s="654"/>
      <c r="AV15" s="654"/>
      <c r="AW15" s="654"/>
      <c r="AZ15" s="887"/>
      <c r="BA15" s="887"/>
      <c r="BB15" s="887"/>
      <c r="BC15" s="887"/>
      <c r="BD15" s="887"/>
      <c r="BE15" s="887"/>
      <c r="BF15" s="887"/>
      <c r="BG15" s="887"/>
      <c r="BH15" s="859"/>
      <c r="BI15" s="859"/>
      <c r="BJ15" s="860"/>
      <c r="BK15" s="860"/>
      <c r="BL15" s="659"/>
      <c r="BM15" s="842"/>
      <c r="BN15" s="847"/>
      <c r="BO15" s="852"/>
      <c r="BP15" s="853"/>
      <c r="BQ15" s="884"/>
      <c r="BR15" s="879"/>
      <c r="BS15" s="859"/>
      <c r="BT15" s="859"/>
      <c r="BU15" s="860"/>
      <c r="BV15" s="860"/>
      <c r="BW15" s="659"/>
      <c r="BX15" s="842"/>
      <c r="BY15" s="847"/>
      <c r="BZ15" s="852"/>
      <c r="CA15" s="853"/>
      <c r="CB15" s="884"/>
      <c r="CC15" s="887"/>
      <c r="CD15" s="887"/>
      <c r="CE15" s="887"/>
      <c r="CF15" s="887"/>
      <c r="CG15" s="887"/>
      <c r="CH15" s="887"/>
      <c r="CI15" s="887"/>
      <c r="CJ15" s="887"/>
      <c r="CK15" s="887"/>
      <c r="CL15" s="887"/>
      <c r="CM15" s="887"/>
      <c r="CN15" s="887"/>
      <c r="CO15" s="887"/>
      <c r="CP15" s="887"/>
      <c r="CQ15" s="887"/>
      <c r="CR15" s="887"/>
      <c r="CS15" s="887"/>
      <c r="CT15" s="887"/>
      <c r="CU15" s="887"/>
      <c r="CV15" s="887"/>
      <c r="CW15" s="887"/>
      <c r="CX15" s="887"/>
      <c r="CY15" s="887"/>
      <c r="CZ15" s="887"/>
      <c r="DA15" s="887"/>
      <c r="DB15" s="887"/>
      <c r="DC15" s="887"/>
      <c r="DD15" s="887"/>
      <c r="DE15" s="887"/>
      <c r="DF15" s="887"/>
      <c r="DG15" s="887"/>
      <c r="DH15" s="887"/>
      <c r="DI15" s="887"/>
      <c r="DJ15" s="887"/>
      <c r="DK15" s="887"/>
      <c r="DL15" s="887"/>
      <c r="DM15" s="887"/>
    </row>
    <row r="16" spans="3:117" x14ac:dyDescent="0.25">
      <c r="C16" s="643" t="s">
        <v>51</v>
      </c>
      <c r="D16" s="644" t="s">
        <v>38</v>
      </c>
      <c r="E16" s="645" t="s">
        <v>85</v>
      </c>
      <c r="F16" s="1063">
        <f>'INTERPOLASI  '!BT18</f>
        <v>5.0000000003999963E-2</v>
      </c>
      <c r="G16" s="646">
        <f>SQRT(3)</f>
        <v>1.7320508075688772</v>
      </c>
      <c r="H16" s="646">
        <f>F16/G16</f>
        <v>2.8867513461790669E-2</v>
      </c>
      <c r="I16" s="647">
        <v>1</v>
      </c>
      <c r="J16" s="647">
        <v>50</v>
      </c>
      <c r="K16" s="648">
        <f>H16*I16</f>
        <v>2.8867513461790669E-2</v>
      </c>
      <c r="L16" s="648">
        <f>K16^2</f>
        <v>8.3333333346666553E-4</v>
      </c>
      <c r="M16" s="648">
        <f>((K16)^4)/J16</f>
        <v>1.3888888893333295E-8</v>
      </c>
      <c r="O16" s="643" t="s">
        <v>51</v>
      </c>
      <c r="P16" s="644" t="s">
        <v>38</v>
      </c>
      <c r="Q16" s="645" t="s">
        <v>85</v>
      </c>
      <c r="R16" s="1063">
        <f>'INTERPOLASI  '!BT21</f>
        <v>9.9999999999999995E-7</v>
      </c>
      <c r="S16" s="646">
        <f>SQRT(3)</f>
        <v>1.7320508075688772</v>
      </c>
      <c r="T16" s="646">
        <f>R16/S16</f>
        <v>5.7735026918962578E-7</v>
      </c>
      <c r="U16" s="647">
        <v>1</v>
      </c>
      <c r="V16" s="647">
        <v>50</v>
      </c>
      <c r="W16" s="648">
        <f>T16*U16</f>
        <v>5.7735026918962578E-7</v>
      </c>
      <c r="X16" s="648">
        <f>W16^2</f>
        <v>3.3333333333333334E-13</v>
      </c>
      <c r="Y16" s="648">
        <f>((W16)^4)/V16</f>
        <v>2.2222222222222221E-27</v>
      </c>
      <c r="AA16" s="649" t="s">
        <v>51</v>
      </c>
      <c r="AB16" s="650" t="s">
        <v>38</v>
      </c>
      <c r="AC16" s="651" t="s">
        <v>85</v>
      </c>
      <c r="AD16" s="656">
        <v>0</v>
      </c>
      <c r="AE16" s="652">
        <v>1.7320508075688772</v>
      </c>
      <c r="AF16" s="652">
        <f>0/1.7321</f>
        <v>0</v>
      </c>
      <c r="AG16" s="653">
        <v>1</v>
      </c>
      <c r="AH16" s="653">
        <v>50</v>
      </c>
      <c r="AI16" s="654">
        <f>(0*1)</f>
        <v>0</v>
      </c>
      <c r="AJ16" s="654">
        <f>(0*1)^2</f>
        <v>0</v>
      </c>
      <c r="AK16" s="655">
        <f>((0*1)^4)/50</f>
        <v>0</v>
      </c>
      <c r="AL16" s="623"/>
      <c r="AM16" s="649" t="s">
        <v>51</v>
      </c>
      <c r="AN16" s="650" t="s">
        <v>38</v>
      </c>
      <c r="AO16" s="651" t="s">
        <v>85</v>
      </c>
      <c r="AP16" s="656">
        <v>0</v>
      </c>
      <c r="AQ16" s="652">
        <v>1.7320508075688772</v>
      </c>
      <c r="AR16" s="652">
        <f>0/1.7321</f>
        <v>0</v>
      </c>
      <c r="AS16" s="653">
        <v>1</v>
      </c>
      <c r="AT16" s="653">
        <v>50</v>
      </c>
      <c r="AU16" s="654">
        <f>(0*1)</f>
        <v>0</v>
      </c>
      <c r="AV16" s="654">
        <f>(0*1)^2</f>
        <v>0</v>
      </c>
      <c r="AW16" s="655">
        <f>((0*1)^4)/50</f>
        <v>0</v>
      </c>
      <c r="AZ16" s="887"/>
      <c r="BA16" s="887"/>
      <c r="BB16" s="887"/>
      <c r="BC16" s="887"/>
      <c r="BD16" s="887"/>
      <c r="BE16" s="887"/>
      <c r="BF16" s="887"/>
      <c r="BG16" s="887"/>
      <c r="BH16" s="859"/>
      <c r="BI16" s="870" t="s">
        <v>428</v>
      </c>
      <c r="BJ16" s="871"/>
      <c r="BK16" s="871" t="s">
        <v>430</v>
      </c>
      <c r="BL16" s="888">
        <v>0</v>
      </c>
      <c r="BM16" s="872">
        <v>0</v>
      </c>
      <c r="BN16" s="876">
        <v>0.05</v>
      </c>
      <c r="BO16" s="874">
        <v>50</v>
      </c>
      <c r="BP16" s="876">
        <v>0.1</v>
      </c>
      <c r="BQ16" s="885">
        <f>((((BP16-BN16)*(BL16-BM16)))/(BO16-BM16))+BN16</f>
        <v>0.05</v>
      </c>
      <c r="BR16" s="879"/>
      <c r="BS16" s="859"/>
      <c r="BT16" s="870" t="s">
        <v>428</v>
      </c>
      <c r="BU16" s="871"/>
      <c r="BV16" s="871" t="s">
        <v>432</v>
      </c>
      <c r="BW16" s="888">
        <v>147.9</v>
      </c>
      <c r="BX16" s="872">
        <v>100</v>
      </c>
      <c r="BY16" s="876">
        <v>0.15</v>
      </c>
      <c r="BZ16" s="874">
        <v>150</v>
      </c>
      <c r="CA16" s="876">
        <v>0.15</v>
      </c>
      <c r="CB16" s="885">
        <f>((((CA16-BY16)*(BW16-BX16)))/(BZ16-BX16))+BY16</f>
        <v>0.15</v>
      </c>
      <c r="CC16" s="887"/>
      <c r="CD16" s="887"/>
      <c r="CE16" s="887"/>
      <c r="CF16" s="887"/>
      <c r="CG16" s="887"/>
      <c r="CH16" s="887"/>
      <c r="CI16" s="887"/>
      <c r="CJ16" s="887"/>
      <c r="CK16" s="887"/>
      <c r="CL16" s="887"/>
      <c r="CM16" s="887"/>
      <c r="CN16" s="887"/>
      <c r="CO16" s="887"/>
      <c r="CP16" s="887"/>
      <c r="CQ16" s="887"/>
      <c r="CR16" s="887"/>
      <c r="CS16" s="887"/>
      <c r="CT16" s="887"/>
      <c r="CU16" s="887"/>
      <c r="CV16" s="887"/>
      <c r="CW16" s="887"/>
      <c r="CX16" s="887"/>
      <c r="CY16" s="887"/>
      <c r="CZ16" s="887"/>
      <c r="DA16" s="887"/>
      <c r="DB16" s="887"/>
      <c r="DC16" s="887"/>
      <c r="DD16" s="887"/>
      <c r="DE16" s="887"/>
      <c r="DF16" s="887"/>
      <c r="DG16" s="887"/>
      <c r="DH16" s="887"/>
      <c r="DI16" s="887"/>
      <c r="DJ16" s="887"/>
      <c r="DK16" s="887"/>
      <c r="DL16" s="887"/>
      <c r="DM16" s="887"/>
    </row>
    <row r="17" spans="3:117" x14ac:dyDescent="0.25">
      <c r="C17" s="662"/>
      <c r="D17" s="662"/>
      <c r="E17" s="662"/>
      <c r="F17" s="662"/>
      <c r="G17" s="663" t="s">
        <v>84</v>
      </c>
      <c r="H17" s="664"/>
      <c r="I17" s="664"/>
      <c r="J17" s="664"/>
      <c r="K17" s="665"/>
      <c r="L17" s="666">
        <f>SUM(L12:L16)</f>
        <v>7.7500000000133337E-2</v>
      </c>
      <c r="M17" s="666">
        <f>SUM(M12:M16)</f>
        <v>6.7041666666671124E-5</v>
      </c>
      <c r="O17" s="662"/>
      <c r="P17" s="662"/>
      <c r="Q17" s="662"/>
      <c r="R17" s="662"/>
      <c r="S17" s="663" t="s">
        <v>84</v>
      </c>
      <c r="T17" s="664"/>
      <c r="U17" s="664"/>
      <c r="V17" s="664"/>
      <c r="W17" s="665"/>
      <c r="X17" s="666">
        <f>SUM(X12:X16)</f>
        <v>7.6666666667000005E-2</v>
      </c>
      <c r="Y17" s="666">
        <f>SUM(Y12:Y16)</f>
        <v>6.7027777777777791E-5</v>
      </c>
      <c r="AA17" s="667"/>
      <c r="AB17" s="667"/>
      <c r="AC17" s="667"/>
      <c r="AD17" s="667"/>
      <c r="AE17" s="668" t="s">
        <v>84</v>
      </c>
      <c r="AF17" s="669"/>
      <c r="AG17" s="669"/>
      <c r="AH17" s="669"/>
      <c r="AI17" s="670"/>
      <c r="AJ17" s="671">
        <f>SUM(AJ12:AJ16)</f>
        <v>5.335530399415455E-2</v>
      </c>
      <c r="AK17" s="671">
        <f>SUM(AK12:AK16)</f>
        <v>5.6882438982178735E-5</v>
      </c>
      <c r="AL17" s="623"/>
      <c r="AM17" s="667"/>
      <c r="AN17" s="667"/>
      <c r="AO17" s="667"/>
      <c r="AP17" s="667"/>
      <c r="AQ17" s="668" t="s">
        <v>84</v>
      </c>
      <c r="AR17" s="669"/>
      <c r="AS17" s="669"/>
      <c r="AT17" s="669"/>
      <c r="AU17" s="670"/>
      <c r="AV17" s="672">
        <f>SUM(AV12:AV16)</f>
        <v>6.3330303994154555E-2</v>
      </c>
      <c r="AW17" s="672">
        <f>SUM(AW12:AW16)</f>
        <v>5.8882426482178738E-5</v>
      </c>
      <c r="AZ17" s="887"/>
      <c r="BA17" s="887"/>
      <c r="BB17" s="887"/>
      <c r="BC17" s="887"/>
      <c r="BD17" s="887"/>
      <c r="BE17" s="887"/>
      <c r="BF17" s="887"/>
      <c r="BG17" s="887"/>
      <c r="BH17" s="859"/>
      <c r="BI17" s="859"/>
      <c r="BJ17" s="860"/>
      <c r="BK17" s="860"/>
      <c r="BL17" s="659"/>
      <c r="BM17" s="842"/>
      <c r="BN17" s="847"/>
      <c r="BO17" s="847"/>
      <c r="BP17" s="847"/>
      <c r="BQ17" s="886"/>
      <c r="BR17" s="879"/>
      <c r="BS17" s="879"/>
      <c r="BT17" s="879"/>
      <c r="BU17" s="879"/>
      <c r="BV17" s="879"/>
      <c r="BW17" s="684"/>
      <c r="BX17" s="684"/>
      <c r="BY17" s="842"/>
      <c r="BZ17" s="857"/>
      <c r="CA17" s="857"/>
      <c r="CB17" s="856"/>
      <c r="CC17" s="887"/>
      <c r="CD17" s="887"/>
      <c r="CE17" s="887"/>
      <c r="CF17" s="887"/>
      <c r="CG17" s="887"/>
      <c r="CH17" s="887"/>
      <c r="CI17" s="887"/>
      <c r="CJ17" s="887"/>
      <c r="CK17" s="887"/>
      <c r="CL17" s="887"/>
      <c r="CM17" s="887"/>
      <c r="CN17" s="887"/>
      <c r="CO17" s="887"/>
      <c r="CP17" s="887"/>
      <c r="CQ17" s="887"/>
      <c r="CR17" s="887"/>
      <c r="CS17" s="887"/>
      <c r="CT17" s="887"/>
      <c r="CU17" s="887"/>
      <c r="CV17" s="887"/>
      <c r="CW17" s="887"/>
      <c r="CX17" s="887"/>
      <c r="CY17" s="887"/>
      <c r="CZ17" s="887"/>
      <c r="DA17" s="887"/>
      <c r="DB17" s="887"/>
      <c r="DC17" s="887"/>
      <c r="DD17" s="887"/>
      <c r="DE17" s="887"/>
      <c r="DF17" s="887"/>
      <c r="DG17" s="887"/>
      <c r="DH17" s="887"/>
      <c r="DI17" s="887"/>
      <c r="DJ17" s="887"/>
      <c r="DK17" s="887"/>
      <c r="DL17" s="887"/>
      <c r="DM17" s="887"/>
    </row>
    <row r="18" spans="3:117" ht="17.25" customHeight="1" x14ac:dyDescent="0.35">
      <c r="C18" s="617"/>
      <c r="D18" s="617"/>
      <c r="E18" s="617"/>
      <c r="F18" s="617"/>
      <c r="G18" s="1264" t="s">
        <v>121</v>
      </c>
      <c r="H18" s="1265"/>
      <c r="I18" s="1265"/>
      <c r="J18" s="1265"/>
      <c r="K18" s="1266"/>
      <c r="L18" s="666">
        <f>SQRT(L17)</f>
        <v>0.27838821814174058</v>
      </c>
      <c r="M18" s="648"/>
      <c r="O18" s="617"/>
      <c r="P18" s="617"/>
      <c r="Q18" s="617"/>
      <c r="R18" s="617"/>
      <c r="S18" s="1264" t="s">
        <v>121</v>
      </c>
      <c r="T18" s="1265"/>
      <c r="U18" s="1265"/>
      <c r="V18" s="1265"/>
      <c r="W18" s="1266"/>
      <c r="X18" s="666">
        <f>SQRT(X17)</f>
        <v>0.27688746209787107</v>
      </c>
      <c r="Y18" s="648"/>
      <c r="AA18" s="673" t="s">
        <v>48</v>
      </c>
      <c r="AB18" s="673" t="s">
        <v>197</v>
      </c>
      <c r="AC18" s="627"/>
      <c r="AD18" s="627"/>
      <c r="AE18" s="1270" t="s">
        <v>227</v>
      </c>
      <c r="AF18" s="1271"/>
      <c r="AG18" s="1271"/>
      <c r="AH18" s="1271"/>
      <c r="AI18" s="1272"/>
      <c r="AJ18" s="672">
        <f>SQRT(AJ17)</f>
        <v>0.23098767065398654</v>
      </c>
      <c r="AK18" s="655"/>
      <c r="AL18" s="623"/>
      <c r="AM18" s="673" t="s">
        <v>48</v>
      </c>
      <c r="AN18" s="673" t="s">
        <v>197</v>
      </c>
      <c r="AO18" s="627"/>
      <c r="AP18" s="627"/>
      <c r="AQ18" s="1270" t="s">
        <v>227</v>
      </c>
      <c r="AR18" s="1271"/>
      <c r="AS18" s="1271"/>
      <c r="AT18" s="1271"/>
      <c r="AU18" s="1272"/>
      <c r="AV18" s="672">
        <f>SQRT(AV17)</f>
        <v>0.25165512908374144</v>
      </c>
      <c r="AW18" s="654"/>
      <c r="AZ18" s="887"/>
      <c r="BA18" s="887"/>
      <c r="BB18" s="887"/>
      <c r="BC18" s="887"/>
      <c r="BD18" s="887"/>
      <c r="BE18" s="887"/>
      <c r="BF18" s="887"/>
      <c r="BG18" s="887"/>
      <c r="BH18" s="859"/>
      <c r="BI18" s="859"/>
      <c r="BJ18" s="860"/>
      <c r="BK18" s="860"/>
      <c r="BL18" s="659"/>
      <c r="BM18" s="842"/>
      <c r="BN18" s="847"/>
      <c r="BO18" s="847"/>
      <c r="BP18" s="847"/>
      <c r="BQ18" s="886"/>
      <c r="BR18" s="879"/>
      <c r="BS18" s="879"/>
      <c r="BT18" s="879"/>
      <c r="BU18" s="879"/>
      <c r="BV18" s="879"/>
      <c r="BW18" s="684"/>
      <c r="BX18" s="683"/>
      <c r="BY18" s="842"/>
      <c r="BZ18" s="857"/>
      <c r="CA18" s="857"/>
      <c r="CB18" s="856"/>
      <c r="CC18" s="887"/>
      <c r="CD18" s="887"/>
      <c r="CE18" s="887"/>
      <c r="CF18" s="887"/>
      <c r="CG18" s="887"/>
      <c r="CH18" s="887"/>
      <c r="CI18" s="887"/>
      <c r="CJ18" s="887"/>
      <c r="CK18" s="887"/>
      <c r="CL18" s="887"/>
      <c r="CM18" s="887"/>
      <c r="CN18" s="887"/>
      <c r="CO18" s="887"/>
      <c r="CP18" s="887"/>
      <c r="CQ18" s="887"/>
      <c r="CR18" s="887"/>
      <c r="CS18" s="887"/>
      <c r="CT18" s="887"/>
      <c r="CU18" s="887"/>
      <c r="CV18" s="887"/>
      <c r="CW18" s="887"/>
      <c r="CX18" s="887"/>
      <c r="CY18" s="887"/>
      <c r="CZ18" s="887"/>
      <c r="DA18" s="887"/>
      <c r="DB18" s="887"/>
      <c r="DC18" s="887"/>
      <c r="DD18" s="887"/>
      <c r="DE18" s="887"/>
      <c r="DF18" s="887"/>
      <c r="DG18" s="887"/>
      <c r="DH18" s="887"/>
      <c r="DI18" s="887"/>
      <c r="DJ18" s="887"/>
      <c r="DK18" s="887"/>
      <c r="DL18" s="887"/>
      <c r="DM18" s="887"/>
    </row>
    <row r="19" spans="3:117" ht="15.75" customHeight="1" x14ac:dyDescent="0.25">
      <c r="C19" s="617"/>
      <c r="D19" s="617"/>
      <c r="E19" s="617"/>
      <c r="F19" s="617"/>
      <c r="G19" s="1264" t="s">
        <v>91</v>
      </c>
      <c r="H19" s="1265"/>
      <c r="I19" s="1265"/>
      <c r="J19" s="1265"/>
      <c r="K19" s="1266"/>
      <c r="L19" s="666">
        <f>((L18)^4)/M17</f>
        <v>89.589807334049979</v>
      </c>
      <c r="M19" s="648"/>
      <c r="O19" s="617"/>
      <c r="P19" s="617"/>
      <c r="Q19" s="617"/>
      <c r="R19" s="617"/>
      <c r="S19" s="1264" t="s">
        <v>91</v>
      </c>
      <c r="T19" s="1265"/>
      <c r="U19" s="1265"/>
      <c r="V19" s="1265"/>
      <c r="W19" s="1266"/>
      <c r="X19" s="666">
        <f>((X18)^4)/Y17</f>
        <v>87.691670120944849</v>
      </c>
      <c r="Y19" s="648"/>
      <c r="AA19" s="674">
        <v>0</v>
      </c>
      <c r="AB19" s="675">
        <v>0.1</v>
      </c>
      <c r="AC19" s="627"/>
      <c r="AD19" s="627"/>
      <c r="AE19" s="1270" t="s">
        <v>91</v>
      </c>
      <c r="AF19" s="1271"/>
      <c r="AG19" s="1271"/>
      <c r="AH19" s="1271"/>
      <c r="AI19" s="1272"/>
      <c r="AJ19" s="672">
        <f>((AJ18)^4)/AK17</f>
        <v>50.046877652354937</v>
      </c>
      <c r="AK19" s="655"/>
      <c r="AL19" s="623"/>
      <c r="AM19" s="674">
        <v>100</v>
      </c>
      <c r="AN19" s="675">
        <v>0.2</v>
      </c>
      <c r="AO19" s="627"/>
      <c r="AP19" s="627"/>
      <c r="AQ19" s="1270" t="s">
        <v>91</v>
      </c>
      <c r="AR19" s="1271"/>
      <c r="AS19" s="1271"/>
      <c r="AT19" s="1271"/>
      <c r="AU19" s="1272"/>
      <c r="AV19" s="672">
        <f>((AV18)^4)/AW17</f>
        <v>68.114166545190031</v>
      </c>
      <c r="AW19" s="654"/>
      <c r="AZ19" s="887"/>
      <c r="BA19" s="887"/>
      <c r="BB19" s="887"/>
      <c r="BC19" s="887"/>
      <c r="BD19" s="887"/>
      <c r="BE19" s="887"/>
      <c r="BF19" s="887"/>
      <c r="BG19" s="887"/>
      <c r="BH19" s="859"/>
      <c r="BI19" s="859"/>
      <c r="BJ19" s="860"/>
      <c r="BK19" s="860"/>
      <c r="BL19" s="659"/>
      <c r="BM19" s="842"/>
      <c r="BN19" s="847"/>
      <c r="BO19" s="847"/>
      <c r="BP19" s="847"/>
      <c r="BQ19" s="886"/>
      <c r="BR19" s="879"/>
      <c r="BS19" s="879"/>
      <c r="BT19" s="879"/>
      <c r="BU19" s="879"/>
      <c r="BV19" s="879"/>
      <c r="BW19" s="684"/>
      <c r="BX19" s="683"/>
      <c r="BY19" s="842"/>
      <c r="BZ19" s="857"/>
      <c r="CA19" s="857"/>
      <c r="CB19" s="856"/>
      <c r="CC19" s="887"/>
      <c r="CD19" s="887"/>
      <c r="CE19" s="887"/>
      <c r="CF19" s="887"/>
      <c r="CG19" s="887"/>
      <c r="CH19" s="887"/>
      <c r="CI19" s="887"/>
      <c r="CJ19" s="887"/>
      <c r="CK19" s="887"/>
      <c r="CL19" s="887"/>
      <c r="CM19" s="887"/>
      <c r="CN19" s="887"/>
      <c r="CO19" s="887"/>
      <c r="CP19" s="887"/>
      <c r="CQ19" s="887"/>
      <c r="CR19" s="887"/>
      <c r="CS19" s="887"/>
      <c r="CT19" s="887"/>
      <c r="CU19" s="887"/>
      <c r="CV19" s="887"/>
      <c r="CW19" s="887"/>
      <c r="CX19" s="887"/>
      <c r="CY19" s="887"/>
      <c r="CZ19" s="887"/>
      <c r="DA19" s="887"/>
      <c r="DB19" s="887"/>
      <c r="DC19" s="887"/>
      <c r="DD19" s="887"/>
      <c r="DE19" s="887"/>
      <c r="DF19" s="887"/>
      <c r="DG19" s="887"/>
      <c r="DH19" s="887"/>
      <c r="DI19" s="887"/>
      <c r="DJ19" s="887"/>
      <c r="DK19" s="887"/>
      <c r="DL19" s="887"/>
      <c r="DM19" s="887"/>
    </row>
    <row r="20" spans="3:117" ht="15.75" customHeight="1" x14ac:dyDescent="0.25">
      <c r="C20" s="617"/>
      <c r="D20" s="617"/>
      <c r="E20" s="617"/>
      <c r="F20" s="617"/>
      <c r="G20" s="1264" t="s">
        <v>42</v>
      </c>
      <c r="H20" s="1265"/>
      <c r="I20" s="1265"/>
      <c r="J20" s="1265"/>
      <c r="K20" s="1266"/>
      <c r="L20" s="648">
        <f>TINV(0.05,L19)</f>
        <v>1.986978699506285</v>
      </c>
      <c r="M20" s="648"/>
      <c r="O20" s="617"/>
      <c r="P20" s="617"/>
      <c r="Q20" s="617"/>
      <c r="R20" s="617"/>
      <c r="S20" s="1264" t="s">
        <v>42</v>
      </c>
      <c r="T20" s="1265"/>
      <c r="U20" s="1265"/>
      <c r="V20" s="1265"/>
      <c r="W20" s="1266"/>
      <c r="X20" s="648">
        <f>TINV(0.05,X19)</f>
        <v>1.9876082815890745</v>
      </c>
      <c r="Y20" s="648"/>
      <c r="AA20" s="674">
        <v>50</v>
      </c>
      <c r="AB20" s="675">
        <v>0.2</v>
      </c>
      <c r="AC20" s="627"/>
      <c r="AD20" s="627"/>
      <c r="AE20" s="1270" t="s">
        <v>42</v>
      </c>
      <c r="AF20" s="1271"/>
      <c r="AG20" s="1271"/>
      <c r="AH20" s="1271"/>
      <c r="AI20" s="1272"/>
      <c r="AJ20" s="654">
        <f>TINV(0.05,AJ19)</f>
        <v>2.0085591121007611</v>
      </c>
      <c r="AK20" s="655"/>
      <c r="AL20" s="623"/>
      <c r="AM20" s="674">
        <v>150</v>
      </c>
      <c r="AN20" s="675">
        <v>0.2</v>
      </c>
      <c r="AO20" s="627"/>
      <c r="AP20" s="627"/>
      <c r="AQ20" s="1270" t="s">
        <v>42</v>
      </c>
      <c r="AR20" s="1271"/>
      <c r="AS20" s="1271"/>
      <c r="AT20" s="1271"/>
      <c r="AU20" s="1272"/>
      <c r="AV20" s="654">
        <f>TINV(0.05,AV19)</f>
        <v>1.9954689314298424</v>
      </c>
      <c r="AW20" s="654"/>
      <c r="AZ20" s="887"/>
      <c r="BA20" s="887"/>
      <c r="BB20" s="887"/>
      <c r="BC20" s="887"/>
      <c r="BD20" s="887"/>
      <c r="BE20" s="887"/>
      <c r="BF20" s="887"/>
      <c r="BG20" s="887"/>
      <c r="BH20" s="859"/>
      <c r="BI20" s="859"/>
      <c r="BJ20" s="860"/>
      <c r="BK20" s="860"/>
      <c r="BL20" s="659"/>
      <c r="BM20" s="842"/>
      <c r="BN20" s="847"/>
      <c r="BO20" s="847"/>
      <c r="BP20" s="847"/>
      <c r="BQ20" s="886"/>
      <c r="BR20" s="879"/>
      <c r="BS20" s="879"/>
      <c r="BT20" s="879"/>
      <c r="BU20" s="879"/>
      <c r="BV20" s="879"/>
      <c r="BW20" s="683"/>
      <c r="BX20" s="683"/>
      <c r="BY20" s="842"/>
      <c r="BZ20" s="857"/>
      <c r="CA20" s="857"/>
      <c r="CB20" s="856"/>
      <c r="CC20" s="887"/>
      <c r="CD20" s="887"/>
      <c r="CE20" s="887"/>
      <c r="CF20" s="887"/>
      <c r="CG20" s="887"/>
      <c r="CH20" s="887"/>
      <c r="CI20" s="887"/>
      <c r="CJ20" s="887"/>
      <c r="CK20" s="887"/>
      <c r="CL20" s="887"/>
      <c r="CM20" s="887"/>
      <c r="CN20" s="887"/>
      <c r="CO20" s="887"/>
      <c r="CP20" s="887"/>
      <c r="CQ20" s="887"/>
      <c r="CR20" s="887"/>
      <c r="CS20" s="887"/>
      <c r="CT20" s="887"/>
      <c r="CU20" s="887"/>
      <c r="CV20" s="887"/>
      <c r="CW20" s="887"/>
      <c r="CX20" s="887"/>
      <c r="CY20" s="887"/>
      <c r="CZ20" s="887"/>
      <c r="DA20" s="887"/>
      <c r="DB20" s="887"/>
      <c r="DC20" s="887"/>
      <c r="DD20" s="887"/>
      <c r="DE20" s="887"/>
      <c r="DF20" s="887"/>
      <c r="DG20" s="887"/>
      <c r="DH20" s="887"/>
      <c r="DI20" s="887"/>
      <c r="DJ20" s="887"/>
      <c r="DK20" s="887"/>
      <c r="DL20" s="887"/>
      <c r="DM20" s="887"/>
    </row>
    <row r="21" spans="3:117" ht="15.75" customHeight="1" x14ac:dyDescent="0.25">
      <c r="C21" s="617"/>
      <c r="D21" s="617"/>
      <c r="E21" s="617"/>
      <c r="F21" s="617"/>
      <c r="G21" s="1264" t="s">
        <v>122</v>
      </c>
      <c r="H21" s="1265"/>
      <c r="I21" s="1265"/>
      <c r="J21" s="1265"/>
      <c r="K21" s="1266"/>
      <c r="L21" s="676">
        <f>L20*L18</f>
        <v>0.55315145964114765</v>
      </c>
      <c r="M21" s="648"/>
      <c r="O21" s="617"/>
      <c r="P21" s="617"/>
      <c r="Q21" s="617"/>
      <c r="R21" s="617"/>
      <c r="S21" s="1264" t="s">
        <v>122</v>
      </c>
      <c r="T21" s="1265"/>
      <c r="U21" s="1265"/>
      <c r="V21" s="1265"/>
      <c r="W21" s="1266"/>
      <c r="X21" s="676">
        <f>X20*X18</f>
        <v>0.55034381273390953</v>
      </c>
      <c r="Y21" s="648"/>
      <c r="AA21" s="627"/>
      <c r="AB21" s="627"/>
      <c r="AC21" s="627"/>
      <c r="AD21" s="627"/>
      <c r="AE21" s="1270" t="s">
        <v>228</v>
      </c>
      <c r="AF21" s="1271"/>
      <c r="AG21" s="1271"/>
      <c r="AH21" s="1271"/>
      <c r="AI21" s="1272"/>
      <c r="AJ21" s="677">
        <f>AJ20*AJ18</f>
        <v>0.46395239067499422</v>
      </c>
      <c r="AK21" s="655"/>
      <c r="AL21" s="623"/>
      <c r="AM21" s="627"/>
      <c r="AN21" s="627"/>
      <c r="AO21" s="627"/>
      <c r="AP21" s="627"/>
      <c r="AQ21" s="1270" t="s">
        <v>228</v>
      </c>
      <c r="AR21" s="1271"/>
      <c r="AS21" s="1271"/>
      <c r="AT21" s="1271"/>
      <c r="AU21" s="1272"/>
      <c r="AV21" s="677">
        <f>AV20*AV18</f>
        <v>0.5021699915215726</v>
      </c>
      <c r="AW21" s="654"/>
      <c r="AZ21" s="887"/>
      <c r="BA21" s="887"/>
      <c r="BB21" s="887"/>
      <c r="BC21" s="887"/>
      <c r="BD21" s="887"/>
      <c r="BE21" s="887"/>
      <c r="BF21" s="887"/>
      <c r="BG21" s="887"/>
      <c r="BH21" s="842"/>
      <c r="BI21" s="842"/>
      <c r="BJ21" s="842"/>
      <c r="BK21" s="842"/>
      <c r="BL21" s="842"/>
      <c r="BM21" s="842"/>
      <c r="BN21" s="847"/>
      <c r="BO21" s="847"/>
      <c r="BP21" s="847"/>
      <c r="BQ21" s="886"/>
      <c r="BR21" s="879"/>
      <c r="BS21" s="879"/>
      <c r="BT21" s="879"/>
      <c r="BU21" s="879"/>
      <c r="BV21" s="879"/>
      <c r="BW21" s="862"/>
      <c r="BX21" s="683"/>
      <c r="BY21" s="842"/>
      <c r="BZ21" s="842"/>
      <c r="CA21" s="842"/>
      <c r="CB21" s="842"/>
      <c r="CC21" s="887"/>
      <c r="CD21" s="887"/>
      <c r="CE21" s="887"/>
      <c r="CF21" s="887"/>
      <c r="CG21" s="887"/>
      <c r="CH21" s="887"/>
      <c r="CI21" s="887"/>
      <c r="CJ21" s="887"/>
      <c r="CK21" s="887"/>
      <c r="CL21" s="887"/>
      <c r="CM21" s="887"/>
      <c r="CN21" s="887"/>
      <c r="CO21" s="887"/>
      <c r="CP21" s="887"/>
      <c r="CQ21" s="887"/>
      <c r="CR21" s="887"/>
      <c r="CS21" s="887"/>
      <c r="CT21" s="887"/>
      <c r="CU21" s="887"/>
      <c r="CV21" s="887"/>
      <c r="CW21" s="887"/>
      <c r="CX21" s="887"/>
      <c r="CY21" s="887"/>
      <c r="CZ21" s="887"/>
      <c r="DA21" s="887"/>
      <c r="DB21" s="887"/>
      <c r="DC21" s="887"/>
      <c r="DD21" s="887"/>
      <c r="DE21" s="887"/>
      <c r="DF21" s="887"/>
      <c r="DG21" s="887"/>
      <c r="DH21" s="887"/>
      <c r="DI21" s="887"/>
      <c r="DJ21" s="887"/>
      <c r="DK21" s="887"/>
      <c r="DL21" s="887"/>
      <c r="DM21" s="887"/>
    </row>
    <row r="22" spans="3:117" x14ac:dyDescent="0.25">
      <c r="C22" s="617"/>
      <c r="D22" s="617"/>
      <c r="E22" s="617"/>
      <c r="F22" s="617"/>
      <c r="G22" s="618"/>
      <c r="H22" s="618"/>
      <c r="I22" s="618"/>
      <c r="J22" s="618"/>
      <c r="K22" s="618"/>
      <c r="L22" s="619"/>
      <c r="M22" s="620"/>
      <c r="AA22" s="627"/>
      <c r="AB22" s="627"/>
      <c r="AC22" s="627"/>
      <c r="AD22" s="627"/>
      <c r="AE22" s="628"/>
      <c r="AF22" s="628"/>
      <c r="AG22" s="628"/>
      <c r="AH22" s="628"/>
      <c r="AI22" s="628"/>
      <c r="AJ22" s="629"/>
      <c r="AK22" s="678"/>
      <c r="AL22" s="623"/>
      <c r="AM22" s="623"/>
      <c r="AN22" s="623"/>
      <c r="AO22" s="623"/>
      <c r="AP22" s="623"/>
      <c r="AQ22" s="623"/>
      <c r="AR22" s="623"/>
      <c r="AS22" s="623"/>
      <c r="AT22" s="623"/>
      <c r="AU22" s="623"/>
      <c r="AV22" s="623"/>
      <c r="AW22" s="623"/>
      <c r="AZ22" s="887"/>
      <c r="BA22" s="887"/>
      <c r="BB22" s="887"/>
      <c r="BC22" s="887"/>
      <c r="BD22" s="887"/>
      <c r="BE22" s="887"/>
      <c r="BF22" s="887"/>
      <c r="BG22" s="887"/>
      <c r="BH22" s="842"/>
      <c r="BI22" s="842"/>
      <c r="BJ22" s="842"/>
      <c r="BK22" s="842"/>
      <c r="BL22" s="842"/>
      <c r="BM22" s="842"/>
      <c r="BN22" s="847"/>
      <c r="BO22" s="847"/>
      <c r="BP22" s="847"/>
      <c r="BQ22" s="886"/>
      <c r="BR22" s="879"/>
      <c r="BS22" s="879"/>
      <c r="BT22" s="879"/>
      <c r="BU22" s="879"/>
      <c r="BV22" s="879"/>
      <c r="BW22" s="684"/>
      <c r="BX22" s="683"/>
      <c r="BY22" s="842"/>
      <c r="BZ22" s="842"/>
      <c r="CA22" s="842"/>
      <c r="CB22" s="842"/>
      <c r="CC22" s="887"/>
      <c r="CD22" s="887"/>
      <c r="CE22" s="887"/>
      <c r="CF22" s="887"/>
      <c r="CG22" s="887"/>
      <c r="CH22" s="887"/>
      <c r="CI22" s="887"/>
      <c r="CJ22" s="887"/>
      <c r="CK22" s="887"/>
      <c r="CL22" s="887"/>
      <c r="CM22" s="887"/>
      <c r="CN22" s="887"/>
      <c r="CO22" s="887"/>
      <c r="CP22" s="887"/>
      <c r="CQ22" s="887"/>
      <c r="CR22" s="887"/>
      <c r="CS22" s="887"/>
      <c r="CT22" s="887"/>
      <c r="CU22" s="887"/>
      <c r="CV22" s="887"/>
      <c r="CW22" s="887"/>
      <c r="CX22" s="887"/>
      <c r="CY22" s="887"/>
      <c r="CZ22" s="887"/>
      <c r="DA22" s="887"/>
      <c r="DB22" s="887"/>
      <c r="DC22" s="887"/>
      <c r="DD22" s="887"/>
      <c r="DE22" s="887"/>
      <c r="DF22" s="887"/>
      <c r="DG22" s="887"/>
      <c r="DH22" s="887"/>
      <c r="DI22" s="887"/>
      <c r="DJ22" s="887"/>
      <c r="DK22" s="887"/>
      <c r="DL22" s="887"/>
      <c r="DM22" s="887"/>
    </row>
    <row r="23" spans="3:117" x14ac:dyDescent="0.25">
      <c r="C23" s="617"/>
      <c r="D23" s="617"/>
      <c r="E23" s="617"/>
      <c r="F23" s="617"/>
      <c r="G23" s="618"/>
      <c r="H23" s="618"/>
      <c r="I23" s="618"/>
      <c r="J23" s="618"/>
      <c r="K23" s="618"/>
      <c r="L23" s="619"/>
      <c r="M23" s="620"/>
      <c r="AA23" s="627"/>
      <c r="AB23" s="627"/>
      <c r="AC23" s="627"/>
      <c r="AD23" s="627"/>
      <c r="AE23" s="628"/>
      <c r="AF23" s="628"/>
      <c r="AG23" s="628"/>
      <c r="AH23" s="628"/>
      <c r="AI23" s="628"/>
      <c r="AJ23" s="629"/>
      <c r="AK23" s="678"/>
      <c r="AL23" s="623"/>
      <c r="AM23" s="623"/>
      <c r="AN23" s="623"/>
      <c r="AO23" s="623"/>
      <c r="AP23" s="623"/>
      <c r="AQ23" s="623"/>
      <c r="AR23" s="623"/>
      <c r="AS23" s="623"/>
      <c r="AT23" s="623"/>
      <c r="AU23" s="623"/>
      <c r="AV23" s="623"/>
      <c r="AW23" s="623"/>
      <c r="AZ23" s="887"/>
      <c r="BA23" s="887"/>
      <c r="BB23" s="887"/>
      <c r="BC23" s="887"/>
      <c r="BD23" s="887"/>
      <c r="BE23" s="887"/>
      <c r="BF23" s="887"/>
      <c r="BG23" s="887"/>
      <c r="BH23" s="842"/>
      <c r="BI23" s="842"/>
      <c r="BJ23" s="842"/>
      <c r="BK23" s="842"/>
      <c r="BL23" s="842"/>
      <c r="BM23" s="842"/>
      <c r="BN23" s="847"/>
      <c r="BO23" s="847"/>
      <c r="BP23" s="847"/>
      <c r="BQ23" s="886"/>
      <c r="BR23" s="879"/>
      <c r="BS23" s="879"/>
      <c r="BT23" s="879"/>
      <c r="BU23" s="879"/>
      <c r="BV23" s="879"/>
      <c r="BW23" s="684"/>
      <c r="BX23" s="683"/>
      <c r="BY23" s="842"/>
      <c r="BZ23" s="842"/>
      <c r="CA23" s="842"/>
      <c r="CB23" s="842"/>
      <c r="CC23" s="887"/>
      <c r="CD23" s="887"/>
      <c r="CE23" s="887"/>
      <c r="CF23" s="887"/>
      <c r="CG23" s="887"/>
      <c r="CH23" s="887"/>
      <c r="CI23" s="887"/>
      <c r="CJ23" s="887"/>
      <c r="CK23" s="887"/>
      <c r="CL23" s="887"/>
      <c r="CM23" s="887"/>
      <c r="CN23" s="887"/>
      <c r="CO23" s="887"/>
      <c r="CP23" s="887"/>
      <c r="CQ23" s="887"/>
      <c r="CR23" s="887"/>
      <c r="CS23" s="887"/>
      <c r="CT23" s="887"/>
      <c r="CU23" s="887"/>
      <c r="CV23" s="887"/>
      <c r="CW23" s="887"/>
      <c r="CX23" s="887"/>
      <c r="CY23" s="887"/>
      <c r="CZ23" s="887"/>
      <c r="DA23" s="887"/>
      <c r="DB23" s="887"/>
      <c r="DC23" s="887"/>
      <c r="DD23" s="887"/>
      <c r="DE23" s="887"/>
      <c r="DF23" s="887"/>
      <c r="DG23" s="887"/>
      <c r="DH23" s="887"/>
      <c r="DI23" s="887"/>
      <c r="DJ23" s="887"/>
      <c r="DK23" s="887"/>
      <c r="DL23" s="887"/>
      <c r="DM23" s="887"/>
    </row>
    <row r="24" spans="3:117" ht="31.5" x14ac:dyDescent="0.25">
      <c r="C24" s="615">
        <f>ID!A69</f>
        <v>50</v>
      </c>
      <c r="D24" s="616" t="str">
        <f>D25</f>
        <v>mmHg</v>
      </c>
      <c r="E24" s="617"/>
      <c r="F24" s="617"/>
      <c r="G24" s="618"/>
      <c r="H24" s="618"/>
      <c r="I24" s="618"/>
      <c r="J24" s="618"/>
      <c r="K24" s="618"/>
      <c r="L24" s="619"/>
      <c r="M24" s="620"/>
      <c r="O24" s="615">
        <f>ID!A72</f>
        <v>200</v>
      </c>
      <c r="P24" s="616" t="str">
        <f>P25</f>
        <v>mmHg</v>
      </c>
      <c r="Q24" s="617"/>
      <c r="R24" s="617"/>
      <c r="S24" s="618"/>
      <c r="T24" s="618"/>
      <c r="U24" s="618"/>
      <c r="V24" s="618"/>
      <c r="W24" s="618"/>
      <c r="X24" s="619"/>
      <c r="Y24" s="620"/>
      <c r="AA24" s="625">
        <v>50</v>
      </c>
      <c r="AB24" s="626">
        <f>AB25</f>
        <v>0</v>
      </c>
      <c r="AC24" s="627"/>
      <c r="AD24" s="627"/>
      <c r="AE24" s="628"/>
      <c r="AF24" s="628"/>
      <c r="AG24" s="628"/>
      <c r="AH24" s="628"/>
      <c r="AI24" s="628"/>
      <c r="AJ24" s="629"/>
      <c r="AK24" s="678"/>
      <c r="AL24" s="623"/>
      <c r="AM24" s="625">
        <v>200</v>
      </c>
      <c r="AN24" s="626">
        <f>AN25</f>
        <v>0</v>
      </c>
      <c r="AO24" s="627"/>
      <c r="AP24" s="627"/>
      <c r="AQ24" s="628"/>
      <c r="AR24" s="628"/>
      <c r="AS24" s="628"/>
      <c r="AT24" s="628"/>
      <c r="AU24" s="628"/>
      <c r="AV24" s="629"/>
      <c r="AW24" s="630"/>
      <c r="AZ24" s="887"/>
      <c r="BA24" s="887"/>
      <c r="BB24" s="887"/>
      <c r="BC24" s="887"/>
      <c r="BD24" s="887"/>
      <c r="BE24" s="887"/>
      <c r="BF24" s="887"/>
      <c r="BG24" s="887"/>
      <c r="BH24" s="842"/>
      <c r="BI24" s="842"/>
      <c r="BJ24" s="842"/>
      <c r="BK24" s="842"/>
      <c r="BL24" s="842"/>
      <c r="BM24" s="842"/>
      <c r="BN24" s="845"/>
      <c r="BO24" s="846"/>
      <c r="BP24" s="847"/>
      <c r="BQ24" s="886"/>
      <c r="BR24" s="879"/>
      <c r="BS24" s="879"/>
      <c r="BT24" s="879"/>
      <c r="BU24" s="879"/>
      <c r="BV24" s="879"/>
      <c r="BW24" s="684"/>
      <c r="BX24" s="683"/>
      <c r="BY24" s="842"/>
      <c r="BZ24" s="842"/>
      <c r="CA24" s="842"/>
      <c r="CB24" s="842"/>
      <c r="CC24" s="887"/>
      <c r="CD24" s="887"/>
      <c r="CE24" s="887"/>
      <c r="CF24" s="887"/>
      <c r="CG24" s="887"/>
      <c r="CH24" s="887"/>
      <c r="CI24" s="887"/>
      <c r="CJ24" s="887"/>
      <c r="CK24" s="887"/>
      <c r="CL24" s="887"/>
      <c r="CM24" s="887"/>
      <c r="CN24" s="887"/>
      <c r="CO24" s="887"/>
      <c r="CP24" s="887"/>
      <c r="CQ24" s="887"/>
      <c r="CR24" s="887"/>
      <c r="CS24" s="887"/>
      <c r="CT24" s="887"/>
      <c r="CU24" s="887"/>
      <c r="CV24" s="887"/>
      <c r="CW24" s="887"/>
      <c r="CX24" s="887"/>
      <c r="CY24" s="887"/>
      <c r="CZ24" s="887"/>
      <c r="DA24" s="887"/>
      <c r="DB24" s="887"/>
      <c r="DC24" s="887"/>
      <c r="DD24" s="887"/>
      <c r="DE24" s="887"/>
      <c r="DF24" s="887"/>
      <c r="DG24" s="887"/>
      <c r="DH24" s="887"/>
      <c r="DI24" s="887"/>
      <c r="DJ24" s="887"/>
      <c r="DK24" s="887"/>
      <c r="DL24" s="887"/>
      <c r="DM24" s="887"/>
    </row>
    <row r="25" spans="3:117" x14ac:dyDescent="0.25">
      <c r="C25" s="633">
        <f>ID!K69</f>
        <v>50.1</v>
      </c>
      <c r="D25" s="632" t="s">
        <v>38</v>
      </c>
      <c r="O25" s="633">
        <f>ID!K72</f>
        <v>197.804</v>
      </c>
      <c r="P25" s="632" t="s">
        <v>38</v>
      </c>
      <c r="AA25" s="633"/>
      <c r="AB25" s="634"/>
      <c r="AC25" s="623"/>
      <c r="AD25" s="623"/>
      <c r="AE25" s="623"/>
      <c r="AF25" s="623"/>
      <c r="AG25" s="623"/>
      <c r="AH25" s="623"/>
      <c r="AI25" s="623"/>
      <c r="AJ25" s="623"/>
      <c r="AK25" s="624"/>
      <c r="AL25" s="623"/>
      <c r="AM25" s="633"/>
      <c r="AN25" s="634"/>
      <c r="AO25" s="623"/>
      <c r="AP25" s="623"/>
      <c r="AQ25" s="623"/>
      <c r="AR25" s="623"/>
      <c r="AS25" s="623"/>
      <c r="AT25" s="623"/>
      <c r="AU25" s="623"/>
      <c r="AV25" s="623"/>
      <c r="AW25" s="623"/>
      <c r="AZ25" s="887"/>
      <c r="BA25" s="887"/>
      <c r="BB25" s="887"/>
      <c r="BC25" s="887"/>
      <c r="BD25" s="887"/>
      <c r="BE25" s="887"/>
      <c r="BF25" s="887"/>
      <c r="BG25" s="887"/>
      <c r="BH25" s="842"/>
      <c r="BI25" s="842"/>
      <c r="BJ25" s="842"/>
      <c r="BK25" s="842"/>
      <c r="BL25" s="842"/>
      <c r="BM25" s="842"/>
      <c r="BN25" s="849"/>
      <c r="BO25" s="850"/>
      <c r="BP25" s="842"/>
      <c r="BQ25" s="882"/>
      <c r="BR25" s="879"/>
      <c r="BS25" s="879"/>
      <c r="BT25" s="879"/>
      <c r="BU25" s="879"/>
      <c r="BV25" s="879"/>
      <c r="BW25" s="842"/>
      <c r="BX25" s="842"/>
      <c r="BY25" s="842"/>
      <c r="BZ25" s="842"/>
      <c r="CA25" s="842"/>
      <c r="CB25" s="842"/>
      <c r="CC25" s="887"/>
      <c r="CD25" s="887"/>
      <c r="CE25" s="887"/>
      <c r="CF25" s="887"/>
      <c r="CG25" s="887"/>
      <c r="CH25" s="887"/>
      <c r="CI25" s="887"/>
      <c r="CJ25" s="887"/>
      <c r="CK25" s="887"/>
      <c r="CL25" s="887"/>
      <c r="CM25" s="887"/>
      <c r="CN25" s="887"/>
      <c r="CO25" s="887"/>
      <c r="CP25" s="887"/>
      <c r="CQ25" s="887"/>
      <c r="CR25" s="887"/>
      <c r="CS25" s="887"/>
      <c r="CT25" s="887"/>
      <c r="CU25" s="887"/>
      <c r="CV25" s="887"/>
      <c r="CW25" s="887"/>
      <c r="CX25" s="887"/>
      <c r="CY25" s="887"/>
      <c r="CZ25" s="887"/>
      <c r="DA25" s="887"/>
      <c r="DB25" s="887"/>
      <c r="DC25" s="887"/>
      <c r="DD25" s="887"/>
      <c r="DE25" s="887"/>
      <c r="DF25" s="887"/>
      <c r="DG25" s="887"/>
      <c r="DH25" s="887"/>
      <c r="DI25" s="887"/>
      <c r="DJ25" s="887"/>
      <c r="DK25" s="887"/>
      <c r="DL25" s="887"/>
      <c r="DM25" s="887"/>
    </row>
    <row r="26" spans="3:117" s="637" customFormat="1" ht="18.75" customHeight="1" x14ac:dyDescent="0.35">
      <c r="C26" s="635" t="s">
        <v>40</v>
      </c>
      <c r="D26" s="635" t="s">
        <v>41</v>
      </c>
      <c r="E26" s="635" t="s">
        <v>80</v>
      </c>
      <c r="F26" s="635" t="s">
        <v>79</v>
      </c>
      <c r="G26" s="635" t="s">
        <v>14</v>
      </c>
      <c r="H26" s="635" t="s">
        <v>115</v>
      </c>
      <c r="I26" s="635" t="s">
        <v>116</v>
      </c>
      <c r="J26" s="635" t="s">
        <v>117</v>
      </c>
      <c r="K26" s="635" t="s">
        <v>118</v>
      </c>
      <c r="L26" s="635" t="s">
        <v>119</v>
      </c>
      <c r="M26" s="636" t="s">
        <v>120</v>
      </c>
      <c r="O26" s="635" t="s">
        <v>40</v>
      </c>
      <c r="P26" s="635" t="s">
        <v>41</v>
      </c>
      <c r="Q26" s="635" t="s">
        <v>80</v>
      </c>
      <c r="R26" s="635" t="s">
        <v>79</v>
      </c>
      <c r="S26" s="635" t="s">
        <v>14</v>
      </c>
      <c r="T26" s="635" t="s">
        <v>115</v>
      </c>
      <c r="U26" s="635" t="s">
        <v>116</v>
      </c>
      <c r="V26" s="635" t="s">
        <v>117</v>
      </c>
      <c r="W26" s="635" t="s">
        <v>118</v>
      </c>
      <c r="X26" s="635" t="s">
        <v>119</v>
      </c>
      <c r="Y26" s="636" t="s">
        <v>120</v>
      </c>
      <c r="AA26" s="638" t="s">
        <v>40</v>
      </c>
      <c r="AB26" s="638" t="s">
        <v>41</v>
      </c>
      <c r="AC26" s="638" t="s">
        <v>80</v>
      </c>
      <c r="AD26" s="638" t="s">
        <v>79</v>
      </c>
      <c r="AE26" s="638" t="s">
        <v>14</v>
      </c>
      <c r="AF26" s="638" t="s">
        <v>221</v>
      </c>
      <c r="AG26" s="638" t="s">
        <v>222</v>
      </c>
      <c r="AH26" s="638" t="s">
        <v>223</v>
      </c>
      <c r="AI26" s="638" t="s">
        <v>224</v>
      </c>
      <c r="AJ26" s="638" t="s">
        <v>225</v>
      </c>
      <c r="AK26" s="639" t="s">
        <v>226</v>
      </c>
      <c r="AL26" s="640"/>
      <c r="AM26" s="638" t="s">
        <v>40</v>
      </c>
      <c r="AN26" s="638" t="s">
        <v>41</v>
      </c>
      <c r="AO26" s="638" t="s">
        <v>80</v>
      </c>
      <c r="AP26" s="638" t="s">
        <v>79</v>
      </c>
      <c r="AQ26" s="638" t="s">
        <v>14</v>
      </c>
      <c r="AR26" s="638" t="s">
        <v>221</v>
      </c>
      <c r="AS26" s="638" t="s">
        <v>222</v>
      </c>
      <c r="AT26" s="638" t="s">
        <v>223</v>
      </c>
      <c r="AU26" s="638" t="s">
        <v>224</v>
      </c>
      <c r="AV26" s="638" t="s">
        <v>225</v>
      </c>
      <c r="AW26" s="641" t="s">
        <v>226</v>
      </c>
      <c r="AZ26" s="887"/>
      <c r="BA26" s="887"/>
      <c r="BB26" s="887"/>
      <c r="BC26" s="887"/>
      <c r="BD26" s="887"/>
      <c r="BE26" s="887"/>
      <c r="BF26" s="887"/>
      <c r="BG26" s="887"/>
      <c r="BH26" s="844"/>
      <c r="BI26" s="844"/>
      <c r="BJ26" s="844"/>
      <c r="BK26" s="844"/>
      <c r="BL26" s="844"/>
      <c r="BM26" s="844"/>
      <c r="BN26" s="851"/>
      <c r="BO26" s="851"/>
      <c r="BP26" s="851"/>
      <c r="BQ26" s="883"/>
      <c r="BR26" s="879"/>
      <c r="BS26" s="879"/>
      <c r="BT26" s="879"/>
      <c r="BU26" s="879"/>
      <c r="BV26" s="879"/>
      <c r="BW26" s="851"/>
      <c r="BX26" s="682"/>
      <c r="BY26" s="844"/>
      <c r="BZ26" s="842"/>
      <c r="CA26" s="842"/>
      <c r="CB26" s="842"/>
      <c r="CC26" s="887"/>
      <c r="CD26" s="887"/>
      <c r="CE26" s="887"/>
      <c r="CF26" s="887"/>
      <c r="CG26" s="887"/>
      <c r="CH26" s="887"/>
      <c r="CI26" s="887"/>
      <c r="CJ26" s="887"/>
      <c r="CK26" s="887"/>
      <c r="CL26" s="887"/>
      <c r="CM26" s="887"/>
      <c r="CN26" s="887"/>
      <c r="CO26" s="887"/>
      <c r="CP26" s="887"/>
      <c r="CQ26" s="887"/>
      <c r="CR26" s="887"/>
      <c r="CS26" s="887"/>
      <c r="CT26" s="887"/>
      <c r="CU26" s="887"/>
      <c r="CV26" s="887"/>
      <c r="CW26" s="887"/>
      <c r="CX26" s="887"/>
      <c r="CY26" s="887"/>
      <c r="CZ26" s="887"/>
      <c r="DA26" s="887"/>
      <c r="DB26" s="887"/>
      <c r="DC26" s="887"/>
      <c r="DD26" s="887"/>
      <c r="DE26" s="887"/>
      <c r="DF26" s="887"/>
      <c r="DG26" s="887"/>
      <c r="DH26" s="887"/>
      <c r="DI26" s="887"/>
      <c r="DJ26" s="887"/>
      <c r="DK26" s="887"/>
      <c r="DL26" s="887"/>
      <c r="DM26" s="887"/>
    </row>
    <row r="27" spans="3:117" ht="31.5" x14ac:dyDescent="0.25">
      <c r="C27" s="643" t="s">
        <v>83</v>
      </c>
      <c r="D27" s="644" t="s">
        <v>38</v>
      </c>
      <c r="E27" s="645" t="s">
        <v>11</v>
      </c>
      <c r="F27" s="646">
        <f>ID!M69</f>
        <v>0</v>
      </c>
      <c r="G27" s="646">
        <f>SQRT(3)</f>
        <v>1.7320508075688772</v>
      </c>
      <c r="H27" s="646">
        <f>(F27/G27)</f>
        <v>0</v>
      </c>
      <c r="I27" s="647">
        <v>1</v>
      </c>
      <c r="J27" s="647">
        <v>5</v>
      </c>
      <c r="K27" s="648">
        <f>H27*I27</f>
        <v>0</v>
      </c>
      <c r="L27" s="648">
        <f>K27^2</f>
        <v>0</v>
      </c>
      <c r="M27" s="648">
        <f>((K27)^4)/J27</f>
        <v>0</v>
      </c>
      <c r="O27" s="643" t="s">
        <v>83</v>
      </c>
      <c r="P27" s="644" t="s">
        <v>38</v>
      </c>
      <c r="Q27" s="645" t="s">
        <v>11</v>
      </c>
      <c r="R27" s="646">
        <f>ID!M72</f>
        <v>0</v>
      </c>
      <c r="S27" s="646">
        <f>SQRT(3)</f>
        <v>1.7320508075688772</v>
      </c>
      <c r="T27" s="646">
        <f>(R27/S27)</f>
        <v>0</v>
      </c>
      <c r="U27" s="647">
        <v>1</v>
      </c>
      <c r="V27" s="647">
        <v>5</v>
      </c>
      <c r="W27" s="648">
        <f>T27*U27</f>
        <v>0</v>
      </c>
      <c r="X27" s="648">
        <f>W27^2</f>
        <v>0</v>
      </c>
      <c r="Y27" s="648">
        <f>((W27)^4)/V27</f>
        <v>0</v>
      </c>
      <c r="AA27" s="649" t="s">
        <v>83</v>
      </c>
      <c r="AB27" s="650" t="s">
        <v>38</v>
      </c>
      <c r="AC27" s="651" t="s">
        <v>11</v>
      </c>
      <c r="AD27" s="652">
        <v>0</v>
      </c>
      <c r="AE27" s="652">
        <v>1.7320508075688772</v>
      </c>
      <c r="AF27" s="652">
        <f>0/1.7321</f>
        <v>0</v>
      </c>
      <c r="AG27" s="653">
        <v>1</v>
      </c>
      <c r="AH27" s="653">
        <f>3-1</f>
        <v>2</v>
      </c>
      <c r="AI27" s="654">
        <f>(0*1)</f>
        <v>0</v>
      </c>
      <c r="AJ27" s="654">
        <f>(0*1)^2</f>
        <v>0</v>
      </c>
      <c r="AK27" s="655">
        <f>((0*1)^4)/2</f>
        <v>0</v>
      </c>
      <c r="AL27" s="623"/>
      <c r="AM27" s="649" t="s">
        <v>83</v>
      </c>
      <c r="AN27" s="650" t="s">
        <v>38</v>
      </c>
      <c r="AO27" s="651" t="s">
        <v>11</v>
      </c>
      <c r="AP27" s="652">
        <v>0</v>
      </c>
      <c r="AQ27" s="652">
        <v>1.7320508075688772</v>
      </c>
      <c r="AR27" s="652">
        <f>0/1.7321</f>
        <v>0</v>
      </c>
      <c r="AS27" s="653">
        <v>1</v>
      </c>
      <c r="AT27" s="653">
        <f>3-1</f>
        <v>2</v>
      </c>
      <c r="AU27" s="654">
        <f>(0*1)</f>
        <v>0</v>
      </c>
      <c r="AV27" s="654">
        <f>(0*1)^2</f>
        <v>0</v>
      </c>
      <c r="AW27" s="655">
        <f>((0*1)^4)/2</f>
        <v>0</v>
      </c>
      <c r="AZ27" s="887"/>
      <c r="BA27" s="887"/>
      <c r="BB27" s="887"/>
      <c r="BC27" s="887"/>
      <c r="BD27" s="887"/>
      <c r="BE27" s="887"/>
      <c r="BF27" s="887"/>
      <c r="BG27" s="887"/>
      <c r="BH27" s="842"/>
      <c r="BI27" s="842"/>
      <c r="BJ27" s="842"/>
      <c r="BK27" s="842"/>
      <c r="BL27" s="842"/>
      <c r="BM27" s="842"/>
      <c r="BN27" s="847"/>
      <c r="BO27" s="852"/>
      <c r="BP27" s="853"/>
      <c r="BQ27" s="884"/>
      <c r="BR27" s="879"/>
      <c r="BS27" s="879"/>
      <c r="BT27" s="879"/>
      <c r="BU27" s="879"/>
      <c r="BV27" s="879"/>
      <c r="BW27" s="683"/>
      <c r="BX27" s="683"/>
      <c r="BY27" s="842"/>
      <c r="BZ27" s="865"/>
      <c r="CA27" s="866"/>
      <c r="CB27" s="867"/>
      <c r="CC27" s="887"/>
      <c r="CD27" s="887"/>
      <c r="CE27" s="887"/>
      <c r="CF27" s="887"/>
      <c r="CG27" s="887"/>
      <c r="CH27" s="887"/>
      <c r="CI27" s="887"/>
      <c r="CJ27" s="887"/>
      <c r="CK27" s="887"/>
      <c r="CL27" s="887"/>
      <c r="CM27" s="887"/>
      <c r="CN27" s="887"/>
      <c r="CO27" s="887"/>
      <c r="CP27" s="887"/>
      <c r="CQ27" s="887"/>
      <c r="CR27" s="887"/>
      <c r="CS27" s="887"/>
      <c r="CT27" s="887"/>
      <c r="CU27" s="887"/>
      <c r="CV27" s="887"/>
      <c r="CW27" s="887"/>
      <c r="CX27" s="887"/>
      <c r="CY27" s="887"/>
      <c r="CZ27" s="887"/>
      <c r="DA27" s="887"/>
      <c r="DB27" s="887"/>
      <c r="DC27" s="887"/>
      <c r="DD27" s="887"/>
      <c r="DE27" s="887"/>
      <c r="DF27" s="887"/>
      <c r="DG27" s="887"/>
      <c r="DH27" s="887"/>
      <c r="DI27" s="887"/>
      <c r="DJ27" s="887"/>
      <c r="DK27" s="887"/>
      <c r="DL27" s="887"/>
      <c r="DM27" s="887"/>
    </row>
    <row r="28" spans="3:117" ht="31.5" x14ac:dyDescent="0.25">
      <c r="C28" s="643" t="s">
        <v>82</v>
      </c>
      <c r="D28" s="644" t="s">
        <v>38</v>
      </c>
      <c r="E28" s="645" t="s">
        <v>11</v>
      </c>
      <c r="F28" s="1063">
        <f>'INTERPOLASI  '!AU19</f>
        <v>0.3</v>
      </c>
      <c r="G28" s="647">
        <v>2</v>
      </c>
      <c r="H28" s="646">
        <f>F28/G28</f>
        <v>0.15</v>
      </c>
      <c r="I28" s="647">
        <v>1</v>
      </c>
      <c r="J28" s="647">
        <v>50</v>
      </c>
      <c r="K28" s="648">
        <f>H28*I28</f>
        <v>0.15</v>
      </c>
      <c r="L28" s="648">
        <f>K28^2</f>
        <v>2.2499999999999999E-2</v>
      </c>
      <c r="M28" s="648">
        <f>((K28)^4)/J28</f>
        <v>1.0124999999999999E-5</v>
      </c>
      <c r="O28" s="643" t="s">
        <v>82</v>
      </c>
      <c r="P28" s="644" t="s">
        <v>38</v>
      </c>
      <c r="Q28" s="645" t="s">
        <v>11</v>
      </c>
      <c r="R28" s="1063">
        <f>'INTERPOLASI  '!AU22</f>
        <v>0.3</v>
      </c>
      <c r="S28" s="647">
        <v>2</v>
      </c>
      <c r="T28" s="646">
        <f>R28/S28</f>
        <v>0.15</v>
      </c>
      <c r="U28" s="647">
        <v>1</v>
      </c>
      <c r="V28" s="647">
        <v>50</v>
      </c>
      <c r="W28" s="648">
        <f>T28*U28</f>
        <v>0.15</v>
      </c>
      <c r="X28" s="648">
        <f>W28^2</f>
        <v>2.2499999999999999E-2</v>
      </c>
      <c r="Y28" s="648">
        <f>((W28)^4)/V28</f>
        <v>1.0124999999999999E-5</v>
      </c>
      <c r="AA28" s="649" t="s">
        <v>82</v>
      </c>
      <c r="AB28" s="650" t="s">
        <v>38</v>
      </c>
      <c r="AC28" s="651" t="s">
        <v>11</v>
      </c>
      <c r="AD28" s="656">
        <f>(((0.2-0.1)*(49-0))/(50-0))+(0.1)</f>
        <v>0.19800000000000001</v>
      </c>
      <c r="AE28" s="653">
        <v>2</v>
      </c>
      <c r="AF28" s="652">
        <f>0.198/2</f>
        <v>9.9000000000000005E-2</v>
      </c>
      <c r="AG28" s="653">
        <v>1</v>
      </c>
      <c r="AH28" s="653">
        <v>50</v>
      </c>
      <c r="AI28" s="654">
        <f>(0.099*1)</f>
        <v>9.9000000000000005E-2</v>
      </c>
      <c r="AJ28" s="654">
        <f>(0.099*1)^2</f>
        <v>9.8010000000000007E-3</v>
      </c>
      <c r="AK28" s="654">
        <f>((0.099*1)^4)/50</f>
        <v>1.9211920200000002E-6</v>
      </c>
      <c r="AL28" s="623"/>
      <c r="AM28" s="649" t="s">
        <v>82</v>
      </c>
      <c r="AN28" s="650" t="s">
        <v>38</v>
      </c>
      <c r="AO28" s="651" t="s">
        <v>11</v>
      </c>
      <c r="AP28" s="656">
        <f>(((0.2-0.2)*(149-0.2))/(150-100))+(0.2)</f>
        <v>0.2</v>
      </c>
      <c r="AQ28" s="653">
        <v>2</v>
      </c>
      <c r="AR28" s="652">
        <f>0.2/2</f>
        <v>0.1</v>
      </c>
      <c r="AS28" s="653">
        <v>1</v>
      </c>
      <c r="AT28" s="653">
        <v>50</v>
      </c>
      <c r="AU28" s="654">
        <f>(0.1*1)</f>
        <v>0.1</v>
      </c>
      <c r="AV28" s="654">
        <f>(0.1*1)^2</f>
        <v>1.0000000000000002E-2</v>
      </c>
      <c r="AW28" s="654">
        <f>((0.1*1)^4)/50</f>
        <v>2.0000000000000008E-6</v>
      </c>
      <c r="AZ28" s="887"/>
      <c r="BA28" s="887"/>
      <c r="BB28" s="887"/>
      <c r="BC28" s="887"/>
      <c r="BD28" s="887"/>
      <c r="BE28" s="887"/>
      <c r="BF28" s="887"/>
      <c r="BG28" s="887"/>
      <c r="BH28" s="878">
        <f>C25</f>
        <v>50.1</v>
      </c>
      <c r="BI28" s="870" t="s">
        <v>428</v>
      </c>
      <c r="BJ28" s="871"/>
      <c r="BK28" s="871" t="s">
        <v>430</v>
      </c>
      <c r="BL28" s="888">
        <v>48.192</v>
      </c>
      <c r="BM28" s="872">
        <v>0</v>
      </c>
      <c r="BN28" s="873">
        <v>0.1</v>
      </c>
      <c r="BO28" s="874">
        <v>50</v>
      </c>
      <c r="BP28" s="875">
        <v>0.1</v>
      </c>
      <c r="BQ28" s="885">
        <f>((((BP28-BN28)*(BL28-BM28)))/(BO28-BM28))+BN28</f>
        <v>0.1</v>
      </c>
      <c r="BR28" s="879"/>
      <c r="BS28" s="877">
        <f>O25</f>
        <v>197.804</v>
      </c>
      <c r="BT28" s="870" t="s">
        <v>428</v>
      </c>
      <c r="BU28" s="871"/>
      <c r="BV28" s="871" t="s">
        <v>433</v>
      </c>
      <c r="BW28" s="888">
        <v>197.708</v>
      </c>
      <c r="BX28" s="872">
        <v>150</v>
      </c>
      <c r="BY28" s="873">
        <v>0.1</v>
      </c>
      <c r="BZ28" s="874">
        <v>200</v>
      </c>
      <c r="CA28" s="875">
        <v>0.1</v>
      </c>
      <c r="CB28" s="885">
        <f>((((CA28-BY28)*(BW28-BX28)))/(BZ28-BX28))+BY28</f>
        <v>0.1</v>
      </c>
      <c r="CC28" s="887"/>
      <c r="CD28" s="887"/>
      <c r="CE28" s="887"/>
      <c r="CF28" s="887"/>
      <c r="CG28" s="887"/>
      <c r="CH28" s="887"/>
      <c r="CI28" s="887"/>
      <c r="CJ28" s="887"/>
      <c r="CK28" s="887"/>
      <c r="CL28" s="887"/>
      <c r="CM28" s="887"/>
      <c r="CN28" s="887"/>
      <c r="CO28" s="887"/>
      <c r="CP28" s="887"/>
      <c r="CQ28" s="887"/>
      <c r="CR28" s="887"/>
      <c r="CS28" s="887"/>
      <c r="CT28" s="887"/>
      <c r="CU28" s="887"/>
      <c r="CV28" s="887"/>
      <c r="CW28" s="887"/>
      <c r="CX28" s="887"/>
      <c r="CY28" s="887"/>
      <c r="CZ28" s="887"/>
      <c r="DA28" s="887"/>
      <c r="DB28" s="887"/>
      <c r="DC28" s="887"/>
      <c r="DD28" s="887"/>
      <c r="DE28" s="887"/>
      <c r="DF28" s="887"/>
      <c r="DG28" s="887"/>
      <c r="DH28" s="887"/>
      <c r="DI28" s="887"/>
      <c r="DJ28" s="887"/>
      <c r="DK28" s="887"/>
      <c r="DL28" s="887"/>
      <c r="DM28" s="887"/>
    </row>
    <row r="29" spans="3:117" ht="31.5" x14ac:dyDescent="0.25">
      <c r="C29" s="643" t="s">
        <v>243</v>
      </c>
      <c r="D29" s="644" t="s">
        <v>38</v>
      </c>
      <c r="E29" s="645" t="s">
        <v>85</v>
      </c>
      <c r="F29" s="646">
        <f>(1/5)*ID!C9</f>
        <v>0.4</v>
      </c>
      <c r="G29" s="646">
        <f>SQRT(3)</f>
        <v>1.7320508075688772</v>
      </c>
      <c r="H29" s="646">
        <f>F29/G29</f>
        <v>0.23094010767585033</v>
      </c>
      <c r="I29" s="647">
        <v>1</v>
      </c>
      <c r="J29" s="647">
        <v>50</v>
      </c>
      <c r="K29" s="648">
        <f>H29*I29</f>
        <v>0.23094010767585033</v>
      </c>
      <c r="L29" s="648">
        <f>K29^2</f>
        <v>5.3333333333333344E-2</v>
      </c>
      <c r="M29" s="648">
        <f>((K29)^4)/J29</f>
        <v>5.6888888888888908E-5</v>
      </c>
      <c r="O29" s="643" t="s">
        <v>243</v>
      </c>
      <c r="P29" s="644" t="s">
        <v>38</v>
      </c>
      <c r="Q29" s="645" t="s">
        <v>85</v>
      </c>
      <c r="R29" s="646">
        <f>(1/5)*ID!C9</f>
        <v>0.4</v>
      </c>
      <c r="S29" s="646">
        <f>SQRT(3)</f>
        <v>1.7320508075688772</v>
      </c>
      <c r="T29" s="646">
        <f>R29/S29</f>
        <v>0.23094010767585033</v>
      </c>
      <c r="U29" s="647">
        <v>1</v>
      </c>
      <c r="V29" s="647">
        <v>50</v>
      </c>
      <c r="W29" s="648">
        <f>T29*U29</f>
        <v>0.23094010767585033</v>
      </c>
      <c r="X29" s="648">
        <f>W29^2</f>
        <v>5.3333333333333344E-2</v>
      </c>
      <c r="Y29" s="648">
        <f>((W29)^4)/V29</f>
        <v>5.6888888888888908E-5</v>
      </c>
      <c r="AA29" s="649" t="s">
        <v>76</v>
      </c>
      <c r="AB29" s="650" t="s">
        <v>38</v>
      </c>
      <c r="AC29" s="651" t="s">
        <v>85</v>
      </c>
      <c r="AD29" s="652">
        <f>(1/5)*2</f>
        <v>0.4</v>
      </c>
      <c r="AE29" s="652">
        <v>1.7320508075688772</v>
      </c>
      <c r="AF29" s="658">
        <f>0.4/1.7321</f>
        <v>0.23093354887131229</v>
      </c>
      <c r="AG29" s="653">
        <v>1</v>
      </c>
      <c r="AH29" s="653">
        <v>50</v>
      </c>
      <c r="AI29" s="654">
        <f>(0.230933548871*1)</f>
        <v>0.23093354887100001</v>
      </c>
      <c r="AJ29" s="654">
        <f>(0.230933548871*1)^2</f>
        <v>5.3330303994154553E-2</v>
      </c>
      <c r="AK29" s="654">
        <f>((0.230933548871*1)^4)/50</f>
        <v>5.6882426482178737E-5</v>
      </c>
      <c r="AL29" s="623"/>
      <c r="AM29" s="649" t="s">
        <v>76</v>
      </c>
      <c r="AN29" s="650" t="s">
        <v>38</v>
      </c>
      <c r="AO29" s="651" t="s">
        <v>85</v>
      </c>
      <c r="AP29" s="652">
        <f>(1/5)*2</f>
        <v>0.4</v>
      </c>
      <c r="AQ29" s="652">
        <v>1.7320508075688772</v>
      </c>
      <c r="AR29" s="658">
        <f>0.4/1.7321</f>
        <v>0.23093354887131229</v>
      </c>
      <c r="AS29" s="653">
        <v>1</v>
      </c>
      <c r="AT29" s="653">
        <v>50</v>
      </c>
      <c r="AU29" s="654">
        <f>(0.230933548871*1)</f>
        <v>0.23093354887100001</v>
      </c>
      <c r="AV29" s="654">
        <f>(0.230933548871*1)^2</f>
        <v>5.3330303994154553E-2</v>
      </c>
      <c r="AW29" s="654">
        <f>((0.230933548871*1)^4)/50</f>
        <v>5.6882426482178737E-5</v>
      </c>
      <c r="AZ29" s="887"/>
      <c r="BA29" s="887"/>
      <c r="BB29" s="887"/>
      <c r="BC29" s="887"/>
      <c r="BD29" s="887"/>
      <c r="BE29" s="887"/>
      <c r="BF29" s="887"/>
      <c r="BG29" s="887"/>
      <c r="BH29" s="842"/>
      <c r="BI29" s="859"/>
      <c r="BJ29" s="860"/>
      <c r="BK29" s="860"/>
      <c r="BL29" s="659"/>
      <c r="BM29" s="842"/>
      <c r="BN29" s="847"/>
      <c r="BO29" s="852"/>
      <c r="BP29" s="853"/>
      <c r="BQ29" s="884"/>
      <c r="BR29" s="879"/>
      <c r="BS29" s="859"/>
      <c r="BT29" s="859"/>
      <c r="BU29" s="860"/>
      <c r="BV29" s="860"/>
      <c r="BW29" s="659"/>
      <c r="BX29" s="842"/>
      <c r="BY29" s="847"/>
      <c r="BZ29" s="852"/>
      <c r="CA29" s="853"/>
      <c r="CB29" s="884"/>
      <c r="CC29" s="887"/>
      <c r="CD29" s="887"/>
      <c r="CE29" s="887"/>
      <c r="CF29" s="887"/>
      <c r="CG29" s="887"/>
      <c r="CH29" s="887"/>
      <c r="CI29" s="887"/>
      <c r="CJ29" s="887"/>
      <c r="CK29" s="887"/>
      <c r="CL29" s="887"/>
      <c r="CM29" s="887"/>
      <c r="CN29" s="887"/>
      <c r="CO29" s="887"/>
      <c r="CP29" s="887"/>
      <c r="CQ29" s="887"/>
      <c r="CR29" s="887"/>
      <c r="CS29" s="887"/>
      <c r="CT29" s="887"/>
      <c r="CU29" s="887"/>
      <c r="CV29" s="887"/>
      <c r="CW29" s="887"/>
      <c r="CX29" s="887"/>
      <c r="CY29" s="887"/>
      <c r="CZ29" s="887"/>
      <c r="DA29" s="887"/>
      <c r="DB29" s="887"/>
      <c r="DC29" s="887"/>
      <c r="DD29" s="887"/>
      <c r="DE29" s="887"/>
      <c r="DF29" s="887"/>
      <c r="DG29" s="887"/>
      <c r="DH29" s="887"/>
      <c r="DI29" s="887"/>
      <c r="DJ29" s="887"/>
      <c r="DK29" s="887"/>
      <c r="DL29" s="887"/>
      <c r="DM29" s="887"/>
    </row>
    <row r="30" spans="3:117" ht="28.5" customHeight="1" x14ac:dyDescent="0.25">
      <c r="C30" s="643" t="s">
        <v>244</v>
      </c>
      <c r="D30" s="644" t="s">
        <v>38</v>
      </c>
      <c r="E30" s="645" t="s">
        <v>85</v>
      </c>
      <c r="F30" s="660">
        <f>(1/2)*'RESOLUSI STANDAR'!$K$7</f>
        <v>0.05</v>
      </c>
      <c r="G30" s="646">
        <f>SQRT(3)</f>
        <v>1.7320508075688772</v>
      </c>
      <c r="H30" s="646">
        <f>F30/G30</f>
        <v>2.8867513459481291E-2</v>
      </c>
      <c r="I30" s="647">
        <v>1</v>
      </c>
      <c r="J30" s="647">
        <v>50</v>
      </c>
      <c r="K30" s="648">
        <f>H30*I30</f>
        <v>2.8867513459481291E-2</v>
      </c>
      <c r="L30" s="648">
        <f>K30^2</f>
        <v>8.333333333333335E-4</v>
      </c>
      <c r="M30" s="648">
        <f>((K30)^4)/J30</f>
        <v>1.3888888888888894E-8</v>
      </c>
      <c r="O30" s="643" t="s">
        <v>244</v>
      </c>
      <c r="P30" s="644" t="s">
        <v>38</v>
      </c>
      <c r="Q30" s="645" t="s">
        <v>85</v>
      </c>
      <c r="R30" s="660">
        <f>(1/2)*'RESOLUSI STANDAR'!$K$7</f>
        <v>0.05</v>
      </c>
      <c r="S30" s="646">
        <f>SQRT(3)</f>
        <v>1.7320508075688772</v>
      </c>
      <c r="T30" s="646">
        <f>R30/S30</f>
        <v>2.8867513459481291E-2</v>
      </c>
      <c r="U30" s="647">
        <v>1</v>
      </c>
      <c r="V30" s="647">
        <v>50</v>
      </c>
      <c r="W30" s="648">
        <f>T30*U30</f>
        <v>2.8867513459481291E-2</v>
      </c>
      <c r="X30" s="648">
        <f>W30^2</f>
        <v>8.333333333333335E-4</v>
      </c>
      <c r="Y30" s="648">
        <f>((W30)^4)/V30</f>
        <v>1.3888888888888894E-8</v>
      </c>
      <c r="AA30" s="649"/>
      <c r="AB30" s="650"/>
      <c r="AC30" s="651"/>
      <c r="AD30" s="661"/>
      <c r="AE30" s="652"/>
      <c r="AF30" s="658"/>
      <c r="AG30" s="653"/>
      <c r="AH30" s="653"/>
      <c r="AI30" s="654"/>
      <c r="AJ30" s="654"/>
      <c r="AK30" s="654"/>
      <c r="AL30" s="623"/>
      <c r="AM30" s="649"/>
      <c r="AN30" s="650"/>
      <c r="AO30" s="651"/>
      <c r="AP30" s="661"/>
      <c r="AQ30" s="652"/>
      <c r="AR30" s="658"/>
      <c r="AS30" s="653"/>
      <c r="AT30" s="653"/>
      <c r="AU30" s="654"/>
      <c r="AV30" s="654"/>
      <c r="AW30" s="654"/>
      <c r="AZ30" s="887"/>
      <c r="BA30" s="887"/>
      <c r="BB30" s="887"/>
      <c r="BC30" s="887"/>
      <c r="BD30" s="887"/>
      <c r="BE30" s="887"/>
      <c r="BF30" s="887"/>
      <c r="BG30" s="887"/>
      <c r="BH30" s="859"/>
      <c r="BI30" s="859"/>
      <c r="BJ30" s="860"/>
      <c r="BK30" s="860"/>
      <c r="BL30" s="659"/>
      <c r="BM30" s="842"/>
      <c r="BN30" s="847"/>
      <c r="BO30" s="852"/>
      <c r="BP30" s="853"/>
      <c r="BQ30" s="884"/>
      <c r="BR30" s="879"/>
      <c r="BS30" s="859"/>
      <c r="BT30" s="859"/>
      <c r="BU30" s="860"/>
      <c r="BV30" s="860"/>
      <c r="BW30" s="659"/>
      <c r="BX30" s="842"/>
      <c r="BY30" s="847"/>
      <c r="BZ30" s="852"/>
      <c r="CA30" s="853"/>
      <c r="CB30" s="884"/>
      <c r="CC30" s="887"/>
      <c r="CD30" s="887"/>
      <c r="CE30" s="887"/>
      <c r="CF30" s="887"/>
      <c r="CG30" s="887"/>
      <c r="CH30" s="887"/>
      <c r="CI30" s="887"/>
      <c r="CJ30" s="887"/>
      <c r="CK30" s="887"/>
      <c r="CL30" s="887"/>
      <c r="CM30" s="887"/>
      <c r="CN30" s="887"/>
      <c r="CO30" s="887"/>
      <c r="CP30" s="887"/>
      <c r="CQ30" s="887"/>
      <c r="CR30" s="887"/>
      <c r="CS30" s="887"/>
      <c r="CT30" s="887"/>
      <c r="CU30" s="887"/>
      <c r="CV30" s="887"/>
      <c r="CW30" s="887"/>
      <c r="CX30" s="887"/>
      <c r="CY30" s="887"/>
      <c r="CZ30" s="887"/>
      <c r="DA30" s="887"/>
      <c r="DB30" s="887"/>
      <c r="DC30" s="887"/>
      <c r="DD30" s="887"/>
      <c r="DE30" s="887"/>
      <c r="DF30" s="887"/>
      <c r="DG30" s="887"/>
      <c r="DH30" s="887"/>
      <c r="DI30" s="887"/>
      <c r="DJ30" s="887"/>
      <c r="DK30" s="887"/>
      <c r="DL30" s="887"/>
      <c r="DM30" s="887"/>
    </row>
    <row r="31" spans="3:117" x14ac:dyDescent="0.25">
      <c r="C31" s="643" t="s">
        <v>51</v>
      </c>
      <c r="D31" s="644" t="s">
        <v>38</v>
      </c>
      <c r="E31" s="645" t="s">
        <v>85</v>
      </c>
      <c r="F31" s="1063">
        <f>'INTERPOLASI  '!BT19</f>
        <v>0.149700002</v>
      </c>
      <c r="G31" s="646">
        <f>SQRT(3)</f>
        <v>1.7320508075688772</v>
      </c>
      <c r="H31" s="646">
        <f>F31/G31</f>
        <v>8.6429336452387526E-2</v>
      </c>
      <c r="I31" s="647">
        <v>1</v>
      </c>
      <c r="J31" s="647">
        <v>50</v>
      </c>
      <c r="K31" s="648">
        <f>H31*I31</f>
        <v>8.6429336452387526E-2</v>
      </c>
      <c r="L31" s="648">
        <f>K31^2</f>
        <v>7.4700301996000031E-3</v>
      </c>
      <c r="M31" s="648">
        <f>((K31)^4)/J31</f>
        <v>1.1160270236587213E-6</v>
      </c>
      <c r="O31" s="643" t="s">
        <v>51</v>
      </c>
      <c r="P31" s="644" t="s">
        <v>38</v>
      </c>
      <c r="Q31" s="645" t="s">
        <v>85</v>
      </c>
      <c r="R31" s="1063">
        <f>'INTERPOLASI  '!BT22</f>
        <v>4.7804043920000004E-2</v>
      </c>
      <c r="S31" s="646">
        <f>SQRT(3)</f>
        <v>1.7320508075688772</v>
      </c>
      <c r="T31" s="646">
        <f>R31/S31</f>
        <v>2.7599677625564697E-2</v>
      </c>
      <c r="U31" s="647">
        <v>1</v>
      </c>
      <c r="V31" s="647">
        <v>50</v>
      </c>
      <c r="W31" s="648">
        <f>T31*U31</f>
        <v>2.7599677625564697E-2</v>
      </c>
      <c r="X31" s="648">
        <f>W31^2</f>
        <v>7.6174220503509658E-4</v>
      </c>
      <c r="Y31" s="648">
        <f>((W31)^4)/V31</f>
        <v>1.1605023738634622E-8</v>
      </c>
      <c r="AA31" s="649" t="s">
        <v>51</v>
      </c>
      <c r="AB31" s="650" t="s">
        <v>38</v>
      </c>
      <c r="AC31" s="651" t="s">
        <v>85</v>
      </c>
      <c r="AD31" s="656">
        <v>0</v>
      </c>
      <c r="AE31" s="652">
        <v>1.7320508075688772</v>
      </c>
      <c r="AF31" s="652">
        <f>0/1.7321</f>
        <v>0</v>
      </c>
      <c r="AG31" s="653">
        <v>1</v>
      </c>
      <c r="AH31" s="653">
        <v>50</v>
      </c>
      <c r="AI31" s="654">
        <f>(0*1)</f>
        <v>0</v>
      </c>
      <c r="AJ31" s="654">
        <f>(0*1)^2</f>
        <v>0</v>
      </c>
      <c r="AK31" s="655">
        <f>((0*1)^4)/50</f>
        <v>0</v>
      </c>
      <c r="AL31" s="623"/>
      <c r="AM31" s="649" t="s">
        <v>51</v>
      </c>
      <c r="AN31" s="650" t="s">
        <v>38</v>
      </c>
      <c r="AO31" s="651" t="s">
        <v>85</v>
      </c>
      <c r="AP31" s="656">
        <v>0</v>
      </c>
      <c r="AQ31" s="652">
        <v>1.7320508075688772</v>
      </c>
      <c r="AR31" s="652">
        <f>0/1.7321</f>
        <v>0</v>
      </c>
      <c r="AS31" s="653">
        <v>1</v>
      </c>
      <c r="AT31" s="653">
        <v>50</v>
      </c>
      <c r="AU31" s="654">
        <f>(0*1)</f>
        <v>0</v>
      </c>
      <c r="AV31" s="654">
        <f>(0*1)^2</f>
        <v>0</v>
      </c>
      <c r="AW31" s="655">
        <f>((0*1)^4)/50</f>
        <v>0</v>
      </c>
      <c r="AZ31" s="887"/>
      <c r="BA31" s="887"/>
      <c r="BB31" s="887"/>
      <c r="BC31" s="887"/>
      <c r="BD31" s="887"/>
      <c r="BE31" s="887"/>
      <c r="BF31" s="887"/>
      <c r="BG31" s="887"/>
      <c r="BH31" s="842"/>
      <c r="BI31" s="870" t="s">
        <v>428</v>
      </c>
      <c r="BJ31" s="871"/>
      <c r="BK31" s="871" t="s">
        <v>430</v>
      </c>
      <c r="BL31" s="888">
        <v>48.192</v>
      </c>
      <c r="BM31" s="872">
        <v>0</v>
      </c>
      <c r="BN31" s="876">
        <v>0.05</v>
      </c>
      <c r="BO31" s="874">
        <v>50</v>
      </c>
      <c r="BP31" s="876">
        <v>0.1</v>
      </c>
      <c r="BQ31" s="885">
        <f>((((BP31-BN31)*(BL31-BM31)))/(BO31-BM31))+BN31</f>
        <v>9.8192000000000002E-2</v>
      </c>
      <c r="BR31" s="879"/>
      <c r="BS31" s="859"/>
      <c r="BT31" s="870" t="s">
        <v>428</v>
      </c>
      <c r="BU31" s="871"/>
      <c r="BV31" s="871" t="s">
        <v>433</v>
      </c>
      <c r="BW31" s="888">
        <v>197.708</v>
      </c>
      <c r="BX31" s="872">
        <v>150</v>
      </c>
      <c r="BY31" s="876">
        <v>0.15</v>
      </c>
      <c r="BZ31" s="874">
        <v>200</v>
      </c>
      <c r="CA31" s="876">
        <v>0.25</v>
      </c>
      <c r="CB31" s="885">
        <f>((((CA31-BY31)*(BW31-BX31)))/(BZ31-BX31))+BY31</f>
        <v>0.245416</v>
      </c>
      <c r="CC31" s="887"/>
      <c r="CD31" s="887"/>
      <c r="CE31" s="887"/>
      <c r="CF31" s="887"/>
      <c r="CG31" s="887"/>
      <c r="CH31" s="887"/>
      <c r="CI31" s="887"/>
      <c r="CJ31" s="887"/>
      <c r="CK31" s="887"/>
      <c r="CL31" s="887"/>
      <c r="CM31" s="887"/>
      <c r="CN31" s="887"/>
      <c r="CO31" s="887"/>
      <c r="CP31" s="887"/>
      <c r="CQ31" s="887"/>
      <c r="CR31" s="887"/>
      <c r="CS31" s="887"/>
      <c r="CT31" s="887"/>
      <c r="CU31" s="887"/>
      <c r="CV31" s="887"/>
      <c r="CW31" s="887"/>
      <c r="CX31" s="887"/>
      <c r="CY31" s="887"/>
      <c r="CZ31" s="887"/>
      <c r="DA31" s="887"/>
      <c r="DB31" s="887"/>
      <c r="DC31" s="887"/>
      <c r="DD31" s="887"/>
      <c r="DE31" s="887"/>
      <c r="DF31" s="887"/>
      <c r="DG31" s="887"/>
      <c r="DH31" s="887"/>
      <c r="DI31" s="887"/>
      <c r="DJ31" s="887"/>
      <c r="DK31" s="887"/>
      <c r="DL31" s="887"/>
      <c r="DM31" s="887"/>
    </row>
    <row r="32" spans="3:117" x14ac:dyDescent="0.25">
      <c r="C32" s="662"/>
      <c r="D32" s="662"/>
      <c r="E32" s="662"/>
      <c r="F32" s="662"/>
      <c r="G32" s="663" t="s">
        <v>84</v>
      </c>
      <c r="H32" s="664"/>
      <c r="I32" s="664"/>
      <c r="J32" s="664"/>
      <c r="K32" s="665"/>
      <c r="L32" s="666">
        <f>SUM(L27:L31)</f>
        <v>8.413669686626668E-2</v>
      </c>
      <c r="M32" s="666">
        <f>SUM(M27:M31)</f>
        <v>6.8143804801436514E-5</v>
      </c>
      <c r="O32" s="662"/>
      <c r="P32" s="662"/>
      <c r="Q32" s="662"/>
      <c r="R32" s="662"/>
      <c r="S32" s="663" t="s">
        <v>84</v>
      </c>
      <c r="T32" s="664"/>
      <c r="U32" s="664"/>
      <c r="V32" s="664"/>
      <c r="W32" s="665"/>
      <c r="X32" s="666">
        <f>SUM(X27:X31)</f>
        <v>7.742840887170177E-2</v>
      </c>
      <c r="Y32" s="666">
        <f>SUM(Y27:Y31)</f>
        <v>6.703938280151643E-5</v>
      </c>
      <c r="AA32" s="667"/>
      <c r="AB32" s="667"/>
      <c r="AC32" s="667"/>
      <c r="AD32" s="667"/>
      <c r="AE32" s="668" t="s">
        <v>84</v>
      </c>
      <c r="AF32" s="669"/>
      <c r="AG32" s="669"/>
      <c r="AH32" s="669"/>
      <c r="AI32" s="670"/>
      <c r="AJ32" s="672">
        <f>SUM(AJ27:AJ31)</f>
        <v>6.313130399415455E-2</v>
      </c>
      <c r="AK32" s="671">
        <f>SUM(AK27:AK31)</f>
        <v>5.8803618502178739E-5</v>
      </c>
      <c r="AL32" s="623"/>
      <c r="AM32" s="667"/>
      <c r="AN32" s="667"/>
      <c r="AO32" s="667"/>
      <c r="AP32" s="667"/>
      <c r="AQ32" s="668" t="s">
        <v>84</v>
      </c>
      <c r="AR32" s="669"/>
      <c r="AS32" s="669"/>
      <c r="AT32" s="669"/>
      <c r="AU32" s="670"/>
      <c r="AV32" s="672">
        <f>SUM(AV27:AV31)</f>
        <v>6.3330303994154555E-2</v>
      </c>
      <c r="AW32" s="672">
        <f>SUM(AW27:AW31)</f>
        <v>5.8882426482178738E-5</v>
      </c>
      <c r="AZ32" s="887"/>
      <c r="BA32" s="887"/>
      <c r="BB32" s="887"/>
      <c r="BC32" s="887"/>
      <c r="BD32" s="887"/>
      <c r="BE32" s="887"/>
      <c r="BF32" s="887"/>
      <c r="BG32" s="887"/>
      <c r="BH32" s="842"/>
      <c r="BI32" s="842"/>
      <c r="BJ32" s="842"/>
      <c r="BK32" s="842"/>
      <c r="BL32" s="842"/>
      <c r="BM32" s="842"/>
      <c r="BN32" s="847"/>
      <c r="BO32" s="847"/>
      <c r="BP32" s="847"/>
      <c r="BQ32" s="886"/>
      <c r="BR32" s="848"/>
      <c r="BS32" s="848"/>
      <c r="BT32" s="848"/>
      <c r="BU32" s="848"/>
      <c r="BV32" s="848"/>
      <c r="BW32" s="684"/>
      <c r="BX32" s="684"/>
      <c r="BY32" s="842"/>
      <c r="BZ32" s="865"/>
      <c r="CA32" s="866"/>
      <c r="CB32" s="867"/>
      <c r="CC32" s="887"/>
      <c r="CD32" s="887"/>
      <c r="CE32" s="887"/>
      <c r="CF32" s="887"/>
      <c r="CG32" s="887"/>
      <c r="CH32" s="887"/>
      <c r="CI32" s="887"/>
      <c r="CJ32" s="887"/>
      <c r="CK32" s="887"/>
      <c r="CL32" s="887"/>
      <c r="CM32" s="887"/>
      <c r="CN32" s="887"/>
      <c r="CO32" s="887"/>
      <c r="CP32" s="887"/>
      <c r="CQ32" s="887"/>
      <c r="CR32" s="887"/>
      <c r="CS32" s="887"/>
      <c r="CT32" s="887"/>
      <c r="CU32" s="887"/>
      <c r="CV32" s="887"/>
      <c r="CW32" s="887"/>
      <c r="CX32" s="887"/>
      <c r="CY32" s="887"/>
      <c r="CZ32" s="887"/>
      <c r="DA32" s="887"/>
      <c r="DB32" s="887"/>
      <c r="DC32" s="887"/>
      <c r="DD32" s="887"/>
      <c r="DE32" s="887"/>
      <c r="DF32" s="887"/>
      <c r="DG32" s="887"/>
      <c r="DH32" s="887"/>
      <c r="DI32" s="887"/>
      <c r="DJ32" s="887"/>
      <c r="DK32" s="887"/>
      <c r="DL32" s="887"/>
      <c r="DM32" s="887"/>
    </row>
    <row r="33" spans="3:117" ht="17.25" customHeight="1" x14ac:dyDescent="0.35">
      <c r="C33" s="617"/>
      <c r="D33" s="617"/>
      <c r="E33" s="617"/>
      <c r="F33" s="617"/>
      <c r="G33" s="1264" t="s">
        <v>121</v>
      </c>
      <c r="H33" s="1265"/>
      <c r="I33" s="1265"/>
      <c r="J33" s="1265"/>
      <c r="K33" s="1266"/>
      <c r="L33" s="666">
        <f>SQRT(L32)</f>
        <v>0.29006326355860146</v>
      </c>
      <c r="M33" s="648"/>
      <c r="O33" s="617"/>
      <c r="P33" s="617"/>
      <c r="Q33" s="617"/>
      <c r="R33" s="617"/>
      <c r="S33" s="1264" t="s">
        <v>121</v>
      </c>
      <c r="T33" s="1265"/>
      <c r="U33" s="1265"/>
      <c r="V33" s="1265"/>
      <c r="W33" s="1266"/>
      <c r="X33" s="666">
        <f>SQRT(X32)</f>
        <v>0.27825960697108332</v>
      </c>
      <c r="Y33" s="648"/>
      <c r="AA33" s="673" t="s">
        <v>48</v>
      </c>
      <c r="AB33" s="673" t="s">
        <v>197</v>
      </c>
      <c r="AC33" s="627"/>
      <c r="AD33" s="627"/>
      <c r="AE33" s="1270" t="s">
        <v>227</v>
      </c>
      <c r="AF33" s="1271"/>
      <c r="AG33" s="1271"/>
      <c r="AH33" s="1271"/>
      <c r="AI33" s="1272"/>
      <c r="AJ33" s="672">
        <f>SQRT(AJ32)</f>
        <v>0.25125943563208636</v>
      </c>
      <c r="AK33" s="655"/>
      <c r="AL33" s="623"/>
      <c r="AM33" s="673" t="s">
        <v>48</v>
      </c>
      <c r="AN33" s="673" t="s">
        <v>197</v>
      </c>
      <c r="AO33" s="627"/>
      <c r="AP33" s="627"/>
      <c r="AQ33" s="1270" t="s">
        <v>227</v>
      </c>
      <c r="AR33" s="1271"/>
      <c r="AS33" s="1271"/>
      <c r="AT33" s="1271"/>
      <c r="AU33" s="1272"/>
      <c r="AV33" s="672">
        <f>SQRT(AV32)</f>
        <v>0.25165512908374144</v>
      </c>
      <c r="AW33" s="654"/>
      <c r="AZ33" s="887"/>
      <c r="BA33" s="887"/>
      <c r="BB33" s="887"/>
      <c r="BC33" s="887"/>
      <c r="BD33" s="887"/>
      <c r="BE33" s="887"/>
      <c r="BF33" s="887"/>
      <c r="BG33" s="887"/>
      <c r="BH33" s="842"/>
      <c r="BI33" s="842"/>
      <c r="BJ33" s="842"/>
      <c r="BK33" s="842"/>
      <c r="BL33" s="842"/>
      <c r="BM33" s="842"/>
      <c r="BN33" s="847"/>
      <c r="BO33" s="847"/>
      <c r="BP33" s="847"/>
      <c r="BQ33" s="886"/>
      <c r="BR33" s="1260"/>
      <c r="BS33" s="1260"/>
      <c r="BT33" s="1260"/>
      <c r="BU33" s="1260"/>
      <c r="BV33" s="1260"/>
      <c r="BW33" s="684"/>
      <c r="BX33" s="683"/>
      <c r="BY33" s="842"/>
      <c r="BZ33" s="865"/>
      <c r="CA33" s="866"/>
      <c r="CB33" s="867"/>
      <c r="CC33" s="887"/>
      <c r="CD33" s="887"/>
      <c r="CE33" s="887"/>
      <c r="CF33" s="887"/>
      <c r="CG33" s="887"/>
      <c r="CH33" s="887"/>
      <c r="CI33" s="887"/>
      <c r="CJ33" s="887"/>
      <c r="CK33" s="887"/>
      <c r="CL33" s="887"/>
      <c r="CM33" s="887"/>
      <c r="CN33" s="887"/>
      <c r="CO33" s="887"/>
      <c r="CP33" s="887"/>
      <c r="CQ33" s="887"/>
      <c r="CR33" s="887"/>
      <c r="CS33" s="887"/>
      <c r="CT33" s="887"/>
      <c r="CU33" s="887"/>
      <c r="CV33" s="887"/>
      <c r="CW33" s="887"/>
      <c r="CX33" s="887"/>
      <c r="CY33" s="887"/>
      <c r="CZ33" s="887"/>
      <c r="DA33" s="887"/>
      <c r="DB33" s="887"/>
      <c r="DC33" s="887"/>
      <c r="DD33" s="887"/>
      <c r="DE33" s="887"/>
      <c r="DF33" s="887"/>
      <c r="DG33" s="887"/>
      <c r="DH33" s="887"/>
      <c r="DI33" s="887"/>
      <c r="DJ33" s="887"/>
      <c r="DK33" s="887"/>
      <c r="DL33" s="887"/>
      <c r="DM33" s="887"/>
    </row>
    <row r="34" spans="3:117" ht="15.75" customHeight="1" x14ac:dyDescent="0.25">
      <c r="C34" s="617"/>
      <c r="D34" s="617"/>
      <c r="E34" s="617"/>
      <c r="F34" s="617"/>
      <c r="G34" s="1264" t="s">
        <v>91</v>
      </c>
      <c r="H34" s="1265"/>
      <c r="I34" s="1265"/>
      <c r="J34" s="1265"/>
      <c r="K34" s="1266"/>
      <c r="L34" s="666">
        <f>((L33)^4)/M32</f>
        <v>103.88301299279406</v>
      </c>
      <c r="M34" s="679"/>
      <c r="O34" s="617"/>
      <c r="P34" s="617"/>
      <c r="Q34" s="617"/>
      <c r="R34" s="617"/>
      <c r="S34" s="1264" t="s">
        <v>91</v>
      </c>
      <c r="T34" s="1265"/>
      <c r="U34" s="1265"/>
      <c r="V34" s="1265"/>
      <c r="W34" s="1266"/>
      <c r="X34" s="666">
        <f>((X33)^4)/Y32</f>
        <v>89.427411916265626</v>
      </c>
      <c r="Y34" s="648"/>
      <c r="AA34" s="674">
        <v>0</v>
      </c>
      <c r="AB34" s="675">
        <v>0.1</v>
      </c>
      <c r="AC34" s="627"/>
      <c r="AD34" s="627"/>
      <c r="AE34" s="1270" t="s">
        <v>91</v>
      </c>
      <c r="AF34" s="1271"/>
      <c r="AG34" s="1271"/>
      <c r="AH34" s="1271"/>
      <c r="AI34" s="1272"/>
      <c r="AJ34" s="672">
        <f>((AJ33)^4)/AK32</f>
        <v>67.777487942424571</v>
      </c>
      <c r="AK34" s="680"/>
      <c r="AL34" s="623"/>
      <c r="AM34" s="674">
        <v>100</v>
      </c>
      <c r="AN34" s="675">
        <v>0.2</v>
      </c>
      <c r="AO34" s="627"/>
      <c r="AP34" s="627"/>
      <c r="AQ34" s="1270" t="s">
        <v>91</v>
      </c>
      <c r="AR34" s="1271"/>
      <c r="AS34" s="1271"/>
      <c r="AT34" s="1271"/>
      <c r="AU34" s="1272"/>
      <c r="AV34" s="672">
        <f>((AV33)^4)/AW32</f>
        <v>68.114166545190031</v>
      </c>
      <c r="AW34" s="654"/>
      <c r="AZ34" s="887"/>
      <c r="BA34" s="887"/>
      <c r="BB34" s="887"/>
      <c r="BC34" s="887"/>
      <c r="BD34" s="887"/>
      <c r="BE34" s="887"/>
      <c r="BF34" s="887"/>
      <c r="BG34" s="887"/>
      <c r="BH34" s="842"/>
      <c r="BI34" s="842"/>
      <c r="BJ34" s="842"/>
      <c r="BK34" s="842"/>
      <c r="BL34" s="842"/>
      <c r="BM34" s="842"/>
      <c r="BN34" s="847"/>
      <c r="BO34" s="847"/>
      <c r="BP34" s="847"/>
      <c r="BQ34" s="886"/>
      <c r="BR34" s="1260"/>
      <c r="BS34" s="1260"/>
      <c r="BT34" s="1260"/>
      <c r="BU34" s="1260"/>
      <c r="BV34" s="1260"/>
      <c r="BW34" s="684"/>
      <c r="BX34" s="685"/>
      <c r="BY34" s="842"/>
      <c r="BZ34" s="865"/>
      <c r="CA34" s="866"/>
      <c r="CB34" s="867"/>
      <c r="CC34" s="887"/>
      <c r="CD34" s="887"/>
      <c r="CE34" s="887"/>
      <c r="CF34" s="887"/>
      <c r="CG34" s="887"/>
      <c r="CH34" s="887"/>
      <c r="CI34" s="887"/>
      <c r="CJ34" s="887"/>
      <c r="CK34" s="887"/>
      <c r="CL34" s="887"/>
      <c r="CM34" s="887"/>
      <c r="CN34" s="887"/>
      <c r="CO34" s="887"/>
      <c r="CP34" s="887"/>
      <c r="CQ34" s="887"/>
      <c r="CR34" s="887"/>
      <c r="CS34" s="887"/>
      <c r="CT34" s="887"/>
      <c r="CU34" s="887"/>
      <c r="CV34" s="887"/>
      <c r="CW34" s="887"/>
      <c r="CX34" s="887"/>
      <c r="CY34" s="887"/>
      <c r="CZ34" s="887"/>
      <c r="DA34" s="887"/>
      <c r="DB34" s="887"/>
      <c r="DC34" s="887"/>
      <c r="DD34" s="887"/>
      <c r="DE34" s="887"/>
      <c r="DF34" s="887"/>
      <c r="DG34" s="887"/>
      <c r="DH34" s="887"/>
      <c r="DI34" s="887"/>
      <c r="DJ34" s="887"/>
      <c r="DK34" s="887"/>
      <c r="DL34" s="887"/>
      <c r="DM34" s="887"/>
    </row>
    <row r="35" spans="3:117" ht="15.75" customHeight="1" x14ac:dyDescent="0.25">
      <c r="C35" s="617"/>
      <c r="D35" s="617"/>
      <c r="E35" s="617"/>
      <c r="F35" s="617"/>
      <c r="G35" s="1264" t="s">
        <v>42</v>
      </c>
      <c r="H35" s="1265"/>
      <c r="I35" s="1265"/>
      <c r="J35" s="1265"/>
      <c r="K35" s="1266"/>
      <c r="L35" s="648">
        <f>TINV(0.05,L34)</f>
        <v>1.9832641447734605</v>
      </c>
      <c r="M35" s="648">
        <f>1.95996+(2.37356/L34)+(2.818745/L34^2)+(2.546662/L34^3)+(1.7861829/L34^4)+(0.245458/L34^5)+(1.000764/L34^6)</f>
        <v>1.9830718770009916</v>
      </c>
      <c r="O35" s="617"/>
      <c r="P35" s="617"/>
      <c r="Q35" s="617"/>
      <c r="R35" s="617"/>
      <c r="S35" s="1264" t="s">
        <v>42</v>
      </c>
      <c r="T35" s="1265"/>
      <c r="U35" s="1265"/>
      <c r="V35" s="1265"/>
      <c r="W35" s="1266"/>
      <c r="X35" s="648">
        <f>TINV(0.05,X34)</f>
        <v>1.986978699506285</v>
      </c>
      <c r="Y35" s="648"/>
      <c r="AA35" s="674">
        <v>50</v>
      </c>
      <c r="AB35" s="675">
        <v>0.2</v>
      </c>
      <c r="AC35" s="627"/>
      <c r="AD35" s="627"/>
      <c r="AE35" s="1270" t="s">
        <v>42</v>
      </c>
      <c r="AF35" s="1271"/>
      <c r="AG35" s="1271"/>
      <c r="AH35" s="1271"/>
      <c r="AI35" s="1272"/>
      <c r="AJ35" s="654">
        <f>TINV(0.05,AJ34)</f>
        <v>1.9960083540252964</v>
      </c>
      <c r="AK35" s="654">
        <f>1.95996+(2.37356/AJ34)+(2.818745/AJ34^2)+(2.546662/AJ34^3)+(1.7861829/AJ34^4)+(0.245458/AJ34^5)+(1.000764/AJ34^6)</f>
        <v>1.9956017508544639</v>
      </c>
      <c r="AL35" s="623"/>
      <c r="AM35" s="674">
        <v>150</v>
      </c>
      <c r="AN35" s="675">
        <v>0.2</v>
      </c>
      <c r="AO35" s="627"/>
      <c r="AP35" s="627"/>
      <c r="AQ35" s="1270" t="s">
        <v>42</v>
      </c>
      <c r="AR35" s="1271"/>
      <c r="AS35" s="1271"/>
      <c r="AT35" s="1271"/>
      <c r="AU35" s="1272"/>
      <c r="AV35" s="654">
        <f>TINV(0.05,AV34)</f>
        <v>1.9954689314298424</v>
      </c>
      <c r="AW35" s="654"/>
      <c r="AZ35" s="887"/>
      <c r="BA35" s="887"/>
      <c r="BB35" s="887"/>
      <c r="BC35" s="887"/>
      <c r="BD35" s="887"/>
      <c r="BE35" s="887"/>
      <c r="BF35" s="887"/>
      <c r="BG35" s="887"/>
      <c r="BH35" s="842"/>
      <c r="BI35" s="842"/>
      <c r="BJ35" s="842"/>
      <c r="BK35" s="842"/>
      <c r="BL35" s="842"/>
      <c r="BM35" s="842"/>
      <c r="BN35" s="847"/>
      <c r="BO35" s="847"/>
      <c r="BP35" s="847"/>
      <c r="BQ35" s="886"/>
      <c r="BR35" s="1260"/>
      <c r="BS35" s="1260"/>
      <c r="BT35" s="1260"/>
      <c r="BU35" s="1260"/>
      <c r="BV35" s="1260"/>
      <c r="BW35" s="683"/>
      <c r="BX35" s="683"/>
      <c r="BY35" s="842"/>
      <c r="BZ35" s="842"/>
      <c r="CA35" s="842"/>
      <c r="CB35" s="842"/>
      <c r="CC35" s="887"/>
      <c r="CD35" s="887"/>
      <c r="CE35" s="887"/>
      <c r="CF35" s="887"/>
      <c r="CG35" s="887"/>
      <c r="CH35" s="887"/>
      <c r="CI35" s="887"/>
      <c r="CJ35" s="887"/>
      <c r="CK35" s="887"/>
      <c r="CL35" s="887"/>
      <c r="CM35" s="887"/>
      <c r="CN35" s="887"/>
      <c r="CO35" s="887"/>
      <c r="CP35" s="887"/>
      <c r="CQ35" s="887"/>
      <c r="CR35" s="887"/>
      <c r="CS35" s="887"/>
      <c r="CT35" s="887"/>
      <c r="CU35" s="887"/>
      <c r="CV35" s="887"/>
      <c r="CW35" s="887"/>
      <c r="CX35" s="887"/>
      <c r="CY35" s="887"/>
      <c r="CZ35" s="887"/>
      <c r="DA35" s="887"/>
      <c r="DB35" s="887"/>
      <c r="DC35" s="887"/>
      <c r="DD35" s="887"/>
      <c r="DE35" s="887"/>
      <c r="DF35" s="887"/>
      <c r="DG35" s="887"/>
      <c r="DH35" s="887"/>
      <c r="DI35" s="887"/>
      <c r="DJ35" s="887"/>
      <c r="DK35" s="887"/>
      <c r="DL35" s="887"/>
      <c r="DM35" s="887"/>
    </row>
    <row r="36" spans="3:117" ht="15.75" customHeight="1" x14ac:dyDescent="0.25">
      <c r="C36" s="617"/>
      <c r="D36" s="617"/>
      <c r="E36" s="617"/>
      <c r="F36" s="617"/>
      <c r="G36" s="1264" t="s">
        <v>122</v>
      </c>
      <c r="H36" s="1265"/>
      <c r="I36" s="1265"/>
      <c r="J36" s="1265"/>
      <c r="K36" s="1266"/>
      <c r="L36" s="676">
        <f>L35*L33</f>
        <v>0.57527207033174854</v>
      </c>
      <c r="M36" s="648"/>
      <c r="O36" s="617"/>
      <c r="P36" s="617"/>
      <c r="Q36" s="617"/>
      <c r="R36" s="617"/>
      <c r="S36" s="1264" t="s">
        <v>122</v>
      </c>
      <c r="T36" s="1265"/>
      <c r="U36" s="1265"/>
      <c r="V36" s="1265"/>
      <c r="W36" s="1266"/>
      <c r="X36" s="676">
        <f>X35*X33</f>
        <v>0.55289591198453314</v>
      </c>
      <c r="Y36" s="648"/>
      <c r="AA36" s="627"/>
      <c r="AB36" s="627"/>
      <c r="AC36" s="627"/>
      <c r="AD36" s="627"/>
      <c r="AE36" s="1270" t="s">
        <v>228</v>
      </c>
      <c r="AF36" s="1271"/>
      <c r="AG36" s="1271"/>
      <c r="AH36" s="1271"/>
      <c r="AI36" s="1272"/>
      <c r="AJ36" s="677">
        <f>AJ35*AJ33</f>
        <v>0.50151593254932558</v>
      </c>
      <c r="AK36" s="655"/>
      <c r="AL36" s="623"/>
      <c r="AM36" s="627"/>
      <c r="AN36" s="627"/>
      <c r="AO36" s="627"/>
      <c r="AP36" s="627"/>
      <c r="AQ36" s="1270" t="s">
        <v>228</v>
      </c>
      <c r="AR36" s="1271"/>
      <c r="AS36" s="1271"/>
      <c r="AT36" s="1271"/>
      <c r="AU36" s="1272"/>
      <c r="AV36" s="677">
        <f>AV35*AV33</f>
        <v>0.5021699915215726</v>
      </c>
      <c r="AW36" s="654"/>
      <c r="AZ36" s="887"/>
      <c r="BA36" s="887"/>
      <c r="BB36" s="887"/>
      <c r="BC36" s="887"/>
      <c r="BD36" s="887"/>
      <c r="BE36" s="887"/>
      <c r="BF36" s="887"/>
      <c r="BG36" s="887"/>
      <c r="BH36" s="842"/>
      <c r="BI36" s="842"/>
      <c r="BJ36" s="842"/>
      <c r="BK36" s="842"/>
      <c r="BL36" s="842"/>
      <c r="BM36" s="842"/>
      <c r="BN36" s="847"/>
      <c r="BO36" s="847"/>
      <c r="BP36" s="847"/>
      <c r="BQ36" s="886"/>
      <c r="BR36" s="1260"/>
      <c r="BS36" s="1260"/>
      <c r="BT36" s="1260"/>
      <c r="BU36" s="1260"/>
      <c r="BV36" s="1260"/>
      <c r="BW36" s="862"/>
      <c r="BX36" s="683"/>
      <c r="BY36" s="842"/>
      <c r="BZ36" s="842"/>
      <c r="CA36" s="842"/>
      <c r="CB36" s="842"/>
      <c r="CC36" s="887"/>
      <c r="CD36" s="887"/>
      <c r="CE36" s="887"/>
      <c r="CF36" s="887"/>
      <c r="CG36" s="887"/>
      <c r="CH36" s="887"/>
      <c r="CI36" s="887"/>
      <c r="CJ36" s="887"/>
      <c r="CK36" s="887"/>
      <c r="CL36" s="887"/>
      <c r="CM36" s="887"/>
      <c r="CN36" s="887"/>
      <c r="CO36" s="887"/>
      <c r="CP36" s="887"/>
      <c r="CQ36" s="887"/>
      <c r="CR36" s="887"/>
      <c r="CS36" s="887"/>
      <c r="CT36" s="887"/>
      <c r="CU36" s="887"/>
      <c r="CV36" s="887"/>
      <c r="CW36" s="887"/>
      <c r="CX36" s="887"/>
      <c r="CY36" s="887"/>
      <c r="CZ36" s="887"/>
      <c r="DA36" s="887"/>
      <c r="DB36" s="887"/>
      <c r="DC36" s="887"/>
      <c r="DD36" s="887"/>
      <c r="DE36" s="887"/>
      <c r="DF36" s="887"/>
      <c r="DG36" s="887"/>
      <c r="DH36" s="887"/>
      <c r="DI36" s="887"/>
      <c r="DJ36" s="887"/>
      <c r="DK36" s="887"/>
      <c r="DL36" s="887"/>
      <c r="DM36" s="887"/>
    </row>
    <row r="37" spans="3:117" x14ac:dyDescent="0.25">
      <c r="C37" s="617"/>
      <c r="D37" s="617"/>
      <c r="E37" s="617"/>
      <c r="F37" s="617"/>
      <c r="G37" s="618"/>
      <c r="H37" s="618"/>
      <c r="I37" s="618"/>
      <c r="J37" s="618"/>
      <c r="K37" s="618"/>
      <c r="L37" s="619"/>
      <c r="M37" s="620"/>
      <c r="AA37" s="627"/>
      <c r="AB37" s="627"/>
      <c r="AC37" s="627"/>
      <c r="AD37" s="627"/>
      <c r="AE37" s="628"/>
      <c r="AF37" s="628"/>
      <c r="AG37" s="628"/>
      <c r="AH37" s="628"/>
      <c r="AI37" s="628"/>
      <c r="AJ37" s="629"/>
      <c r="AK37" s="678"/>
      <c r="AL37" s="623"/>
      <c r="AM37" s="623"/>
      <c r="AN37" s="623"/>
      <c r="AO37" s="623"/>
      <c r="AP37" s="623"/>
      <c r="AQ37" s="623"/>
      <c r="AR37" s="623"/>
      <c r="AS37" s="623"/>
      <c r="AT37" s="623"/>
      <c r="AU37" s="623"/>
      <c r="AV37" s="623"/>
      <c r="AW37" s="623"/>
      <c r="AZ37" s="887"/>
      <c r="BA37" s="887"/>
      <c r="BB37" s="887"/>
      <c r="BC37" s="887"/>
      <c r="BD37" s="887"/>
      <c r="BE37" s="887"/>
      <c r="BF37" s="887"/>
      <c r="BG37" s="887"/>
      <c r="BH37" s="842"/>
      <c r="BI37" s="842"/>
      <c r="BJ37" s="842"/>
      <c r="BK37" s="842"/>
      <c r="BL37" s="842"/>
      <c r="BM37" s="842"/>
      <c r="BN37" s="847"/>
      <c r="BO37" s="847"/>
      <c r="BP37" s="847"/>
      <c r="BQ37" s="886"/>
      <c r="BR37" s="848"/>
      <c r="BS37" s="848"/>
      <c r="BT37" s="848"/>
      <c r="BU37" s="848"/>
      <c r="BV37" s="848"/>
      <c r="BW37" s="684"/>
      <c r="BX37" s="683"/>
      <c r="BY37" s="842"/>
      <c r="BZ37" s="842"/>
      <c r="CA37" s="842"/>
      <c r="CB37" s="842"/>
      <c r="CC37" s="887"/>
      <c r="CD37" s="887"/>
      <c r="CE37" s="887"/>
      <c r="CF37" s="887"/>
      <c r="CG37" s="887"/>
      <c r="CH37" s="887"/>
      <c r="CI37" s="887"/>
      <c r="CJ37" s="887"/>
      <c r="CK37" s="887"/>
      <c r="CL37" s="887"/>
      <c r="CM37" s="887"/>
      <c r="CN37" s="887"/>
      <c r="CO37" s="887"/>
      <c r="CP37" s="887"/>
      <c r="CQ37" s="887"/>
      <c r="CR37" s="887"/>
      <c r="CS37" s="887"/>
      <c r="CT37" s="887"/>
      <c r="CU37" s="887"/>
      <c r="CV37" s="887"/>
      <c r="CW37" s="887"/>
      <c r="CX37" s="887"/>
      <c r="CY37" s="887"/>
      <c r="CZ37" s="887"/>
      <c r="DA37" s="887"/>
      <c r="DB37" s="887"/>
      <c r="DC37" s="887"/>
      <c r="DD37" s="887"/>
      <c r="DE37" s="887"/>
      <c r="DF37" s="887"/>
      <c r="DG37" s="887"/>
      <c r="DH37" s="887"/>
      <c r="DI37" s="887"/>
      <c r="DJ37" s="887"/>
      <c r="DK37" s="887"/>
      <c r="DL37" s="887"/>
      <c r="DM37" s="887"/>
    </row>
    <row r="38" spans="3:117" x14ac:dyDescent="0.25">
      <c r="C38" s="617"/>
      <c r="D38" s="617"/>
      <c r="E38" s="617"/>
      <c r="F38" s="617"/>
      <c r="G38" s="618"/>
      <c r="H38" s="618"/>
      <c r="I38" s="618"/>
      <c r="J38" s="618"/>
      <c r="K38" s="618"/>
      <c r="L38" s="619"/>
      <c r="M38" s="620"/>
      <c r="AA38" s="627"/>
      <c r="AB38" s="627"/>
      <c r="AC38" s="627"/>
      <c r="AD38" s="627"/>
      <c r="AE38" s="628"/>
      <c r="AF38" s="628"/>
      <c r="AG38" s="628"/>
      <c r="AH38" s="628"/>
      <c r="AI38" s="628"/>
      <c r="AJ38" s="629"/>
      <c r="AK38" s="678"/>
      <c r="AL38" s="623"/>
      <c r="AM38" s="623"/>
      <c r="AN38" s="623"/>
      <c r="AO38" s="623"/>
      <c r="AP38" s="623"/>
      <c r="AQ38" s="623"/>
      <c r="AR38" s="623"/>
      <c r="AS38" s="623"/>
      <c r="AT38" s="623"/>
      <c r="AU38" s="623"/>
      <c r="AV38" s="623"/>
      <c r="AW38" s="623"/>
      <c r="AZ38" s="887"/>
      <c r="BA38" s="887"/>
      <c r="BB38" s="887"/>
      <c r="BC38" s="887"/>
      <c r="BD38" s="887"/>
      <c r="BE38" s="887"/>
      <c r="BF38" s="887"/>
      <c r="BG38" s="887"/>
      <c r="BH38" s="681"/>
      <c r="BI38" s="842"/>
      <c r="BJ38" s="842"/>
      <c r="BK38" s="842"/>
      <c r="BL38" s="842"/>
      <c r="BM38" s="842"/>
      <c r="BN38" s="847"/>
      <c r="BO38" s="847"/>
      <c r="BP38" s="847"/>
      <c r="BQ38" s="886"/>
      <c r="BR38" s="848"/>
      <c r="BS38" s="848"/>
      <c r="BT38" s="848"/>
      <c r="BU38" s="848"/>
      <c r="BV38" s="848"/>
      <c r="BW38" s="684"/>
      <c r="BX38" s="683"/>
      <c r="BY38" s="842"/>
      <c r="BZ38" s="681"/>
      <c r="CA38" s="681"/>
      <c r="CB38" s="681"/>
      <c r="CC38" s="887"/>
      <c r="CD38" s="887"/>
      <c r="CE38" s="887"/>
      <c r="CF38" s="887"/>
      <c r="CG38" s="887"/>
      <c r="CH38" s="887"/>
      <c r="CI38" s="887"/>
      <c r="CJ38" s="887"/>
      <c r="CK38" s="887"/>
      <c r="CL38" s="887"/>
      <c r="CM38" s="887"/>
      <c r="CN38" s="887"/>
      <c r="CO38" s="887"/>
      <c r="CP38" s="887"/>
      <c r="CQ38" s="887"/>
      <c r="CR38" s="887"/>
      <c r="CS38" s="887"/>
      <c r="CT38" s="887"/>
      <c r="CU38" s="887"/>
      <c r="CV38" s="887"/>
      <c r="CW38" s="887"/>
      <c r="CX38" s="887"/>
      <c r="CY38" s="887"/>
      <c r="CZ38" s="887"/>
      <c r="DA38" s="887"/>
      <c r="DB38" s="887"/>
      <c r="DC38" s="887"/>
      <c r="DD38" s="887"/>
      <c r="DE38" s="887"/>
      <c r="DF38" s="887"/>
      <c r="DG38" s="887"/>
      <c r="DH38" s="887"/>
      <c r="DI38" s="887"/>
      <c r="DJ38" s="887"/>
      <c r="DK38" s="887"/>
      <c r="DL38" s="887"/>
      <c r="DM38" s="887"/>
    </row>
    <row r="39" spans="3:117" ht="31.5" x14ac:dyDescent="0.25">
      <c r="C39" s="615">
        <f>ID!A70</f>
        <v>100</v>
      </c>
      <c r="D39" s="616" t="str">
        <f>D40</f>
        <v>mmHg</v>
      </c>
      <c r="E39" s="617"/>
      <c r="F39" s="617"/>
      <c r="G39" s="618"/>
      <c r="H39" s="618"/>
      <c r="I39" s="618"/>
      <c r="J39" s="618"/>
      <c r="K39" s="618"/>
      <c r="L39" s="619"/>
      <c r="M39" s="620"/>
      <c r="O39" s="615">
        <f>ID!A73</f>
        <v>250</v>
      </c>
      <c r="P39" s="616" t="str">
        <f>P40</f>
        <v>mmHg</v>
      </c>
      <c r="Q39" s="617"/>
      <c r="R39" s="617"/>
      <c r="S39" s="618"/>
      <c r="T39" s="618"/>
      <c r="U39" s="618"/>
      <c r="V39" s="618"/>
      <c r="W39" s="618"/>
      <c r="X39" s="619"/>
      <c r="Y39" s="620"/>
      <c r="AA39" s="625">
        <v>100</v>
      </c>
      <c r="AB39" s="626">
        <f>AB40</f>
        <v>0</v>
      </c>
      <c r="AC39" s="627"/>
      <c r="AD39" s="627"/>
      <c r="AE39" s="628"/>
      <c r="AF39" s="628"/>
      <c r="AG39" s="628"/>
      <c r="AH39" s="628"/>
      <c r="AI39" s="628"/>
      <c r="AJ39" s="629"/>
      <c r="AK39" s="678"/>
      <c r="AL39" s="623"/>
      <c r="AM39" s="625">
        <v>250</v>
      </c>
      <c r="AN39" s="626" t="str">
        <f>AN40</f>
        <v>mmHg</v>
      </c>
      <c r="AO39" s="627"/>
      <c r="AP39" s="627"/>
      <c r="AQ39" s="628"/>
      <c r="AR39" s="628"/>
      <c r="AS39" s="628"/>
      <c r="AT39" s="628"/>
      <c r="AU39" s="628"/>
      <c r="AV39" s="629"/>
      <c r="AW39" s="630"/>
      <c r="AZ39" s="887"/>
      <c r="BA39" s="887"/>
      <c r="BB39" s="887"/>
      <c r="BC39" s="887"/>
      <c r="BD39" s="887"/>
      <c r="BE39" s="887"/>
      <c r="BF39" s="887"/>
      <c r="BG39" s="887"/>
      <c r="BH39" s="842"/>
      <c r="BI39" s="842"/>
      <c r="BJ39" s="842"/>
      <c r="BK39" s="842"/>
      <c r="BL39" s="842"/>
      <c r="BM39" s="842"/>
      <c r="BN39" s="845"/>
      <c r="BO39" s="846"/>
      <c r="BP39" s="847"/>
      <c r="BQ39" s="886"/>
      <c r="BR39" s="848"/>
      <c r="BS39" s="848"/>
      <c r="BT39" s="848"/>
      <c r="BU39" s="848"/>
      <c r="BV39" s="848"/>
      <c r="BW39" s="684"/>
      <c r="BX39" s="683"/>
      <c r="BY39" s="842"/>
      <c r="BZ39" s="842"/>
      <c r="CA39" s="842"/>
      <c r="CB39" s="842"/>
      <c r="CC39" s="887"/>
      <c r="CD39" s="887"/>
      <c r="CE39" s="887"/>
      <c r="CF39" s="887"/>
      <c r="CG39" s="887"/>
      <c r="CH39" s="887"/>
      <c r="CI39" s="887"/>
      <c r="CJ39" s="887"/>
      <c r="CK39" s="887"/>
      <c r="CL39" s="887"/>
      <c r="CM39" s="887"/>
      <c r="CN39" s="887"/>
      <c r="CO39" s="887"/>
      <c r="CP39" s="887"/>
      <c r="CQ39" s="887"/>
      <c r="CR39" s="887"/>
      <c r="CS39" s="887"/>
      <c r="CT39" s="887"/>
      <c r="CU39" s="887"/>
      <c r="CV39" s="887"/>
      <c r="CW39" s="887"/>
      <c r="CX39" s="887"/>
      <c r="CY39" s="887"/>
      <c r="CZ39" s="887"/>
      <c r="DA39" s="887"/>
      <c r="DB39" s="887"/>
      <c r="DC39" s="887"/>
      <c r="DD39" s="887"/>
      <c r="DE39" s="887"/>
      <c r="DF39" s="887"/>
      <c r="DG39" s="887"/>
      <c r="DH39" s="887"/>
      <c r="DI39" s="887"/>
      <c r="DJ39" s="887"/>
      <c r="DK39" s="887"/>
      <c r="DL39" s="887"/>
      <c r="DM39" s="887"/>
    </row>
    <row r="40" spans="3:117" x14ac:dyDescent="0.25">
      <c r="C40" s="633">
        <f>ID!K70</f>
        <v>97.908000000000001</v>
      </c>
      <c r="D40" s="632" t="s">
        <v>38</v>
      </c>
      <c r="O40" s="633">
        <f>ID!K73</f>
        <v>247.89599999999999</v>
      </c>
      <c r="P40" s="632" t="s">
        <v>38</v>
      </c>
      <c r="AA40" s="633"/>
      <c r="AB40" s="634"/>
      <c r="AC40" s="623"/>
      <c r="AD40" s="623"/>
      <c r="AE40" s="623"/>
      <c r="AF40" s="623"/>
      <c r="AG40" s="623"/>
      <c r="AH40" s="623"/>
      <c r="AI40" s="623"/>
      <c r="AJ40" s="623"/>
      <c r="AK40" s="624"/>
      <c r="AL40" s="623"/>
      <c r="AM40" s="633">
        <f>ID!Z73</f>
        <v>-0.2</v>
      </c>
      <c r="AN40" s="634" t="s">
        <v>38</v>
      </c>
      <c r="AO40" s="623"/>
      <c r="AP40" s="623"/>
      <c r="AQ40" s="623"/>
      <c r="AR40" s="623"/>
      <c r="AS40" s="623"/>
      <c r="AT40" s="623"/>
      <c r="AU40" s="623"/>
      <c r="AV40" s="623"/>
      <c r="AW40" s="623"/>
      <c r="AZ40" s="887"/>
      <c r="BA40" s="887"/>
      <c r="BB40" s="887"/>
      <c r="BC40" s="887"/>
      <c r="BD40" s="887"/>
      <c r="BE40" s="887"/>
      <c r="BF40" s="887"/>
      <c r="BG40" s="887"/>
      <c r="BH40" s="681"/>
      <c r="BI40" s="681"/>
      <c r="BJ40" s="681"/>
      <c r="BK40" s="681"/>
      <c r="BL40" s="681"/>
      <c r="BM40" s="842"/>
      <c r="BN40" s="849"/>
      <c r="BO40" s="850"/>
      <c r="BP40" s="842"/>
      <c r="BQ40" s="882"/>
      <c r="BR40" s="842"/>
      <c r="BS40" s="842"/>
      <c r="BT40" s="842"/>
      <c r="BU40" s="842"/>
      <c r="BV40" s="842"/>
      <c r="BW40" s="842"/>
      <c r="BX40" s="842"/>
      <c r="BY40" s="842"/>
      <c r="BZ40" s="842"/>
      <c r="CA40" s="842"/>
      <c r="CB40" s="842"/>
      <c r="CC40" s="887"/>
      <c r="CD40" s="887"/>
      <c r="CE40" s="887"/>
      <c r="CF40" s="887"/>
      <c r="CG40" s="887"/>
      <c r="CH40" s="887"/>
      <c r="CI40" s="887"/>
      <c r="CJ40" s="887"/>
      <c r="CK40" s="887"/>
      <c r="CL40" s="887"/>
      <c r="CM40" s="887"/>
      <c r="CN40" s="887"/>
      <c r="CO40" s="887"/>
      <c r="CP40" s="887"/>
      <c r="CQ40" s="887"/>
      <c r="CR40" s="887"/>
      <c r="CS40" s="887"/>
      <c r="CT40" s="887"/>
      <c r="CU40" s="887"/>
      <c r="CV40" s="887"/>
      <c r="CW40" s="887"/>
      <c r="CX40" s="887"/>
      <c r="CY40" s="887"/>
      <c r="CZ40" s="887"/>
      <c r="DA40" s="887"/>
      <c r="DB40" s="887"/>
      <c r="DC40" s="887"/>
      <c r="DD40" s="887"/>
      <c r="DE40" s="887"/>
      <c r="DF40" s="887"/>
      <c r="DG40" s="887"/>
      <c r="DH40" s="887"/>
      <c r="DI40" s="887"/>
      <c r="DJ40" s="887"/>
      <c r="DK40" s="887"/>
      <c r="DL40" s="887"/>
      <c r="DM40" s="887"/>
    </row>
    <row r="41" spans="3:117" s="637" customFormat="1" ht="18.75" x14ac:dyDescent="0.35">
      <c r="C41" s="635" t="s">
        <v>40</v>
      </c>
      <c r="D41" s="635" t="s">
        <v>41</v>
      </c>
      <c r="E41" s="635" t="s">
        <v>80</v>
      </c>
      <c r="F41" s="635" t="s">
        <v>79</v>
      </c>
      <c r="G41" s="635" t="s">
        <v>14</v>
      </c>
      <c r="H41" s="635" t="s">
        <v>115</v>
      </c>
      <c r="I41" s="635" t="s">
        <v>116</v>
      </c>
      <c r="J41" s="635" t="s">
        <v>117</v>
      </c>
      <c r="K41" s="635" t="s">
        <v>118</v>
      </c>
      <c r="L41" s="635" t="s">
        <v>119</v>
      </c>
      <c r="M41" s="636" t="s">
        <v>120</v>
      </c>
      <c r="O41" s="635" t="s">
        <v>40</v>
      </c>
      <c r="P41" s="635" t="s">
        <v>41</v>
      </c>
      <c r="Q41" s="635" t="s">
        <v>80</v>
      </c>
      <c r="R41" s="635" t="s">
        <v>79</v>
      </c>
      <c r="S41" s="635" t="s">
        <v>14</v>
      </c>
      <c r="T41" s="635" t="s">
        <v>115</v>
      </c>
      <c r="U41" s="635" t="s">
        <v>116</v>
      </c>
      <c r="V41" s="635" t="s">
        <v>117</v>
      </c>
      <c r="W41" s="635" t="s">
        <v>118</v>
      </c>
      <c r="X41" s="635" t="s">
        <v>119</v>
      </c>
      <c r="Y41" s="636" t="s">
        <v>120</v>
      </c>
      <c r="AA41" s="638" t="s">
        <v>40</v>
      </c>
      <c r="AB41" s="638" t="s">
        <v>41</v>
      </c>
      <c r="AC41" s="638" t="s">
        <v>80</v>
      </c>
      <c r="AD41" s="638" t="s">
        <v>79</v>
      </c>
      <c r="AE41" s="638" t="s">
        <v>14</v>
      </c>
      <c r="AF41" s="638" t="s">
        <v>221</v>
      </c>
      <c r="AG41" s="638" t="s">
        <v>222</v>
      </c>
      <c r="AH41" s="638" t="s">
        <v>223</v>
      </c>
      <c r="AI41" s="638" t="s">
        <v>224</v>
      </c>
      <c r="AJ41" s="638" t="s">
        <v>225</v>
      </c>
      <c r="AK41" s="639" t="s">
        <v>226</v>
      </c>
      <c r="AL41" s="640"/>
      <c r="AM41" s="638" t="s">
        <v>40</v>
      </c>
      <c r="AN41" s="638" t="s">
        <v>41</v>
      </c>
      <c r="AO41" s="638" t="s">
        <v>80</v>
      </c>
      <c r="AP41" s="638" t="s">
        <v>79</v>
      </c>
      <c r="AQ41" s="638" t="s">
        <v>14</v>
      </c>
      <c r="AR41" s="638" t="s">
        <v>221</v>
      </c>
      <c r="AS41" s="638" t="s">
        <v>222</v>
      </c>
      <c r="AT41" s="638" t="s">
        <v>223</v>
      </c>
      <c r="AU41" s="638" t="s">
        <v>224</v>
      </c>
      <c r="AV41" s="638" t="s">
        <v>225</v>
      </c>
      <c r="AW41" s="641" t="s">
        <v>226</v>
      </c>
      <c r="AZ41" s="887"/>
      <c r="BA41" s="887"/>
      <c r="BB41" s="887"/>
      <c r="BC41" s="887"/>
      <c r="BD41" s="887"/>
      <c r="BE41" s="887"/>
      <c r="BF41" s="887"/>
      <c r="BG41" s="887"/>
      <c r="BH41" s="868"/>
      <c r="BI41" s="869"/>
      <c r="BJ41" s="869"/>
      <c r="BK41" s="869"/>
      <c r="BL41" s="869"/>
      <c r="BM41" s="844"/>
      <c r="BN41" s="851"/>
      <c r="BO41" s="851"/>
      <c r="BP41" s="851"/>
      <c r="BQ41" s="883"/>
      <c r="BR41" s="851"/>
      <c r="BS41" s="851"/>
      <c r="BT41" s="851"/>
      <c r="BU41" s="851"/>
      <c r="BV41" s="851"/>
      <c r="BW41" s="851"/>
      <c r="BX41" s="682"/>
      <c r="BY41" s="844"/>
      <c r="BZ41" s="844"/>
      <c r="CA41" s="844"/>
      <c r="CB41" s="844"/>
      <c r="CC41" s="887"/>
      <c r="CD41" s="887"/>
      <c r="CE41" s="887"/>
      <c r="CF41" s="887"/>
      <c r="CG41" s="887"/>
      <c r="CH41" s="887"/>
      <c r="CI41" s="887"/>
      <c r="CJ41" s="887"/>
      <c r="CK41" s="887"/>
      <c r="CL41" s="887"/>
      <c r="CM41" s="887"/>
      <c r="CN41" s="887"/>
      <c r="CO41" s="887"/>
      <c r="CP41" s="887"/>
      <c r="CQ41" s="887"/>
      <c r="CR41" s="887"/>
      <c r="CS41" s="887"/>
      <c r="CT41" s="887"/>
      <c r="CU41" s="887"/>
      <c r="CV41" s="887"/>
      <c r="CW41" s="887"/>
      <c r="CX41" s="887"/>
      <c r="CY41" s="887"/>
      <c r="CZ41" s="887"/>
      <c r="DA41" s="887"/>
      <c r="DB41" s="887"/>
      <c r="DC41" s="887"/>
      <c r="DD41" s="887"/>
      <c r="DE41" s="887"/>
      <c r="DF41" s="887"/>
      <c r="DG41" s="887"/>
      <c r="DH41" s="887"/>
      <c r="DI41" s="887"/>
      <c r="DJ41" s="887"/>
      <c r="DK41" s="887"/>
      <c r="DL41" s="887"/>
      <c r="DM41" s="887"/>
    </row>
    <row r="42" spans="3:117" ht="31.5" x14ac:dyDescent="0.25">
      <c r="C42" s="643" t="s">
        <v>83</v>
      </c>
      <c r="D42" s="644" t="s">
        <v>38</v>
      </c>
      <c r="E42" s="645" t="s">
        <v>11</v>
      </c>
      <c r="F42" s="646">
        <f>ID!M70</f>
        <v>0</v>
      </c>
      <c r="G42" s="646">
        <f>SQRT(3)</f>
        <v>1.7320508075688772</v>
      </c>
      <c r="H42" s="646">
        <f>(F42/G42)</f>
        <v>0</v>
      </c>
      <c r="I42" s="647">
        <v>1</v>
      </c>
      <c r="J42" s="647">
        <v>5</v>
      </c>
      <c r="K42" s="648">
        <f>H42*I42</f>
        <v>0</v>
      </c>
      <c r="L42" s="648">
        <f>K42^2</f>
        <v>0</v>
      </c>
      <c r="M42" s="648">
        <f>((K42)^4)/J42</f>
        <v>0</v>
      </c>
      <c r="O42" s="643" t="s">
        <v>83</v>
      </c>
      <c r="P42" s="644" t="s">
        <v>38</v>
      </c>
      <c r="Q42" s="645" t="s">
        <v>11</v>
      </c>
      <c r="R42" s="646">
        <f>ID!M73</f>
        <v>0</v>
      </c>
      <c r="S42" s="646">
        <f>SQRT(3)</f>
        <v>1.7320508075688772</v>
      </c>
      <c r="T42" s="646">
        <f>(R42/S42)</f>
        <v>0</v>
      </c>
      <c r="U42" s="647">
        <v>1</v>
      </c>
      <c r="V42" s="647">
        <v>5</v>
      </c>
      <c r="W42" s="648">
        <f>T42*U42</f>
        <v>0</v>
      </c>
      <c r="X42" s="648">
        <f>W42^2</f>
        <v>0</v>
      </c>
      <c r="Y42" s="648">
        <f>((W42)^4)/V42</f>
        <v>0</v>
      </c>
      <c r="AA42" s="649" t="s">
        <v>83</v>
      </c>
      <c r="AB42" s="650" t="s">
        <v>38</v>
      </c>
      <c r="AC42" s="651" t="s">
        <v>11</v>
      </c>
      <c r="AD42" s="652">
        <v>0</v>
      </c>
      <c r="AE42" s="652">
        <v>1.7320508075688772</v>
      </c>
      <c r="AF42" s="652">
        <f>0/1.7321</f>
        <v>0</v>
      </c>
      <c r="AG42" s="653">
        <v>1</v>
      </c>
      <c r="AH42" s="653">
        <f>3-1</f>
        <v>2</v>
      </c>
      <c r="AI42" s="654">
        <f>(0*1)</f>
        <v>0</v>
      </c>
      <c r="AJ42" s="654">
        <f>(0*1)^2</f>
        <v>0</v>
      </c>
      <c r="AK42" s="655">
        <f>((0*1)^4)/2</f>
        <v>0</v>
      </c>
      <c r="AL42" s="623"/>
      <c r="AM42" s="649" t="s">
        <v>83</v>
      </c>
      <c r="AN42" s="650" t="s">
        <v>38</v>
      </c>
      <c r="AO42" s="651" t="s">
        <v>11</v>
      </c>
      <c r="AP42" s="652">
        <v>0</v>
      </c>
      <c r="AQ42" s="652">
        <v>1.7320508075688772</v>
      </c>
      <c r="AR42" s="652">
        <f>(AP42/AQ42)</f>
        <v>0</v>
      </c>
      <c r="AS42" s="653">
        <v>1</v>
      </c>
      <c r="AT42" s="653">
        <f>3-1</f>
        <v>2</v>
      </c>
      <c r="AU42" s="654">
        <f>AR42*AS42</f>
        <v>0</v>
      </c>
      <c r="AV42" s="654">
        <f>AU42^2</f>
        <v>0</v>
      </c>
      <c r="AW42" s="654">
        <f>((AU42)^4)/AT42</f>
        <v>0</v>
      </c>
      <c r="AZ42" s="887"/>
      <c r="BA42" s="887"/>
      <c r="BB42" s="887"/>
      <c r="BC42" s="887"/>
      <c r="BD42" s="887"/>
      <c r="BE42" s="887"/>
      <c r="BF42" s="887"/>
      <c r="BG42" s="887"/>
      <c r="BH42" s="868"/>
      <c r="BI42" s="869"/>
      <c r="BJ42" s="869"/>
      <c r="BK42" s="869"/>
      <c r="BL42" s="869"/>
      <c r="BM42" s="842"/>
      <c r="BN42" s="847"/>
      <c r="BO42" s="852"/>
      <c r="BP42" s="853"/>
      <c r="BQ42" s="884"/>
      <c r="BR42" s="660"/>
      <c r="BS42" s="660"/>
      <c r="BT42" s="854"/>
      <c r="BU42" s="854"/>
      <c r="BV42" s="683"/>
      <c r="BW42" s="683"/>
      <c r="BX42" s="683"/>
      <c r="BY42" s="842"/>
      <c r="BZ42" s="842"/>
      <c r="CA42" s="842"/>
      <c r="CB42" s="842"/>
      <c r="CC42" s="887"/>
      <c r="CD42" s="887"/>
      <c r="CE42" s="887"/>
      <c r="CF42" s="887"/>
      <c r="CG42" s="887"/>
      <c r="CH42" s="887"/>
      <c r="CI42" s="887"/>
      <c r="CJ42" s="887"/>
      <c r="CK42" s="887"/>
      <c r="CL42" s="887"/>
      <c r="CM42" s="887"/>
      <c r="CN42" s="887"/>
      <c r="CO42" s="887"/>
      <c r="CP42" s="887"/>
      <c r="CQ42" s="887"/>
      <c r="CR42" s="887"/>
      <c r="CS42" s="887"/>
      <c r="CT42" s="887"/>
      <c r="CU42" s="887"/>
      <c r="CV42" s="887"/>
      <c r="CW42" s="887"/>
      <c r="CX42" s="887"/>
      <c r="CY42" s="887"/>
      <c r="CZ42" s="887"/>
      <c r="DA42" s="887"/>
      <c r="DB42" s="887"/>
      <c r="DC42" s="887"/>
      <c r="DD42" s="887"/>
      <c r="DE42" s="887"/>
      <c r="DF42" s="887"/>
      <c r="DG42" s="887"/>
      <c r="DH42" s="887"/>
      <c r="DI42" s="887"/>
      <c r="DJ42" s="887"/>
      <c r="DK42" s="887"/>
      <c r="DL42" s="887"/>
      <c r="DM42" s="887"/>
    </row>
    <row r="43" spans="3:117" ht="31.5" x14ac:dyDescent="0.25">
      <c r="C43" s="643" t="s">
        <v>82</v>
      </c>
      <c r="D43" s="644" t="s">
        <v>38</v>
      </c>
      <c r="E43" s="645" t="s">
        <v>11</v>
      </c>
      <c r="F43" s="1063">
        <f>'INTERPOLASI  '!AU20</f>
        <v>0.3</v>
      </c>
      <c r="G43" s="647">
        <v>2</v>
      </c>
      <c r="H43" s="646">
        <f>F43/G43</f>
        <v>0.15</v>
      </c>
      <c r="I43" s="647">
        <v>1</v>
      </c>
      <c r="J43" s="647">
        <v>50</v>
      </c>
      <c r="K43" s="648">
        <f>H43*I43</f>
        <v>0.15</v>
      </c>
      <c r="L43" s="648">
        <f>K43^2</f>
        <v>2.2499999999999999E-2</v>
      </c>
      <c r="M43" s="648">
        <f>((K43)^4)/J43</f>
        <v>1.0124999999999999E-5</v>
      </c>
      <c r="O43" s="643" t="s">
        <v>82</v>
      </c>
      <c r="P43" s="644" t="s">
        <v>38</v>
      </c>
      <c r="Q43" s="645" t="s">
        <v>11</v>
      </c>
      <c r="R43" s="1063">
        <f>'INTERPOLASI  '!AU23</f>
        <v>0.3</v>
      </c>
      <c r="S43" s="647">
        <v>2</v>
      </c>
      <c r="T43" s="646">
        <f>R43/S43</f>
        <v>0.15</v>
      </c>
      <c r="U43" s="647">
        <v>1</v>
      </c>
      <c r="V43" s="647">
        <v>50</v>
      </c>
      <c r="W43" s="648">
        <f>T43*U43</f>
        <v>0.15</v>
      </c>
      <c r="X43" s="648">
        <f>W43^2</f>
        <v>2.2499999999999999E-2</v>
      </c>
      <c r="Y43" s="648">
        <f>((W43)^4)/V43</f>
        <v>1.0124999999999999E-5</v>
      </c>
      <c r="AA43" s="649" t="s">
        <v>82</v>
      </c>
      <c r="AB43" s="650" t="s">
        <v>38</v>
      </c>
      <c r="AC43" s="651" t="s">
        <v>11</v>
      </c>
      <c r="AD43" s="656">
        <f>(((0.2-0.2)*(99-0.2))/(150-100))+(0.2)</f>
        <v>0.2</v>
      </c>
      <c r="AE43" s="653">
        <v>2</v>
      </c>
      <c r="AF43" s="652">
        <f>0.2/2</f>
        <v>0.1</v>
      </c>
      <c r="AG43" s="653">
        <v>1</v>
      </c>
      <c r="AH43" s="653">
        <v>50</v>
      </c>
      <c r="AI43" s="654">
        <f>(0.1*1)</f>
        <v>0.1</v>
      </c>
      <c r="AJ43" s="654">
        <f>(0.1*1)^2</f>
        <v>1.0000000000000002E-2</v>
      </c>
      <c r="AK43" s="654">
        <f>((0.1*1)^4)/50</f>
        <v>2.0000000000000008E-6</v>
      </c>
      <c r="AL43" s="623"/>
      <c r="AM43" s="649" t="s">
        <v>82</v>
      </c>
      <c r="AN43" s="650" t="s">
        <v>38</v>
      </c>
      <c r="AO43" s="651" t="s">
        <v>11</v>
      </c>
      <c r="AP43" s="656">
        <v>0.60159999999999991</v>
      </c>
      <c r="AQ43" s="653">
        <v>2</v>
      </c>
      <c r="AR43" s="652">
        <f>AP43/AQ43</f>
        <v>0.30079999999999996</v>
      </c>
      <c r="AS43" s="653">
        <v>1</v>
      </c>
      <c r="AT43" s="653">
        <v>50</v>
      </c>
      <c r="AU43" s="654">
        <f>AR43*AS43</f>
        <v>0.30079999999999996</v>
      </c>
      <c r="AV43" s="654">
        <f>AU43^2</f>
        <v>9.0480639999999973E-2</v>
      </c>
      <c r="AW43" s="654">
        <f>((AU43)^4)/AT43</f>
        <v>1.637349242961919E-4</v>
      </c>
      <c r="AZ43" s="887"/>
      <c r="BA43" s="887"/>
      <c r="BB43" s="887"/>
      <c r="BC43" s="887"/>
      <c r="BD43" s="887"/>
      <c r="BE43" s="887"/>
      <c r="BF43" s="887"/>
      <c r="BG43" s="887"/>
      <c r="BH43" s="878">
        <f>C40</f>
        <v>97.908000000000001</v>
      </c>
      <c r="BI43" s="870" t="s">
        <v>428</v>
      </c>
      <c r="BJ43" s="871"/>
      <c r="BK43" s="871" t="s">
        <v>431</v>
      </c>
      <c r="BL43" s="888">
        <v>97.912000000000006</v>
      </c>
      <c r="BM43" s="872">
        <v>50</v>
      </c>
      <c r="BN43" s="873">
        <v>0.1</v>
      </c>
      <c r="BO43" s="874">
        <v>100</v>
      </c>
      <c r="BP43" s="875">
        <v>0.1</v>
      </c>
      <c r="BQ43" s="885">
        <f>((((BP43-BN43)*(BL43-BM43)))/(BO43-BM43))+BN43</f>
        <v>0.1</v>
      </c>
      <c r="BR43" s="854"/>
      <c r="BS43" s="877">
        <f>O40</f>
        <v>247.89599999999999</v>
      </c>
      <c r="BT43" s="870" t="s">
        <v>428</v>
      </c>
      <c r="BU43" s="871"/>
      <c r="BV43" s="871" t="s">
        <v>434</v>
      </c>
      <c r="BW43" s="888">
        <v>247.79599999999999</v>
      </c>
      <c r="BX43" s="872">
        <v>200</v>
      </c>
      <c r="BY43" s="873">
        <v>0.1</v>
      </c>
      <c r="BZ43" s="874">
        <v>250</v>
      </c>
      <c r="CA43" s="875">
        <v>0.1</v>
      </c>
      <c r="CB43" s="885">
        <f>((((CA43-BY43)*(BW43-BX43)))/(BZ43-BX43))+BY43</f>
        <v>0.1</v>
      </c>
      <c r="CC43" s="887"/>
      <c r="CD43" s="887"/>
      <c r="CE43" s="887"/>
      <c r="CF43" s="887"/>
      <c r="CG43" s="887"/>
      <c r="CH43" s="887"/>
      <c r="CI43" s="887"/>
      <c r="CJ43" s="887"/>
      <c r="CK43" s="887"/>
      <c r="CL43" s="887"/>
      <c r="CM43" s="887"/>
      <c r="CN43" s="887"/>
      <c r="CO43" s="887"/>
      <c r="CP43" s="887"/>
      <c r="CQ43" s="887"/>
      <c r="CR43" s="887"/>
      <c r="CS43" s="887"/>
      <c r="CT43" s="887"/>
      <c r="CU43" s="887"/>
      <c r="CV43" s="887"/>
      <c r="CW43" s="887"/>
      <c r="CX43" s="887"/>
      <c r="CY43" s="887"/>
      <c r="CZ43" s="887"/>
      <c r="DA43" s="887"/>
      <c r="DB43" s="887"/>
      <c r="DC43" s="887"/>
      <c r="DD43" s="887"/>
      <c r="DE43" s="887"/>
      <c r="DF43" s="887"/>
      <c r="DG43" s="887"/>
      <c r="DH43" s="887"/>
      <c r="DI43" s="887"/>
      <c r="DJ43" s="887"/>
      <c r="DK43" s="887"/>
      <c r="DL43" s="887"/>
      <c r="DM43" s="887"/>
    </row>
    <row r="44" spans="3:117" ht="31.5" x14ac:dyDescent="0.25">
      <c r="C44" s="643" t="s">
        <v>243</v>
      </c>
      <c r="D44" s="644" t="s">
        <v>38</v>
      </c>
      <c r="E44" s="645" t="s">
        <v>85</v>
      </c>
      <c r="F44" s="646">
        <f>(1/5)*ID!C9</f>
        <v>0.4</v>
      </c>
      <c r="G44" s="646">
        <f>SQRT(3)</f>
        <v>1.7320508075688772</v>
      </c>
      <c r="H44" s="646">
        <f>F44/G44</f>
        <v>0.23094010767585033</v>
      </c>
      <c r="I44" s="647">
        <v>1</v>
      </c>
      <c r="J44" s="647">
        <v>50</v>
      </c>
      <c r="K44" s="648">
        <f>H44*I44</f>
        <v>0.23094010767585033</v>
      </c>
      <c r="L44" s="648">
        <f>K44^2</f>
        <v>5.3333333333333344E-2</v>
      </c>
      <c r="M44" s="648">
        <f>((K44)^4)/J44</f>
        <v>5.6888888888888908E-5</v>
      </c>
      <c r="O44" s="643" t="s">
        <v>243</v>
      </c>
      <c r="P44" s="644" t="s">
        <v>38</v>
      </c>
      <c r="Q44" s="645" t="s">
        <v>85</v>
      </c>
      <c r="R44" s="646">
        <f>(1/5)*ID!C9</f>
        <v>0.4</v>
      </c>
      <c r="S44" s="646">
        <f>SQRT(3)</f>
        <v>1.7320508075688772</v>
      </c>
      <c r="T44" s="646">
        <f>R44/S44</f>
        <v>0.23094010767585033</v>
      </c>
      <c r="U44" s="647">
        <v>1</v>
      </c>
      <c r="V44" s="647">
        <v>50</v>
      </c>
      <c r="W44" s="648">
        <f>T44*U44</f>
        <v>0.23094010767585033</v>
      </c>
      <c r="X44" s="648">
        <f>W44^2</f>
        <v>5.3333333333333344E-2</v>
      </c>
      <c r="Y44" s="648">
        <f>((W44)^4)/V44</f>
        <v>5.6888888888888908E-5</v>
      </c>
      <c r="AA44" s="649" t="s">
        <v>76</v>
      </c>
      <c r="AB44" s="650" t="s">
        <v>38</v>
      </c>
      <c r="AC44" s="651" t="s">
        <v>85</v>
      </c>
      <c r="AD44" s="652">
        <f>(1/5)*2</f>
        <v>0.4</v>
      </c>
      <c r="AE44" s="652">
        <v>1.7320508075688772</v>
      </c>
      <c r="AF44" s="658">
        <f>0.4/1.7321</f>
        <v>0.23093354887131229</v>
      </c>
      <c r="AG44" s="653">
        <v>1</v>
      </c>
      <c r="AH44" s="653">
        <v>50</v>
      </c>
      <c r="AI44" s="654">
        <f>(0.230933548871*1)</f>
        <v>0.23093354887100001</v>
      </c>
      <c r="AJ44" s="654">
        <f>(0.230933548871*1)^2</f>
        <v>5.3330303994154553E-2</v>
      </c>
      <c r="AK44" s="654">
        <f>((0.230933548871*1)^4)/50</f>
        <v>5.6882426482178737E-5</v>
      </c>
      <c r="AL44" s="623"/>
      <c r="AM44" s="649" t="s">
        <v>76</v>
      </c>
      <c r="AN44" s="650" t="s">
        <v>38</v>
      </c>
      <c r="AO44" s="651" t="s">
        <v>85</v>
      </c>
      <c r="AP44" s="652">
        <v>0.4</v>
      </c>
      <c r="AQ44" s="652">
        <v>1.7320508075688772</v>
      </c>
      <c r="AR44" s="652">
        <f>AP44/AQ44</f>
        <v>0.23094010767585033</v>
      </c>
      <c r="AS44" s="653">
        <v>1</v>
      </c>
      <c r="AT44" s="653">
        <v>50</v>
      </c>
      <c r="AU44" s="654">
        <f>AR44*AS44</f>
        <v>0.23094010767585033</v>
      </c>
      <c r="AV44" s="654">
        <f>AU44^2</f>
        <v>5.3333333333333344E-2</v>
      </c>
      <c r="AW44" s="654">
        <f>((AU44)^4)/AT44</f>
        <v>5.6888888888888908E-5</v>
      </c>
      <c r="AZ44" s="887"/>
      <c r="BA44" s="887"/>
      <c r="BB44" s="887"/>
      <c r="BC44" s="887"/>
      <c r="BD44" s="887"/>
      <c r="BE44" s="887"/>
      <c r="BF44" s="887"/>
      <c r="BG44" s="887"/>
      <c r="BH44" s="842"/>
      <c r="BI44" s="859"/>
      <c r="BJ44" s="860"/>
      <c r="BK44" s="860"/>
      <c r="BL44" s="659"/>
      <c r="BM44" s="842"/>
      <c r="BN44" s="847"/>
      <c r="BO44" s="852"/>
      <c r="BP44" s="853"/>
      <c r="BQ44" s="884"/>
      <c r="BR44" s="660"/>
      <c r="BS44" s="859"/>
      <c r="BT44" s="859"/>
      <c r="BU44" s="860"/>
      <c r="BV44" s="860"/>
      <c r="BW44" s="659"/>
      <c r="BX44" s="842"/>
      <c r="BY44" s="847"/>
      <c r="BZ44" s="852"/>
      <c r="CA44" s="853"/>
      <c r="CB44" s="884"/>
      <c r="CC44" s="887"/>
      <c r="CD44" s="887"/>
      <c r="CE44" s="887"/>
      <c r="CF44" s="887"/>
      <c r="CG44" s="887"/>
      <c r="CH44" s="887"/>
      <c r="CI44" s="887"/>
      <c r="CJ44" s="887"/>
      <c r="CK44" s="887"/>
      <c r="CL44" s="887"/>
      <c r="CM44" s="887"/>
      <c r="CN44" s="887"/>
      <c r="CO44" s="887"/>
      <c r="CP44" s="887"/>
      <c r="CQ44" s="887"/>
      <c r="CR44" s="887"/>
      <c r="CS44" s="887"/>
      <c r="CT44" s="887"/>
      <c r="CU44" s="887"/>
      <c r="CV44" s="887"/>
      <c r="CW44" s="887"/>
      <c r="CX44" s="887"/>
      <c r="CY44" s="887"/>
      <c r="CZ44" s="887"/>
      <c r="DA44" s="887"/>
      <c r="DB44" s="887"/>
      <c r="DC44" s="887"/>
      <c r="DD44" s="887"/>
      <c r="DE44" s="887"/>
      <c r="DF44" s="887"/>
      <c r="DG44" s="887"/>
      <c r="DH44" s="887"/>
      <c r="DI44" s="887"/>
      <c r="DJ44" s="887"/>
      <c r="DK44" s="887"/>
      <c r="DL44" s="887"/>
      <c r="DM44" s="887"/>
    </row>
    <row r="45" spans="3:117" ht="28.5" customHeight="1" x14ac:dyDescent="0.25">
      <c r="C45" s="643" t="s">
        <v>244</v>
      </c>
      <c r="D45" s="644" t="s">
        <v>38</v>
      </c>
      <c r="E45" s="645" t="s">
        <v>85</v>
      </c>
      <c r="F45" s="660">
        <f>(1/2)*'RESOLUSI STANDAR'!$K$7</f>
        <v>0.05</v>
      </c>
      <c r="G45" s="646">
        <f>SQRT(3)</f>
        <v>1.7320508075688772</v>
      </c>
      <c r="H45" s="646">
        <f>F45/G45</f>
        <v>2.8867513459481291E-2</v>
      </c>
      <c r="I45" s="647">
        <v>1</v>
      </c>
      <c r="J45" s="647">
        <v>50</v>
      </c>
      <c r="K45" s="648">
        <f>H45*I45</f>
        <v>2.8867513459481291E-2</v>
      </c>
      <c r="L45" s="648">
        <f>K45^2</f>
        <v>8.333333333333335E-4</v>
      </c>
      <c r="M45" s="648">
        <f>((K45)^4)/J45</f>
        <v>1.3888888888888894E-8</v>
      </c>
      <c r="O45" s="643" t="s">
        <v>244</v>
      </c>
      <c r="P45" s="644" t="s">
        <v>38</v>
      </c>
      <c r="Q45" s="645" t="s">
        <v>85</v>
      </c>
      <c r="R45" s="660">
        <f>(1/2)*'RESOLUSI STANDAR'!$K$7</f>
        <v>0.05</v>
      </c>
      <c r="S45" s="646">
        <f>SQRT(3)</f>
        <v>1.7320508075688772</v>
      </c>
      <c r="T45" s="646">
        <f>R45/S45</f>
        <v>2.8867513459481291E-2</v>
      </c>
      <c r="U45" s="647">
        <v>1</v>
      </c>
      <c r="V45" s="647">
        <v>50</v>
      </c>
      <c r="W45" s="648">
        <f>T45*U45</f>
        <v>2.8867513459481291E-2</v>
      </c>
      <c r="X45" s="648">
        <f>W45^2</f>
        <v>8.333333333333335E-4</v>
      </c>
      <c r="Y45" s="648">
        <f>((W45)^4)/V45</f>
        <v>1.3888888888888894E-8</v>
      </c>
      <c r="AA45" s="649"/>
      <c r="AB45" s="650"/>
      <c r="AC45" s="651"/>
      <c r="AD45" s="661"/>
      <c r="AE45" s="652"/>
      <c r="AF45" s="658"/>
      <c r="AG45" s="653"/>
      <c r="AH45" s="653"/>
      <c r="AI45" s="654"/>
      <c r="AJ45" s="654"/>
      <c r="AK45" s="654"/>
      <c r="AL45" s="623"/>
      <c r="AM45" s="649"/>
      <c r="AN45" s="650"/>
      <c r="AO45" s="651"/>
      <c r="AP45" s="661"/>
      <c r="AQ45" s="652"/>
      <c r="AR45" s="658"/>
      <c r="AS45" s="653"/>
      <c r="AT45" s="653"/>
      <c r="AU45" s="654"/>
      <c r="AV45" s="654"/>
      <c r="AW45" s="654"/>
      <c r="AZ45" s="887"/>
      <c r="BA45" s="887"/>
      <c r="BB45" s="887"/>
      <c r="BC45" s="887"/>
      <c r="BD45" s="887"/>
      <c r="BE45" s="887"/>
      <c r="BF45" s="887"/>
      <c r="BG45" s="887"/>
      <c r="BH45" s="859"/>
      <c r="BI45" s="859"/>
      <c r="BJ45" s="860"/>
      <c r="BK45" s="860"/>
      <c r="BL45" s="659"/>
      <c r="BM45" s="842"/>
      <c r="BN45" s="847"/>
      <c r="BO45" s="852"/>
      <c r="BP45" s="853"/>
      <c r="BQ45" s="884"/>
      <c r="BR45" s="660"/>
      <c r="BS45" s="859"/>
      <c r="BT45" s="859"/>
      <c r="BU45" s="860"/>
      <c r="BV45" s="860"/>
      <c r="BW45" s="659"/>
      <c r="BX45" s="842"/>
      <c r="BY45" s="847"/>
      <c r="BZ45" s="852"/>
      <c r="CA45" s="853"/>
      <c r="CB45" s="884"/>
      <c r="CC45" s="887"/>
      <c r="CD45" s="887"/>
      <c r="CE45" s="887"/>
      <c r="CF45" s="887"/>
      <c r="CG45" s="887"/>
      <c r="CH45" s="887"/>
      <c r="CI45" s="887"/>
      <c r="CJ45" s="887"/>
      <c r="CK45" s="887"/>
      <c r="CL45" s="887"/>
      <c r="CM45" s="887"/>
      <c r="CN45" s="887"/>
      <c r="CO45" s="887"/>
      <c r="CP45" s="887"/>
      <c r="CQ45" s="887"/>
      <c r="CR45" s="887"/>
      <c r="CS45" s="887"/>
      <c r="CT45" s="887"/>
      <c r="CU45" s="887"/>
      <c r="CV45" s="887"/>
      <c r="CW45" s="887"/>
      <c r="CX45" s="887"/>
      <c r="CY45" s="887"/>
      <c r="CZ45" s="887"/>
      <c r="DA45" s="887"/>
      <c r="DB45" s="887"/>
      <c r="DC45" s="887"/>
      <c r="DD45" s="887"/>
      <c r="DE45" s="887"/>
      <c r="DF45" s="887"/>
      <c r="DG45" s="887"/>
      <c r="DH45" s="887"/>
      <c r="DI45" s="887"/>
      <c r="DJ45" s="887"/>
      <c r="DK45" s="887"/>
      <c r="DL45" s="887"/>
      <c r="DM45" s="887"/>
    </row>
    <row r="46" spans="3:117" x14ac:dyDescent="0.25">
      <c r="C46" s="643" t="s">
        <v>51</v>
      </c>
      <c r="D46" s="644" t="s">
        <v>38</v>
      </c>
      <c r="E46" s="645" t="s">
        <v>85</v>
      </c>
      <c r="F46" s="1063">
        <f>'INTERPOLASI  '!BT20</f>
        <v>6.2769581600000124E-3</v>
      </c>
      <c r="G46" s="646">
        <f>SQRT(3)</f>
        <v>1.7320508075688772</v>
      </c>
      <c r="H46" s="646">
        <f>F46/G46</f>
        <v>3.6240034833680255E-3</v>
      </c>
      <c r="I46" s="647">
        <v>1</v>
      </c>
      <c r="J46" s="647">
        <v>50</v>
      </c>
      <c r="K46" s="648">
        <f>H46*I46</f>
        <v>3.6240034833680255E-3</v>
      </c>
      <c r="L46" s="648">
        <f>K46^2</f>
        <v>1.3133401247463582E-5</v>
      </c>
      <c r="M46" s="648">
        <f>((K46)^4)/J46</f>
        <v>3.4497245665375596E-12</v>
      </c>
      <c r="O46" s="643" t="s">
        <v>51</v>
      </c>
      <c r="P46" s="644" t="s">
        <v>38</v>
      </c>
      <c r="Q46" s="645" t="s">
        <v>85</v>
      </c>
      <c r="R46" s="1063">
        <f>'INTERPOLASI  '!BT23</f>
        <v>0.05</v>
      </c>
      <c r="S46" s="646">
        <f>SQRT(3)</f>
        <v>1.7320508075688772</v>
      </c>
      <c r="T46" s="646">
        <f>R46/S46</f>
        <v>2.8867513459481291E-2</v>
      </c>
      <c r="U46" s="647">
        <v>1</v>
      </c>
      <c r="V46" s="647">
        <v>50</v>
      </c>
      <c r="W46" s="648">
        <f>T46*U46</f>
        <v>2.8867513459481291E-2</v>
      </c>
      <c r="X46" s="648">
        <f>W46^2</f>
        <v>8.333333333333335E-4</v>
      </c>
      <c r="Y46" s="648">
        <f>((W46)^4)/V46</f>
        <v>1.3888888888888894E-8</v>
      </c>
      <c r="AA46" s="649" t="s">
        <v>51</v>
      </c>
      <c r="AB46" s="650" t="s">
        <v>38</v>
      </c>
      <c r="AC46" s="651" t="s">
        <v>85</v>
      </c>
      <c r="AD46" s="656">
        <v>0</v>
      </c>
      <c r="AE46" s="652">
        <v>1.7320508075688772</v>
      </c>
      <c r="AF46" s="652">
        <f>0/1.7321</f>
        <v>0</v>
      </c>
      <c r="AG46" s="653">
        <v>1</v>
      </c>
      <c r="AH46" s="653">
        <v>50</v>
      </c>
      <c r="AI46" s="654">
        <f>(0*1)</f>
        <v>0</v>
      </c>
      <c r="AJ46" s="654">
        <f>(0*1)^2</f>
        <v>0</v>
      </c>
      <c r="AK46" s="655">
        <f>((0*1)^4)/50</f>
        <v>0</v>
      </c>
      <c r="AL46" s="623"/>
      <c r="AM46" s="649" t="s">
        <v>51</v>
      </c>
      <c r="AN46" s="650" t="s">
        <v>38</v>
      </c>
      <c r="AO46" s="651" t="s">
        <v>85</v>
      </c>
      <c r="AP46" s="656">
        <v>5.0399999999997336E-2</v>
      </c>
      <c r="AQ46" s="652">
        <v>1.7320508075688772</v>
      </c>
      <c r="AR46" s="652">
        <f>AP46/AQ46</f>
        <v>2.9098453567155604E-2</v>
      </c>
      <c r="AS46" s="653">
        <v>1</v>
      </c>
      <c r="AT46" s="653">
        <v>50</v>
      </c>
      <c r="AU46" s="654">
        <f>AR46*AS46</f>
        <v>2.9098453567155604E-2</v>
      </c>
      <c r="AV46" s="654">
        <f>AU46^2</f>
        <v>8.4671999999991069E-4</v>
      </c>
      <c r="AW46" s="654">
        <f>((AU46)^4)/AT46</f>
        <v>1.4338695167996975E-8</v>
      </c>
      <c r="AZ46" s="887"/>
      <c r="BA46" s="887"/>
      <c r="BB46" s="887"/>
      <c r="BC46" s="887"/>
      <c r="BD46" s="887"/>
      <c r="BE46" s="887"/>
      <c r="BF46" s="887"/>
      <c r="BG46" s="887"/>
      <c r="BH46" s="842"/>
      <c r="BI46" s="870" t="s">
        <v>428</v>
      </c>
      <c r="BJ46" s="871"/>
      <c r="BK46" s="871" t="s">
        <v>431</v>
      </c>
      <c r="BL46" s="888">
        <v>97.912000000000006</v>
      </c>
      <c r="BM46" s="872">
        <v>50</v>
      </c>
      <c r="BN46" s="876">
        <v>0.1</v>
      </c>
      <c r="BO46" s="874">
        <v>100</v>
      </c>
      <c r="BP46" s="876">
        <v>0.15</v>
      </c>
      <c r="BQ46" s="885">
        <f>((((BP46-BN46)*(BL46-BM46)))/(BO46-BM46))+BN46</f>
        <v>0.14791199999999999</v>
      </c>
      <c r="BR46" s="660"/>
      <c r="BS46" s="859"/>
      <c r="BT46" s="870" t="s">
        <v>428</v>
      </c>
      <c r="BU46" s="871"/>
      <c r="BV46" s="871" t="s">
        <v>434</v>
      </c>
      <c r="BW46" s="888">
        <v>247.79599999999999</v>
      </c>
      <c r="BX46" s="872">
        <v>200</v>
      </c>
      <c r="BY46" s="876">
        <v>0.25</v>
      </c>
      <c r="BZ46" s="874">
        <v>250</v>
      </c>
      <c r="CA46" s="876">
        <v>0.2</v>
      </c>
      <c r="CB46" s="885">
        <f>((((CA46-BY46)*(BW46-BX46)))/(BZ46-BX46))+BY46</f>
        <v>0.20220400000000002</v>
      </c>
      <c r="CC46" s="887"/>
      <c r="CD46" s="887"/>
      <c r="CE46" s="887"/>
      <c r="CF46" s="887"/>
      <c r="CG46" s="887"/>
      <c r="CH46" s="887"/>
      <c r="CI46" s="887"/>
      <c r="CJ46" s="887"/>
      <c r="CK46" s="887"/>
      <c r="CL46" s="887"/>
      <c r="CM46" s="887"/>
      <c r="CN46" s="887"/>
      <c r="CO46" s="887"/>
      <c r="CP46" s="887"/>
      <c r="CQ46" s="887"/>
      <c r="CR46" s="887"/>
      <c r="CS46" s="887"/>
      <c r="CT46" s="887"/>
      <c r="CU46" s="887"/>
      <c r="CV46" s="887"/>
      <c r="CW46" s="887"/>
      <c r="CX46" s="887"/>
      <c r="CY46" s="887"/>
      <c r="CZ46" s="887"/>
      <c r="DA46" s="887"/>
      <c r="DB46" s="887"/>
      <c r="DC46" s="887"/>
      <c r="DD46" s="887"/>
      <c r="DE46" s="887"/>
      <c r="DF46" s="887"/>
      <c r="DG46" s="887"/>
      <c r="DH46" s="887"/>
      <c r="DI46" s="887"/>
      <c r="DJ46" s="887"/>
      <c r="DK46" s="887"/>
      <c r="DL46" s="887"/>
      <c r="DM46" s="887"/>
    </row>
    <row r="47" spans="3:117" x14ac:dyDescent="0.25">
      <c r="C47" s="662"/>
      <c r="D47" s="662"/>
      <c r="E47" s="662"/>
      <c r="F47" s="662"/>
      <c r="G47" s="663" t="s">
        <v>84</v>
      </c>
      <c r="H47" s="664"/>
      <c r="I47" s="664"/>
      <c r="J47" s="664"/>
      <c r="K47" s="665"/>
      <c r="L47" s="666">
        <f>SUM(L42:L46)</f>
        <v>7.6679800067914139E-2</v>
      </c>
      <c r="M47" s="666">
        <f>SUM(M42:M46)</f>
        <v>6.702778122750236E-5</v>
      </c>
      <c r="O47" s="662"/>
      <c r="P47" s="662"/>
      <c r="Q47" s="662"/>
      <c r="R47" s="662"/>
      <c r="S47" s="663" t="s">
        <v>84</v>
      </c>
      <c r="T47" s="664"/>
      <c r="U47" s="664"/>
      <c r="V47" s="664"/>
      <c r="W47" s="665"/>
      <c r="X47" s="666">
        <f>SUM(X42:X46)</f>
        <v>7.7500000000000013E-2</v>
      </c>
      <c r="Y47" s="666">
        <f>SUM(Y42:Y46)</f>
        <v>6.7041666666666679E-5</v>
      </c>
      <c r="AA47" s="667"/>
      <c r="AB47" s="667"/>
      <c r="AC47" s="667"/>
      <c r="AD47" s="667"/>
      <c r="AE47" s="668" t="s">
        <v>84</v>
      </c>
      <c r="AF47" s="669"/>
      <c r="AG47" s="669"/>
      <c r="AH47" s="669"/>
      <c r="AI47" s="670"/>
      <c r="AJ47" s="672">
        <f>SUM(AJ42:AJ46)</f>
        <v>6.3330303994154555E-2</v>
      </c>
      <c r="AK47" s="671">
        <f>SUM(AK42:AK46)</f>
        <v>5.8882426482178738E-5</v>
      </c>
      <c r="AL47" s="623"/>
      <c r="AM47" s="667"/>
      <c r="AN47" s="667"/>
      <c r="AO47" s="667"/>
      <c r="AP47" s="667"/>
      <c r="AQ47" s="668" t="s">
        <v>84</v>
      </c>
      <c r="AR47" s="669"/>
      <c r="AS47" s="669"/>
      <c r="AT47" s="669"/>
      <c r="AU47" s="670"/>
      <c r="AV47" s="672">
        <f>SUM(AV42:AV46)</f>
        <v>0.14466069333333323</v>
      </c>
      <c r="AW47" s="672">
        <f>SUM(AW42:AW46)</f>
        <v>2.206381518802488E-4</v>
      </c>
      <c r="AZ47" s="887"/>
      <c r="BA47" s="887"/>
      <c r="BB47" s="887"/>
      <c r="BC47" s="887"/>
      <c r="BD47" s="887"/>
      <c r="BE47" s="887"/>
      <c r="BF47" s="887"/>
      <c r="BG47" s="887"/>
      <c r="BH47" s="868"/>
      <c r="BI47" s="869"/>
      <c r="BJ47" s="869"/>
      <c r="BK47" s="869"/>
      <c r="BL47" s="869"/>
      <c r="BM47" s="842"/>
      <c r="BN47" s="847"/>
      <c r="BO47" s="847"/>
      <c r="BP47" s="847"/>
      <c r="BQ47" s="886"/>
      <c r="BR47" s="848"/>
      <c r="BS47" s="848"/>
      <c r="BT47" s="848"/>
      <c r="BU47" s="848"/>
      <c r="BV47" s="848"/>
      <c r="BW47" s="684"/>
      <c r="BX47" s="684"/>
      <c r="BY47" s="842"/>
      <c r="BZ47" s="842"/>
      <c r="CA47" s="842"/>
      <c r="CB47" s="842"/>
      <c r="CC47" s="887"/>
      <c r="CD47" s="887"/>
      <c r="CE47" s="887"/>
      <c r="CF47" s="887"/>
      <c r="CG47" s="887"/>
      <c r="CH47" s="887"/>
      <c r="CI47" s="887"/>
      <c r="CJ47" s="887"/>
      <c r="CK47" s="887"/>
      <c r="CL47" s="887"/>
      <c r="CM47" s="887"/>
      <c r="CN47" s="887"/>
      <c r="CO47" s="887"/>
      <c r="CP47" s="887"/>
      <c r="CQ47" s="887"/>
      <c r="CR47" s="887"/>
      <c r="CS47" s="887"/>
      <c r="CT47" s="887"/>
      <c r="CU47" s="887"/>
      <c r="CV47" s="887"/>
      <c r="CW47" s="887"/>
      <c r="CX47" s="887"/>
      <c r="CY47" s="887"/>
      <c r="CZ47" s="887"/>
      <c r="DA47" s="887"/>
      <c r="DB47" s="887"/>
      <c r="DC47" s="887"/>
      <c r="DD47" s="887"/>
      <c r="DE47" s="887"/>
      <c r="DF47" s="887"/>
      <c r="DG47" s="887"/>
      <c r="DH47" s="887"/>
      <c r="DI47" s="887"/>
      <c r="DJ47" s="887"/>
      <c r="DK47" s="887"/>
      <c r="DL47" s="887"/>
      <c r="DM47" s="887"/>
    </row>
    <row r="48" spans="3:117" ht="17.25" customHeight="1" x14ac:dyDescent="0.35">
      <c r="C48" s="617"/>
      <c r="D48" s="617"/>
      <c r="E48" s="617"/>
      <c r="F48" s="617"/>
      <c r="G48" s="1264" t="s">
        <v>121</v>
      </c>
      <c r="H48" s="1265"/>
      <c r="I48" s="1265"/>
      <c r="J48" s="1265"/>
      <c r="K48" s="1266"/>
      <c r="L48" s="666">
        <f>SQRT(L47)</f>
        <v>0.27691117721737801</v>
      </c>
      <c r="M48" s="648"/>
      <c r="O48" s="617"/>
      <c r="P48" s="617"/>
      <c r="Q48" s="617"/>
      <c r="R48" s="617"/>
      <c r="S48" s="1264" t="s">
        <v>121</v>
      </c>
      <c r="T48" s="1265"/>
      <c r="U48" s="1265"/>
      <c r="V48" s="1265"/>
      <c r="W48" s="1266"/>
      <c r="X48" s="666">
        <f>SQRT(X47)</f>
        <v>0.27838821814150111</v>
      </c>
      <c r="Y48" s="648"/>
      <c r="AA48" s="673" t="s">
        <v>48</v>
      </c>
      <c r="AB48" s="673" t="s">
        <v>197</v>
      </c>
      <c r="AC48" s="627"/>
      <c r="AD48" s="627"/>
      <c r="AE48" s="1270" t="s">
        <v>227</v>
      </c>
      <c r="AF48" s="1271"/>
      <c r="AG48" s="1271"/>
      <c r="AH48" s="1271"/>
      <c r="AI48" s="1272"/>
      <c r="AJ48" s="672">
        <f>SQRT(AJ47)</f>
        <v>0.25165512908374144</v>
      </c>
      <c r="AK48" s="655"/>
      <c r="AL48" s="623"/>
      <c r="AM48" s="627"/>
      <c r="AN48" s="627"/>
      <c r="AO48" s="627"/>
      <c r="AP48" s="627"/>
      <c r="AQ48" s="1270" t="s">
        <v>227</v>
      </c>
      <c r="AR48" s="1271"/>
      <c r="AS48" s="1271"/>
      <c r="AT48" s="1271"/>
      <c r="AU48" s="1272"/>
      <c r="AV48" s="672">
        <f>SQRT(AV47)</f>
        <v>0.3803428628663002</v>
      </c>
      <c r="AW48" s="654"/>
      <c r="AZ48" s="887"/>
      <c r="BA48" s="887"/>
      <c r="BB48" s="887"/>
      <c r="BC48" s="887"/>
      <c r="BD48" s="887"/>
      <c r="BE48" s="887"/>
      <c r="BF48" s="887"/>
      <c r="BG48" s="887"/>
      <c r="BH48" s="842"/>
      <c r="BI48" s="842"/>
      <c r="BJ48" s="842"/>
      <c r="BK48" s="842"/>
      <c r="BL48" s="842"/>
      <c r="BM48" s="842"/>
      <c r="BN48" s="847"/>
      <c r="BO48" s="847"/>
      <c r="BP48" s="847"/>
      <c r="BQ48" s="886"/>
      <c r="BR48" s="1260"/>
      <c r="BS48" s="1260"/>
      <c r="BT48" s="1260"/>
      <c r="BU48" s="1260"/>
      <c r="BV48" s="1260"/>
      <c r="BW48" s="684"/>
      <c r="BX48" s="683"/>
      <c r="BY48" s="842"/>
      <c r="BZ48" s="842"/>
      <c r="CA48" s="842"/>
      <c r="CB48" s="842"/>
      <c r="CC48" s="887"/>
      <c r="CD48" s="887"/>
      <c r="CE48" s="887"/>
      <c r="CF48" s="887"/>
      <c r="CG48" s="887"/>
      <c r="CH48" s="887"/>
      <c r="CI48" s="887"/>
      <c r="CJ48" s="887"/>
      <c r="CK48" s="887"/>
      <c r="CL48" s="887"/>
      <c r="CM48" s="887"/>
      <c r="CN48" s="887"/>
      <c r="CO48" s="887"/>
      <c r="CP48" s="887"/>
      <c r="CQ48" s="887"/>
      <c r="CR48" s="887"/>
      <c r="CS48" s="887"/>
      <c r="CT48" s="887"/>
      <c r="CU48" s="887"/>
      <c r="CV48" s="887"/>
      <c r="CW48" s="887"/>
      <c r="CX48" s="887"/>
      <c r="CY48" s="887"/>
      <c r="CZ48" s="887"/>
      <c r="DA48" s="887"/>
      <c r="DB48" s="887"/>
      <c r="DC48" s="887"/>
      <c r="DD48" s="887"/>
      <c r="DE48" s="887"/>
      <c r="DF48" s="887"/>
      <c r="DG48" s="887"/>
      <c r="DH48" s="887"/>
      <c r="DI48" s="887"/>
      <c r="DJ48" s="887"/>
      <c r="DK48" s="887"/>
      <c r="DL48" s="887"/>
      <c r="DM48" s="887"/>
    </row>
    <row r="49" spans="3:117" ht="15.75" customHeight="1" x14ac:dyDescent="0.25">
      <c r="C49" s="617"/>
      <c r="D49" s="617"/>
      <c r="E49" s="617"/>
      <c r="F49" s="617"/>
      <c r="G49" s="1264" t="s">
        <v>91</v>
      </c>
      <c r="H49" s="1265"/>
      <c r="I49" s="1265"/>
      <c r="J49" s="1265"/>
      <c r="K49" s="1266"/>
      <c r="L49" s="666">
        <f>((L48)^4)/M47</f>
        <v>87.721712262836007</v>
      </c>
      <c r="M49" s="648"/>
      <c r="O49" s="617"/>
      <c r="P49" s="617"/>
      <c r="Q49" s="617"/>
      <c r="R49" s="617"/>
      <c r="S49" s="1264" t="s">
        <v>91</v>
      </c>
      <c r="T49" s="1265"/>
      <c r="U49" s="1265"/>
      <c r="V49" s="1265"/>
      <c r="W49" s="1266"/>
      <c r="X49" s="666">
        <f>((X48)^4)/Y47</f>
        <v>89.589807333747686</v>
      </c>
      <c r="Y49" s="648"/>
      <c r="AA49" s="674">
        <v>100</v>
      </c>
      <c r="AB49" s="675">
        <v>0.2</v>
      </c>
      <c r="AC49" s="627"/>
      <c r="AD49" s="627"/>
      <c r="AE49" s="1270" t="s">
        <v>91</v>
      </c>
      <c r="AF49" s="1271"/>
      <c r="AG49" s="1271"/>
      <c r="AH49" s="1271"/>
      <c r="AI49" s="1272"/>
      <c r="AJ49" s="672">
        <f>((AJ48)^4)/AK47</f>
        <v>68.114166545190031</v>
      </c>
      <c r="AK49" s="655"/>
      <c r="AL49" s="623"/>
      <c r="AM49" s="627"/>
      <c r="AN49" s="627"/>
      <c r="AO49" s="627"/>
      <c r="AP49" s="627"/>
      <c r="AQ49" s="1270" t="s">
        <v>91</v>
      </c>
      <c r="AR49" s="1271"/>
      <c r="AS49" s="1271"/>
      <c r="AT49" s="1271"/>
      <c r="AU49" s="1272"/>
      <c r="AV49" s="672">
        <f>((AV48)^4)/AW47</f>
        <v>94.846317453921756</v>
      </c>
      <c r="AW49" s="654"/>
      <c r="AZ49" s="887"/>
      <c r="BA49" s="887"/>
      <c r="BB49" s="887"/>
      <c r="BC49" s="887"/>
      <c r="BD49" s="887"/>
      <c r="BE49" s="887"/>
      <c r="BF49" s="887"/>
      <c r="BG49" s="887"/>
      <c r="BH49" s="842"/>
      <c r="BI49" s="842"/>
      <c r="BJ49" s="842"/>
      <c r="BK49" s="842"/>
      <c r="BL49" s="842"/>
      <c r="BM49" s="842"/>
      <c r="BN49" s="847"/>
      <c r="BO49" s="847"/>
      <c r="BP49" s="847"/>
      <c r="BQ49" s="886"/>
      <c r="BR49" s="1260"/>
      <c r="BS49" s="1260"/>
      <c r="BT49" s="1260"/>
      <c r="BU49" s="1260"/>
      <c r="BV49" s="1260"/>
      <c r="BW49" s="684"/>
      <c r="BX49" s="683"/>
      <c r="BY49" s="842"/>
      <c r="BZ49" s="842"/>
      <c r="CA49" s="842"/>
      <c r="CB49" s="842"/>
      <c r="CC49" s="887"/>
      <c r="CD49" s="887"/>
      <c r="CE49" s="887"/>
      <c r="CF49" s="887"/>
      <c r="CG49" s="887"/>
      <c r="CH49" s="887"/>
      <c r="CI49" s="887"/>
      <c r="CJ49" s="887"/>
      <c r="CK49" s="887"/>
      <c r="CL49" s="887"/>
      <c r="CM49" s="887"/>
      <c r="CN49" s="887"/>
      <c r="CO49" s="887"/>
      <c r="CP49" s="887"/>
      <c r="CQ49" s="887"/>
      <c r="CR49" s="887"/>
      <c r="CS49" s="887"/>
      <c r="CT49" s="887"/>
      <c r="CU49" s="887"/>
      <c r="CV49" s="887"/>
      <c r="CW49" s="887"/>
      <c r="CX49" s="887"/>
      <c r="CY49" s="887"/>
      <c r="CZ49" s="887"/>
      <c r="DA49" s="887"/>
      <c r="DB49" s="887"/>
      <c r="DC49" s="887"/>
      <c r="DD49" s="887"/>
      <c r="DE49" s="887"/>
      <c r="DF49" s="887"/>
      <c r="DG49" s="887"/>
      <c r="DH49" s="887"/>
      <c r="DI49" s="887"/>
      <c r="DJ49" s="887"/>
      <c r="DK49" s="887"/>
      <c r="DL49" s="887"/>
      <c r="DM49" s="887"/>
    </row>
    <row r="50" spans="3:117" ht="15.75" customHeight="1" x14ac:dyDescent="0.25">
      <c r="C50" s="617"/>
      <c r="D50" s="617"/>
      <c r="E50" s="617"/>
      <c r="F50" s="617"/>
      <c r="G50" s="1264" t="s">
        <v>42</v>
      </c>
      <c r="H50" s="1265"/>
      <c r="I50" s="1265"/>
      <c r="J50" s="1265"/>
      <c r="K50" s="1266"/>
      <c r="L50" s="648">
        <f>TINV(0.05,L49)</f>
        <v>1.9876082815890745</v>
      </c>
      <c r="M50" s="648"/>
      <c r="O50" s="617"/>
      <c r="P50" s="617"/>
      <c r="Q50" s="617"/>
      <c r="R50" s="617"/>
      <c r="S50" s="1264" t="s">
        <v>42</v>
      </c>
      <c r="T50" s="1265"/>
      <c r="U50" s="1265"/>
      <c r="V50" s="1265"/>
      <c r="W50" s="1266"/>
      <c r="X50" s="648">
        <f>TINV(0.05,X49)</f>
        <v>1.986978699506285</v>
      </c>
      <c r="Y50" s="648"/>
      <c r="AA50" s="674">
        <v>150</v>
      </c>
      <c r="AB50" s="675">
        <v>0.2</v>
      </c>
      <c r="AC50" s="627"/>
      <c r="AD50" s="627"/>
      <c r="AE50" s="1270" t="s">
        <v>42</v>
      </c>
      <c r="AF50" s="1271"/>
      <c r="AG50" s="1271"/>
      <c r="AH50" s="1271"/>
      <c r="AI50" s="1272"/>
      <c r="AJ50" s="654">
        <f>TINV(0.05,AJ49)</f>
        <v>1.9954689314298424</v>
      </c>
      <c r="AK50" s="655"/>
      <c r="AL50" s="623"/>
      <c r="AM50" s="627"/>
      <c r="AN50" s="627"/>
      <c r="AO50" s="627"/>
      <c r="AP50" s="627"/>
      <c r="AQ50" s="1270" t="s">
        <v>42</v>
      </c>
      <c r="AR50" s="1271"/>
      <c r="AS50" s="1271"/>
      <c r="AT50" s="1271"/>
      <c r="AU50" s="1272"/>
      <c r="AV50" s="654">
        <f>TINV(0.05,AV49)</f>
        <v>1.9855234418666059</v>
      </c>
      <c r="AW50" s="654"/>
      <c r="AZ50" s="887"/>
      <c r="BA50" s="887"/>
      <c r="BB50" s="887"/>
      <c r="BC50" s="887"/>
      <c r="BD50" s="887"/>
      <c r="BE50" s="887"/>
      <c r="BF50" s="887"/>
      <c r="BG50" s="887"/>
      <c r="BH50" s="842"/>
      <c r="BI50" s="842"/>
      <c r="BJ50" s="842"/>
      <c r="BK50" s="842"/>
      <c r="BL50" s="842"/>
      <c r="BM50" s="842"/>
      <c r="BN50" s="847"/>
      <c r="BO50" s="847"/>
      <c r="BP50" s="847"/>
      <c r="BQ50" s="886"/>
      <c r="BR50" s="1260"/>
      <c r="BS50" s="1260"/>
      <c r="BT50" s="1260"/>
      <c r="BU50" s="1260"/>
      <c r="BV50" s="1260"/>
      <c r="BW50" s="683"/>
      <c r="BX50" s="683"/>
      <c r="BY50" s="842"/>
      <c r="BZ50" s="842"/>
      <c r="CA50" s="842"/>
      <c r="CB50" s="842"/>
      <c r="CC50" s="887"/>
      <c r="CD50" s="887"/>
      <c r="CE50" s="887"/>
      <c r="CF50" s="887"/>
      <c r="CG50" s="887"/>
      <c r="CH50" s="887"/>
      <c r="CI50" s="887"/>
      <c r="CJ50" s="887"/>
      <c r="CK50" s="887"/>
      <c r="CL50" s="887"/>
      <c r="CM50" s="887"/>
      <c r="CN50" s="887"/>
      <c r="CO50" s="887"/>
      <c r="CP50" s="887"/>
      <c r="CQ50" s="887"/>
      <c r="CR50" s="887"/>
      <c r="CS50" s="887"/>
      <c r="CT50" s="887"/>
      <c r="CU50" s="887"/>
      <c r="CV50" s="887"/>
      <c r="CW50" s="887"/>
      <c r="CX50" s="887"/>
      <c r="CY50" s="887"/>
      <c r="CZ50" s="887"/>
      <c r="DA50" s="887"/>
      <c r="DB50" s="887"/>
      <c r="DC50" s="887"/>
      <c r="DD50" s="887"/>
      <c r="DE50" s="887"/>
      <c r="DF50" s="887"/>
      <c r="DG50" s="887"/>
      <c r="DH50" s="887"/>
      <c r="DI50" s="887"/>
      <c r="DJ50" s="887"/>
      <c r="DK50" s="887"/>
      <c r="DL50" s="887"/>
      <c r="DM50" s="887"/>
    </row>
    <row r="51" spans="3:117" ht="15.75" customHeight="1" x14ac:dyDescent="0.25">
      <c r="C51" s="617"/>
      <c r="D51" s="617"/>
      <c r="E51" s="617"/>
      <c r="F51" s="617"/>
      <c r="G51" s="1264" t="s">
        <v>122</v>
      </c>
      <c r="H51" s="1265"/>
      <c r="I51" s="1265"/>
      <c r="J51" s="1265"/>
      <c r="K51" s="1266"/>
      <c r="L51" s="676">
        <f>L50*L48</f>
        <v>0.55039094910184039</v>
      </c>
      <c r="M51" s="648"/>
      <c r="O51" s="617"/>
      <c r="P51" s="617"/>
      <c r="Q51" s="617"/>
      <c r="R51" s="617"/>
      <c r="S51" s="1264" t="s">
        <v>122</v>
      </c>
      <c r="T51" s="1265"/>
      <c r="U51" s="1265"/>
      <c r="V51" s="1265"/>
      <c r="W51" s="1266"/>
      <c r="X51" s="676">
        <f>X50*X48</f>
        <v>0.55315145964067181</v>
      </c>
      <c r="Y51" s="648"/>
      <c r="AA51" s="627"/>
      <c r="AB51" s="627"/>
      <c r="AC51" s="627"/>
      <c r="AD51" s="627"/>
      <c r="AE51" s="1270" t="s">
        <v>228</v>
      </c>
      <c r="AF51" s="1271"/>
      <c r="AG51" s="1271"/>
      <c r="AH51" s="1271"/>
      <c r="AI51" s="1272"/>
      <c r="AJ51" s="677">
        <f>AJ50*AJ48</f>
        <v>0.5021699915215726</v>
      </c>
      <c r="AK51" s="655"/>
      <c r="AL51" s="623"/>
      <c r="AM51" s="627"/>
      <c r="AN51" s="627"/>
      <c r="AO51" s="627"/>
      <c r="AP51" s="627"/>
      <c r="AQ51" s="1270" t="s">
        <v>228</v>
      </c>
      <c r="AR51" s="1271"/>
      <c r="AS51" s="1271"/>
      <c r="AT51" s="1271"/>
      <c r="AU51" s="1272"/>
      <c r="AV51" s="677">
        <f>AV50*AV48</f>
        <v>0.75517967016769483</v>
      </c>
      <c r="AW51" s="654"/>
      <c r="AZ51" s="887"/>
      <c r="BA51" s="887"/>
      <c r="BB51" s="887"/>
      <c r="BC51" s="887"/>
      <c r="BD51" s="887"/>
      <c r="BE51" s="887"/>
      <c r="BF51" s="887"/>
      <c r="BG51" s="887"/>
      <c r="BH51" s="842"/>
      <c r="BI51" s="842"/>
      <c r="BJ51" s="842"/>
      <c r="BK51" s="842"/>
      <c r="BL51" s="842"/>
      <c r="BM51" s="842"/>
      <c r="BN51" s="847"/>
      <c r="BO51" s="847"/>
      <c r="BP51" s="847"/>
      <c r="BQ51" s="886"/>
      <c r="BR51" s="1260"/>
      <c r="BS51" s="1260"/>
      <c r="BT51" s="1260"/>
      <c r="BU51" s="1260"/>
      <c r="BV51" s="1260"/>
      <c r="BW51" s="862"/>
      <c r="BX51" s="683"/>
      <c r="BY51" s="842"/>
      <c r="BZ51" s="842"/>
      <c r="CA51" s="842"/>
      <c r="CB51" s="842"/>
      <c r="CC51" s="887"/>
      <c r="CD51" s="887"/>
      <c r="CE51" s="887"/>
      <c r="CF51" s="887"/>
      <c r="CG51" s="887"/>
      <c r="CH51" s="887"/>
      <c r="CI51" s="887"/>
      <c r="CJ51" s="887"/>
      <c r="CK51" s="887"/>
      <c r="CL51" s="887"/>
      <c r="CM51" s="887"/>
      <c r="CN51" s="887"/>
      <c r="CO51" s="887"/>
      <c r="CP51" s="887"/>
      <c r="CQ51" s="887"/>
      <c r="CR51" s="887"/>
      <c r="CS51" s="887"/>
      <c r="CT51" s="887"/>
      <c r="CU51" s="887"/>
      <c r="CV51" s="887"/>
      <c r="CW51" s="887"/>
      <c r="CX51" s="887"/>
      <c r="CY51" s="887"/>
      <c r="CZ51" s="887"/>
      <c r="DA51" s="887"/>
      <c r="DB51" s="887"/>
      <c r="DC51" s="887"/>
      <c r="DD51" s="887"/>
      <c r="DE51" s="887"/>
      <c r="DF51" s="887"/>
      <c r="DG51" s="887"/>
      <c r="DH51" s="887"/>
      <c r="DI51" s="887"/>
      <c r="DJ51" s="887"/>
      <c r="DK51" s="887"/>
      <c r="DL51" s="887"/>
      <c r="DM51" s="887"/>
    </row>
    <row r="52" spans="3:117" x14ac:dyDescent="0.25">
      <c r="AA52" s="623"/>
      <c r="AB52" s="623"/>
      <c r="AC52" s="623"/>
      <c r="AD52" s="623"/>
      <c r="AE52" s="623"/>
      <c r="AF52" s="623"/>
      <c r="AG52" s="623"/>
      <c r="AH52" s="623"/>
      <c r="AI52" s="623"/>
      <c r="AJ52" s="623"/>
      <c r="AK52" s="623"/>
      <c r="AL52" s="623"/>
      <c r="AM52" s="623"/>
      <c r="AN52" s="623"/>
      <c r="AO52" s="623"/>
      <c r="AP52" s="623"/>
      <c r="AQ52" s="623"/>
      <c r="AR52" s="623"/>
      <c r="AS52" s="623"/>
      <c r="AT52" s="623"/>
      <c r="AU52" s="623"/>
      <c r="AV52" s="623"/>
      <c r="AW52" s="623"/>
      <c r="AZ52" s="887"/>
      <c r="BA52" s="887"/>
      <c r="BB52" s="887"/>
      <c r="BC52" s="887"/>
      <c r="BD52" s="887"/>
      <c r="BE52" s="887"/>
      <c r="BF52" s="887"/>
      <c r="BG52" s="887"/>
      <c r="BH52" s="842"/>
      <c r="BI52" s="842"/>
      <c r="BJ52" s="842"/>
      <c r="BK52" s="842"/>
      <c r="BL52" s="842"/>
      <c r="BM52" s="842"/>
      <c r="BN52" s="842"/>
      <c r="BO52" s="842"/>
      <c r="BP52" s="842"/>
      <c r="BQ52" s="882"/>
      <c r="BR52" s="842"/>
      <c r="BS52" s="842"/>
      <c r="BT52" s="842"/>
      <c r="BU52" s="842"/>
      <c r="BV52" s="842"/>
      <c r="BW52" s="842"/>
      <c r="BX52" s="842"/>
      <c r="BY52" s="842"/>
      <c r="BZ52" s="842"/>
      <c r="CA52" s="842"/>
      <c r="CB52" s="842"/>
      <c r="CC52" s="887"/>
      <c r="CD52" s="887"/>
      <c r="CE52" s="887"/>
      <c r="CF52" s="887"/>
      <c r="CG52" s="887"/>
      <c r="CH52" s="887"/>
      <c r="CI52" s="887"/>
      <c r="CJ52" s="887"/>
      <c r="CK52" s="887"/>
      <c r="CL52" s="887"/>
      <c r="CM52" s="887"/>
      <c r="CN52" s="887"/>
      <c r="CO52" s="887"/>
      <c r="CP52" s="887"/>
      <c r="CQ52" s="887"/>
      <c r="CR52" s="887"/>
      <c r="CS52" s="887"/>
      <c r="CT52" s="887"/>
      <c r="CU52" s="887"/>
      <c r="CV52" s="887"/>
      <c r="CW52" s="887"/>
      <c r="CX52" s="887"/>
      <c r="CY52" s="887"/>
      <c r="CZ52" s="887"/>
      <c r="DA52" s="887"/>
      <c r="DB52" s="887"/>
      <c r="DC52" s="887"/>
      <c r="DD52" s="887"/>
      <c r="DE52" s="887"/>
      <c r="DF52" s="887"/>
      <c r="DG52" s="887"/>
      <c r="DH52" s="887"/>
      <c r="DI52" s="887"/>
      <c r="DJ52" s="887"/>
      <c r="DK52" s="887"/>
      <c r="DL52" s="887"/>
      <c r="DM52" s="887"/>
    </row>
    <row r="53" spans="3:117" x14ac:dyDescent="0.25">
      <c r="AA53" s="623"/>
      <c r="AB53" s="623"/>
      <c r="AC53" s="623"/>
      <c r="AD53" s="623"/>
      <c r="AE53" s="623"/>
      <c r="AF53" s="623"/>
      <c r="AG53" s="623"/>
      <c r="AH53" s="623"/>
      <c r="AI53" s="623"/>
      <c r="AJ53" s="623"/>
      <c r="AK53" s="623"/>
      <c r="AL53" s="623"/>
      <c r="AM53" s="623"/>
      <c r="AN53" s="623"/>
      <c r="AO53" s="623"/>
      <c r="AP53" s="623"/>
      <c r="AQ53" s="623"/>
      <c r="AR53" s="623"/>
      <c r="AS53" s="623"/>
      <c r="AT53" s="623"/>
      <c r="AU53" s="623"/>
      <c r="AV53" s="623"/>
      <c r="AW53" s="623"/>
      <c r="AZ53" s="887"/>
      <c r="BA53" s="887"/>
      <c r="BB53" s="887"/>
      <c r="BC53" s="887"/>
      <c r="BD53" s="887"/>
      <c r="BE53" s="887"/>
      <c r="BF53" s="887"/>
      <c r="BG53" s="887"/>
      <c r="BH53" s="842"/>
      <c r="BI53" s="842"/>
      <c r="BJ53" s="842"/>
      <c r="BK53" s="842"/>
      <c r="BL53" s="842"/>
      <c r="BM53" s="842"/>
      <c r="BN53" s="842"/>
      <c r="BO53" s="842"/>
      <c r="BP53" s="842"/>
      <c r="BQ53" s="882"/>
      <c r="BR53" s="842"/>
      <c r="BS53" s="842"/>
      <c r="BT53" s="842"/>
      <c r="BU53" s="842"/>
      <c r="BV53" s="842"/>
      <c r="BW53" s="842"/>
      <c r="BX53" s="842"/>
      <c r="BY53" s="842"/>
      <c r="BZ53" s="842"/>
      <c r="CA53" s="842"/>
      <c r="CB53" s="842"/>
      <c r="CC53" s="887"/>
      <c r="CD53" s="887"/>
      <c r="CE53" s="887"/>
      <c r="CF53" s="887"/>
      <c r="CG53" s="887"/>
      <c r="CH53" s="887"/>
      <c r="CI53" s="887"/>
      <c r="CJ53" s="887"/>
      <c r="CK53" s="887"/>
      <c r="CL53" s="887"/>
      <c r="CM53" s="887"/>
      <c r="CN53" s="887"/>
      <c r="CO53" s="887"/>
      <c r="CP53" s="887"/>
      <c r="CQ53" s="887"/>
      <c r="CR53" s="887"/>
      <c r="CS53" s="887"/>
      <c r="CT53" s="887"/>
      <c r="CU53" s="887"/>
      <c r="CV53" s="887"/>
      <c r="CW53" s="887"/>
      <c r="CX53" s="887"/>
      <c r="CY53" s="887"/>
      <c r="CZ53" s="887"/>
      <c r="DA53" s="887"/>
      <c r="DB53" s="887"/>
      <c r="DC53" s="887"/>
      <c r="DD53" s="887"/>
      <c r="DE53" s="887"/>
      <c r="DF53" s="887"/>
      <c r="DG53" s="887"/>
      <c r="DH53" s="887"/>
      <c r="DI53" s="887"/>
      <c r="DJ53" s="887"/>
      <c r="DK53" s="887"/>
      <c r="DL53" s="887"/>
      <c r="DM53" s="887"/>
    </row>
    <row r="54" spans="3:117" x14ac:dyDescent="0.25">
      <c r="AA54" s="623"/>
      <c r="AB54" s="623"/>
      <c r="AC54" s="623"/>
      <c r="AD54" s="623"/>
      <c r="AE54" s="623"/>
      <c r="AF54" s="623"/>
      <c r="AG54" s="623"/>
      <c r="AH54" s="623"/>
      <c r="AI54" s="623"/>
      <c r="AJ54" s="623"/>
      <c r="AK54" s="623"/>
      <c r="AL54" s="623"/>
      <c r="AM54" s="623"/>
      <c r="AN54" s="623"/>
      <c r="AO54" s="623"/>
      <c r="AP54" s="623"/>
      <c r="AQ54" s="623"/>
      <c r="AR54" s="623"/>
      <c r="AS54" s="623"/>
      <c r="AT54" s="623"/>
      <c r="AU54" s="623"/>
      <c r="AV54" s="623"/>
      <c r="AW54" s="623"/>
      <c r="AZ54" s="887"/>
      <c r="BA54" s="887"/>
      <c r="BB54" s="887"/>
      <c r="BC54" s="887"/>
      <c r="BD54" s="887"/>
      <c r="BE54" s="887"/>
      <c r="BF54" s="887"/>
      <c r="BG54" s="887"/>
      <c r="BH54" s="842"/>
      <c r="BI54" s="842"/>
      <c r="BJ54" s="842"/>
      <c r="BK54" s="842"/>
      <c r="BL54" s="842"/>
      <c r="BM54" s="842"/>
      <c r="BN54" s="842"/>
      <c r="BO54" s="842"/>
      <c r="BP54" s="842"/>
      <c r="BQ54" s="882"/>
      <c r="BR54" s="842"/>
      <c r="BS54" s="842"/>
      <c r="BT54" s="842"/>
      <c r="BU54" s="842"/>
      <c r="BV54" s="842"/>
      <c r="BW54" s="842"/>
      <c r="BX54" s="842"/>
      <c r="BY54" s="842"/>
      <c r="BZ54" s="842"/>
      <c r="CA54" s="842"/>
      <c r="CB54" s="842"/>
      <c r="CC54" s="887"/>
      <c r="CD54" s="887"/>
      <c r="CE54" s="887"/>
      <c r="CF54" s="887"/>
      <c r="CG54" s="887"/>
      <c r="CH54" s="887"/>
      <c r="CI54" s="887"/>
      <c r="CJ54" s="887"/>
      <c r="CK54" s="887"/>
      <c r="CL54" s="887"/>
      <c r="CM54" s="887"/>
      <c r="CN54" s="887"/>
      <c r="CO54" s="887"/>
      <c r="CP54" s="887"/>
      <c r="CQ54" s="887"/>
      <c r="CR54" s="887"/>
      <c r="CS54" s="887"/>
      <c r="CT54" s="887"/>
      <c r="CU54" s="887"/>
      <c r="CV54" s="887"/>
      <c r="CW54" s="887"/>
      <c r="CX54" s="887"/>
      <c r="CY54" s="887"/>
      <c r="CZ54" s="887"/>
      <c r="DA54" s="887"/>
      <c r="DB54" s="887"/>
      <c r="DC54" s="887"/>
      <c r="DD54" s="887"/>
      <c r="DE54" s="887"/>
      <c r="DF54" s="887"/>
      <c r="DG54" s="887"/>
      <c r="DH54" s="887"/>
      <c r="DI54" s="887"/>
      <c r="DJ54" s="887"/>
      <c r="DK54" s="887"/>
      <c r="DL54" s="887"/>
      <c r="DM54" s="887"/>
    </row>
    <row r="55" spans="3:117" x14ac:dyDescent="0.25">
      <c r="AA55" s="623"/>
      <c r="AB55" s="623"/>
      <c r="AC55" s="623"/>
      <c r="AD55" s="623"/>
      <c r="AE55" s="623"/>
      <c r="AF55" s="623"/>
      <c r="AG55" s="623"/>
      <c r="AH55" s="623"/>
      <c r="AI55" s="623"/>
      <c r="AJ55" s="623"/>
      <c r="AK55" s="623"/>
      <c r="AL55" s="623"/>
      <c r="AM55" s="623"/>
      <c r="AN55" s="623"/>
      <c r="AO55" s="623"/>
      <c r="AP55" s="623"/>
      <c r="AQ55" s="623"/>
      <c r="AR55" s="623"/>
      <c r="AS55" s="623"/>
      <c r="AT55" s="623"/>
      <c r="AU55" s="623"/>
      <c r="AV55" s="623"/>
      <c r="AW55" s="623"/>
      <c r="AZ55" s="887"/>
      <c r="BA55" s="887"/>
      <c r="BB55" s="887"/>
      <c r="BC55" s="887"/>
      <c r="BD55" s="887"/>
      <c r="BE55" s="887"/>
      <c r="BF55" s="887"/>
      <c r="BG55" s="887"/>
      <c r="BH55" s="842"/>
      <c r="BI55" s="842"/>
      <c r="BJ55" s="842"/>
      <c r="BK55" s="842"/>
      <c r="BL55" s="842"/>
      <c r="BM55" s="842"/>
      <c r="BN55" s="842"/>
      <c r="BO55" s="842"/>
      <c r="BP55" s="842"/>
      <c r="BQ55" s="882"/>
      <c r="BR55" s="842"/>
      <c r="BS55" s="842"/>
      <c r="BT55" s="842"/>
      <c r="BU55" s="842"/>
      <c r="BV55" s="842"/>
      <c r="BW55" s="842"/>
      <c r="BX55" s="842"/>
      <c r="BY55" s="842"/>
      <c r="BZ55" s="842"/>
      <c r="CA55" s="842"/>
      <c r="CB55" s="842"/>
      <c r="CC55" s="887"/>
      <c r="CD55" s="887"/>
      <c r="CE55" s="887"/>
      <c r="CF55" s="887"/>
      <c r="CG55" s="887"/>
      <c r="CH55" s="887"/>
      <c r="CI55" s="887"/>
      <c r="CJ55" s="887"/>
      <c r="CK55" s="887"/>
      <c r="CL55" s="887"/>
      <c r="CM55" s="887"/>
      <c r="CN55" s="887"/>
      <c r="CO55" s="887"/>
      <c r="CP55" s="887"/>
      <c r="CQ55" s="887"/>
      <c r="CR55" s="887"/>
      <c r="CS55" s="887"/>
      <c r="CT55" s="887"/>
      <c r="CU55" s="887"/>
      <c r="CV55" s="887"/>
      <c r="CW55" s="887"/>
      <c r="CX55" s="887"/>
      <c r="CY55" s="887"/>
      <c r="CZ55" s="887"/>
      <c r="DA55" s="887"/>
      <c r="DB55" s="887"/>
      <c r="DC55" s="887"/>
      <c r="DD55" s="887"/>
      <c r="DE55" s="887"/>
      <c r="DF55" s="887"/>
      <c r="DG55" s="887"/>
      <c r="DH55" s="887"/>
      <c r="DI55" s="887"/>
      <c r="DJ55" s="887"/>
      <c r="DK55" s="887"/>
      <c r="DL55" s="887"/>
      <c r="DM55" s="887"/>
    </row>
    <row r="56" spans="3:117" x14ac:dyDescent="0.25">
      <c r="AA56" s="623"/>
      <c r="AB56" s="623"/>
      <c r="AC56" s="623"/>
      <c r="AD56" s="623"/>
      <c r="AE56" s="623"/>
      <c r="AF56" s="623"/>
      <c r="AG56" s="623"/>
      <c r="AH56" s="623"/>
      <c r="AI56" s="623"/>
      <c r="AJ56" s="623"/>
      <c r="AK56" s="623"/>
      <c r="AL56" s="623"/>
      <c r="AM56" s="623"/>
      <c r="AN56" s="623"/>
      <c r="AO56" s="623"/>
      <c r="AP56" s="623"/>
      <c r="AQ56" s="623"/>
      <c r="AR56" s="623"/>
      <c r="AS56" s="623"/>
      <c r="AT56" s="623"/>
      <c r="AU56" s="623"/>
      <c r="AV56" s="623"/>
      <c r="AW56" s="623"/>
      <c r="AZ56" s="887"/>
      <c r="BA56" s="887"/>
      <c r="BB56" s="887"/>
      <c r="BC56" s="887"/>
      <c r="BD56" s="887"/>
      <c r="BE56" s="887"/>
      <c r="BF56" s="887"/>
      <c r="BG56" s="887"/>
      <c r="BH56" s="842"/>
      <c r="BI56" s="842"/>
      <c r="BJ56" s="842"/>
      <c r="BK56" s="842"/>
      <c r="BL56" s="842"/>
      <c r="BM56" s="842"/>
      <c r="BN56" s="842"/>
      <c r="BO56" s="842"/>
      <c r="BP56" s="842"/>
      <c r="BQ56" s="882"/>
      <c r="BR56" s="842"/>
      <c r="BS56" s="842"/>
      <c r="BT56" s="842"/>
      <c r="BU56" s="842"/>
      <c r="BV56" s="842"/>
      <c r="BW56" s="842"/>
      <c r="BX56" s="842"/>
      <c r="BY56" s="842"/>
      <c r="BZ56" s="842"/>
      <c r="CA56" s="842"/>
      <c r="CB56" s="842"/>
      <c r="CC56" s="887"/>
      <c r="CD56" s="887"/>
      <c r="CE56" s="887"/>
      <c r="CF56" s="887"/>
      <c r="CG56" s="887"/>
      <c r="CH56" s="887"/>
      <c r="CI56" s="887"/>
      <c r="CJ56" s="887"/>
      <c r="CK56" s="887"/>
      <c r="CL56" s="887"/>
      <c r="CM56" s="887"/>
      <c r="CN56" s="887"/>
      <c r="CO56" s="887"/>
      <c r="CP56" s="887"/>
      <c r="CQ56" s="887"/>
      <c r="CR56" s="887"/>
      <c r="CS56" s="887"/>
      <c r="CT56" s="887"/>
      <c r="CU56" s="887"/>
      <c r="CV56" s="887"/>
      <c r="CW56" s="887"/>
      <c r="CX56" s="887"/>
      <c r="CY56" s="887"/>
      <c r="CZ56" s="887"/>
      <c r="DA56" s="887"/>
      <c r="DB56" s="887"/>
      <c r="DC56" s="887"/>
      <c r="DD56" s="887"/>
      <c r="DE56" s="887"/>
      <c r="DF56" s="887"/>
      <c r="DG56" s="887"/>
      <c r="DH56" s="887"/>
      <c r="DI56" s="887"/>
      <c r="DJ56" s="887"/>
      <c r="DK56" s="887"/>
      <c r="DL56" s="887"/>
      <c r="DM56" s="887"/>
    </row>
    <row r="57" spans="3:117" x14ac:dyDescent="0.25">
      <c r="AZ57" s="887"/>
      <c r="BA57" s="887"/>
      <c r="BB57" s="887"/>
      <c r="BC57" s="887"/>
      <c r="BD57" s="887"/>
      <c r="BE57" s="887"/>
      <c r="BF57" s="887"/>
      <c r="BG57" s="887"/>
      <c r="BH57" s="842"/>
      <c r="BI57" s="842"/>
      <c r="BJ57" s="842"/>
      <c r="BK57" s="842"/>
      <c r="BL57" s="842"/>
      <c r="BM57" s="842"/>
      <c r="BN57" s="842"/>
      <c r="BO57" s="842"/>
      <c r="BP57" s="842"/>
      <c r="BQ57" s="882"/>
      <c r="BR57" s="842"/>
      <c r="BS57" s="842"/>
      <c r="BT57" s="842"/>
      <c r="BU57" s="842"/>
      <c r="BV57" s="842"/>
      <c r="BW57" s="842"/>
      <c r="BX57" s="842"/>
      <c r="BY57" s="842"/>
      <c r="BZ57" s="842"/>
      <c r="CA57" s="842"/>
      <c r="CB57" s="842"/>
      <c r="CC57" s="887"/>
      <c r="CD57" s="887"/>
      <c r="CE57" s="887"/>
      <c r="CF57" s="887"/>
      <c r="CG57" s="887"/>
      <c r="CH57" s="887"/>
      <c r="CI57" s="887"/>
      <c r="CJ57" s="887"/>
      <c r="CK57" s="887"/>
      <c r="CL57" s="887"/>
      <c r="CM57" s="887"/>
      <c r="CN57" s="887"/>
      <c r="CO57" s="887"/>
      <c r="CP57" s="887"/>
      <c r="CQ57" s="887"/>
      <c r="CR57" s="887"/>
      <c r="CS57" s="887"/>
      <c r="CT57" s="887"/>
      <c r="CU57" s="887"/>
      <c r="CV57" s="887"/>
      <c r="CW57" s="887"/>
      <c r="CX57" s="887"/>
      <c r="CY57" s="887"/>
      <c r="CZ57" s="887"/>
      <c r="DA57" s="887"/>
      <c r="DB57" s="887"/>
      <c r="DC57" s="887"/>
      <c r="DD57" s="887"/>
      <c r="DE57" s="887"/>
      <c r="DF57" s="887"/>
      <c r="DG57" s="887"/>
      <c r="DH57" s="887"/>
      <c r="DI57" s="887"/>
      <c r="DJ57" s="887"/>
      <c r="DK57" s="887"/>
      <c r="DL57" s="887"/>
      <c r="DM57" s="887"/>
    </row>
    <row r="58" spans="3:117" x14ac:dyDescent="0.25">
      <c r="AZ58" s="887"/>
      <c r="BA58" s="887"/>
      <c r="BB58" s="887"/>
      <c r="BC58" s="887"/>
      <c r="BD58" s="887"/>
      <c r="BE58" s="887"/>
      <c r="BF58" s="887"/>
      <c r="BG58" s="887"/>
      <c r="BH58" s="842"/>
      <c r="BI58" s="842"/>
      <c r="BJ58" s="842"/>
      <c r="BK58" s="842"/>
      <c r="BL58" s="842"/>
      <c r="BM58" s="842"/>
      <c r="BN58" s="842"/>
      <c r="BO58" s="842"/>
      <c r="BP58" s="842"/>
      <c r="BQ58" s="882"/>
      <c r="BR58" s="842"/>
      <c r="BS58" s="842"/>
      <c r="BT58" s="842"/>
      <c r="BU58" s="842"/>
      <c r="BV58" s="842"/>
      <c r="BW58" s="842"/>
      <c r="BX58" s="842"/>
      <c r="BY58" s="842"/>
      <c r="BZ58" s="842"/>
      <c r="CA58" s="842"/>
      <c r="CB58" s="842"/>
      <c r="CC58" s="887"/>
      <c r="CD58" s="887"/>
      <c r="CE58" s="887"/>
      <c r="CF58" s="887"/>
      <c r="CG58" s="887"/>
      <c r="CH58" s="887"/>
      <c r="CI58" s="887"/>
      <c r="CJ58" s="887"/>
      <c r="CK58" s="887"/>
      <c r="CL58" s="887"/>
      <c r="CM58" s="887"/>
      <c r="CN58" s="887"/>
      <c r="CO58" s="887"/>
      <c r="CP58" s="887"/>
      <c r="CQ58" s="887"/>
      <c r="CR58" s="887"/>
      <c r="CS58" s="887"/>
      <c r="CT58" s="887"/>
      <c r="CU58" s="887"/>
      <c r="CV58" s="887"/>
      <c r="CW58" s="887"/>
      <c r="CX58" s="887"/>
      <c r="CY58" s="887"/>
      <c r="CZ58" s="887"/>
      <c r="DA58" s="887"/>
      <c r="DB58" s="887"/>
      <c r="DC58" s="887"/>
      <c r="DD58" s="887"/>
      <c r="DE58" s="887"/>
      <c r="DF58" s="887"/>
      <c r="DG58" s="887"/>
      <c r="DH58" s="887"/>
      <c r="DI58" s="887"/>
      <c r="DJ58" s="887"/>
      <c r="DK58" s="887"/>
      <c r="DL58" s="887"/>
      <c r="DM58" s="887"/>
    </row>
    <row r="59" spans="3:117" x14ac:dyDescent="0.25">
      <c r="AZ59" s="887"/>
      <c r="BA59" s="887"/>
      <c r="BB59" s="887"/>
      <c r="BC59" s="887"/>
      <c r="BD59" s="887"/>
      <c r="BE59" s="887"/>
      <c r="BF59" s="887"/>
      <c r="BG59" s="887"/>
      <c r="BH59" s="842"/>
      <c r="BI59" s="842"/>
      <c r="BJ59" s="842"/>
      <c r="BK59" s="842"/>
      <c r="BL59" s="842"/>
      <c r="BM59" s="842"/>
      <c r="BN59" s="842"/>
      <c r="BO59" s="842"/>
      <c r="BP59" s="842"/>
      <c r="BQ59" s="882"/>
      <c r="BR59" s="842"/>
      <c r="BS59" s="842"/>
      <c r="BT59" s="842"/>
      <c r="BU59" s="842"/>
      <c r="BV59" s="842"/>
      <c r="BW59" s="842"/>
      <c r="BX59" s="842"/>
      <c r="BY59" s="842"/>
      <c r="BZ59" s="842"/>
      <c r="CA59" s="842"/>
      <c r="CB59" s="842"/>
      <c r="CC59" s="887"/>
      <c r="CD59" s="887"/>
      <c r="CE59" s="887"/>
      <c r="CF59" s="887"/>
      <c r="CG59" s="887"/>
      <c r="CH59" s="887"/>
      <c r="CI59" s="887"/>
      <c r="CJ59" s="887"/>
      <c r="CK59" s="887"/>
      <c r="CL59" s="887"/>
      <c r="CM59" s="887"/>
      <c r="CN59" s="887"/>
      <c r="CO59" s="887"/>
      <c r="CP59" s="887"/>
      <c r="CQ59" s="887"/>
      <c r="CR59" s="887"/>
      <c r="CS59" s="887"/>
      <c r="CT59" s="887"/>
      <c r="CU59" s="887"/>
      <c r="CV59" s="887"/>
      <c r="CW59" s="887"/>
      <c r="CX59" s="887"/>
      <c r="CY59" s="887"/>
      <c r="CZ59" s="887"/>
      <c r="DA59" s="887"/>
      <c r="DB59" s="887"/>
      <c r="DC59" s="887"/>
      <c r="DD59" s="887"/>
      <c r="DE59" s="887"/>
      <c r="DF59" s="887"/>
      <c r="DG59" s="887"/>
      <c r="DH59" s="887"/>
      <c r="DI59" s="887"/>
      <c r="DJ59" s="887"/>
      <c r="DK59" s="887"/>
      <c r="DL59" s="887"/>
      <c r="DM59" s="887"/>
    </row>
    <row r="60" spans="3:117" x14ac:dyDescent="0.25">
      <c r="AZ60" s="887"/>
      <c r="BA60" s="887"/>
      <c r="BB60" s="887"/>
      <c r="BC60" s="887"/>
      <c r="BD60" s="887"/>
      <c r="BE60" s="887"/>
      <c r="BF60" s="887"/>
      <c r="BG60" s="887"/>
      <c r="BH60" s="842"/>
      <c r="BI60" s="842"/>
      <c r="BJ60" s="842"/>
      <c r="BK60" s="842"/>
      <c r="BL60" s="842"/>
      <c r="BM60" s="842"/>
      <c r="BN60" s="842"/>
      <c r="BO60" s="842"/>
      <c r="BP60" s="842"/>
      <c r="BQ60" s="882"/>
      <c r="BR60" s="842"/>
      <c r="BS60" s="842"/>
      <c r="BT60" s="842"/>
      <c r="BU60" s="842"/>
      <c r="BV60" s="842"/>
      <c r="BW60" s="842"/>
      <c r="BX60" s="842"/>
      <c r="BY60" s="842"/>
      <c r="BZ60" s="842"/>
      <c r="CA60" s="842"/>
      <c r="CB60" s="842"/>
      <c r="CC60" s="887"/>
      <c r="CD60" s="887"/>
      <c r="CE60" s="887"/>
      <c r="CF60" s="887"/>
      <c r="CG60" s="887"/>
      <c r="CH60" s="887"/>
      <c r="CI60" s="887"/>
      <c r="CJ60" s="887"/>
      <c r="CK60" s="887"/>
      <c r="CL60" s="887"/>
      <c r="CM60" s="887"/>
      <c r="CN60" s="887"/>
      <c r="CO60" s="887"/>
      <c r="CP60" s="887"/>
      <c r="CQ60" s="887"/>
      <c r="CR60" s="887"/>
      <c r="CS60" s="887"/>
      <c r="CT60" s="887"/>
      <c r="CU60" s="887"/>
      <c r="CV60" s="887"/>
      <c r="CW60" s="887"/>
      <c r="CX60" s="887"/>
      <c r="CY60" s="887"/>
      <c r="CZ60" s="887"/>
      <c r="DA60" s="887"/>
      <c r="DB60" s="887"/>
      <c r="DC60" s="887"/>
      <c r="DD60" s="887"/>
      <c r="DE60" s="887"/>
      <c r="DF60" s="887"/>
      <c r="DG60" s="887"/>
      <c r="DH60" s="887"/>
      <c r="DI60" s="887"/>
      <c r="DJ60" s="887"/>
      <c r="DK60" s="887"/>
      <c r="DL60" s="887"/>
      <c r="DM60" s="887"/>
    </row>
    <row r="61" spans="3:117" x14ac:dyDescent="0.25">
      <c r="AZ61" s="887"/>
      <c r="BA61" s="887"/>
      <c r="BB61" s="887"/>
      <c r="BC61" s="887"/>
      <c r="BD61" s="887"/>
      <c r="BE61" s="887"/>
      <c r="BF61" s="887"/>
      <c r="BG61" s="887"/>
      <c r="BH61" s="842"/>
      <c r="BI61" s="842"/>
      <c r="BJ61" s="842"/>
      <c r="BK61" s="842"/>
      <c r="BL61" s="842"/>
      <c r="BM61" s="842"/>
      <c r="BN61" s="842"/>
      <c r="BO61" s="842"/>
      <c r="BP61" s="842"/>
      <c r="BQ61" s="882"/>
      <c r="BR61" s="842"/>
      <c r="BS61" s="842"/>
      <c r="BT61" s="842"/>
      <c r="BU61" s="842"/>
      <c r="BV61" s="842"/>
      <c r="BW61" s="842"/>
      <c r="BX61" s="842"/>
      <c r="BY61" s="842"/>
      <c r="BZ61" s="842"/>
      <c r="CA61" s="842"/>
      <c r="CB61" s="842"/>
      <c r="CC61" s="887"/>
      <c r="CD61" s="887"/>
      <c r="CE61" s="887"/>
      <c r="CF61" s="887"/>
      <c r="CG61" s="887"/>
      <c r="CH61" s="887"/>
      <c r="CI61" s="887"/>
      <c r="CJ61" s="887"/>
      <c r="CK61" s="887"/>
      <c r="CL61" s="887"/>
      <c r="CM61" s="887"/>
      <c r="CN61" s="887"/>
      <c r="CO61" s="887"/>
      <c r="CP61" s="887"/>
      <c r="CQ61" s="887"/>
      <c r="CR61" s="887"/>
      <c r="CS61" s="887"/>
      <c r="CT61" s="887"/>
      <c r="CU61" s="887"/>
      <c r="CV61" s="887"/>
      <c r="CW61" s="887"/>
      <c r="CX61" s="887"/>
      <c r="CY61" s="887"/>
      <c r="CZ61" s="887"/>
      <c r="DA61" s="887"/>
      <c r="DB61" s="887"/>
      <c r="DC61" s="887"/>
      <c r="DD61" s="887"/>
      <c r="DE61" s="887"/>
      <c r="DF61" s="887"/>
      <c r="DG61" s="887"/>
      <c r="DH61" s="887"/>
      <c r="DI61" s="887"/>
      <c r="DJ61" s="887"/>
      <c r="DK61" s="887"/>
      <c r="DL61" s="887"/>
      <c r="DM61" s="887"/>
    </row>
    <row r="62" spans="3:117" x14ac:dyDescent="0.25">
      <c r="AZ62" s="887"/>
      <c r="BA62" s="887"/>
      <c r="BB62" s="887"/>
      <c r="BC62" s="887"/>
      <c r="BD62" s="887"/>
      <c r="BE62" s="887"/>
      <c r="BF62" s="887"/>
      <c r="BG62" s="887"/>
      <c r="BH62" s="842"/>
      <c r="BI62" s="842"/>
      <c r="BJ62" s="842"/>
      <c r="BK62" s="842"/>
      <c r="BL62" s="842"/>
      <c r="BM62" s="842"/>
      <c r="BN62" s="842"/>
      <c r="BO62" s="842"/>
      <c r="BP62" s="842"/>
      <c r="BQ62" s="882"/>
      <c r="BR62" s="842"/>
      <c r="BS62" s="842"/>
      <c r="BT62" s="842"/>
      <c r="BU62" s="842"/>
      <c r="BV62" s="842"/>
      <c r="BW62" s="842"/>
      <c r="BX62" s="842"/>
      <c r="BY62" s="842"/>
      <c r="BZ62" s="842"/>
      <c r="CA62" s="842"/>
      <c r="CB62" s="842"/>
      <c r="CC62" s="887"/>
      <c r="CD62" s="887"/>
      <c r="CE62" s="887"/>
      <c r="CF62" s="887"/>
      <c r="CG62" s="887"/>
      <c r="CH62" s="887"/>
      <c r="CI62" s="887"/>
      <c r="CJ62" s="887"/>
      <c r="CK62" s="887"/>
      <c r="CL62" s="887"/>
      <c r="CM62" s="887"/>
      <c r="CN62" s="887"/>
      <c r="CO62" s="887"/>
      <c r="CP62" s="887"/>
      <c r="CQ62" s="887"/>
      <c r="CR62" s="887"/>
      <c r="CS62" s="887"/>
      <c r="CT62" s="887"/>
      <c r="CU62" s="887"/>
      <c r="CV62" s="887"/>
      <c r="CW62" s="887"/>
      <c r="CX62" s="887"/>
      <c r="CY62" s="887"/>
      <c r="CZ62" s="887"/>
      <c r="DA62" s="887"/>
      <c r="DB62" s="887"/>
      <c r="DC62" s="887"/>
      <c r="DD62" s="887"/>
      <c r="DE62" s="887"/>
      <c r="DF62" s="887"/>
      <c r="DG62" s="887"/>
      <c r="DH62" s="887"/>
      <c r="DI62" s="887"/>
      <c r="DJ62" s="887"/>
      <c r="DK62" s="887"/>
      <c r="DL62" s="887"/>
      <c r="DM62" s="887"/>
    </row>
    <row r="63" spans="3:117" x14ac:dyDescent="0.25">
      <c r="AZ63" s="887"/>
      <c r="BA63" s="887"/>
      <c r="BB63" s="887"/>
      <c r="BC63" s="887"/>
      <c r="BD63" s="887"/>
      <c r="BE63" s="887"/>
      <c r="BF63" s="887"/>
      <c r="BG63" s="887"/>
      <c r="BH63" s="842"/>
      <c r="BI63" s="842"/>
      <c r="BJ63" s="842"/>
      <c r="BK63" s="842"/>
      <c r="BL63" s="842"/>
      <c r="BM63" s="842"/>
      <c r="BN63" s="842"/>
      <c r="BO63" s="842"/>
      <c r="BP63" s="842"/>
      <c r="BQ63" s="882"/>
      <c r="BR63" s="842"/>
      <c r="BS63" s="842"/>
      <c r="BT63" s="842"/>
      <c r="BU63" s="842"/>
      <c r="BV63" s="842"/>
      <c r="BW63" s="842"/>
      <c r="BX63" s="842"/>
      <c r="BY63" s="842"/>
      <c r="BZ63" s="842"/>
      <c r="CA63" s="842"/>
      <c r="CB63" s="842"/>
      <c r="CC63" s="887"/>
      <c r="CD63" s="887"/>
      <c r="CE63" s="887"/>
      <c r="CF63" s="887"/>
      <c r="CG63" s="887"/>
      <c r="CH63" s="887"/>
      <c r="CI63" s="887"/>
      <c r="CJ63" s="887"/>
      <c r="CK63" s="887"/>
      <c r="CL63" s="887"/>
      <c r="CM63" s="887"/>
      <c r="CN63" s="887"/>
      <c r="CO63" s="887"/>
      <c r="CP63" s="887"/>
      <c r="CQ63" s="887"/>
      <c r="CR63" s="887"/>
      <c r="CS63" s="887"/>
      <c r="CT63" s="887"/>
      <c r="CU63" s="887"/>
      <c r="CV63" s="887"/>
      <c r="CW63" s="887"/>
      <c r="CX63" s="887"/>
      <c r="CY63" s="887"/>
      <c r="CZ63" s="887"/>
      <c r="DA63" s="887"/>
      <c r="DB63" s="887"/>
      <c r="DC63" s="887"/>
      <c r="DD63" s="887"/>
      <c r="DE63" s="887"/>
      <c r="DF63" s="887"/>
      <c r="DG63" s="887"/>
      <c r="DH63" s="887"/>
      <c r="DI63" s="887"/>
      <c r="DJ63" s="887"/>
      <c r="DK63" s="887"/>
      <c r="DL63" s="887"/>
      <c r="DM63" s="887"/>
    </row>
    <row r="64" spans="3:117" x14ac:dyDescent="0.25">
      <c r="AZ64" s="887"/>
      <c r="BA64" s="887"/>
      <c r="BB64" s="887"/>
      <c r="BC64" s="887"/>
      <c r="BD64" s="887"/>
      <c r="BE64" s="887"/>
      <c r="BF64" s="887"/>
      <c r="BG64" s="887"/>
      <c r="BH64" s="842"/>
      <c r="BI64" s="842"/>
      <c r="BJ64" s="842"/>
      <c r="BK64" s="842"/>
      <c r="BL64" s="842"/>
      <c r="BM64" s="842"/>
      <c r="BN64" s="842"/>
      <c r="BO64" s="842"/>
      <c r="BP64" s="842"/>
      <c r="BQ64" s="882"/>
      <c r="BR64" s="842"/>
      <c r="BS64" s="842"/>
      <c r="BT64" s="842"/>
      <c r="BU64" s="842"/>
      <c r="BV64" s="842"/>
      <c r="BW64" s="842"/>
      <c r="BX64" s="842"/>
      <c r="BY64" s="842"/>
      <c r="BZ64" s="842"/>
      <c r="CA64" s="842"/>
      <c r="CB64" s="842"/>
      <c r="CC64" s="887"/>
      <c r="CD64" s="887"/>
      <c r="CE64" s="887"/>
      <c r="CF64" s="887"/>
      <c r="CG64" s="887"/>
      <c r="CH64" s="887"/>
      <c r="CI64" s="887"/>
      <c r="CJ64" s="887"/>
      <c r="CK64" s="887"/>
      <c r="CL64" s="887"/>
      <c r="CM64" s="887"/>
      <c r="CN64" s="887"/>
      <c r="CO64" s="887"/>
      <c r="CP64" s="887"/>
      <c r="CQ64" s="887"/>
      <c r="CR64" s="887"/>
      <c r="CS64" s="887"/>
      <c r="CT64" s="887"/>
      <c r="CU64" s="887"/>
      <c r="CV64" s="887"/>
      <c r="CW64" s="887"/>
      <c r="CX64" s="887"/>
      <c r="CY64" s="887"/>
      <c r="CZ64" s="887"/>
      <c r="DA64" s="887"/>
      <c r="DB64" s="887"/>
      <c r="DC64" s="887"/>
      <c r="DD64" s="887"/>
      <c r="DE64" s="887"/>
      <c r="DF64" s="887"/>
      <c r="DG64" s="887"/>
      <c r="DH64" s="887"/>
      <c r="DI64" s="887"/>
      <c r="DJ64" s="887"/>
      <c r="DK64" s="887"/>
      <c r="DL64" s="887"/>
      <c r="DM64" s="887"/>
    </row>
    <row r="65" spans="52:117" x14ac:dyDescent="0.25">
      <c r="AZ65" s="887"/>
      <c r="BA65" s="887"/>
      <c r="BB65" s="887"/>
      <c r="BC65" s="887"/>
      <c r="BD65" s="887"/>
      <c r="BE65" s="887"/>
      <c r="BF65" s="887"/>
      <c r="BG65" s="887"/>
      <c r="BH65" s="842"/>
      <c r="BI65" s="842"/>
      <c r="BJ65" s="842"/>
      <c r="BK65" s="842"/>
      <c r="BL65" s="842"/>
      <c r="BM65" s="842"/>
      <c r="BN65" s="842"/>
      <c r="BO65" s="842"/>
      <c r="BP65" s="842"/>
      <c r="BQ65" s="882"/>
      <c r="BR65" s="842"/>
      <c r="BS65" s="842"/>
      <c r="BT65" s="842"/>
      <c r="BU65" s="842"/>
      <c r="BV65" s="842"/>
      <c r="BW65" s="842"/>
      <c r="BX65" s="842"/>
      <c r="BY65" s="842"/>
      <c r="BZ65" s="842"/>
      <c r="CA65" s="842"/>
      <c r="CB65" s="842"/>
      <c r="CC65" s="887"/>
      <c r="CD65" s="887"/>
      <c r="CE65" s="887"/>
      <c r="CF65" s="887"/>
      <c r="CG65" s="887"/>
      <c r="CH65" s="887"/>
      <c r="CI65" s="887"/>
      <c r="CJ65" s="887"/>
      <c r="CK65" s="887"/>
      <c r="CL65" s="887"/>
      <c r="CM65" s="887"/>
      <c r="CN65" s="887"/>
      <c r="CO65" s="887"/>
      <c r="CP65" s="887"/>
      <c r="CQ65" s="887"/>
      <c r="CR65" s="887"/>
      <c r="CS65" s="887"/>
      <c r="CT65" s="887"/>
      <c r="CU65" s="887"/>
      <c r="CV65" s="887"/>
      <c r="CW65" s="887"/>
      <c r="CX65" s="887"/>
      <c r="CY65" s="887"/>
      <c r="CZ65" s="887"/>
      <c r="DA65" s="887"/>
      <c r="DB65" s="887"/>
      <c r="DC65" s="887"/>
      <c r="DD65" s="887"/>
      <c r="DE65" s="887"/>
      <c r="DF65" s="887"/>
      <c r="DG65" s="887"/>
      <c r="DH65" s="887"/>
      <c r="DI65" s="887"/>
      <c r="DJ65" s="887"/>
      <c r="DK65" s="887"/>
      <c r="DL65" s="887"/>
      <c r="DM65" s="887"/>
    </row>
    <row r="66" spans="52:117" x14ac:dyDescent="0.25">
      <c r="AZ66" s="887"/>
      <c r="BA66" s="887"/>
      <c r="BB66" s="887"/>
      <c r="BC66" s="887"/>
      <c r="BD66" s="887"/>
      <c r="BE66" s="887"/>
      <c r="BF66" s="887"/>
      <c r="BG66" s="887"/>
      <c r="BH66" s="842"/>
      <c r="BI66" s="842"/>
      <c r="BJ66" s="842"/>
      <c r="BK66" s="842"/>
      <c r="BL66" s="842"/>
      <c r="BM66" s="842"/>
      <c r="BN66" s="842"/>
      <c r="BO66" s="842"/>
      <c r="BP66" s="842"/>
      <c r="BQ66" s="882"/>
      <c r="BR66" s="842"/>
      <c r="BS66" s="842"/>
      <c r="BT66" s="842"/>
      <c r="BU66" s="842"/>
      <c r="BV66" s="842"/>
      <c r="BW66" s="842"/>
      <c r="BX66" s="842"/>
      <c r="BY66" s="842"/>
      <c r="BZ66" s="842"/>
      <c r="CA66" s="842"/>
      <c r="CB66" s="842"/>
      <c r="CC66" s="887"/>
      <c r="CD66" s="887"/>
      <c r="CE66" s="887"/>
      <c r="CF66" s="887"/>
      <c r="CG66" s="887"/>
      <c r="CH66" s="887"/>
      <c r="CI66" s="887"/>
      <c r="CJ66" s="887"/>
      <c r="CK66" s="887"/>
      <c r="CL66" s="887"/>
      <c r="CM66" s="887"/>
      <c r="CN66" s="887"/>
      <c r="CO66" s="887"/>
      <c r="CP66" s="887"/>
      <c r="CQ66" s="887"/>
      <c r="CR66" s="887"/>
      <c r="CS66" s="887"/>
      <c r="CT66" s="887"/>
      <c r="CU66" s="887"/>
      <c r="CV66" s="887"/>
      <c r="CW66" s="887"/>
      <c r="CX66" s="887"/>
      <c r="CY66" s="887"/>
      <c r="CZ66" s="887"/>
      <c r="DA66" s="887"/>
      <c r="DB66" s="887"/>
      <c r="DC66" s="887"/>
      <c r="DD66" s="887"/>
      <c r="DE66" s="887"/>
      <c r="DF66" s="887"/>
      <c r="DG66" s="887"/>
      <c r="DH66" s="887"/>
      <c r="DI66" s="887"/>
      <c r="DJ66" s="887"/>
      <c r="DK66" s="887"/>
      <c r="DL66" s="887"/>
      <c r="DM66" s="887"/>
    </row>
    <row r="67" spans="52:117" x14ac:dyDescent="0.25">
      <c r="AZ67" s="887"/>
      <c r="BA67" s="887"/>
      <c r="BB67" s="887"/>
      <c r="BC67" s="887"/>
      <c r="BD67" s="887"/>
      <c r="BE67" s="887"/>
      <c r="BF67" s="887"/>
      <c r="BG67" s="887"/>
      <c r="BH67" s="842"/>
      <c r="BI67" s="842"/>
      <c r="BJ67" s="842"/>
      <c r="BK67" s="842"/>
      <c r="BL67" s="842"/>
      <c r="BM67" s="842"/>
      <c r="BN67" s="842"/>
      <c r="BO67" s="842"/>
      <c r="BP67" s="842"/>
      <c r="BQ67" s="882"/>
      <c r="BR67" s="842"/>
      <c r="BS67" s="842"/>
      <c r="BT67" s="842"/>
      <c r="BU67" s="842"/>
      <c r="BV67" s="842"/>
      <c r="BW67" s="842"/>
      <c r="BX67" s="842"/>
      <c r="BY67" s="842"/>
      <c r="BZ67" s="842"/>
      <c r="CA67" s="842"/>
      <c r="CB67" s="842"/>
      <c r="CC67" s="887"/>
      <c r="CD67" s="887"/>
      <c r="CE67" s="887"/>
      <c r="CF67" s="887"/>
      <c r="CG67" s="887"/>
      <c r="CH67" s="887"/>
      <c r="CI67" s="887"/>
      <c r="CJ67" s="887"/>
      <c r="CK67" s="887"/>
      <c r="CL67" s="887"/>
      <c r="CM67" s="887"/>
      <c r="CN67" s="887"/>
      <c r="CO67" s="887"/>
      <c r="CP67" s="887"/>
      <c r="CQ67" s="887"/>
      <c r="CR67" s="887"/>
      <c r="CS67" s="887"/>
      <c r="CT67" s="887"/>
      <c r="CU67" s="887"/>
      <c r="CV67" s="887"/>
      <c r="CW67" s="887"/>
      <c r="CX67" s="887"/>
      <c r="CY67" s="887"/>
      <c r="CZ67" s="887"/>
      <c r="DA67" s="887"/>
      <c r="DB67" s="887"/>
      <c r="DC67" s="887"/>
      <c r="DD67" s="887"/>
      <c r="DE67" s="887"/>
      <c r="DF67" s="887"/>
      <c r="DG67" s="887"/>
      <c r="DH67" s="887"/>
      <c r="DI67" s="887"/>
      <c r="DJ67" s="887"/>
      <c r="DK67" s="887"/>
      <c r="DL67" s="887"/>
      <c r="DM67" s="887"/>
    </row>
    <row r="68" spans="52:117" x14ac:dyDescent="0.25">
      <c r="AZ68" s="887"/>
      <c r="BA68" s="887"/>
      <c r="BB68" s="887"/>
      <c r="BC68" s="887"/>
      <c r="BD68" s="887"/>
      <c r="BE68" s="887"/>
      <c r="BF68" s="887"/>
      <c r="BG68" s="887"/>
      <c r="BH68" s="842"/>
      <c r="BI68" s="842"/>
      <c r="BJ68" s="842"/>
      <c r="BK68" s="842"/>
      <c r="BL68" s="842"/>
      <c r="BM68" s="842"/>
      <c r="BN68" s="842"/>
      <c r="BO68" s="842"/>
      <c r="BP68" s="842"/>
      <c r="BQ68" s="882"/>
      <c r="BR68" s="842"/>
      <c r="BS68" s="842"/>
      <c r="BT68" s="842"/>
      <c r="BU68" s="842"/>
      <c r="BV68" s="842"/>
      <c r="BW68" s="842"/>
      <c r="BX68" s="842"/>
      <c r="BY68" s="842"/>
      <c r="BZ68" s="842"/>
      <c r="CA68" s="842"/>
      <c r="CB68" s="842"/>
      <c r="CC68" s="887"/>
      <c r="CD68" s="887"/>
      <c r="CE68" s="887"/>
      <c r="CF68" s="887"/>
      <c r="CG68" s="887"/>
      <c r="CH68" s="887"/>
      <c r="CI68" s="887"/>
      <c r="CJ68" s="887"/>
      <c r="CK68" s="887"/>
      <c r="CL68" s="887"/>
      <c r="CM68" s="887"/>
      <c r="CN68" s="887"/>
      <c r="CO68" s="887"/>
      <c r="CP68" s="887"/>
      <c r="CQ68" s="887"/>
      <c r="CR68" s="887"/>
      <c r="CS68" s="887"/>
      <c r="CT68" s="887"/>
      <c r="CU68" s="887"/>
      <c r="CV68" s="887"/>
      <c r="CW68" s="887"/>
      <c r="CX68" s="887"/>
      <c r="CY68" s="887"/>
      <c r="CZ68" s="887"/>
      <c r="DA68" s="887"/>
      <c r="DB68" s="887"/>
      <c r="DC68" s="887"/>
      <c r="DD68" s="887"/>
      <c r="DE68" s="887"/>
      <c r="DF68" s="887"/>
      <c r="DG68" s="887"/>
      <c r="DH68" s="887"/>
      <c r="DI68" s="887"/>
      <c r="DJ68" s="887"/>
      <c r="DK68" s="887"/>
      <c r="DL68" s="887"/>
      <c r="DM68" s="887"/>
    </row>
    <row r="69" spans="52:117" x14ac:dyDescent="0.25">
      <c r="AZ69" s="887"/>
      <c r="BA69" s="887"/>
      <c r="BB69" s="887"/>
      <c r="BC69" s="887"/>
      <c r="BD69" s="887"/>
      <c r="BE69" s="887"/>
      <c r="BF69" s="887"/>
      <c r="BG69" s="887"/>
      <c r="BH69" s="842"/>
      <c r="BI69" s="842"/>
      <c r="BJ69" s="842"/>
      <c r="BK69" s="842"/>
      <c r="BL69" s="842"/>
      <c r="BM69" s="842"/>
      <c r="BN69" s="842"/>
      <c r="BO69" s="842"/>
      <c r="BP69" s="842"/>
      <c r="BQ69" s="882"/>
      <c r="BR69" s="842"/>
      <c r="BS69" s="842"/>
      <c r="BT69" s="842"/>
      <c r="BU69" s="842"/>
      <c r="BV69" s="842"/>
      <c r="BW69" s="842"/>
      <c r="BX69" s="842"/>
      <c r="BY69" s="842"/>
      <c r="BZ69" s="842"/>
      <c r="CA69" s="842"/>
      <c r="CB69" s="842"/>
      <c r="CC69" s="887"/>
      <c r="CD69" s="887"/>
      <c r="CE69" s="887"/>
      <c r="CF69" s="887"/>
      <c r="CG69" s="887"/>
      <c r="CH69" s="887"/>
      <c r="CI69" s="887"/>
      <c r="CJ69" s="887"/>
      <c r="CK69" s="887"/>
      <c r="CL69" s="887"/>
      <c r="CM69" s="887"/>
      <c r="CN69" s="887"/>
      <c r="CO69" s="887"/>
      <c r="CP69" s="887"/>
      <c r="CQ69" s="887"/>
      <c r="CR69" s="887"/>
      <c r="CS69" s="887"/>
      <c r="CT69" s="887"/>
      <c r="CU69" s="887"/>
      <c r="CV69" s="887"/>
      <c r="CW69" s="887"/>
      <c r="CX69" s="887"/>
      <c r="CY69" s="887"/>
      <c r="CZ69" s="887"/>
      <c r="DA69" s="887"/>
      <c r="DB69" s="887"/>
      <c r="DC69" s="887"/>
      <c r="DD69" s="887"/>
      <c r="DE69" s="887"/>
      <c r="DF69" s="887"/>
      <c r="DG69" s="887"/>
      <c r="DH69" s="887"/>
      <c r="DI69" s="887"/>
      <c r="DJ69" s="887"/>
      <c r="DK69" s="887"/>
      <c r="DL69" s="887"/>
      <c r="DM69" s="887"/>
    </row>
    <row r="70" spans="52:117" x14ac:dyDescent="0.25">
      <c r="AZ70" s="887"/>
      <c r="BA70" s="887"/>
      <c r="BB70" s="887"/>
      <c r="BC70" s="887"/>
      <c r="BD70" s="887"/>
      <c r="BE70" s="887"/>
      <c r="BF70" s="887"/>
      <c r="BG70" s="887"/>
      <c r="BH70" s="842"/>
      <c r="BI70" s="842"/>
      <c r="BJ70" s="842"/>
      <c r="BK70" s="842"/>
      <c r="BL70" s="842"/>
      <c r="BM70" s="842"/>
      <c r="BN70" s="842"/>
      <c r="BO70" s="842"/>
      <c r="BP70" s="842"/>
      <c r="BQ70" s="882"/>
      <c r="BR70" s="842"/>
      <c r="BS70" s="842"/>
      <c r="BT70" s="842"/>
      <c r="BU70" s="842"/>
      <c r="BV70" s="842"/>
      <c r="BW70" s="842"/>
      <c r="BX70" s="842"/>
      <c r="BY70" s="842"/>
      <c r="BZ70" s="842"/>
      <c r="CA70" s="842"/>
      <c r="CB70" s="842"/>
      <c r="CC70" s="887"/>
      <c r="CD70" s="887"/>
      <c r="CE70" s="887"/>
      <c r="CF70" s="887"/>
      <c r="CG70" s="887"/>
      <c r="CH70" s="887"/>
      <c r="CI70" s="887"/>
      <c r="CJ70" s="887"/>
      <c r="CK70" s="887"/>
      <c r="CL70" s="887"/>
      <c r="CM70" s="887"/>
      <c r="CN70" s="887"/>
      <c r="CO70" s="887"/>
      <c r="CP70" s="887"/>
      <c r="CQ70" s="887"/>
      <c r="CR70" s="887"/>
      <c r="CS70" s="887"/>
      <c r="CT70" s="887"/>
      <c r="CU70" s="887"/>
      <c r="CV70" s="887"/>
      <c r="CW70" s="887"/>
      <c r="CX70" s="887"/>
      <c r="CY70" s="887"/>
      <c r="CZ70" s="887"/>
      <c r="DA70" s="887"/>
      <c r="DB70" s="887"/>
      <c r="DC70" s="887"/>
      <c r="DD70" s="887"/>
      <c r="DE70" s="887"/>
      <c r="DF70" s="887"/>
      <c r="DG70" s="887"/>
      <c r="DH70" s="887"/>
      <c r="DI70" s="887"/>
      <c r="DJ70" s="887"/>
      <c r="DK70" s="887"/>
      <c r="DL70" s="887"/>
      <c r="DM70" s="887"/>
    </row>
    <row r="71" spans="52:117" x14ac:dyDescent="0.25">
      <c r="AZ71" s="887"/>
      <c r="BA71" s="887"/>
      <c r="BB71" s="887"/>
      <c r="BC71" s="887"/>
      <c r="BD71" s="887"/>
      <c r="BE71" s="887"/>
      <c r="BF71" s="887"/>
      <c r="BG71" s="887"/>
      <c r="BH71" s="842"/>
      <c r="BI71" s="842"/>
      <c r="BJ71" s="842"/>
      <c r="BK71" s="842"/>
      <c r="BL71" s="842"/>
      <c r="BM71" s="842"/>
      <c r="BN71" s="842"/>
      <c r="BO71" s="842"/>
      <c r="BP71" s="842"/>
      <c r="BQ71" s="882"/>
      <c r="BR71" s="842"/>
      <c r="BS71" s="842"/>
      <c r="BT71" s="842"/>
      <c r="BU71" s="842"/>
      <c r="BV71" s="842"/>
      <c r="BW71" s="842"/>
      <c r="BX71" s="842"/>
      <c r="BY71" s="842"/>
      <c r="BZ71" s="842"/>
      <c r="CA71" s="842"/>
      <c r="CB71" s="842"/>
      <c r="CC71" s="887"/>
      <c r="CD71" s="887"/>
      <c r="CE71" s="887"/>
      <c r="CF71" s="887"/>
      <c r="CG71" s="887"/>
      <c r="CH71" s="887"/>
      <c r="CI71" s="887"/>
      <c r="CJ71" s="887"/>
      <c r="CK71" s="887"/>
      <c r="CL71" s="887"/>
      <c r="CM71" s="887"/>
      <c r="CN71" s="887"/>
      <c r="CO71" s="887"/>
      <c r="CP71" s="887"/>
      <c r="CQ71" s="887"/>
      <c r="CR71" s="887"/>
      <c r="CS71" s="887"/>
      <c r="CT71" s="887"/>
      <c r="CU71" s="887"/>
      <c r="CV71" s="887"/>
      <c r="CW71" s="887"/>
      <c r="CX71" s="887"/>
      <c r="CY71" s="887"/>
      <c r="CZ71" s="887"/>
      <c r="DA71" s="887"/>
      <c r="DB71" s="887"/>
      <c r="DC71" s="887"/>
      <c r="DD71" s="887"/>
      <c r="DE71" s="887"/>
      <c r="DF71" s="887"/>
      <c r="DG71" s="887"/>
      <c r="DH71" s="887"/>
      <c r="DI71" s="887"/>
      <c r="DJ71" s="887"/>
      <c r="DK71" s="887"/>
      <c r="DL71" s="887"/>
      <c r="DM71" s="887"/>
    </row>
    <row r="72" spans="52:117" x14ac:dyDescent="0.25">
      <c r="AZ72" s="887"/>
      <c r="BA72" s="887"/>
      <c r="BB72" s="887"/>
      <c r="BC72" s="887"/>
      <c r="BD72" s="887"/>
      <c r="BE72" s="887"/>
      <c r="BF72" s="887"/>
      <c r="BG72" s="887"/>
      <c r="BH72" s="842"/>
      <c r="BI72" s="842"/>
      <c r="BJ72" s="842"/>
      <c r="BK72" s="842"/>
      <c r="BL72" s="842"/>
      <c r="BM72" s="842"/>
      <c r="BN72" s="842"/>
      <c r="BO72" s="842"/>
      <c r="BP72" s="842"/>
      <c r="BQ72" s="882"/>
      <c r="BR72" s="842"/>
      <c r="BS72" s="842"/>
      <c r="BT72" s="842"/>
      <c r="BU72" s="842"/>
      <c r="BV72" s="842"/>
      <c r="BW72" s="842"/>
      <c r="BX72" s="842"/>
      <c r="BY72" s="842"/>
      <c r="BZ72" s="842"/>
      <c r="CA72" s="842"/>
      <c r="CB72" s="842"/>
      <c r="CC72" s="887"/>
      <c r="CD72" s="887"/>
      <c r="CE72" s="887"/>
      <c r="CF72" s="887"/>
      <c r="CG72" s="887"/>
      <c r="CH72" s="887"/>
      <c r="CI72" s="887"/>
      <c r="CJ72" s="887"/>
      <c r="CK72" s="887"/>
      <c r="CL72" s="887"/>
      <c r="CM72" s="887"/>
      <c r="CN72" s="887"/>
      <c r="CO72" s="887"/>
      <c r="CP72" s="887"/>
      <c r="CQ72" s="887"/>
      <c r="CR72" s="887"/>
      <c r="CS72" s="887"/>
      <c r="CT72" s="887"/>
      <c r="CU72" s="887"/>
      <c r="CV72" s="887"/>
      <c r="CW72" s="887"/>
      <c r="CX72" s="887"/>
      <c r="CY72" s="887"/>
      <c r="CZ72" s="887"/>
      <c r="DA72" s="887"/>
      <c r="DB72" s="887"/>
      <c r="DC72" s="887"/>
      <c r="DD72" s="887"/>
      <c r="DE72" s="887"/>
      <c r="DF72" s="887"/>
      <c r="DG72" s="887"/>
      <c r="DH72" s="887"/>
      <c r="DI72" s="887"/>
      <c r="DJ72" s="887"/>
      <c r="DK72" s="887"/>
      <c r="DL72" s="887"/>
      <c r="DM72" s="887"/>
    </row>
    <row r="73" spans="52:117" x14ac:dyDescent="0.25">
      <c r="AZ73" s="887"/>
      <c r="BA73" s="887"/>
      <c r="BB73" s="887"/>
      <c r="BC73" s="887"/>
      <c r="BD73" s="887"/>
      <c r="BE73" s="887"/>
      <c r="BF73" s="887"/>
      <c r="BG73" s="887"/>
      <c r="BH73" s="842"/>
      <c r="BI73" s="842"/>
      <c r="BJ73" s="842"/>
      <c r="BK73" s="842"/>
      <c r="BL73" s="842"/>
      <c r="BM73" s="842"/>
      <c r="BN73" s="842"/>
      <c r="BO73" s="842"/>
      <c r="BP73" s="842"/>
      <c r="BQ73" s="882"/>
      <c r="BR73" s="842"/>
      <c r="BS73" s="842"/>
      <c r="BT73" s="842"/>
      <c r="BU73" s="842"/>
      <c r="BV73" s="842"/>
      <c r="BW73" s="842"/>
      <c r="BX73" s="842"/>
      <c r="BY73" s="842"/>
      <c r="BZ73" s="842"/>
      <c r="CA73" s="842"/>
      <c r="CB73" s="842"/>
      <c r="CC73" s="887"/>
      <c r="CD73" s="887"/>
      <c r="CE73" s="887"/>
      <c r="CF73" s="887"/>
      <c r="CG73" s="887"/>
      <c r="CH73" s="887"/>
      <c r="CI73" s="887"/>
      <c r="CJ73" s="887"/>
      <c r="CK73" s="887"/>
      <c r="CL73" s="887"/>
      <c r="CM73" s="887"/>
      <c r="CN73" s="887"/>
      <c r="CO73" s="887"/>
      <c r="CP73" s="887"/>
      <c r="CQ73" s="887"/>
      <c r="CR73" s="887"/>
      <c r="CS73" s="887"/>
      <c r="CT73" s="887"/>
      <c r="CU73" s="887"/>
      <c r="CV73" s="887"/>
      <c r="CW73" s="887"/>
      <c r="CX73" s="887"/>
      <c r="CY73" s="887"/>
      <c r="CZ73" s="887"/>
      <c r="DA73" s="887"/>
      <c r="DB73" s="887"/>
      <c r="DC73" s="887"/>
      <c r="DD73" s="887"/>
      <c r="DE73" s="887"/>
      <c r="DF73" s="887"/>
      <c r="DG73" s="887"/>
      <c r="DH73" s="887"/>
      <c r="DI73" s="887"/>
      <c r="DJ73" s="887"/>
      <c r="DK73" s="887"/>
      <c r="DL73" s="887"/>
      <c r="DM73" s="887"/>
    </row>
    <row r="74" spans="52:117" x14ac:dyDescent="0.25">
      <c r="AZ74" s="887"/>
      <c r="BA74" s="887"/>
      <c r="BB74" s="887"/>
      <c r="BC74" s="887"/>
      <c r="BD74" s="887"/>
      <c r="BE74" s="887"/>
      <c r="BF74" s="887"/>
      <c r="BG74" s="887"/>
      <c r="BH74" s="842"/>
      <c r="BI74" s="842"/>
      <c r="BJ74" s="842"/>
      <c r="BK74" s="842"/>
      <c r="BL74" s="842"/>
      <c r="BM74" s="842"/>
      <c r="BN74" s="842"/>
      <c r="BO74" s="842"/>
      <c r="BP74" s="842"/>
      <c r="BQ74" s="882"/>
      <c r="BR74" s="842"/>
      <c r="BS74" s="842"/>
      <c r="BT74" s="842"/>
      <c r="BU74" s="842"/>
      <c r="BV74" s="842"/>
      <c r="BW74" s="842"/>
      <c r="BX74" s="842"/>
      <c r="BY74" s="842"/>
      <c r="BZ74" s="842"/>
      <c r="CA74" s="842"/>
      <c r="CB74" s="842"/>
      <c r="CC74" s="887"/>
      <c r="CD74" s="887"/>
      <c r="CE74" s="887"/>
      <c r="CF74" s="887"/>
      <c r="CG74" s="887"/>
      <c r="CH74" s="887"/>
      <c r="CI74" s="887"/>
      <c r="CJ74" s="887"/>
      <c r="CK74" s="887"/>
      <c r="CL74" s="887"/>
      <c r="CM74" s="887"/>
      <c r="CN74" s="887"/>
      <c r="CO74" s="887"/>
      <c r="CP74" s="887"/>
      <c r="CQ74" s="887"/>
      <c r="CR74" s="887"/>
      <c r="CS74" s="887"/>
      <c r="CT74" s="887"/>
      <c r="CU74" s="887"/>
      <c r="CV74" s="887"/>
      <c r="CW74" s="887"/>
      <c r="CX74" s="887"/>
      <c r="CY74" s="887"/>
      <c r="CZ74" s="887"/>
      <c r="DA74" s="887"/>
      <c r="DB74" s="887"/>
      <c r="DC74" s="887"/>
      <c r="DD74" s="887"/>
      <c r="DE74" s="887"/>
      <c r="DF74" s="887"/>
      <c r="DG74" s="887"/>
      <c r="DH74" s="887"/>
      <c r="DI74" s="887"/>
      <c r="DJ74" s="887"/>
      <c r="DK74" s="887"/>
      <c r="DL74" s="887"/>
      <c r="DM74" s="887"/>
    </row>
    <row r="75" spans="52:117" x14ac:dyDescent="0.25">
      <c r="AZ75" s="887"/>
      <c r="BA75" s="887"/>
      <c r="BB75" s="887"/>
      <c r="BC75" s="887"/>
      <c r="BD75" s="887"/>
      <c r="BE75" s="887"/>
      <c r="BF75" s="887"/>
      <c r="BG75" s="887"/>
      <c r="BH75" s="842"/>
      <c r="BI75" s="842"/>
      <c r="BJ75" s="842"/>
      <c r="BK75" s="842"/>
      <c r="BL75" s="842"/>
      <c r="BM75" s="842"/>
      <c r="BN75" s="842"/>
      <c r="BO75" s="842"/>
      <c r="BP75" s="842"/>
      <c r="BQ75" s="882"/>
      <c r="BR75" s="842"/>
      <c r="BS75" s="842"/>
      <c r="BT75" s="842"/>
      <c r="BU75" s="842"/>
      <c r="BV75" s="842"/>
      <c r="BW75" s="842"/>
      <c r="BX75" s="842"/>
      <c r="BY75" s="842"/>
      <c r="BZ75" s="842"/>
      <c r="CA75" s="842"/>
      <c r="CB75" s="842"/>
      <c r="CC75" s="887"/>
      <c r="CD75" s="887"/>
      <c r="CE75" s="887"/>
      <c r="CF75" s="887"/>
      <c r="CG75" s="887"/>
      <c r="CH75" s="887"/>
      <c r="CI75" s="887"/>
      <c r="CJ75" s="887"/>
      <c r="CK75" s="887"/>
      <c r="CL75" s="887"/>
      <c r="CM75" s="887"/>
      <c r="CN75" s="887"/>
      <c r="CO75" s="887"/>
      <c r="CP75" s="887"/>
      <c r="CQ75" s="887"/>
      <c r="CR75" s="887"/>
      <c r="CS75" s="887"/>
      <c r="CT75" s="887"/>
      <c r="CU75" s="887"/>
      <c r="CV75" s="887"/>
      <c r="CW75" s="887"/>
      <c r="CX75" s="887"/>
      <c r="CY75" s="887"/>
      <c r="CZ75" s="887"/>
      <c r="DA75" s="887"/>
      <c r="DB75" s="887"/>
      <c r="DC75" s="887"/>
      <c r="DD75" s="887"/>
      <c r="DE75" s="887"/>
      <c r="DF75" s="887"/>
      <c r="DG75" s="887"/>
      <c r="DH75" s="887"/>
      <c r="DI75" s="887"/>
      <c r="DJ75" s="887"/>
      <c r="DK75" s="887"/>
      <c r="DL75" s="887"/>
      <c r="DM75" s="887"/>
    </row>
    <row r="76" spans="52:117" x14ac:dyDescent="0.25">
      <c r="AZ76" s="887"/>
      <c r="BA76" s="887"/>
      <c r="BB76" s="887"/>
      <c r="BC76" s="887"/>
      <c r="BD76" s="887"/>
      <c r="BE76" s="887"/>
      <c r="BF76" s="887"/>
      <c r="BG76" s="887"/>
      <c r="BH76" s="842"/>
      <c r="BI76" s="842"/>
      <c r="BJ76" s="842"/>
      <c r="BK76" s="842"/>
      <c r="BL76" s="842"/>
      <c r="BM76" s="842"/>
      <c r="BN76" s="842"/>
      <c r="BO76" s="842"/>
      <c r="BP76" s="842"/>
      <c r="BQ76" s="882"/>
      <c r="BR76" s="842"/>
      <c r="BS76" s="842"/>
      <c r="BT76" s="842"/>
      <c r="BU76" s="842"/>
      <c r="BV76" s="842"/>
      <c r="BW76" s="842"/>
      <c r="BX76" s="842"/>
      <c r="BY76" s="842"/>
      <c r="BZ76" s="842"/>
      <c r="CA76" s="842"/>
      <c r="CB76" s="842"/>
      <c r="CC76" s="887"/>
      <c r="CD76" s="887"/>
      <c r="CE76" s="887"/>
      <c r="CF76" s="887"/>
      <c r="CG76" s="887"/>
      <c r="CH76" s="887"/>
      <c r="CI76" s="887"/>
      <c r="CJ76" s="887"/>
      <c r="CK76" s="887"/>
      <c r="CL76" s="887"/>
      <c r="CM76" s="887"/>
      <c r="CN76" s="887"/>
      <c r="CO76" s="887"/>
      <c r="CP76" s="887"/>
      <c r="CQ76" s="887"/>
      <c r="CR76" s="887"/>
      <c r="CS76" s="887"/>
      <c r="CT76" s="887"/>
      <c r="CU76" s="887"/>
      <c r="CV76" s="887"/>
      <c r="CW76" s="887"/>
      <c r="CX76" s="887"/>
      <c r="CY76" s="887"/>
      <c r="CZ76" s="887"/>
      <c r="DA76" s="887"/>
      <c r="DB76" s="887"/>
      <c r="DC76" s="887"/>
      <c r="DD76" s="887"/>
      <c r="DE76" s="887"/>
      <c r="DF76" s="887"/>
      <c r="DG76" s="887"/>
      <c r="DH76" s="887"/>
      <c r="DI76" s="887"/>
      <c r="DJ76" s="887"/>
      <c r="DK76" s="887"/>
      <c r="DL76" s="887"/>
      <c r="DM76" s="887"/>
    </row>
    <row r="77" spans="52:117" x14ac:dyDescent="0.25">
      <c r="AZ77" s="887"/>
      <c r="BA77" s="887"/>
      <c r="BB77" s="887"/>
      <c r="BC77" s="887"/>
      <c r="BD77" s="887"/>
      <c r="BE77" s="887"/>
      <c r="BF77" s="887"/>
      <c r="BG77" s="887"/>
      <c r="BH77" s="842"/>
      <c r="BI77" s="842"/>
      <c r="BJ77" s="842"/>
      <c r="BK77" s="842"/>
      <c r="BL77" s="842"/>
      <c r="BM77" s="842"/>
      <c r="BN77" s="842"/>
      <c r="BO77" s="842"/>
      <c r="BP77" s="842"/>
      <c r="BQ77" s="882"/>
      <c r="BR77" s="842"/>
      <c r="BS77" s="842"/>
      <c r="BT77" s="842"/>
      <c r="BU77" s="842"/>
      <c r="BV77" s="842"/>
      <c r="BW77" s="842"/>
      <c r="BX77" s="842"/>
      <c r="BY77" s="842"/>
      <c r="BZ77" s="842"/>
      <c r="CA77" s="842"/>
      <c r="CB77" s="842"/>
      <c r="CC77" s="887"/>
      <c r="CD77" s="887"/>
      <c r="CE77" s="887"/>
      <c r="CF77" s="887"/>
      <c r="CG77" s="887"/>
      <c r="CH77" s="887"/>
      <c r="CI77" s="887"/>
      <c r="CJ77" s="887"/>
      <c r="CK77" s="887"/>
      <c r="CL77" s="887"/>
      <c r="CM77" s="887"/>
      <c r="CN77" s="887"/>
      <c r="CO77" s="887"/>
      <c r="CP77" s="887"/>
      <c r="CQ77" s="887"/>
      <c r="CR77" s="887"/>
      <c r="CS77" s="887"/>
      <c r="CT77" s="887"/>
      <c r="CU77" s="887"/>
      <c r="CV77" s="887"/>
      <c r="CW77" s="887"/>
      <c r="CX77" s="887"/>
      <c r="CY77" s="887"/>
      <c r="CZ77" s="887"/>
      <c r="DA77" s="887"/>
      <c r="DB77" s="887"/>
      <c r="DC77" s="887"/>
      <c r="DD77" s="887"/>
      <c r="DE77" s="887"/>
      <c r="DF77" s="887"/>
      <c r="DG77" s="887"/>
      <c r="DH77" s="887"/>
      <c r="DI77" s="887"/>
      <c r="DJ77" s="887"/>
      <c r="DK77" s="887"/>
      <c r="DL77" s="887"/>
      <c r="DM77" s="887"/>
    </row>
    <row r="78" spans="52:117" x14ac:dyDescent="0.25">
      <c r="AZ78" s="887"/>
      <c r="BA78" s="887"/>
      <c r="BB78" s="887"/>
      <c r="BC78" s="887"/>
      <c r="BD78" s="887"/>
      <c r="BE78" s="887"/>
      <c r="BF78" s="887"/>
      <c r="BG78" s="887"/>
      <c r="BH78" s="842"/>
      <c r="BI78" s="842"/>
      <c r="BJ78" s="842"/>
      <c r="BK78" s="842"/>
      <c r="BL78" s="842"/>
      <c r="BM78" s="842"/>
      <c r="BN78" s="842"/>
      <c r="BO78" s="842"/>
      <c r="BP78" s="842"/>
      <c r="BQ78" s="882"/>
      <c r="BR78" s="842"/>
      <c r="BS78" s="842"/>
      <c r="BT78" s="842"/>
      <c r="BU78" s="842"/>
      <c r="BV78" s="842"/>
      <c r="BW78" s="842"/>
      <c r="BX78" s="842"/>
      <c r="BY78" s="842"/>
      <c r="BZ78" s="842"/>
      <c r="CA78" s="842"/>
      <c r="CB78" s="842"/>
      <c r="CC78" s="887"/>
      <c r="CD78" s="887"/>
      <c r="CE78" s="887"/>
      <c r="CF78" s="887"/>
      <c r="CG78" s="887"/>
      <c r="CH78" s="887"/>
      <c r="CI78" s="887"/>
      <c r="CJ78" s="887"/>
      <c r="CK78" s="887"/>
      <c r="CL78" s="887"/>
      <c r="CM78" s="887"/>
      <c r="CN78" s="887"/>
      <c r="CO78" s="887"/>
      <c r="CP78" s="887"/>
      <c r="CQ78" s="887"/>
      <c r="CR78" s="887"/>
      <c r="CS78" s="887"/>
      <c r="CT78" s="887"/>
      <c r="CU78" s="887"/>
      <c r="CV78" s="887"/>
      <c r="CW78" s="887"/>
      <c r="CX78" s="887"/>
      <c r="CY78" s="887"/>
      <c r="CZ78" s="887"/>
      <c r="DA78" s="887"/>
      <c r="DB78" s="887"/>
      <c r="DC78" s="887"/>
      <c r="DD78" s="887"/>
      <c r="DE78" s="887"/>
      <c r="DF78" s="887"/>
      <c r="DG78" s="887"/>
      <c r="DH78" s="887"/>
      <c r="DI78" s="887"/>
      <c r="DJ78" s="887"/>
      <c r="DK78" s="887"/>
      <c r="DL78" s="887"/>
      <c r="DM78" s="887"/>
    </row>
    <row r="79" spans="52:117" x14ac:dyDescent="0.25">
      <c r="AZ79" s="887"/>
      <c r="BA79" s="887"/>
      <c r="BB79" s="887"/>
      <c r="BC79" s="887"/>
      <c r="BD79" s="887"/>
      <c r="BE79" s="887"/>
      <c r="BF79" s="887"/>
      <c r="BG79" s="887"/>
      <c r="BH79" s="842"/>
      <c r="BI79" s="842"/>
      <c r="BJ79" s="842"/>
      <c r="BK79" s="842"/>
      <c r="BL79" s="842"/>
      <c r="BM79" s="842"/>
      <c r="BN79" s="842"/>
      <c r="BO79" s="842"/>
      <c r="BP79" s="842"/>
      <c r="BQ79" s="882"/>
      <c r="BR79" s="842"/>
      <c r="BS79" s="842"/>
      <c r="BT79" s="842"/>
      <c r="BU79" s="842"/>
      <c r="BV79" s="842"/>
      <c r="BW79" s="842"/>
      <c r="BX79" s="842"/>
      <c r="BY79" s="842"/>
      <c r="BZ79" s="842"/>
      <c r="CA79" s="842"/>
      <c r="CB79" s="842"/>
      <c r="CC79" s="887"/>
      <c r="CD79" s="887"/>
      <c r="CE79" s="887"/>
      <c r="CF79" s="887"/>
      <c r="CG79" s="887"/>
      <c r="CH79" s="887"/>
      <c r="CI79" s="887"/>
      <c r="CJ79" s="887"/>
      <c r="CK79" s="887"/>
      <c r="CL79" s="887"/>
      <c r="CM79" s="887"/>
      <c r="CN79" s="887"/>
      <c r="CO79" s="887"/>
      <c r="CP79" s="887"/>
      <c r="CQ79" s="887"/>
      <c r="CR79" s="887"/>
      <c r="CS79" s="887"/>
      <c r="CT79" s="887"/>
      <c r="CU79" s="887"/>
      <c r="CV79" s="887"/>
      <c r="CW79" s="887"/>
      <c r="CX79" s="887"/>
      <c r="CY79" s="887"/>
      <c r="CZ79" s="887"/>
      <c r="DA79" s="887"/>
      <c r="DB79" s="887"/>
      <c r="DC79" s="887"/>
      <c r="DD79" s="887"/>
      <c r="DE79" s="887"/>
      <c r="DF79" s="887"/>
      <c r="DG79" s="887"/>
      <c r="DH79" s="887"/>
      <c r="DI79" s="887"/>
      <c r="DJ79" s="887"/>
      <c r="DK79" s="887"/>
      <c r="DL79" s="887"/>
      <c r="DM79" s="887"/>
    </row>
    <row r="80" spans="52:117" x14ac:dyDescent="0.25">
      <c r="AZ80" s="887"/>
      <c r="BA80" s="887"/>
      <c r="BB80" s="887"/>
      <c r="BC80" s="887"/>
      <c r="BD80" s="887"/>
      <c r="BE80" s="887"/>
      <c r="BF80" s="887"/>
      <c r="BG80" s="887"/>
      <c r="BH80" s="842"/>
      <c r="BI80" s="842"/>
      <c r="BJ80" s="842"/>
      <c r="BK80" s="842"/>
      <c r="BL80" s="842"/>
      <c r="BM80" s="842"/>
      <c r="BN80" s="842"/>
      <c r="BO80" s="842"/>
      <c r="BP80" s="842"/>
      <c r="BQ80" s="882"/>
      <c r="BR80" s="842"/>
      <c r="BS80" s="842"/>
      <c r="BT80" s="842"/>
      <c r="BU80" s="842"/>
      <c r="BV80" s="842"/>
      <c r="BW80" s="842"/>
      <c r="BX80" s="842"/>
      <c r="BY80" s="842"/>
      <c r="BZ80" s="842"/>
      <c r="CA80" s="842"/>
      <c r="CB80" s="842"/>
      <c r="CC80" s="887"/>
      <c r="CD80" s="887"/>
      <c r="CE80" s="887"/>
      <c r="CF80" s="887"/>
      <c r="CG80" s="887"/>
      <c r="CH80" s="887"/>
      <c r="CI80" s="887"/>
      <c r="CJ80" s="887"/>
      <c r="CK80" s="887"/>
      <c r="CL80" s="887"/>
      <c r="CM80" s="887"/>
      <c r="CN80" s="887"/>
      <c r="CO80" s="887"/>
      <c r="CP80" s="887"/>
      <c r="CQ80" s="887"/>
      <c r="CR80" s="887"/>
      <c r="CS80" s="887"/>
      <c r="CT80" s="887"/>
      <c r="CU80" s="887"/>
      <c r="CV80" s="887"/>
      <c r="CW80" s="887"/>
      <c r="CX80" s="887"/>
      <c r="CY80" s="887"/>
      <c r="CZ80" s="887"/>
      <c r="DA80" s="887"/>
      <c r="DB80" s="887"/>
      <c r="DC80" s="887"/>
      <c r="DD80" s="887"/>
      <c r="DE80" s="887"/>
      <c r="DF80" s="887"/>
      <c r="DG80" s="887"/>
      <c r="DH80" s="887"/>
      <c r="DI80" s="887"/>
      <c r="DJ80" s="887"/>
      <c r="DK80" s="887"/>
      <c r="DL80" s="887"/>
      <c r="DM80" s="887"/>
    </row>
    <row r="81" spans="52:117" x14ac:dyDescent="0.25">
      <c r="AZ81" s="887"/>
      <c r="BA81" s="887"/>
      <c r="BB81" s="887"/>
      <c r="BC81" s="887"/>
      <c r="BD81" s="887"/>
      <c r="BE81" s="887"/>
      <c r="BF81" s="887"/>
      <c r="BG81" s="887"/>
      <c r="BH81" s="842"/>
      <c r="BI81" s="842"/>
      <c r="BJ81" s="842"/>
      <c r="BK81" s="842"/>
      <c r="BL81" s="842"/>
      <c r="BM81" s="842"/>
      <c r="BN81" s="842"/>
      <c r="BO81" s="842"/>
      <c r="BP81" s="842"/>
      <c r="BQ81" s="882"/>
      <c r="BR81" s="842"/>
      <c r="BS81" s="842"/>
      <c r="BT81" s="842"/>
      <c r="BU81" s="842"/>
      <c r="BV81" s="842"/>
      <c r="BW81" s="842"/>
      <c r="BX81" s="842"/>
      <c r="BY81" s="842"/>
      <c r="BZ81" s="842"/>
      <c r="CA81" s="842"/>
      <c r="CB81" s="842"/>
      <c r="CC81" s="887"/>
      <c r="CD81" s="887"/>
      <c r="CE81" s="887"/>
      <c r="CF81" s="887"/>
      <c r="CG81" s="887"/>
      <c r="CH81" s="887"/>
      <c r="CI81" s="887"/>
      <c r="CJ81" s="887"/>
      <c r="CK81" s="887"/>
      <c r="CL81" s="887"/>
      <c r="CM81" s="887"/>
      <c r="CN81" s="887"/>
      <c r="CO81" s="887"/>
      <c r="CP81" s="887"/>
      <c r="CQ81" s="887"/>
      <c r="CR81" s="887"/>
      <c r="CS81" s="887"/>
      <c r="CT81" s="887"/>
      <c r="CU81" s="887"/>
      <c r="CV81" s="887"/>
      <c r="CW81" s="887"/>
      <c r="CX81" s="887"/>
      <c r="CY81" s="887"/>
      <c r="CZ81" s="887"/>
      <c r="DA81" s="887"/>
      <c r="DB81" s="887"/>
      <c r="DC81" s="887"/>
      <c r="DD81" s="887"/>
      <c r="DE81" s="887"/>
      <c r="DF81" s="887"/>
      <c r="DG81" s="887"/>
      <c r="DH81" s="887"/>
      <c r="DI81" s="887"/>
      <c r="DJ81" s="887"/>
      <c r="DK81" s="887"/>
      <c r="DL81" s="887"/>
      <c r="DM81" s="887"/>
    </row>
    <row r="82" spans="52:117" x14ac:dyDescent="0.25">
      <c r="AZ82" s="887"/>
      <c r="BA82" s="887"/>
      <c r="BB82" s="887"/>
      <c r="BC82" s="887"/>
      <c r="BD82" s="887"/>
      <c r="BE82" s="887"/>
      <c r="BF82" s="887"/>
      <c r="BG82" s="887"/>
      <c r="BH82" s="842"/>
      <c r="BI82" s="842"/>
      <c r="BJ82" s="842"/>
      <c r="BK82" s="842"/>
      <c r="BL82" s="842"/>
      <c r="BM82" s="842"/>
      <c r="BN82" s="842"/>
      <c r="BO82" s="842"/>
      <c r="BP82" s="842"/>
      <c r="BQ82" s="882"/>
      <c r="BR82" s="842"/>
      <c r="BS82" s="842"/>
      <c r="BT82" s="842"/>
      <c r="BU82" s="842"/>
      <c r="BV82" s="842"/>
      <c r="BW82" s="842"/>
      <c r="BX82" s="842"/>
      <c r="BY82" s="842"/>
      <c r="BZ82" s="842"/>
      <c r="CA82" s="842"/>
      <c r="CB82" s="842"/>
      <c r="CC82" s="887"/>
      <c r="CD82" s="887"/>
      <c r="CE82" s="887"/>
      <c r="CF82" s="887"/>
      <c r="CG82" s="887"/>
      <c r="CH82" s="887"/>
      <c r="CI82" s="887"/>
      <c r="CJ82" s="887"/>
      <c r="CK82" s="887"/>
      <c r="CL82" s="887"/>
      <c r="CM82" s="887"/>
      <c r="CN82" s="887"/>
      <c r="CO82" s="887"/>
      <c r="CP82" s="887"/>
      <c r="CQ82" s="887"/>
      <c r="CR82" s="887"/>
      <c r="CS82" s="887"/>
      <c r="CT82" s="887"/>
      <c r="CU82" s="887"/>
      <c r="CV82" s="887"/>
      <c r="CW82" s="887"/>
      <c r="CX82" s="887"/>
      <c r="CY82" s="887"/>
      <c r="CZ82" s="887"/>
      <c r="DA82" s="887"/>
      <c r="DB82" s="887"/>
      <c r="DC82" s="887"/>
      <c r="DD82" s="887"/>
      <c r="DE82" s="887"/>
      <c r="DF82" s="887"/>
      <c r="DG82" s="887"/>
      <c r="DH82" s="887"/>
      <c r="DI82" s="887"/>
      <c r="DJ82" s="887"/>
      <c r="DK82" s="887"/>
      <c r="DL82" s="887"/>
      <c r="DM82" s="887"/>
    </row>
    <row r="83" spans="52:117" x14ac:dyDescent="0.25">
      <c r="AZ83" s="887"/>
      <c r="BA83" s="887"/>
      <c r="BB83" s="887"/>
      <c r="BC83" s="887"/>
      <c r="BD83" s="887"/>
      <c r="BE83" s="887"/>
      <c r="BF83" s="887"/>
      <c r="BG83" s="887"/>
      <c r="BH83" s="842"/>
      <c r="BI83" s="842"/>
      <c r="BJ83" s="842"/>
      <c r="BK83" s="842"/>
      <c r="BL83" s="842"/>
      <c r="BM83" s="842"/>
      <c r="BN83" s="842"/>
      <c r="BO83" s="842"/>
      <c r="BP83" s="842"/>
      <c r="BQ83" s="882"/>
      <c r="BR83" s="842"/>
      <c r="BS83" s="842"/>
      <c r="BT83" s="842"/>
      <c r="BU83" s="842"/>
      <c r="BV83" s="842"/>
      <c r="BW83" s="842"/>
      <c r="BX83" s="842"/>
      <c r="BY83" s="842"/>
      <c r="BZ83" s="842"/>
      <c r="CA83" s="842"/>
      <c r="CB83" s="842"/>
      <c r="CC83" s="887"/>
      <c r="CD83" s="887"/>
      <c r="CE83" s="887"/>
      <c r="CF83" s="887"/>
      <c r="CG83" s="887"/>
      <c r="CH83" s="887"/>
      <c r="CI83" s="887"/>
      <c r="CJ83" s="887"/>
      <c r="CK83" s="887"/>
      <c r="CL83" s="887"/>
      <c r="CM83" s="887"/>
      <c r="CN83" s="887"/>
      <c r="CO83" s="887"/>
      <c r="CP83" s="887"/>
      <c r="CQ83" s="887"/>
      <c r="CR83" s="887"/>
      <c r="CS83" s="887"/>
      <c r="CT83" s="887"/>
      <c r="CU83" s="887"/>
      <c r="CV83" s="887"/>
      <c r="CW83" s="887"/>
      <c r="CX83" s="887"/>
      <c r="CY83" s="887"/>
      <c r="CZ83" s="887"/>
      <c r="DA83" s="887"/>
      <c r="DB83" s="887"/>
      <c r="DC83" s="887"/>
      <c r="DD83" s="887"/>
      <c r="DE83" s="887"/>
      <c r="DF83" s="887"/>
      <c r="DG83" s="887"/>
      <c r="DH83" s="887"/>
      <c r="DI83" s="887"/>
      <c r="DJ83" s="887"/>
      <c r="DK83" s="887"/>
      <c r="DL83" s="887"/>
      <c r="DM83" s="887"/>
    </row>
    <row r="84" spans="52:117" x14ac:dyDescent="0.25">
      <c r="AZ84" s="887"/>
      <c r="BA84" s="887"/>
      <c r="BB84" s="887"/>
      <c r="BC84" s="887"/>
      <c r="BD84" s="887"/>
      <c r="BE84" s="887"/>
      <c r="BF84" s="887"/>
      <c r="BG84" s="887"/>
      <c r="BH84" s="842"/>
      <c r="BI84" s="842"/>
      <c r="BJ84" s="842"/>
      <c r="BK84" s="842"/>
      <c r="BL84" s="842"/>
      <c r="BM84" s="842"/>
      <c r="BN84" s="842"/>
      <c r="BO84" s="842"/>
      <c r="BP84" s="842"/>
      <c r="BQ84" s="882"/>
      <c r="BR84" s="842"/>
      <c r="BS84" s="842"/>
      <c r="BT84" s="842"/>
      <c r="BU84" s="842"/>
      <c r="BV84" s="842"/>
      <c r="BW84" s="842"/>
      <c r="BX84" s="842"/>
      <c r="BY84" s="842"/>
      <c r="BZ84" s="842"/>
      <c r="CA84" s="842"/>
      <c r="CB84" s="842"/>
      <c r="CC84" s="887"/>
      <c r="CD84" s="887"/>
      <c r="CE84" s="887"/>
      <c r="CF84" s="887"/>
      <c r="CG84" s="887"/>
      <c r="CH84" s="887"/>
      <c r="CI84" s="887"/>
      <c r="CJ84" s="887"/>
      <c r="CK84" s="887"/>
      <c r="CL84" s="887"/>
      <c r="CM84" s="887"/>
      <c r="CN84" s="887"/>
      <c r="CO84" s="887"/>
      <c r="CP84" s="887"/>
      <c r="CQ84" s="887"/>
      <c r="CR84" s="887"/>
      <c r="CS84" s="887"/>
      <c r="CT84" s="887"/>
      <c r="CU84" s="887"/>
      <c r="CV84" s="887"/>
      <c r="CW84" s="887"/>
      <c r="CX84" s="887"/>
      <c r="CY84" s="887"/>
      <c r="CZ84" s="887"/>
      <c r="DA84" s="887"/>
      <c r="DB84" s="887"/>
      <c r="DC84" s="887"/>
      <c r="DD84" s="887"/>
      <c r="DE84" s="887"/>
      <c r="DF84" s="887"/>
      <c r="DG84" s="887"/>
      <c r="DH84" s="887"/>
      <c r="DI84" s="887"/>
      <c r="DJ84" s="887"/>
      <c r="DK84" s="887"/>
      <c r="DL84" s="887"/>
      <c r="DM84" s="887"/>
    </row>
    <row r="85" spans="52:117" x14ac:dyDescent="0.25">
      <c r="AZ85" s="887"/>
      <c r="BA85" s="887"/>
      <c r="BB85" s="887"/>
      <c r="BC85" s="887"/>
      <c r="BD85" s="887"/>
      <c r="BE85" s="887"/>
      <c r="BF85" s="887"/>
      <c r="BG85" s="887"/>
      <c r="BH85" s="842"/>
      <c r="BI85" s="842"/>
      <c r="BJ85" s="842"/>
      <c r="BK85" s="842"/>
      <c r="BL85" s="842"/>
      <c r="BM85" s="842"/>
      <c r="BN85" s="842"/>
      <c r="BO85" s="842"/>
      <c r="BP85" s="842"/>
      <c r="BQ85" s="882"/>
      <c r="BR85" s="842"/>
      <c r="BS85" s="842"/>
      <c r="BT85" s="842"/>
      <c r="BU85" s="842"/>
      <c r="BV85" s="842"/>
      <c r="BW85" s="842"/>
      <c r="BX85" s="842"/>
      <c r="BY85" s="842"/>
      <c r="BZ85" s="842"/>
      <c r="CA85" s="842"/>
      <c r="CB85" s="842"/>
      <c r="CC85" s="887"/>
      <c r="CD85" s="887"/>
      <c r="CE85" s="887"/>
      <c r="CF85" s="887"/>
      <c r="CG85" s="887"/>
      <c r="CH85" s="887"/>
      <c r="CI85" s="887"/>
      <c r="CJ85" s="887"/>
      <c r="CK85" s="887"/>
      <c r="CL85" s="887"/>
      <c r="CM85" s="887"/>
      <c r="CN85" s="887"/>
      <c r="CO85" s="887"/>
      <c r="CP85" s="887"/>
      <c r="CQ85" s="887"/>
      <c r="CR85" s="887"/>
      <c r="CS85" s="887"/>
      <c r="CT85" s="887"/>
      <c r="CU85" s="887"/>
      <c r="CV85" s="887"/>
      <c r="CW85" s="887"/>
      <c r="CX85" s="887"/>
      <c r="CY85" s="887"/>
      <c r="CZ85" s="887"/>
      <c r="DA85" s="887"/>
      <c r="DB85" s="887"/>
      <c r="DC85" s="887"/>
      <c r="DD85" s="887"/>
      <c r="DE85" s="887"/>
      <c r="DF85" s="887"/>
      <c r="DG85" s="887"/>
      <c r="DH85" s="887"/>
      <c r="DI85" s="887"/>
      <c r="DJ85" s="887"/>
      <c r="DK85" s="887"/>
      <c r="DL85" s="887"/>
      <c r="DM85" s="887"/>
    </row>
    <row r="86" spans="52:117" x14ac:dyDescent="0.25">
      <c r="AZ86" s="887"/>
      <c r="BA86" s="887"/>
      <c r="BB86" s="887"/>
      <c r="BC86" s="887"/>
      <c r="BD86" s="887"/>
      <c r="BE86" s="887"/>
      <c r="BF86" s="887"/>
      <c r="BG86" s="887"/>
      <c r="BH86" s="842"/>
      <c r="BI86" s="842"/>
      <c r="BJ86" s="842"/>
      <c r="BK86" s="842"/>
      <c r="BL86" s="842"/>
      <c r="BM86" s="842"/>
      <c r="BN86" s="842"/>
      <c r="BO86" s="842"/>
      <c r="BP86" s="842"/>
      <c r="BQ86" s="882"/>
      <c r="BR86" s="842"/>
      <c r="BS86" s="842"/>
      <c r="BT86" s="842"/>
      <c r="BU86" s="842"/>
      <c r="BV86" s="842"/>
      <c r="BW86" s="842"/>
      <c r="BX86" s="842"/>
      <c r="BY86" s="842"/>
      <c r="BZ86" s="842"/>
      <c r="CA86" s="842"/>
      <c r="CB86" s="842"/>
      <c r="CC86" s="887"/>
      <c r="CD86" s="887"/>
      <c r="CE86" s="887"/>
      <c r="CF86" s="887"/>
      <c r="CG86" s="887"/>
      <c r="CH86" s="887"/>
      <c r="CI86" s="887"/>
      <c r="CJ86" s="887"/>
      <c r="CK86" s="887"/>
      <c r="CL86" s="887"/>
      <c r="CM86" s="887"/>
      <c r="CN86" s="887"/>
      <c r="CO86" s="887"/>
      <c r="CP86" s="887"/>
      <c r="CQ86" s="887"/>
      <c r="CR86" s="887"/>
      <c r="CS86" s="887"/>
      <c r="CT86" s="887"/>
      <c r="CU86" s="887"/>
      <c r="CV86" s="887"/>
      <c r="CW86" s="887"/>
      <c r="CX86" s="887"/>
      <c r="CY86" s="887"/>
      <c r="CZ86" s="887"/>
      <c r="DA86" s="887"/>
      <c r="DB86" s="887"/>
      <c r="DC86" s="887"/>
      <c r="DD86" s="887"/>
      <c r="DE86" s="887"/>
      <c r="DF86" s="887"/>
      <c r="DG86" s="887"/>
      <c r="DH86" s="887"/>
      <c r="DI86" s="887"/>
      <c r="DJ86" s="887"/>
      <c r="DK86" s="887"/>
      <c r="DL86" s="887"/>
      <c r="DM86" s="887"/>
    </row>
    <row r="87" spans="52:117" x14ac:dyDescent="0.25">
      <c r="AZ87" s="887"/>
      <c r="BA87" s="887"/>
      <c r="BB87" s="887"/>
      <c r="BC87" s="887"/>
      <c r="BD87" s="887"/>
      <c r="BE87" s="887"/>
      <c r="BF87" s="887"/>
      <c r="BG87" s="887"/>
      <c r="BH87" s="842"/>
      <c r="BI87" s="842"/>
      <c r="BJ87" s="842"/>
      <c r="BK87" s="842"/>
      <c r="BL87" s="842"/>
      <c r="BM87" s="842"/>
      <c r="BN87" s="842"/>
      <c r="BO87" s="842"/>
      <c r="BP87" s="842"/>
      <c r="BQ87" s="882"/>
      <c r="BR87" s="842"/>
      <c r="BS87" s="842"/>
      <c r="BT87" s="842"/>
      <c r="BU87" s="842"/>
      <c r="BV87" s="842"/>
      <c r="BW87" s="842"/>
      <c r="BX87" s="842"/>
      <c r="BY87" s="842"/>
      <c r="BZ87" s="842"/>
      <c r="CA87" s="842"/>
      <c r="CB87" s="842"/>
      <c r="CC87" s="887"/>
      <c r="CD87" s="887"/>
      <c r="CE87" s="887"/>
      <c r="CF87" s="887"/>
      <c r="CG87" s="887"/>
      <c r="CH87" s="887"/>
      <c r="CI87" s="887"/>
      <c r="CJ87" s="887"/>
      <c r="CK87" s="887"/>
      <c r="CL87" s="887"/>
      <c r="CM87" s="887"/>
      <c r="CN87" s="887"/>
      <c r="CO87" s="887"/>
      <c r="CP87" s="887"/>
      <c r="CQ87" s="887"/>
      <c r="CR87" s="887"/>
      <c r="CS87" s="887"/>
      <c r="CT87" s="887"/>
      <c r="CU87" s="887"/>
      <c r="CV87" s="887"/>
      <c r="CW87" s="887"/>
      <c r="CX87" s="887"/>
      <c r="CY87" s="887"/>
      <c r="CZ87" s="887"/>
      <c r="DA87" s="887"/>
      <c r="DB87" s="887"/>
      <c r="DC87" s="887"/>
      <c r="DD87" s="887"/>
      <c r="DE87" s="887"/>
      <c r="DF87" s="887"/>
      <c r="DG87" s="887"/>
      <c r="DH87" s="887"/>
      <c r="DI87" s="887"/>
      <c r="DJ87" s="887"/>
      <c r="DK87" s="887"/>
      <c r="DL87" s="887"/>
      <c r="DM87" s="887"/>
    </row>
    <row r="88" spans="52:117" x14ac:dyDescent="0.25">
      <c r="AZ88" s="887"/>
      <c r="BA88" s="887"/>
      <c r="BB88" s="887"/>
      <c r="BC88" s="887"/>
      <c r="BD88" s="887"/>
      <c r="BE88" s="887"/>
      <c r="BF88" s="887"/>
      <c r="BG88" s="887"/>
      <c r="BH88" s="842"/>
      <c r="BI88" s="842"/>
      <c r="BJ88" s="842"/>
      <c r="BK88" s="842"/>
      <c r="BL88" s="842"/>
      <c r="BM88" s="842"/>
      <c r="BN88" s="842"/>
      <c r="BO88" s="842"/>
      <c r="BP88" s="842"/>
      <c r="BQ88" s="882"/>
      <c r="BR88" s="842"/>
      <c r="BS88" s="842"/>
      <c r="BT88" s="842"/>
      <c r="BU88" s="842"/>
      <c r="BV88" s="842"/>
      <c r="BW88" s="842"/>
      <c r="BX88" s="842"/>
      <c r="BY88" s="842"/>
      <c r="BZ88" s="842"/>
      <c r="CA88" s="842"/>
      <c r="CB88" s="842"/>
      <c r="CC88" s="887"/>
      <c r="CD88" s="887"/>
      <c r="CE88" s="887"/>
      <c r="CF88" s="887"/>
      <c r="CG88" s="887"/>
      <c r="CH88" s="887"/>
      <c r="CI88" s="887"/>
      <c r="CJ88" s="887"/>
      <c r="CK88" s="887"/>
      <c r="CL88" s="887"/>
      <c r="CM88" s="887"/>
      <c r="CN88" s="887"/>
      <c r="CO88" s="887"/>
      <c r="CP88" s="887"/>
      <c r="CQ88" s="887"/>
      <c r="CR88" s="887"/>
      <c r="CS88" s="887"/>
      <c r="CT88" s="887"/>
      <c r="CU88" s="887"/>
      <c r="CV88" s="887"/>
      <c r="CW88" s="887"/>
      <c r="CX88" s="887"/>
      <c r="CY88" s="887"/>
      <c r="CZ88" s="887"/>
      <c r="DA88" s="887"/>
      <c r="DB88" s="887"/>
      <c r="DC88" s="887"/>
      <c r="DD88" s="887"/>
      <c r="DE88" s="887"/>
      <c r="DF88" s="887"/>
      <c r="DG88" s="887"/>
      <c r="DH88" s="887"/>
      <c r="DI88" s="887"/>
      <c r="DJ88" s="887"/>
      <c r="DK88" s="887"/>
      <c r="DL88" s="887"/>
      <c r="DM88" s="887"/>
    </row>
    <row r="89" spans="52:117" x14ac:dyDescent="0.25">
      <c r="AZ89" s="887"/>
      <c r="BA89" s="887"/>
      <c r="BB89" s="887"/>
      <c r="BC89" s="887"/>
      <c r="BD89" s="887"/>
      <c r="BE89" s="887"/>
      <c r="BF89" s="887"/>
      <c r="BG89" s="887"/>
      <c r="BH89" s="842"/>
      <c r="BI89" s="842"/>
      <c r="BJ89" s="842"/>
      <c r="BK89" s="842"/>
      <c r="BL89" s="842"/>
      <c r="BM89" s="842"/>
      <c r="BN89" s="842"/>
      <c r="BO89" s="842"/>
      <c r="BP89" s="842"/>
      <c r="BQ89" s="882"/>
      <c r="BR89" s="842"/>
      <c r="BS89" s="842"/>
      <c r="BT89" s="842"/>
      <c r="BU89" s="842"/>
      <c r="BV89" s="842"/>
      <c r="BW89" s="842"/>
      <c r="BX89" s="842"/>
      <c r="BY89" s="842"/>
      <c r="BZ89" s="842"/>
      <c r="CA89" s="842"/>
      <c r="CB89" s="842"/>
      <c r="CC89" s="887"/>
      <c r="CD89" s="887"/>
      <c r="CE89" s="887"/>
      <c r="CF89" s="887"/>
      <c r="CG89" s="887"/>
      <c r="CH89" s="887"/>
      <c r="CI89" s="887"/>
      <c r="CJ89" s="887"/>
      <c r="CK89" s="887"/>
      <c r="CL89" s="887"/>
      <c r="CM89" s="887"/>
      <c r="CN89" s="887"/>
      <c r="CO89" s="887"/>
      <c r="CP89" s="887"/>
      <c r="CQ89" s="887"/>
      <c r="CR89" s="887"/>
      <c r="CS89" s="887"/>
      <c r="CT89" s="887"/>
      <c r="CU89" s="887"/>
      <c r="CV89" s="887"/>
      <c r="CW89" s="887"/>
      <c r="CX89" s="887"/>
      <c r="CY89" s="887"/>
      <c r="CZ89" s="887"/>
      <c r="DA89" s="887"/>
      <c r="DB89" s="887"/>
      <c r="DC89" s="887"/>
      <c r="DD89" s="887"/>
      <c r="DE89" s="887"/>
      <c r="DF89" s="887"/>
      <c r="DG89" s="887"/>
      <c r="DH89" s="887"/>
      <c r="DI89" s="887"/>
      <c r="DJ89" s="887"/>
      <c r="DK89" s="887"/>
      <c r="DL89" s="887"/>
      <c r="DM89" s="887"/>
    </row>
    <row r="90" spans="52:117" x14ac:dyDescent="0.25">
      <c r="AZ90" s="887"/>
      <c r="BA90" s="887"/>
      <c r="BB90" s="887"/>
      <c r="BC90" s="887"/>
      <c r="BD90" s="887"/>
      <c r="BE90" s="887"/>
      <c r="BF90" s="887"/>
      <c r="BG90" s="887"/>
      <c r="BH90" s="842"/>
      <c r="BI90" s="842"/>
      <c r="BJ90" s="842"/>
      <c r="BK90" s="842"/>
      <c r="BL90" s="842"/>
      <c r="BM90" s="842"/>
      <c r="BN90" s="842"/>
      <c r="BO90" s="842"/>
      <c r="BP90" s="842"/>
      <c r="BQ90" s="882"/>
      <c r="BR90" s="842"/>
      <c r="BS90" s="842"/>
      <c r="BT90" s="842"/>
      <c r="BU90" s="842"/>
      <c r="BV90" s="842"/>
      <c r="BW90" s="842"/>
      <c r="BX90" s="842"/>
      <c r="BY90" s="842"/>
      <c r="BZ90" s="842"/>
      <c r="CA90" s="842"/>
      <c r="CB90" s="842"/>
      <c r="CC90" s="887"/>
      <c r="CD90" s="887"/>
      <c r="CE90" s="887"/>
      <c r="CF90" s="887"/>
      <c r="CG90" s="887"/>
      <c r="CH90" s="887"/>
      <c r="CI90" s="887"/>
      <c r="CJ90" s="887"/>
      <c r="CK90" s="887"/>
      <c r="CL90" s="887"/>
      <c r="CM90" s="887"/>
      <c r="CN90" s="887"/>
      <c r="CO90" s="887"/>
      <c r="CP90" s="887"/>
      <c r="CQ90" s="887"/>
      <c r="CR90" s="887"/>
      <c r="CS90" s="887"/>
      <c r="CT90" s="887"/>
      <c r="CU90" s="887"/>
      <c r="CV90" s="887"/>
      <c r="CW90" s="887"/>
      <c r="CX90" s="887"/>
      <c r="CY90" s="887"/>
      <c r="CZ90" s="887"/>
      <c r="DA90" s="887"/>
      <c r="DB90" s="887"/>
      <c r="DC90" s="887"/>
      <c r="DD90" s="887"/>
      <c r="DE90" s="887"/>
      <c r="DF90" s="887"/>
      <c r="DG90" s="887"/>
      <c r="DH90" s="887"/>
      <c r="DI90" s="887"/>
      <c r="DJ90" s="887"/>
      <c r="DK90" s="887"/>
      <c r="DL90" s="887"/>
      <c r="DM90" s="887"/>
    </row>
    <row r="91" spans="52:117" x14ac:dyDescent="0.25">
      <c r="AZ91" s="887"/>
      <c r="BA91" s="887"/>
      <c r="BB91" s="887"/>
      <c r="BC91" s="887"/>
      <c r="BD91" s="887"/>
      <c r="BE91" s="887"/>
      <c r="BF91" s="887"/>
      <c r="BG91" s="887"/>
      <c r="BH91" s="842"/>
      <c r="BI91" s="842"/>
      <c r="BJ91" s="842"/>
      <c r="BK91" s="842"/>
      <c r="BL91" s="842"/>
      <c r="BM91" s="842"/>
      <c r="BN91" s="842"/>
      <c r="BO91" s="842"/>
      <c r="BP91" s="842"/>
      <c r="BQ91" s="882"/>
      <c r="BR91" s="842"/>
      <c r="BS91" s="842"/>
      <c r="BT91" s="842"/>
      <c r="BU91" s="842"/>
      <c r="BV91" s="842"/>
      <c r="BW91" s="842"/>
      <c r="BX91" s="842"/>
      <c r="BY91" s="842"/>
      <c r="BZ91" s="842"/>
      <c r="CA91" s="842"/>
      <c r="CB91" s="842"/>
      <c r="CC91" s="887"/>
      <c r="CD91" s="887"/>
      <c r="CE91" s="887"/>
      <c r="CF91" s="887"/>
      <c r="CG91" s="887"/>
      <c r="CH91" s="887"/>
      <c r="CI91" s="887"/>
      <c r="CJ91" s="887"/>
      <c r="CK91" s="887"/>
      <c r="CL91" s="887"/>
      <c r="CM91" s="887"/>
      <c r="CN91" s="887"/>
      <c r="CO91" s="887"/>
      <c r="CP91" s="887"/>
      <c r="CQ91" s="887"/>
      <c r="CR91" s="887"/>
      <c r="CS91" s="887"/>
      <c r="CT91" s="887"/>
      <c r="CU91" s="887"/>
      <c r="CV91" s="887"/>
      <c r="CW91" s="887"/>
      <c r="CX91" s="887"/>
      <c r="CY91" s="887"/>
      <c r="CZ91" s="887"/>
      <c r="DA91" s="887"/>
      <c r="DB91" s="887"/>
      <c r="DC91" s="887"/>
      <c r="DD91" s="887"/>
      <c r="DE91" s="887"/>
      <c r="DF91" s="887"/>
      <c r="DG91" s="887"/>
      <c r="DH91" s="887"/>
      <c r="DI91" s="887"/>
      <c r="DJ91" s="887"/>
      <c r="DK91" s="887"/>
      <c r="DL91" s="887"/>
      <c r="DM91" s="887"/>
    </row>
    <row r="92" spans="52:117" x14ac:dyDescent="0.25">
      <c r="AZ92" s="887"/>
      <c r="BA92" s="887"/>
      <c r="BB92" s="887"/>
      <c r="BC92" s="887"/>
      <c r="BD92" s="887"/>
      <c r="BE92" s="887"/>
      <c r="BF92" s="887"/>
      <c r="BG92" s="887"/>
      <c r="BH92" s="887"/>
      <c r="BI92" s="887"/>
      <c r="BJ92" s="887"/>
      <c r="BK92" s="887"/>
      <c r="BL92" s="887"/>
      <c r="BM92" s="887"/>
      <c r="BN92" s="887"/>
      <c r="BO92" s="887"/>
      <c r="BP92" s="887"/>
      <c r="BQ92" s="887"/>
      <c r="BR92" s="887"/>
      <c r="BS92" s="887"/>
      <c r="BT92" s="887"/>
      <c r="BU92" s="887"/>
      <c r="BV92" s="887"/>
      <c r="BW92" s="887"/>
      <c r="BX92" s="887"/>
      <c r="BY92" s="887"/>
      <c r="BZ92" s="887"/>
      <c r="CA92" s="887"/>
      <c r="CB92" s="887"/>
      <c r="CC92" s="887"/>
      <c r="CD92" s="887"/>
      <c r="CE92" s="887"/>
      <c r="CF92" s="887"/>
      <c r="CG92" s="887"/>
      <c r="CH92" s="887"/>
      <c r="CI92" s="887"/>
      <c r="CJ92" s="887"/>
      <c r="CK92" s="887"/>
      <c r="CL92" s="887"/>
      <c r="CM92" s="887"/>
      <c r="CN92" s="887"/>
      <c r="CO92" s="887"/>
      <c r="CP92" s="887"/>
      <c r="CQ92" s="887"/>
      <c r="CR92" s="887"/>
      <c r="CS92" s="887"/>
      <c r="CT92" s="887"/>
      <c r="CU92" s="887"/>
      <c r="CV92" s="887"/>
      <c r="CW92" s="887"/>
      <c r="CX92" s="887"/>
      <c r="CY92" s="887"/>
      <c r="CZ92" s="887"/>
      <c r="DA92" s="887"/>
      <c r="DB92" s="887"/>
      <c r="DC92" s="887"/>
      <c r="DD92" s="887"/>
      <c r="DE92" s="887"/>
      <c r="DF92" s="887"/>
      <c r="DG92" s="887"/>
      <c r="DH92" s="887"/>
      <c r="DI92" s="887"/>
      <c r="DJ92" s="887"/>
      <c r="DK92" s="887"/>
      <c r="DL92" s="887"/>
      <c r="DM92" s="887"/>
    </row>
    <row r="93" spans="52:117" x14ac:dyDescent="0.25">
      <c r="AZ93" s="887"/>
      <c r="BA93" s="887"/>
      <c r="BB93" s="887"/>
      <c r="BC93" s="887"/>
      <c r="BD93" s="887"/>
      <c r="BE93" s="887"/>
      <c r="BF93" s="887"/>
      <c r="BG93" s="887"/>
      <c r="BH93" s="887"/>
      <c r="BI93" s="887"/>
      <c r="BJ93" s="887"/>
      <c r="BK93" s="887"/>
      <c r="BL93" s="887"/>
      <c r="BM93" s="887"/>
      <c r="BN93" s="887"/>
      <c r="BO93" s="887"/>
      <c r="BP93" s="887"/>
      <c r="BQ93" s="887"/>
      <c r="BR93" s="887"/>
      <c r="BS93" s="887"/>
      <c r="BT93" s="887"/>
      <c r="BU93" s="887"/>
      <c r="BV93" s="887"/>
      <c r="BW93" s="887"/>
      <c r="BX93" s="887"/>
      <c r="BY93" s="887"/>
      <c r="BZ93" s="887"/>
      <c r="CA93" s="887"/>
      <c r="CB93" s="887"/>
      <c r="CC93" s="887"/>
      <c r="CD93" s="887"/>
      <c r="CE93" s="887"/>
      <c r="CF93" s="887"/>
      <c r="CG93" s="887"/>
      <c r="CH93" s="887"/>
      <c r="CI93" s="887"/>
      <c r="CJ93" s="887"/>
      <c r="CK93" s="887"/>
      <c r="CL93" s="887"/>
      <c r="CM93" s="887"/>
      <c r="CN93" s="887"/>
      <c r="CO93" s="887"/>
      <c r="CP93" s="887"/>
      <c r="CQ93" s="887"/>
      <c r="CR93" s="887"/>
      <c r="CS93" s="887"/>
      <c r="CT93" s="887"/>
      <c r="CU93" s="887"/>
      <c r="CV93" s="887"/>
      <c r="CW93" s="887"/>
      <c r="CX93" s="887"/>
      <c r="CY93" s="887"/>
      <c r="CZ93" s="887"/>
      <c r="DA93" s="887"/>
      <c r="DB93" s="887"/>
      <c r="DC93" s="887"/>
      <c r="DD93" s="887"/>
      <c r="DE93" s="887"/>
      <c r="DF93" s="887"/>
      <c r="DG93" s="887"/>
      <c r="DH93" s="887"/>
      <c r="DI93" s="887"/>
      <c r="DJ93" s="887"/>
      <c r="DK93" s="887"/>
      <c r="DL93" s="887"/>
      <c r="DM93" s="887"/>
    </row>
    <row r="94" spans="52:117" x14ac:dyDescent="0.25">
      <c r="AZ94" s="887"/>
      <c r="BA94" s="887"/>
      <c r="BB94" s="887"/>
      <c r="BC94" s="887"/>
      <c r="BD94" s="887"/>
      <c r="BE94" s="887"/>
      <c r="BF94" s="887"/>
      <c r="BG94" s="887"/>
      <c r="BH94" s="887"/>
      <c r="BI94" s="887"/>
      <c r="BJ94" s="887"/>
      <c r="BK94" s="887"/>
      <c r="BL94" s="887"/>
      <c r="BM94" s="887"/>
      <c r="BN94" s="887"/>
      <c r="BO94" s="887"/>
      <c r="BP94" s="887"/>
      <c r="BQ94" s="887"/>
      <c r="BR94" s="887"/>
      <c r="BS94" s="887"/>
      <c r="BT94" s="887"/>
      <c r="BU94" s="887"/>
      <c r="BV94" s="887"/>
      <c r="BW94" s="887"/>
      <c r="BX94" s="887"/>
      <c r="BY94" s="887"/>
      <c r="BZ94" s="887"/>
      <c r="CA94" s="887"/>
      <c r="CB94" s="887"/>
      <c r="CC94" s="887"/>
      <c r="CD94" s="887"/>
      <c r="CE94" s="887"/>
      <c r="CF94" s="887"/>
      <c r="CG94" s="887"/>
      <c r="CH94" s="887"/>
      <c r="CI94" s="887"/>
      <c r="CJ94" s="887"/>
      <c r="CK94" s="887"/>
      <c r="CL94" s="887"/>
      <c r="CM94" s="887"/>
      <c r="CN94" s="887"/>
      <c r="CO94" s="887"/>
      <c r="CP94" s="887"/>
      <c r="CQ94" s="887"/>
      <c r="CR94" s="887"/>
      <c r="CS94" s="887"/>
      <c r="CT94" s="887"/>
      <c r="CU94" s="887"/>
      <c r="CV94" s="887"/>
      <c r="CW94" s="887"/>
      <c r="CX94" s="887"/>
      <c r="CY94" s="887"/>
      <c r="CZ94" s="887"/>
      <c r="DA94" s="887"/>
      <c r="DB94" s="887"/>
      <c r="DC94" s="887"/>
      <c r="DD94" s="887"/>
      <c r="DE94" s="887"/>
      <c r="DF94" s="887"/>
      <c r="DG94" s="887"/>
      <c r="DH94" s="887"/>
      <c r="DI94" s="887"/>
      <c r="DJ94" s="887"/>
      <c r="DK94" s="887"/>
      <c r="DL94" s="887"/>
      <c r="DM94" s="887"/>
    </row>
    <row r="95" spans="52:117" x14ac:dyDescent="0.25">
      <c r="AZ95" s="887"/>
      <c r="BA95" s="887"/>
      <c r="BB95" s="887"/>
      <c r="BC95" s="887"/>
      <c r="BD95" s="887"/>
      <c r="BE95" s="887"/>
      <c r="BF95" s="887"/>
      <c r="BG95" s="887"/>
      <c r="BH95" s="887"/>
      <c r="BI95" s="887"/>
      <c r="BJ95" s="887"/>
      <c r="BK95" s="887"/>
      <c r="BL95" s="887"/>
      <c r="BM95" s="887"/>
      <c r="BN95" s="887"/>
      <c r="BO95" s="887"/>
      <c r="BP95" s="887"/>
      <c r="BQ95" s="887"/>
      <c r="BR95" s="887"/>
      <c r="BS95" s="887"/>
      <c r="BT95" s="887"/>
      <c r="BU95" s="887"/>
      <c r="BV95" s="887"/>
      <c r="BW95" s="887"/>
      <c r="BX95" s="887"/>
      <c r="BY95" s="887"/>
      <c r="BZ95" s="887"/>
      <c r="CA95" s="887"/>
      <c r="CB95" s="887"/>
      <c r="CC95" s="887"/>
      <c r="CD95" s="887"/>
      <c r="CE95" s="887"/>
      <c r="CF95" s="887"/>
      <c r="CG95" s="887"/>
      <c r="CH95" s="887"/>
      <c r="CI95" s="887"/>
      <c r="CJ95" s="887"/>
      <c r="CK95" s="887"/>
      <c r="CL95" s="887"/>
      <c r="CM95" s="887"/>
      <c r="CN95" s="887"/>
      <c r="CO95" s="887"/>
      <c r="CP95" s="887"/>
      <c r="CQ95" s="887"/>
      <c r="CR95" s="887"/>
      <c r="CS95" s="887"/>
      <c r="CT95" s="887"/>
      <c r="CU95" s="887"/>
      <c r="CV95" s="887"/>
      <c r="CW95" s="887"/>
      <c r="CX95" s="887"/>
      <c r="CY95" s="887"/>
      <c r="CZ95" s="887"/>
      <c r="DA95" s="887"/>
      <c r="DB95" s="887"/>
      <c r="DC95" s="887"/>
      <c r="DD95" s="887"/>
      <c r="DE95" s="887"/>
      <c r="DF95" s="887"/>
      <c r="DG95" s="887"/>
      <c r="DH95" s="887"/>
      <c r="DI95" s="887"/>
      <c r="DJ95" s="887"/>
      <c r="DK95" s="887"/>
      <c r="DL95" s="887"/>
      <c r="DM95" s="887"/>
    </row>
    <row r="96" spans="52:117" x14ac:dyDescent="0.25">
      <c r="AZ96" s="887"/>
      <c r="BA96" s="887"/>
      <c r="BB96" s="887"/>
      <c r="BC96" s="887"/>
      <c r="BD96" s="887"/>
      <c r="BE96" s="887"/>
      <c r="BF96" s="887"/>
      <c r="BG96" s="887"/>
      <c r="BH96" s="887"/>
      <c r="BI96" s="887"/>
      <c r="BJ96" s="887"/>
      <c r="BK96" s="887"/>
      <c r="BL96" s="887"/>
      <c r="BM96" s="887"/>
      <c r="BN96" s="887"/>
      <c r="BO96" s="887"/>
      <c r="BP96" s="887"/>
      <c r="BQ96" s="887"/>
      <c r="BR96" s="887"/>
      <c r="BS96" s="887"/>
      <c r="BT96" s="887"/>
      <c r="BU96" s="887"/>
      <c r="BV96" s="887"/>
      <c r="BW96" s="887"/>
      <c r="BX96" s="887"/>
      <c r="BY96" s="887"/>
      <c r="BZ96" s="887"/>
      <c r="CA96" s="887"/>
      <c r="CB96" s="887"/>
      <c r="CC96" s="887"/>
      <c r="CD96" s="887"/>
      <c r="CE96" s="887"/>
      <c r="CF96" s="887"/>
      <c r="CG96" s="887"/>
      <c r="CH96" s="887"/>
      <c r="CI96" s="887"/>
      <c r="CJ96" s="887"/>
      <c r="CK96" s="887"/>
      <c r="CL96" s="887"/>
      <c r="CM96" s="887"/>
      <c r="CN96" s="887"/>
      <c r="CO96" s="887"/>
      <c r="CP96" s="887"/>
      <c r="CQ96" s="887"/>
      <c r="CR96" s="887"/>
      <c r="CS96" s="887"/>
      <c r="CT96" s="887"/>
      <c r="CU96" s="887"/>
      <c r="CV96" s="887"/>
      <c r="CW96" s="887"/>
      <c r="CX96" s="887"/>
      <c r="CY96" s="887"/>
      <c r="CZ96" s="887"/>
      <c r="DA96" s="887"/>
      <c r="DB96" s="887"/>
      <c r="DC96" s="887"/>
      <c r="DD96" s="887"/>
      <c r="DE96" s="887"/>
      <c r="DF96" s="887"/>
      <c r="DG96" s="887"/>
      <c r="DH96" s="887"/>
      <c r="DI96" s="887"/>
      <c r="DJ96" s="887"/>
      <c r="DK96" s="887"/>
      <c r="DL96" s="887"/>
      <c r="DM96" s="887"/>
    </row>
    <row r="97" spans="52:117" x14ac:dyDescent="0.25">
      <c r="AZ97" s="887"/>
      <c r="BA97" s="887"/>
      <c r="BB97" s="887"/>
      <c r="BC97" s="887"/>
      <c r="BD97" s="887"/>
      <c r="BE97" s="887"/>
      <c r="BF97" s="887"/>
      <c r="BG97" s="887"/>
      <c r="BH97" s="887"/>
      <c r="BI97" s="887"/>
      <c r="BJ97" s="887"/>
      <c r="BK97" s="887"/>
      <c r="BL97" s="887"/>
      <c r="BM97" s="887"/>
      <c r="BN97" s="887"/>
      <c r="BO97" s="887"/>
      <c r="BP97" s="887"/>
      <c r="BQ97" s="887"/>
      <c r="BR97" s="887"/>
      <c r="BS97" s="887"/>
      <c r="BT97" s="887"/>
      <c r="BU97" s="887"/>
      <c r="BV97" s="887"/>
      <c r="BW97" s="887"/>
      <c r="BX97" s="887"/>
      <c r="BY97" s="887"/>
      <c r="BZ97" s="887"/>
      <c r="CA97" s="887"/>
      <c r="CB97" s="887"/>
      <c r="CC97" s="887"/>
      <c r="CD97" s="887"/>
      <c r="CE97" s="887"/>
      <c r="CF97" s="887"/>
      <c r="CG97" s="887"/>
      <c r="CH97" s="887"/>
      <c r="CI97" s="887"/>
      <c r="CJ97" s="887"/>
      <c r="CK97" s="887"/>
      <c r="CL97" s="887"/>
      <c r="CM97" s="887"/>
      <c r="CN97" s="887"/>
      <c r="CO97" s="887"/>
      <c r="CP97" s="887"/>
      <c r="CQ97" s="887"/>
      <c r="CR97" s="887"/>
      <c r="CS97" s="887"/>
      <c r="CT97" s="887"/>
      <c r="CU97" s="887"/>
      <c r="CV97" s="887"/>
      <c r="CW97" s="887"/>
      <c r="CX97" s="887"/>
      <c r="CY97" s="887"/>
      <c r="CZ97" s="887"/>
      <c r="DA97" s="887"/>
      <c r="DB97" s="887"/>
      <c r="DC97" s="887"/>
      <c r="DD97" s="887"/>
      <c r="DE97" s="887"/>
      <c r="DF97" s="887"/>
      <c r="DG97" s="887"/>
      <c r="DH97" s="887"/>
      <c r="DI97" s="887"/>
      <c r="DJ97" s="887"/>
      <c r="DK97" s="887"/>
      <c r="DL97" s="887"/>
      <c r="DM97" s="887"/>
    </row>
    <row r="98" spans="52:117" x14ac:dyDescent="0.25">
      <c r="AZ98" s="887"/>
      <c r="BA98" s="887"/>
      <c r="BB98" s="887"/>
      <c r="BC98" s="887"/>
      <c r="BD98" s="887"/>
      <c r="BE98" s="887"/>
      <c r="BF98" s="887"/>
      <c r="BG98" s="887"/>
      <c r="BH98" s="887"/>
      <c r="BI98" s="887"/>
      <c r="BJ98" s="887"/>
      <c r="BK98" s="887"/>
      <c r="BL98" s="887"/>
      <c r="BM98" s="887"/>
      <c r="BN98" s="887"/>
      <c r="BO98" s="887"/>
      <c r="BP98" s="887"/>
      <c r="BQ98" s="887"/>
      <c r="BR98" s="887"/>
      <c r="BS98" s="887"/>
      <c r="BT98" s="887"/>
      <c r="BU98" s="887"/>
      <c r="BV98" s="887"/>
      <c r="BW98" s="887"/>
      <c r="BX98" s="887"/>
      <c r="BY98" s="887"/>
      <c r="BZ98" s="887"/>
      <c r="CA98" s="887"/>
      <c r="CB98" s="887"/>
      <c r="CC98" s="887"/>
      <c r="CD98" s="887"/>
      <c r="CE98" s="887"/>
      <c r="CF98" s="887"/>
      <c r="CG98" s="887"/>
      <c r="CH98" s="887"/>
      <c r="CI98" s="887"/>
      <c r="CJ98" s="887"/>
      <c r="CK98" s="887"/>
      <c r="CL98" s="887"/>
      <c r="CM98" s="887"/>
      <c r="CN98" s="887"/>
      <c r="CO98" s="887"/>
      <c r="CP98" s="887"/>
      <c r="CQ98" s="887"/>
      <c r="CR98" s="887"/>
      <c r="CS98" s="887"/>
      <c r="CT98" s="887"/>
      <c r="CU98" s="887"/>
      <c r="CV98" s="887"/>
      <c r="CW98" s="887"/>
      <c r="CX98" s="887"/>
      <c r="CY98" s="887"/>
      <c r="CZ98" s="887"/>
      <c r="DA98" s="887"/>
      <c r="DB98" s="887"/>
      <c r="DC98" s="887"/>
      <c r="DD98" s="887"/>
      <c r="DE98" s="887"/>
      <c r="DF98" s="887"/>
      <c r="DG98" s="887"/>
      <c r="DH98" s="887"/>
      <c r="DI98" s="887"/>
      <c r="DJ98" s="887"/>
      <c r="DK98" s="887"/>
      <c r="DL98" s="887"/>
      <c r="DM98" s="887"/>
    </row>
    <row r="99" spans="52:117" x14ac:dyDescent="0.25">
      <c r="AZ99" s="887"/>
      <c r="BA99" s="887"/>
      <c r="BB99" s="887"/>
      <c r="BC99" s="887"/>
      <c r="BD99" s="887"/>
      <c r="BE99" s="887"/>
      <c r="BF99" s="887"/>
      <c r="BG99" s="887"/>
      <c r="BH99" s="887"/>
      <c r="BI99" s="887"/>
      <c r="BJ99" s="887"/>
      <c r="BK99" s="887"/>
      <c r="BL99" s="887"/>
      <c r="BM99" s="887"/>
      <c r="BN99" s="887"/>
      <c r="BO99" s="887"/>
      <c r="BP99" s="887"/>
      <c r="BQ99" s="887"/>
      <c r="BR99" s="887"/>
      <c r="BS99" s="887"/>
      <c r="BT99" s="887"/>
      <c r="BU99" s="887"/>
      <c r="BV99" s="887"/>
      <c r="BW99" s="887"/>
      <c r="BX99" s="887"/>
      <c r="BY99" s="887"/>
      <c r="BZ99" s="887"/>
      <c r="CA99" s="887"/>
      <c r="CB99" s="887"/>
      <c r="CC99" s="887"/>
      <c r="CD99" s="887"/>
      <c r="CE99" s="887"/>
      <c r="CF99" s="887"/>
      <c r="CG99" s="887"/>
      <c r="CH99" s="887"/>
      <c r="CI99" s="887"/>
      <c r="CJ99" s="887"/>
      <c r="CK99" s="887"/>
      <c r="CL99" s="887"/>
      <c r="CM99" s="887"/>
      <c r="CN99" s="887"/>
      <c r="CO99" s="887"/>
      <c r="CP99" s="887"/>
      <c r="CQ99" s="887"/>
      <c r="CR99" s="887"/>
      <c r="CS99" s="887"/>
      <c r="CT99" s="887"/>
      <c r="CU99" s="887"/>
      <c r="CV99" s="887"/>
      <c r="CW99" s="887"/>
      <c r="CX99" s="887"/>
      <c r="CY99" s="887"/>
      <c r="CZ99" s="887"/>
      <c r="DA99" s="887"/>
      <c r="DB99" s="887"/>
      <c r="DC99" s="887"/>
      <c r="DD99" s="887"/>
      <c r="DE99" s="887"/>
      <c r="DF99" s="887"/>
      <c r="DG99" s="887"/>
      <c r="DH99" s="887"/>
      <c r="DI99" s="887"/>
      <c r="DJ99" s="887"/>
      <c r="DK99" s="887"/>
      <c r="DL99" s="887"/>
      <c r="DM99" s="887"/>
    </row>
    <row r="100" spans="52:117" x14ac:dyDescent="0.25">
      <c r="AZ100" s="887"/>
      <c r="BA100" s="887"/>
      <c r="BB100" s="887"/>
      <c r="BC100" s="887"/>
      <c r="BD100" s="887"/>
      <c r="BE100" s="887"/>
      <c r="BF100" s="887"/>
      <c r="BG100" s="887"/>
      <c r="BH100" s="887"/>
      <c r="BI100" s="887"/>
      <c r="BJ100" s="887"/>
      <c r="BK100" s="887"/>
      <c r="BL100" s="887"/>
      <c r="BM100" s="887"/>
      <c r="BN100" s="887"/>
      <c r="BO100" s="887"/>
      <c r="BP100" s="887"/>
      <c r="BQ100" s="887"/>
      <c r="BR100" s="887"/>
      <c r="BS100" s="887"/>
      <c r="BT100" s="887"/>
      <c r="BU100" s="887"/>
      <c r="BV100" s="887"/>
      <c r="BW100" s="887"/>
      <c r="BX100" s="887"/>
      <c r="BY100" s="887"/>
      <c r="BZ100" s="887"/>
      <c r="CA100" s="887"/>
      <c r="CB100" s="887"/>
      <c r="CC100" s="887"/>
      <c r="CD100" s="887"/>
      <c r="CE100" s="887"/>
      <c r="CF100" s="887"/>
      <c r="CG100" s="887"/>
      <c r="CH100" s="887"/>
      <c r="CI100" s="887"/>
      <c r="CJ100" s="887"/>
      <c r="CK100" s="887"/>
      <c r="CL100" s="887"/>
      <c r="CM100" s="887"/>
      <c r="CN100" s="887"/>
      <c r="CO100" s="887"/>
      <c r="CP100" s="887"/>
      <c r="CQ100" s="887"/>
      <c r="CR100" s="887"/>
      <c r="CS100" s="887"/>
      <c r="CT100" s="887"/>
      <c r="CU100" s="887"/>
      <c r="CV100" s="887"/>
      <c r="CW100" s="887"/>
      <c r="CX100" s="887"/>
      <c r="CY100" s="887"/>
      <c r="CZ100" s="887"/>
      <c r="DA100" s="887"/>
      <c r="DB100" s="887"/>
      <c r="DC100" s="887"/>
      <c r="DD100" s="887"/>
      <c r="DE100" s="887"/>
      <c r="DF100" s="887"/>
      <c r="DG100" s="887"/>
      <c r="DH100" s="887"/>
      <c r="DI100" s="887"/>
      <c r="DJ100" s="887"/>
      <c r="DK100" s="887"/>
      <c r="DL100" s="887"/>
      <c r="DM100" s="887"/>
    </row>
    <row r="101" spans="52:117" x14ac:dyDescent="0.25">
      <c r="AZ101" s="887"/>
      <c r="BA101" s="887"/>
      <c r="BB101" s="887"/>
      <c r="BC101" s="887"/>
      <c r="BD101" s="887"/>
      <c r="BE101" s="887"/>
      <c r="BF101" s="887"/>
      <c r="BG101" s="887"/>
      <c r="BH101" s="887"/>
      <c r="BI101" s="887"/>
      <c r="BJ101" s="887"/>
      <c r="BK101" s="887"/>
      <c r="BL101" s="887"/>
      <c r="BM101" s="887"/>
      <c r="BN101" s="887"/>
      <c r="BO101" s="887"/>
      <c r="BP101" s="887"/>
      <c r="BQ101" s="887"/>
      <c r="BR101" s="887"/>
      <c r="BS101" s="887"/>
      <c r="BT101" s="887"/>
      <c r="BU101" s="887"/>
      <c r="BV101" s="887"/>
      <c r="BW101" s="887"/>
      <c r="BX101" s="887"/>
      <c r="BY101" s="887"/>
      <c r="BZ101" s="887"/>
      <c r="CA101" s="887"/>
      <c r="CB101" s="887"/>
      <c r="CC101" s="887"/>
      <c r="CD101" s="887"/>
      <c r="CE101" s="887"/>
      <c r="CF101" s="887"/>
      <c r="CG101" s="887"/>
      <c r="CH101" s="887"/>
      <c r="CI101" s="887"/>
      <c r="CJ101" s="887"/>
      <c r="CK101" s="887"/>
      <c r="CL101" s="887"/>
      <c r="CM101" s="887"/>
      <c r="CN101" s="887"/>
      <c r="CO101" s="887"/>
      <c r="CP101" s="887"/>
      <c r="CQ101" s="887"/>
      <c r="CR101" s="887"/>
      <c r="CS101" s="887"/>
      <c r="CT101" s="887"/>
      <c r="CU101" s="887"/>
      <c r="CV101" s="887"/>
      <c r="CW101" s="887"/>
      <c r="CX101" s="887"/>
      <c r="CY101" s="887"/>
      <c r="CZ101" s="887"/>
      <c r="DA101" s="887"/>
      <c r="DB101" s="887"/>
      <c r="DC101" s="887"/>
      <c r="DD101" s="887"/>
      <c r="DE101" s="887"/>
      <c r="DF101" s="887"/>
      <c r="DG101" s="887"/>
      <c r="DH101" s="887"/>
      <c r="DI101" s="887"/>
      <c r="DJ101" s="887"/>
      <c r="DK101" s="887"/>
      <c r="DL101" s="887"/>
      <c r="DM101" s="887"/>
    </row>
    <row r="102" spans="52:117" x14ac:dyDescent="0.25">
      <c r="AZ102" s="887"/>
      <c r="BA102" s="887"/>
      <c r="BB102" s="887"/>
      <c r="BC102" s="887"/>
      <c r="BD102" s="887"/>
      <c r="BE102" s="887"/>
      <c r="BF102" s="887"/>
      <c r="BG102" s="887"/>
      <c r="BH102" s="887"/>
      <c r="BI102" s="887"/>
      <c r="BJ102" s="887"/>
      <c r="BK102" s="887"/>
      <c r="BL102" s="887"/>
      <c r="BM102" s="887"/>
      <c r="BN102" s="887"/>
      <c r="BO102" s="887"/>
      <c r="BP102" s="887"/>
      <c r="BQ102" s="887"/>
      <c r="BR102" s="887"/>
      <c r="BS102" s="887"/>
      <c r="BT102" s="887"/>
      <c r="BU102" s="887"/>
      <c r="BV102" s="887"/>
      <c r="BW102" s="887"/>
      <c r="BX102" s="887"/>
      <c r="BY102" s="887"/>
      <c r="BZ102" s="887"/>
      <c r="CA102" s="887"/>
      <c r="CB102" s="887"/>
      <c r="CC102" s="887"/>
      <c r="CD102" s="887"/>
      <c r="CE102" s="887"/>
      <c r="CF102" s="887"/>
      <c r="CG102" s="887"/>
      <c r="CH102" s="887"/>
      <c r="CI102" s="887"/>
      <c r="CJ102" s="887"/>
      <c r="CK102" s="887"/>
      <c r="CL102" s="887"/>
      <c r="CM102" s="887"/>
      <c r="CN102" s="887"/>
      <c r="CO102" s="887"/>
      <c r="CP102" s="887"/>
      <c r="CQ102" s="887"/>
      <c r="CR102" s="887"/>
      <c r="CS102" s="887"/>
      <c r="CT102" s="887"/>
      <c r="CU102" s="887"/>
      <c r="CV102" s="887"/>
      <c r="CW102" s="887"/>
      <c r="CX102" s="887"/>
      <c r="CY102" s="887"/>
      <c r="CZ102" s="887"/>
      <c r="DA102" s="887"/>
      <c r="DB102" s="887"/>
      <c r="DC102" s="887"/>
      <c r="DD102" s="887"/>
      <c r="DE102" s="887"/>
      <c r="DF102" s="887"/>
      <c r="DG102" s="887"/>
      <c r="DH102" s="887"/>
      <c r="DI102" s="887"/>
      <c r="DJ102" s="887"/>
      <c r="DK102" s="887"/>
      <c r="DL102" s="887"/>
      <c r="DM102" s="887"/>
    </row>
    <row r="103" spans="52:117" x14ac:dyDescent="0.25">
      <c r="AZ103" s="887"/>
      <c r="BA103" s="887"/>
      <c r="BB103" s="887"/>
      <c r="BC103" s="887"/>
      <c r="BD103" s="887"/>
      <c r="BE103" s="887"/>
      <c r="BF103" s="887"/>
      <c r="BG103" s="887"/>
      <c r="BH103" s="887"/>
      <c r="BI103" s="887"/>
      <c r="BJ103" s="887"/>
      <c r="BK103" s="887"/>
      <c r="BL103" s="887"/>
      <c r="BM103" s="887"/>
      <c r="BN103" s="887"/>
      <c r="BO103" s="887"/>
      <c r="BP103" s="887"/>
      <c r="BQ103" s="887"/>
      <c r="BR103" s="887"/>
      <c r="BS103" s="887"/>
      <c r="BT103" s="887"/>
      <c r="BU103" s="887"/>
      <c r="BV103" s="887"/>
      <c r="BW103" s="887"/>
      <c r="BX103" s="887"/>
      <c r="BY103" s="887"/>
      <c r="BZ103" s="887"/>
      <c r="CA103" s="887"/>
      <c r="CB103" s="887"/>
      <c r="CC103" s="887"/>
      <c r="CD103" s="887"/>
      <c r="CE103" s="887"/>
      <c r="CF103" s="887"/>
      <c r="CG103" s="887"/>
      <c r="CH103" s="887"/>
      <c r="CI103" s="887"/>
      <c r="CJ103" s="887"/>
      <c r="CK103" s="887"/>
      <c r="CL103" s="887"/>
      <c r="CM103" s="887"/>
      <c r="CN103" s="887"/>
      <c r="CO103" s="887"/>
      <c r="CP103" s="887"/>
      <c r="CQ103" s="887"/>
      <c r="CR103" s="887"/>
      <c r="CS103" s="887"/>
      <c r="CT103" s="887"/>
      <c r="CU103" s="887"/>
      <c r="CV103" s="887"/>
      <c r="CW103" s="887"/>
      <c r="CX103" s="887"/>
      <c r="CY103" s="887"/>
      <c r="CZ103" s="887"/>
      <c r="DA103" s="887"/>
      <c r="DB103" s="887"/>
      <c r="DC103" s="887"/>
      <c r="DD103" s="887"/>
      <c r="DE103" s="887"/>
      <c r="DF103" s="887"/>
      <c r="DG103" s="887"/>
      <c r="DH103" s="887"/>
      <c r="DI103" s="887"/>
      <c r="DJ103" s="887"/>
      <c r="DK103" s="887"/>
      <c r="DL103" s="887"/>
      <c r="DM103" s="887"/>
    </row>
    <row r="104" spans="52:117" x14ac:dyDescent="0.25">
      <c r="AZ104" s="887"/>
      <c r="BA104" s="887"/>
      <c r="BB104" s="887"/>
      <c r="BC104" s="887"/>
      <c r="BD104" s="887"/>
      <c r="BE104" s="887"/>
      <c r="BF104" s="887"/>
      <c r="BG104" s="887"/>
      <c r="BH104" s="887"/>
      <c r="BI104" s="887"/>
      <c r="BJ104" s="887"/>
      <c r="BK104" s="887"/>
      <c r="BL104" s="887"/>
      <c r="BM104" s="887"/>
      <c r="BN104" s="887"/>
      <c r="BO104" s="887"/>
      <c r="BP104" s="887"/>
      <c r="BQ104" s="887"/>
      <c r="BR104" s="887"/>
      <c r="BS104" s="887"/>
      <c r="BT104" s="887"/>
      <c r="BU104" s="887"/>
      <c r="BV104" s="887"/>
      <c r="BW104" s="887"/>
      <c r="BX104" s="887"/>
      <c r="BY104" s="887"/>
      <c r="BZ104" s="887"/>
      <c r="CA104" s="887"/>
      <c r="CB104" s="887"/>
      <c r="CC104" s="887"/>
      <c r="CD104" s="887"/>
      <c r="CE104" s="887"/>
      <c r="CF104" s="887"/>
      <c r="CG104" s="887"/>
      <c r="CH104" s="887"/>
      <c r="CI104" s="887"/>
      <c r="CJ104" s="887"/>
      <c r="CK104" s="887"/>
      <c r="CL104" s="887"/>
      <c r="CM104" s="887"/>
      <c r="CN104" s="887"/>
      <c r="CO104" s="887"/>
      <c r="CP104" s="887"/>
      <c r="CQ104" s="887"/>
      <c r="CR104" s="887"/>
      <c r="CS104" s="887"/>
      <c r="CT104" s="887"/>
      <c r="CU104" s="887"/>
      <c r="CV104" s="887"/>
      <c r="CW104" s="887"/>
      <c r="CX104" s="887"/>
      <c r="CY104" s="887"/>
      <c r="CZ104" s="887"/>
      <c r="DA104" s="887"/>
      <c r="DB104" s="887"/>
      <c r="DC104" s="887"/>
      <c r="DD104" s="887"/>
      <c r="DE104" s="887"/>
      <c r="DF104" s="887"/>
      <c r="DG104" s="887"/>
      <c r="DH104" s="887"/>
      <c r="DI104" s="887"/>
      <c r="DJ104" s="887"/>
      <c r="DK104" s="887"/>
      <c r="DL104" s="887"/>
      <c r="DM104" s="887"/>
    </row>
    <row r="105" spans="52:117" x14ac:dyDescent="0.25">
      <c r="AZ105" s="887"/>
      <c r="BA105" s="887"/>
      <c r="BB105" s="887"/>
      <c r="BC105" s="887"/>
      <c r="BD105" s="887"/>
      <c r="BE105" s="887"/>
      <c r="BF105" s="887"/>
      <c r="BG105" s="887"/>
      <c r="BH105" s="887"/>
      <c r="BI105" s="887"/>
      <c r="BJ105" s="887"/>
      <c r="BK105" s="887"/>
      <c r="BL105" s="887"/>
      <c r="BM105" s="887"/>
      <c r="BN105" s="887"/>
      <c r="BO105" s="887"/>
      <c r="BP105" s="887"/>
      <c r="BQ105" s="887"/>
      <c r="BR105" s="887"/>
      <c r="BS105" s="887"/>
      <c r="BT105" s="887"/>
      <c r="BU105" s="887"/>
      <c r="BV105" s="887"/>
      <c r="BW105" s="887"/>
      <c r="BX105" s="887"/>
      <c r="BY105" s="887"/>
      <c r="BZ105" s="887"/>
      <c r="CA105" s="887"/>
      <c r="CB105" s="887"/>
      <c r="CC105" s="887"/>
      <c r="CD105" s="887"/>
      <c r="CE105" s="887"/>
      <c r="CF105" s="887"/>
      <c r="CG105" s="887"/>
      <c r="CH105" s="887"/>
      <c r="CI105" s="887"/>
      <c r="CJ105" s="887"/>
      <c r="CK105" s="887"/>
      <c r="CL105" s="887"/>
      <c r="CM105" s="887"/>
      <c r="CN105" s="887"/>
      <c r="CO105" s="887"/>
      <c r="CP105" s="887"/>
      <c r="CQ105" s="887"/>
      <c r="CR105" s="887"/>
      <c r="CS105" s="887"/>
      <c r="CT105" s="887"/>
      <c r="CU105" s="887"/>
      <c r="CV105" s="887"/>
      <c r="CW105" s="887"/>
      <c r="CX105" s="887"/>
      <c r="CY105" s="887"/>
      <c r="CZ105" s="887"/>
      <c r="DA105" s="887"/>
      <c r="DB105" s="887"/>
      <c r="DC105" s="887"/>
      <c r="DD105" s="887"/>
      <c r="DE105" s="887"/>
      <c r="DF105" s="887"/>
      <c r="DG105" s="887"/>
      <c r="DH105" s="887"/>
      <c r="DI105" s="887"/>
      <c r="DJ105" s="887"/>
      <c r="DK105" s="887"/>
      <c r="DL105" s="887"/>
      <c r="DM105" s="887"/>
    </row>
    <row r="106" spans="52:117" x14ac:dyDescent="0.25">
      <c r="AZ106" s="887"/>
      <c r="BA106" s="887"/>
      <c r="BB106" s="887"/>
      <c r="BC106" s="887"/>
      <c r="BD106" s="887"/>
      <c r="BE106" s="887"/>
      <c r="BF106" s="887"/>
      <c r="BG106" s="887"/>
      <c r="BH106" s="887"/>
      <c r="BI106" s="887"/>
      <c r="BJ106" s="887"/>
      <c r="BK106" s="887"/>
      <c r="BL106" s="887"/>
      <c r="BM106" s="887"/>
      <c r="BN106" s="887"/>
      <c r="BO106" s="887"/>
      <c r="BP106" s="887"/>
      <c r="BQ106" s="887"/>
      <c r="BR106" s="887"/>
      <c r="BS106" s="887"/>
      <c r="BT106" s="887"/>
      <c r="BU106" s="887"/>
      <c r="BV106" s="887"/>
      <c r="BW106" s="887"/>
      <c r="BX106" s="887"/>
      <c r="BY106" s="887"/>
      <c r="BZ106" s="887"/>
      <c r="CA106" s="887"/>
      <c r="CB106" s="887"/>
      <c r="CC106" s="887"/>
      <c r="CD106" s="887"/>
      <c r="CE106" s="887"/>
      <c r="CF106" s="887"/>
      <c r="CG106" s="887"/>
      <c r="CH106" s="887"/>
      <c r="CI106" s="887"/>
      <c r="CJ106" s="887"/>
      <c r="CK106" s="887"/>
      <c r="CL106" s="887"/>
      <c r="CM106" s="887"/>
      <c r="CN106" s="887"/>
      <c r="CO106" s="887"/>
      <c r="CP106" s="887"/>
      <c r="CQ106" s="887"/>
      <c r="CR106" s="887"/>
      <c r="CS106" s="887"/>
      <c r="CT106" s="887"/>
      <c r="CU106" s="887"/>
      <c r="CV106" s="887"/>
      <c r="CW106" s="887"/>
      <c r="CX106" s="887"/>
      <c r="CY106" s="887"/>
      <c r="CZ106" s="887"/>
      <c r="DA106" s="887"/>
      <c r="DB106" s="887"/>
      <c r="DC106" s="887"/>
      <c r="DD106" s="887"/>
      <c r="DE106" s="887"/>
      <c r="DF106" s="887"/>
      <c r="DG106" s="887"/>
      <c r="DH106" s="887"/>
      <c r="DI106" s="887"/>
      <c r="DJ106" s="887"/>
      <c r="DK106" s="887"/>
      <c r="DL106" s="887"/>
      <c r="DM106" s="887"/>
    </row>
    <row r="107" spans="52:117" x14ac:dyDescent="0.25">
      <c r="AZ107" s="887"/>
      <c r="BA107" s="887"/>
      <c r="BB107" s="887"/>
      <c r="BC107" s="887"/>
      <c r="BD107" s="887"/>
      <c r="BE107" s="887"/>
      <c r="BF107" s="887"/>
      <c r="BG107" s="887"/>
      <c r="BH107" s="887"/>
      <c r="BI107" s="887"/>
      <c r="BJ107" s="887"/>
      <c r="BK107" s="887"/>
      <c r="BL107" s="887"/>
      <c r="BM107" s="887"/>
      <c r="BN107" s="887"/>
      <c r="BO107" s="887"/>
      <c r="BP107" s="887"/>
      <c r="BQ107" s="887"/>
      <c r="BR107" s="887"/>
      <c r="BS107" s="887"/>
      <c r="BT107" s="887"/>
      <c r="BU107" s="887"/>
      <c r="BV107" s="887"/>
      <c r="BW107" s="887"/>
      <c r="BX107" s="887"/>
      <c r="BY107" s="887"/>
      <c r="BZ107" s="887"/>
      <c r="CA107" s="887"/>
      <c r="CB107" s="887"/>
      <c r="CC107" s="887"/>
      <c r="CD107" s="887"/>
      <c r="CE107" s="887"/>
      <c r="CF107" s="887"/>
      <c r="CG107" s="887"/>
      <c r="CH107" s="887"/>
      <c r="CI107" s="887"/>
      <c r="CJ107" s="887"/>
      <c r="CK107" s="887"/>
      <c r="CL107" s="887"/>
      <c r="CM107" s="887"/>
      <c r="CN107" s="887"/>
      <c r="CO107" s="887"/>
      <c r="CP107" s="887"/>
      <c r="CQ107" s="887"/>
      <c r="CR107" s="887"/>
      <c r="CS107" s="887"/>
      <c r="CT107" s="887"/>
      <c r="CU107" s="887"/>
      <c r="CV107" s="887"/>
      <c r="CW107" s="887"/>
      <c r="CX107" s="887"/>
      <c r="CY107" s="887"/>
      <c r="CZ107" s="887"/>
      <c r="DA107" s="887"/>
      <c r="DB107" s="887"/>
      <c r="DC107" s="887"/>
      <c r="DD107" s="887"/>
      <c r="DE107" s="887"/>
      <c r="DF107" s="887"/>
      <c r="DG107" s="887"/>
      <c r="DH107" s="887"/>
      <c r="DI107" s="887"/>
      <c r="DJ107" s="887"/>
      <c r="DK107" s="887"/>
      <c r="DL107" s="887"/>
      <c r="DM107" s="887"/>
    </row>
    <row r="108" spans="52:117" x14ac:dyDescent="0.25">
      <c r="AZ108" s="887"/>
      <c r="BA108" s="887"/>
      <c r="BB108" s="887"/>
      <c r="BC108" s="887"/>
      <c r="BD108" s="887"/>
      <c r="BE108" s="887"/>
      <c r="BF108" s="887"/>
      <c r="BG108" s="887"/>
      <c r="BH108" s="887"/>
      <c r="BI108" s="887"/>
      <c r="BJ108" s="887"/>
      <c r="BK108" s="887"/>
      <c r="BL108" s="887"/>
      <c r="BM108" s="887"/>
      <c r="BN108" s="887"/>
      <c r="BO108" s="887"/>
      <c r="BP108" s="887"/>
      <c r="BQ108" s="887"/>
      <c r="BR108" s="887"/>
      <c r="BS108" s="887"/>
      <c r="BT108" s="887"/>
      <c r="BU108" s="887"/>
      <c r="BV108" s="887"/>
      <c r="BW108" s="887"/>
      <c r="BX108" s="887"/>
      <c r="BY108" s="887"/>
      <c r="BZ108" s="887"/>
      <c r="CA108" s="887"/>
      <c r="CB108" s="887"/>
      <c r="CC108" s="887"/>
      <c r="CD108" s="887"/>
      <c r="CE108" s="887"/>
      <c r="CF108" s="887"/>
      <c r="CG108" s="887"/>
      <c r="CH108" s="887"/>
      <c r="CI108" s="887"/>
      <c r="CJ108" s="887"/>
      <c r="CK108" s="887"/>
      <c r="CL108" s="887"/>
      <c r="CM108" s="887"/>
      <c r="CN108" s="887"/>
      <c r="CO108" s="887"/>
      <c r="CP108" s="887"/>
      <c r="CQ108" s="887"/>
      <c r="CR108" s="887"/>
      <c r="CS108" s="887"/>
      <c r="CT108" s="887"/>
      <c r="CU108" s="887"/>
      <c r="CV108" s="887"/>
      <c r="CW108" s="887"/>
      <c r="CX108" s="887"/>
      <c r="CY108" s="887"/>
      <c r="CZ108" s="887"/>
      <c r="DA108" s="887"/>
      <c r="DB108" s="887"/>
      <c r="DC108" s="887"/>
      <c r="DD108" s="887"/>
      <c r="DE108" s="887"/>
      <c r="DF108" s="887"/>
      <c r="DG108" s="887"/>
      <c r="DH108" s="887"/>
      <c r="DI108" s="887"/>
      <c r="DJ108" s="887"/>
      <c r="DK108" s="887"/>
      <c r="DL108" s="887"/>
      <c r="DM108" s="887"/>
    </row>
    <row r="109" spans="52:117" x14ac:dyDescent="0.25">
      <c r="AZ109" s="887"/>
      <c r="BA109" s="887"/>
      <c r="BB109" s="887"/>
      <c r="BC109" s="887"/>
      <c r="BD109" s="887"/>
      <c r="BE109" s="887"/>
      <c r="BF109" s="887"/>
      <c r="BG109" s="887"/>
      <c r="BH109" s="887"/>
      <c r="BI109" s="887"/>
      <c r="BJ109" s="887"/>
      <c r="BK109" s="887"/>
      <c r="BL109" s="887"/>
      <c r="BM109" s="887"/>
      <c r="BN109" s="887"/>
      <c r="BO109" s="887"/>
      <c r="BP109" s="887"/>
      <c r="BQ109" s="887"/>
      <c r="BR109" s="887"/>
      <c r="BS109" s="887"/>
      <c r="BT109" s="887"/>
      <c r="BU109" s="887"/>
      <c r="BV109" s="887"/>
      <c r="BW109" s="887"/>
      <c r="BX109" s="887"/>
      <c r="BY109" s="887"/>
      <c r="BZ109" s="887"/>
      <c r="CA109" s="887"/>
      <c r="CB109" s="887"/>
      <c r="CC109" s="887"/>
      <c r="CD109" s="887"/>
      <c r="CE109" s="887"/>
      <c r="CF109" s="887"/>
      <c r="CG109" s="887"/>
      <c r="CH109" s="887"/>
      <c r="CI109" s="887"/>
      <c r="CJ109" s="887"/>
      <c r="CK109" s="887"/>
      <c r="CL109" s="887"/>
      <c r="CM109" s="887"/>
      <c r="CN109" s="887"/>
      <c r="CO109" s="887"/>
      <c r="CP109" s="887"/>
      <c r="CQ109" s="887"/>
      <c r="CR109" s="887"/>
      <c r="CS109" s="887"/>
      <c r="CT109" s="887"/>
      <c r="CU109" s="887"/>
      <c r="CV109" s="887"/>
      <c r="CW109" s="887"/>
      <c r="CX109" s="887"/>
      <c r="CY109" s="887"/>
      <c r="CZ109" s="887"/>
      <c r="DA109" s="887"/>
      <c r="DB109" s="887"/>
      <c r="DC109" s="887"/>
      <c r="DD109" s="887"/>
      <c r="DE109" s="887"/>
      <c r="DF109" s="887"/>
      <c r="DG109" s="887"/>
      <c r="DH109" s="887"/>
      <c r="DI109" s="887"/>
      <c r="DJ109" s="887"/>
      <c r="DK109" s="887"/>
      <c r="DL109" s="887"/>
      <c r="DM109" s="887"/>
    </row>
    <row r="110" spans="52:117" x14ac:dyDescent="0.25">
      <c r="AZ110" s="887"/>
      <c r="BA110" s="887"/>
      <c r="BB110" s="887"/>
      <c r="BC110" s="887"/>
      <c r="BD110" s="887"/>
      <c r="BE110" s="887"/>
      <c r="BF110" s="887"/>
      <c r="BG110" s="887"/>
      <c r="BH110" s="887"/>
      <c r="BI110" s="887"/>
      <c r="BJ110" s="887"/>
      <c r="BK110" s="887"/>
      <c r="BL110" s="887"/>
      <c r="BM110" s="887"/>
      <c r="BN110" s="887"/>
      <c r="BO110" s="887"/>
      <c r="BP110" s="887"/>
      <c r="BQ110" s="887"/>
      <c r="BR110" s="887"/>
      <c r="BS110" s="887"/>
      <c r="BT110" s="887"/>
      <c r="BU110" s="887"/>
      <c r="BV110" s="887"/>
      <c r="BW110" s="887"/>
      <c r="BX110" s="887"/>
      <c r="BY110" s="887"/>
      <c r="BZ110" s="887"/>
      <c r="CA110" s="887"/>
      <c r="CB110" s="887"/>
      <c r="CC110" s="887"/>
      <c r="CD110" s="887"/>
      <c r="CE110" s="887"/>
      <c r="CF110" s="887"/>
      <c r="CG110" s="887"/>
      <c r="CH110" s="887"/>
      <c r="CI110" s="887"/>
      <c r="CJ110" s="887"/>
      <c r="CK110" s="887"/>
      <c r="CL110" s="887"/>
      <c r="CM110" s="887"/>
      <c r="CN110" s="887"/>
      <c r="CO110" s="887"/>
      <c r="CP110" s="887"/>
      <c r="CQ110" s="887"/>
      <c r="CR110" s="887"/>
      <c r="CS110" s="887"/>
      <c r="CT110" s="887"/>
      <c r="CU110" s="887"/>
      <c r="CV110" s="887"/>
      <c r="CW110" s="887"/>
      <c r="CX110" s="887"/>
      <c r="CY110" s="887"/>
      <c r="CZ110" s="887"/>
      <c r="DA110" s="887"/>
      <c r="DB110" s="887"/>
      <c r="DC110" s="887"/>
      <c r="DD110" s="887"/>
      <c r="DE110" s="887"/>
      <c r="DF110" s="887"/>
      <c r="DG110" s="887"/>
      <c r="DH110" s="887"/>
      <c r="DI110" s="887"/>
      <c r="DJ110" s="887"/>
      <c r="DK110" s="887"/>
      <c r="DL110" s="887"/>
      <c r="DM110" s="887"/>
    </row>
    <row r="111" spans="52:117" x14ac:dyDescent="0.25">
      <c r="AZ111" s="887"/>
      <c r="BA111" s="887"/>
      <c r="BB111" s="887"/>
      <c r="BC111" s="887"/>
      <c r="BD111" s="887"/>
      <c r="BE111" s="887"/>
      <c r="BF111" s="887"/>
      <c r="BG111" s="887"/>
      <c r="BH111" s="887"/>
      <c r="BI111" s="887"/>
      <c r="BJ111" s="887"/>
      <c r="BK111" s="887"/>
      <c r="BL111" s="887"/>
      <c r="BM111" s="887"/>
      <c r="BN111" s="887"/>
      <c r="BO111" s="887"/>
      <c r="BP111" s="887"/>
      <c r="BQ111" s="887"/>
      <c r="BR111" s="887"/>
      <c r="BS111" s="887"/>
      <c r="BT111" s="887"/>
      <c r="BU111" s="887"/>
      <c r="BV111" s="887"/>
      <c r="BW111" s="887"/>
      <c r="BX111" s="887"/>
      <c r="BY111" s="887"/>
      <c r="BZ111" s="887"/>
      <c r="CA111" s="887"/>
      <c r="CB111" s="887"/>
      <c r="CC111" s="887"/>
      <c r="CD111" s="887"/>
      <c r="CE111" s="887"/>
      <c r="CF111" s="887"/>
      <c r="CG111" s="887"/>
      <c r="CH111" s="887"/>
      <c r="CI111" s="887"/>
      <c r="CJ111" s="887"/>
      <c r="CK111" s="887"/>
      <c r="CL111" s="887"/>
      <c r="CM111" s="887"/>
      <c r="CN111" s="887"/>
      <c r="CO111" s="887"/>
      <c r="CP111" s="887"/>
      <c r="CQ111" s="887"/>
      <c r="CR111" s="887"/>
      <c r="CS111" s="887"/>
      <c r="CT111" s="887"/>
      <c r="CU111" s="887"/>
      <c r="CV111" s="887"/>
      <c r="CW111" s="887"/>
      <c r="CX111" s="887"/>
      <c r="CY111" s="887"/>
      <c r="CZ111" s="887"/>
      <c r="DA111" s="887"/>
      <c r="DB111" s="887"/>
      <c r="DC111" s="887"/>
      <c r="DD111" s="887"/>
      <c r="DE111" s="887"/>
      <c r="DF111" s="887"/>
      <c r="DG111" s="887"/>
      <c r="DH111" s="887"/>
      <c r="DI111" s="887"/>
      <c r="DJ111" s="887"/>
      <c r="DK111" s="887"/>
      <c r="DL111" s="887"/>
      <c r="DM111" s="887"/>
    </row>
    <row r="112" spans="52:117" x14ac:dyDescent="0.25">
      <c r="AZ112" s="887"/>
      <c r="BA112" s="887"/>
      <c r="BB112" s="887"/>
      <c r="BC112" s="887"/>
      <c r="BD112" s="887"/>
      <c r="BE112" s="887"/>
      <c r="BF112" s="887"/>
      <c r="BG112" s="887"/>
      <c r="BH112" s="887"/>
      <c r="BI112" s="887"/>
      <c r="BJ112" s="887"/>
      <c r="BK112" s="887"/>
      <c r="BL112" s="887"/>
      <c r="BM112" s="887"/>
      <c r="BN112" s="887"/>
      <c r="BO112" s="887"/>
      <c r="BP112" s="887"/>
      <c r="BQ112" s="887"/>
      <c r="BR112" s="887"/>
      <c r="BS112" s="887"/>
      <c r="BT112" s="887"/>
      <c r="BU112" s="887"/>
      <c r="BV112" s="887"/>
      <c r="BW112" s="887"/>
      <c r="BX112" s="887"/>
      <c r="BY112" s="887"/>
      <c r="BZ112" s="887"/>
      <c r="CA112" s="887"/>
      <c r="CB112" s="887"/>
      <c r="CC112" s="887"/>
      <c r="CD112" s="887"/>
      <c r="CE112" s="887"/>
      <c r="CF112" s="887"/>
      <c r="CG112" s="887"/>
      <c r="CH112" s="887"/>
      <c r="CI112" s="887"/>
      <c r="CJ112" s="887"/>
      <c r="CK112" s="887"/>
      <c r="CL112" s="887"/>
      <c r="CM112" s="887"/>
      <c r="CN112" s="887"/>
      <c r="CO112" s="887"/>
      <c r="CP112" s="887"/>
      <c r="CQ112" s="887"/>
      <c r="CR112" s="887"/>
      <c r="CS112" s="887"/>
      <c r="CT112" s="887"/>
      <c r="CU112" s="887"/>
      <c r="CV112" s="887"/>
      <c r="CW112" s="887"/>
      <c r="CX112" s="887"/>
      <c r="CY112" s="887"/>
      <c r="CZ112" s="887"/>
      <c r="DA112" s="887"/>
      <c r="DB112" s="887"/>
      <c r="DC112" s="887"/>
      <c r="DD112" s="887"/>
      <c r="DE112" s="887"/>
      <c r="DF112" s="887"/>
      <c r="DG112" s="887"/>
      <c r="DH112" s="887"/>
      <c r="DI112" s="887"/>
      <c r="DJ112" s="887"/>
      <c r="DK112" s="887"/>
      <c r="DL112" s="887"/>
      <c r="DM112" s="887"/>
    </row>
    <row r="113" spans="52:117" x14ac:dyDescent="0.25">
      <c r="AZ113" s="887"/>
      <c r="BA113" s="887"/>
      <c r="BB113" s="887"/>
      <c r="BC113" s="887"/>
      <c r="BD113" s="887"/>
      <c r="BE113" s="887"/>
      <c r="BF113" s="887"/>
      <c r="BG113" s="887"/>
      <c r="BH113" s="887"/>
      <c r="BI113" s="887"/>
      <c r="BJ113" s="887"/>
      <c r="BK113" s="887"/>
      <c r="BL113" s="887"/>
      <c r="BM113" s="887"/>
      <c r="BN113" s="887"/>
      <c r="BO113" s="887"/>
      <c r="BP113" s="887"/>
      <c r="BQ113" s="887"/>
      <c r="BR113" s="887"/>
      <c r="BS113" s="887"/>
      <c r="BT113" s="887"/>
      <c r="BU113" s="887"/>
      <c r="BV113" s="887"/>
      <c r="BW113" s="887"/>
      <c r="BX113" s="887"/>
      <c r="BY113" s="887"/>
      <c r="BZ113" s="887"/>
      <c r="CA113" s="887"/>
      <c r="CB113" s="887"/>
      <c r="CC113" s="887"/>
      <c r="CD113" s="887"/>
      <c r="CE113" s="887"/>
      <c r="CF113" s="887"/>
      <c r="CG113" s="887"/>
      <c r="CH113" s="887"/>
      <c r="CI113" s="887"/>
      <c r="CJ113" s="887"/>
      <c r="CK113" s="887"/>
      <c r="CL113" s="887"/>
      <c r="CM113" s="887"/>
      <c r="CN113" s="887"/>
      <c r="CO113" s="887"/>
      <c r="CP113" s="887"/>
      <c r="CQ113" s="887"/>
      <c r="CR113" s="887"/>
      <c r="CS113" s="887"/>
      <c r="CT113" s="887"/>
      <c r="CU113" s="887"/>
      <c r="CV113" s="887"/>
      <c r="CW113" s="887"/>
      <c r="CX113" s="887"/>
      <c r="CY113" s="887"/>
      <c r="CZ113" s="887"/>
      <c r="DA113" s="887"/>
      <c r="DB113" s="887"/>
      <c r="DC113" s="887"/>
      <c r="DD113" s="887"/>
      <c r="DE113" s="887"/>
      <c r="DF113" s="887"/>
      <c r="DG113" s="887"/>
      <c r="DH113" s="887"/>
      <c r="DI113" s="887"/>
      <c r="DJ113" s="887"/>
      <c r="DK113" s="887"/>
      <c r="DL113" s="887"/>
      <c r="DM113" s="887"/>
    </row>
    <row r="114" spans="52:117" x14ac:dyDescent="0.25">
      <c r="AZ114" s="887"/>
      <c r="BA114" s="887"/>
      <c r="BB114" s="887"/>
      <c r="BC114" s="887"/>
      <c r="BD114" s="887"/>
      <c r="BE114" s="887"/>
      <c r="BF114" s="887"/>
      <c r="BG114" s="887"/>
      <c r="BH114" s="887"/>
      <c r="BI114" s="887"/>
      <c r="BJ114" s="887"/>
      <c r="BK114" s="887"/>
      <c r="BL114" s="887"/>
      <c r="BM114" s="887"/>
      <c r="BN114" s="887"/>
      <c r="BO114" s="887"/>
      <c r="BP114" s="887"/>
      <c r="BQ114" s="887"/>
      <c r="BR114" s="887"/>
      <c r="BS114" s="887"/>
      <c r="BT114" s="887"/>
      <c r="BU114" s="887"/>
      <c r="BV114" s="887"/>
      <c r="BW114" s="887"/>
      <c r="BX114" s="887"/>
      <c r="BY114" s="887"/>
      <c r="BZ114" s="887"/>
      <c r="CA114" s="887"/>
      <c r="CB114" s="887"/>
      <c r="CC114" s="887"/>
      <c r="CD114" s="887"/>
      <c r="CE114" s="887"/>
      <c r="CF114" s="887"/>
      <c r="CG114" s="887"/>
      <c r="CH114" s="887"/>
      <c r="CI114" s="887"/>
      <c r="CJ114" s="887"/>
      <c r="CK114" s="887"/>
      <c r="CL114" s="887"/>
      <c r="CM114" s="887"/>
      <c r="CN114" s="887"/>
      <c r="CO114" s="887"/>
      <c r="CP114" s="887"/>
      <c r="CQ114" s="887"/>
      <c r="CR114" s="887"/>
      <c r="CS114" s="887"/>
      <c r="CT114" s="887"/>
      <c r="CU114" s="887"/>
      <c r="CV114" s="887"/>
      <c r="CW114" s="887"/>
      <c r="CX114" s="887"/>
      <c r="CY114" s="887"/>
      <c r="CZ114" s="887"/>
      <c r="DA114" s="887"/>
      <c r="DB114" s="887"/>
      <c r="DC114" s="887"/>
      <c r="DD114" s="887"/>
      <c r="DE114" s="887"/>
      <c r="DF114" s="887"/>
      <c r="DG114" s="887"/>
      <c r="DH114" s="887"/>
      <c r="DI114" s="887"/>
      <c r="DJ114" s="887"/>
      <c r="DK114" s="887"/>
      <c r="DL114" s="887"/>
      <c r="DM114" s="887"/>
    </row>
    <row r="115" spans="52:117" x14ac:dyDescent="0.25">
      <c r="AZ115" s="887"/>
      <c r="BA115" s="887"/>
      <c r="BB115" s="887"/>
      <c r="BC115" s="887"/>
      <c r="BD115" s="887"/>
      <c r="BE115" s="887"/>
      <c r="BF115" s="887"/>
      <c r="BG115" s="887"/>
      <c r="BH115" s="887"/>
      <c r="BI115" s="887"/>
      <c r="BJ115" s="887"/>
      <c r="BK115" s="887"/>
      <c r="BL115" s="887"/>
      <c r="BM115" s="887"/>
      <c r="BN115" s="887"/>
      <c r="BO115" s="887"/>
      <c r="BP115" s="887"/>
      <c r="BQ115" s="887"/>
      <c r="BR115" s="887"/>
      <c r="BS115" s="887"/>
      <c r="BT115" s="887"/>
      <c r="BU115" s="887"/>
      <c r="BV115" s="887"/>
      <c r="BW115" s="887"/>
      <c r="BX115" s="887"/>
      <c r="BY115" s="887"/>
      <c r="BZ115" s="887"/>
      <c r="CA115" s="887"/>
      <c r="CB115" s="887"/>
      <c r="CC115" s="887"/>
      <c r="CD115" s="887"/>
      <c r="CE115" s="887"/>
      <c r="CF115" s="887"/>
      <c r="CG115" s="887"/>
      <c r="CH115" s="887"/>
      <c r="CI115" s="887"/>
      <c r="CJ115" s="887"/>
      <c r="CK115" s="887"/>
      <c r="CL115" s="887"/>
      <c r="CM115" s="887"/>
      <c r="CN115" s="887"/>
      <c r="CO115" s="887"/>
      <c r="CP115" s="887"/>
      <c r="CQ115" s="887"/>
      <c r="CR115" s="887"/>
      <c r="CS115" s="887"/>
      <c r="CT115" s="887"/>
      <c r="CU115" s="887"/>
      <c r="CV115" s="887"/>
      <c r="CW115" s="887"/>
      <c r="CX115" s="887"/>
      <c r="CY115" s="887"/>
      <c r="CZ115" s="887"/>
      <c r="DA115" s="887"/>
      <c r="DB115" s="887"/>
      <c r="DC115" s="887"/>
      <c r="DD115" s="887"/>
      <c r="DE115" s="887"/>
      <c r="DF115" s="887"/>
      <c r="DG115" s="887"/>
      <c r="DH115" s="887"/>
      <c r="DI115" s="887"/>
      <c r="DJ115" s="887"/>
      <c r="DK115" s="887"/>
      <c r="DL115" s="887"/>
      <c r="DM115" s="887"/>
    </row>
    <row r="116" spans="52:117" x14ac:dyDescent="0.25">
      <c r="AZ116" s="887"/>
      <c r="BA116" s="887"/>
      <c r="BB116" s="887"/>
      <c r="BC116" s="887"/>
      <c r="BD116" s="887"/>
      <c r="BE116" s="887"/>
      <c r="BF116" s="887"/>
      <c r="BG116" s="887"/>
      <c r="BH116" s="887"/>
      <c r="BI116" s="887"/>
      <c r="BJ116" s="887"/>
      <c r="BK116" s="887"/>
      <c r="BL116" s="887"/>
      <c r="BM116" s="887"/>
      <c r="BN116" s="887"/>
      <c r="BO116" s="887"/>
      <c r="BP116" s="887"/>
      <c r="BQ116" s="887"/>
      <c r="BR116" s="887"/>
      <c r="BS116" s="887"/>
      <c r="BT116" s="887"/>
      <c r="BU116" s="887"/>
      <c r="BV116" s="887"/>
      <c r="BW116" s="887"/>
      <c r="BX116" s="887"/>
      <c r="BY116" s="887"/>
      <c r="BZ116" s="887"/>
      <c r="CA116" s="887"/>
      <c r="CB116" s="887"/>
      <c r="CC116" s="887"/>
      <c r="CD116" s="887"/>
      <c r="CE116" s="887"/>
      <c r="CF116" s="887"/>
      <c r="CG116" s="887"/>
      <c r="CH116" s="887"/>
      <c r="CI116" s="887"/>
      <c r="CJ116" s="887"/>
      <c r="CK116" s="887"/>
      <c r="CL116" s="887"/>
      <c r="CM116" s="887"/>
      <c r="CN116" s="887"/>
      <c r="CO116" s="887"/>
      <c r="CP116" s="887"/>
      <c r="CQ116" s="887"/>
      <c r="CR116" s="887"/>
      <c r="CS116" s="887"/>
      <c r="CT116" s="887"/>
      <c r="CU116" s="887"/>
      <c r="CV116" s="887"/>
      <c r="CW116" s="887"/>
      <c r="CX116" s="887"/>
      <c r="CY116" s="887"/>
      <c r="CZ116" s="887"/>
      <c r="DA116" s="887"/>
      <c r="DB116" s="887"/>
      <c r="DC116" s="887"/>
      <c r="DD116" s="887"/>
      <c r="DE116" s="887"/>
      <c r="DF116" s="887"/>
      <c r="DG116" s="887"/>
      <c r="DH116" s="887"/>
      <c r="DI116" s="887"/>
      <c r="DJ116" s="887"/>
      <c r="DK116" s="887"/>
      <c r="DL116" s="887"/>
      <c r="DM116" s="887"/>
    </row>
    <row r="117" spans="52:117" x14ac:dyDescent="0.25">
      <c r="AZ117" s="887"/>
      <c r="BA117" s="887"/>
      <c r="BB117" s="887"/>
      <c r="BC117" s="887"/>
      <c r="BD117" s="887"/>
      <c r="BE117" s="887"/>
      <c r="BF117" s="887"/>
      <c r="BG117" s="887"/>
      <c r="BH117" s="887"/>
      <c r="BI117" s="887"/>
      <c r="BJ117" s="887"/>
      <c r="BK117" s="887"/>
      <c r="BL117" s="887"/>
      <c r="BM117" s="887"/>
      <c r="BN117" s="887"/>
      <c r="BO117" s="887"/>
      <c r="BP117" s="887"/>
      <c r="BQ117" s="887"/>
      <c r="BR117" s="887"/>
      <c r="BS117" s="887"/>
      <c r="BT117" s="887"/>
      <c r="BU117" s="887"/>
      <c r="BV117" s="887"/>
      <c r="BW117" s="887"/>
      <c r="BX117" s="887"/>
      <c r="BY117" s="887"/>
      <c r="BZ117" s="887"/>
      <c r="CA117" s="887"/>
      <c r="CB117" s="887"/>
      <c r="CC117" s="887"/>
      <c r="CD117" s="887"/>
      <c r="CE117" s="887"/>
      <c r="CF117" s="887"/>
      <c r="CG117" s="887"/>
      <c r="CH117" s="887"/>
      <c r="CI117" s="887"/>
      <c r="CJ117" s="887"/>
      <c r="CK117" s="887"/>
      <c r="CL117" s="887"/>
      <c r="CM117" s="887"/>
      <c r="CN117" s="887"/>
      <c r="CO117" s="887"/>
      <c r="CP117" s="887"/>
      <c r="CQ117" s="887"/>
      <c r="CR117" s="887"/>
      <c r="CS117" s="887"/>
      <c r="CT117" s="887"/>
      <c r="CU117" s="887"/>
      <c r="CV117" s="887"/>
      <c r="CW117" s="887"/>
      <c r="CX117" s="887"/>
      <c r="CY117" s="887"/>
      <c r="CZ117" s="887"/>
      <c r="DA117" s="887"/>
      <c r="DB117" s="887"/>
      <c r="DC117" s="887"/>
      <c r="DD117" s="887"/>
      <c r="DE117" s="887"/>
      <c r="DF117" s="887"/>
      <c r="DG117" s="887"/>
      <c r="DH117" s="887"/>
      <c r="DI117" s="887"/>
      <c r="DJ117" s="887"/>
      <c r="DK117" s="887"/>
      <c r="DL117" s="887"/>
      <c r="DM117" s="887"/>
    </row>
    <row r="118" spans="52:117" x14ac:dyDescent="0.25">
      <c r="AZ118" s="887"/>
      <c r="BA118" s="887"/>
      <c r="BB118" s="887"/>
      <c r="BC118" s="887"/>
      <c r="BD118" s="887"/>
      <c r="BE118" s="887"/>
      <c r="BF118" s="887"/>
      <c r="BG118" s="887"/>
      <c r="BH118" s="887"/>
      <c r="BI118" s="887"/>
      <c r="BJ118" s="887"/>
      <c r="BK118" s="887"/>
      <c r="BL118" s="887"/>
      <c r="BM118" s="887"/>
      <c r="BN118" s="887"/>
      <c r="BO118" s="887"/>
      <c r="BP118" s="887"/>
      <c r="BQ118" s="887"/>
      <c r="BR118" s="887"/>
      <c r="BS118" s="887"/>
      <c r="BT118" s="887"/>
      <c r="BU118" s="887"/>
      <c r="BV118" s="887"/>
      <c r="BW118" s="887"/>
      <c r="BX118" s="887"/>
      <c r="BY118" s="887"/>
      <c r="BZ118" s="887"/>
      <c r="CA118" s="887"/>
      <c r="CB118" s="887"/>
      <c r="CC118" s="887"/>
      <c r="CD118" s="887"/>
      <c r="CE118" s="887"/>
      <c r="CF118" s="887"/>
      <c r="CG118" s="887"/>
      <c r="CH118" s="887"/>
      <c r="CI118" s="887"/>
      <c r="CJ118" s="887"/>
      <c r="CK118" s="887"/>
      <c r="CL118" s="887"/>
      <c r="CM118" s="887"/>
      <c r="CN118" s="887"/>
      <c r="CO118" s="887"/>
      <c r="CP118" s="887"/>
      <c r="CQ118" s="887"/>
      <c r="CR118" s="887"/>
      <c r="CS118" s="887"/>
      <c r="CT118" s="887"/>
      <c r="CU118" s="887"/>
      <c r="CV118" s="887"/>
      <c r="CW118" s="887"/>
      <c r="CX118" s="887"/>
      <c r="CY118" s="887"/>
      <c r="CZ118" s="887"/>
      <c r="DA118" s="887"/>
      <c r="DB118" s="887"/>
      <c r="DC118" s="887"/>
      <c r="DD118" s="887"/>
      <c r="DE118" s="887"/>
      <c r="DF118" s="887"/>
      <c r="DG118" s="887"/>
      <c r="DH118" s="887"/>
      <c r="DI118" s="887"/>
      <c r="DJ118" s="887"/>
      <c r="DK118" s="887"/>
      <c r="DL118" s="887"/>
      <c r="DM118" s="887"/>
    </row>
    <row r="119" spans="52:117" x14ac:dyDescent="0.25">
      <c r="AZ119" s="887"/>
      <c r="BA119" s="887"/>
      <c r="BB119" s="887"/>
      <c r="BC119" s="887"/>
      <c r="BD119" s="887"/>
      <c r="BE119" s="887"/>
      <c r="BF119" s="887"/>
      <c r="BG119" s="887"/>
      <c r="BH119" s="887"/>
      <c r="BI119" s="887"/>
      <c r="BJ119" s="887"/>
      <c r="BK119" s="887"/>
      <c r="BL119" s="887"/>
      <c r="BM119" s="887"/>
      <c r="BN119" s="887"/>
      <c r="BO119" s="887"/>
      <c r="BP119" s="887"/>
      <c r="BQ119" s="887"/>
      <c r="BR119" s="887"/>
      <c r="BS119" s="887"/>
      <c r="BT119" s="887"/>
      <c r="BU119" s="887"/>
      <c r="BV119" s="887"/>
      <c r="BW119" s="887"/>
      <c r="BX119" s="887"/>
      <c r="BY119" s="887"/>
      <c r="BZ119" s="887"/>
      <c r="CA119" s="887"/>
      <c r="CB119" s="887"/>
      <c r="CC119" s="887"/>
      <c r="CD119" s="887"/>
      <c r="CE119" s="887"/>
      <c r="CF119" s="887"/>
      <c r="CG119" s="887"/>
      <c r="CH119" s="887"/>
      <c r="CI119" s="887"/>
      <c r="CJ119" s="887"/>
      <c r="CK119" s="887"/>
      <c r="CL119" s="887"/>
      <c r="CM119" s="887"/>
      <c r="CN119" s="887"/>
      <c r="CO119" s="887"/>
      <c r="CP119" s="887"/>
      <c r="CQ119" s="887"/>
      <c r="CR119" s="887"/>
      <c r="CS119" s="887"/>
      <c r="CT119" s="887"/>
      <c r="CU119" s="887"/>
      <c r="CV119" s="887"/>
      <c r="CW119" s="887"/>
      <c r="CX119" s="887"/>
      <c r="CY119" s="887"/>
      <c r="CZ119" s="887"/>
      <c r="DA119" s="887"/>
      <c r="DB119" s="887"/>
      <c r="DC119" s="887"/>
      <c r="DD119" s="887"/>
      <c r="DE119" s="887"/>
      <c r="DF119" s="887"/>
      <c r="DG119" s="887"/>
      <c r="DH119" s="887"/>
      <c r="DI119" s="887"/>
      <c r="DJ119" s="887"/>
      <c r="DK119" s="887"/>
      <c r="DL119" s="887"/>
      <c r="DM119" s="887"/>
    </row>
    <row r="120" spans="52:117" x14ac:dyDescent="0.25">
      <c r="AZ120" s="887"/>
      <c r="BA120" s="887"/>
      <c r="BB120" s="887"/>
      <c r="BC120" s="887"/>
      <c r="BD120" s="887"/>
      <c r="BE120" s="887"/>
      <c r="BF120" s="887"/>
      <c r="BG120" s="887"/>
      <c r="BH120" s="887"/>
      <c r="BI120" s="887"/>
      <c r="BJ120" s="887"/>
      <c r="BK120" s="887"/>
      <c r="BL120" s="887"/>
      <c r="BM120" s="887"/>
      <c r="BN120" s="887"/>
      <c r="BO120" s="887"/>
      <c r="BP120" s="887"/>
      <c r="BQ120" s="887"/>
      <c r="BR120" s="887"/>
      <c r="BS120" s="887"/>
      <c r="BT120" s="887"/>
      <c r="BU120" s="887"/>
      <c r="BV120" s="887"/>
      <c r="BW120" s="887"/>
      <c r="BX120" s="887"/>
      <c r="BY120" s="887"/>
      <c r="BZ120" s="887"/>
      <c r="CA120" s="887"/>
      <c r="CB120" s="887"/>
      <c r="CC120" s="887"/>
      <c r="CD120" s="887"/>
      <c r="CE120" s="887"/>
      <c r="CF120" s="887"/>
      <c r="CG120" s="887"/>
      <c r="CH120" s="887"/>
      <c r="CI120" s="887"/>
      <c r="CJ120" s="887"/>
      <c r="CK120" s="887"/>
      <c r="CL120" s="887"/>
      <c r="CM120" s="887"/>
      <c r="CN120" s="887"/>
      <c r="CO120" s="887"/>
      <c r="CP120" s="887"/>
      <c r="CQ120" s="887"/>
      <c r="CR120" s="887"/>
      <c r="CS120" s="887"/>
      <c r="CT120" s="887"/>
      <c r="CU120" s="887"/>
      <c r="CV120" s="887"/>
      <c r="CW120" s="887"/>
      <c r="CX120" s="887"/>
      <c r="CY120" s="887"/>
      <c r="CZ120" s="887"/>
      <c r="DA120" s="887"/>
      <c r="DB120" s="887"/>
      <c r="DC120" s="887"/>
      <c r="DD120" s="887"/>
      <c r="DE120" s="887"/>
      <c r="DF120" s="887"/>
      <c r="DG120" s="887"/>
      <c r="DH120" s="887"/>
      <c r="DI120" s="887"/>
      <c r="DJ120" s="887"/>
      <c r="DK120" s="887"/>
      <c r="DL120" s="887"/>
      <c r="DM120" s="887"/>
    </row>
    <row r="121" spans="52:117" x14ac:dyDescent="0.25">
      <c r="AZ121" s="887"/>
      <c r="BA121" s="887"/>
      <c r="BB121" s="887"/>
      <c r="BC121" s="887"/>
      <c r="BD121" s="887"/>
      <c r="BE121" s="887"/>
      <c r="BF121" s="887"/>
      <c r="BG121" s="887"/>
      <c r="BH121" s="887"/>
      <c r="BI121" s="887"/>
      <c r="BJ121" s="887"/>
      <c r="BK121" s="887"/>
      <c r="BL121" s="887"/>
      <c r="BM121" s="887"/>
      <c r="BN121" s="887"/>
      <c r="BO121" s="887"/>
      <c r="BP121" s="887"/>
      <c r="BQ121" s="887"/>
      <c r="BR121" s="887"/>
      <c r="BS121" s="887"/>
      <c r="BT121" s="887"/>
      <c r="BU121" s="887"/>
      <c r="BV121" s="887"/>
      <c r="BW121" s="887"/>
      <c r="BX121" s="887"/>
      <c r="BY121" s="887"/>
      <c r="BZ121" s="887"/>
      <c r="CA121" s="887"/>
      <c r="CB121" s="887"/>
      <c r="CC121" s="887"/>
      <c r="CD121" s="887"/>
      <c r="CE121" s="887"/>
      <c r="CF121" s="887"/>
      <c r="CG121" s="887"/>
      <c r="CH121" s="887"/>
      <c r="CI121" s="887"/>
      <c r="CJ121" s="887"/>
      <c r="CK121" s="887"/>
      <c r="CL121" s="887"/>
      <c r="CM121" s="887"/>
      <c r="CN121" s="887"/>
      <c r="CO121" s="887"/>
      <c r="CP121" s="887"/>
      <c r="CQ121" s="887"/>
      <c r="CR121" s="887"/>
      <c r="CS121" s="887"/>
      <c r="CT121" s="887"/>
      <c r="CU121" s="887"/>
      <c r="CV121" s="887"/>
      <c r="CW121" s="887"/>
      <c r="CX121" s="887"/>
      <c r="CY121" s="887"/>
      <c r="CZ121" s="887"/>
      <c r="DA121" s="887"/>
      <c r="DB121" s="887"/>
      <c r="DC121" s="887"/>
      <c r="DD121" s="887"/>
      <c r="DE121" s="887"/>
      <c r="DF121" s="887"/>
      <c r="DG121" s="887"/>
      <c r="DH121" s="887"/>
      <c r="DI121" s="887"/>
      <c r="DJ121" s="887"/>
      <c r="DK121" s="887"/>
      <c r="DL121" s="887"/>
      <c r="DM121" s="887"/>
    </row>
    <row r="122" spans="52:117" x14ac:dyDescent="0.25">
      <c r="AZ122" s="887"/>
      <c r="BA122" s="887"/>
      <c r="BB122" s="887"/>
      <c r="BC122" s="887"/>
      <c r="BD122" s="887"/>
      <c r="BE122" s="887"/>
      <c r="BF122" s="887"/>
      <c r="BG122" s="887"/>
      <c r="BH122" s="887"/>
      <c r="BI122" s="887"/>
      <c r="BJ122" s="887"/>
      <c r="BK122" s="887"/>
      <c r="BL122" s="887"/>
      <c r="BM122" s="887"/>
      <c r="BN122" s="887"/>
      <c r="BO122" s="887"/>
      <c r="BP122" s="887"/>
      <c r="BQ122" s="887"/>
      <c r="BR122" s="887"/>
      <c r="BS122" s="887"/>
      <c r="BT122" s="887"/>
      <c r="BU122" s="887"/>
      <c r="BV122" s="887"/>
      <c r="BW122" s="887"/>
      <c r="BX122" s="887"/>
      <c r="BY122" s="887"/>
      <c r="BZ122" s="887"/>
      <c r="CA122" s="887"/>
      <c r="CB122" s="887"/>
      <c r="CC122" s="887"/>
      <c r="CD122" s="887"/>
      <c r="CE122" s="887"/>
      <c r="CF122" s="887"/>
      <c r="CG122" s="887"/>
      <c r="CH122" s="887"/>
      <c r="CI122" s="887"/>
      <c r="CJ122" s="887"/>
      <c r="CK122" s="887"/>
      <c r="CL122" s="887"/>
      <c r="CM122" s="887"/>
      <c r="CN122" s="887"/>
      <c r="CO122" s="887"/>
      <c r="CP122" s="887"/>
      <c r="CQ122" s="887"/>
      <c r="CR122" s="887"/>
      <c r="CS122" s="887"/>
      <c r="CT122" s="887"/>
      <c r="CU122" s="887"/>
      <c r="CV122" s="887"/>
      <c r="CW122" s="887"/>
      <c r="CX122" s="887"/>
      <c r="CY122" s="887"/>
      <c r="CZ122" s="887"/>
      <c r="DA122" s="887"/>
      <c r="DB122" s="887"/>
      <c r="DC122" s="887"/>
      <c r="DD122" s="887"/>
      <c r="DE122" s="887"/>
      <c r="DF122" s="887"/>
      <c r="DG122" s="887"/>
      <c r="DH122" s="887"/>
      <c r="DI122" s="887"/>
      <c r="DJ122" s="887"/>
      <c r="DK122" s="887"/>
      <c r="DL122" s="887"/>
      <c r="DM122" s="887"/>
    </row>
    <row r="123" spans="52:117" x14ac:dyDescent="0.25">
      <c r="AZ123" s="887"/>
      <c r="BA123" s="887"/>
      <c r="BB123" s="887"/>
      <c r="BC123" s="887"/>
      <c r="BD123" s="887"/>
      <c r="BE123" s="887"/>
      <c r="BF123" s="887"/>
      <c r="BG123" s="887"/>
      <c r="BH123" s="887"/>
      <c r="BI123" s="887"/>
      <c r="BJ123" s="887"/>
      <c r="BK123" s="887"/>
      <c r="BL123" s="887"/>
      <c r="BM123" s="887"/>
      <c r="BN123" s="887"/>
      <c r="BO123" s="887"/>
      <c r="BP123" s="887"/>
      <c r="BQ123" s="887"/>
      <c r="BR123" s="887"/>
      <c r="BS123" s="887"/>
      <c r="BT123" s="887"/>
      <c r="BU123" s="887"/>
      <c r="BV123" s="887"/>
      <c r="BW123" s="887"/>
      <c r="BX123" s="887"/>
      <c r="BY123" s="887"/>
      <c r="BZ123" s="887"/>
      <c r="CA123" s="887"/>
      <c r="CB123" s="887"/>
      <c r="CC123" s="887"/>
      <c r="CD123" s="887"/>
      <c r="CE123" s="887"/>
      <c r="CF123" s="887"/>
      <c r="CG123" s="887"/>
      <c r="CH123" s="887"/>
      <c r="CI123" s="887"/>
      <c r="CJ123" s="887"/>
      <c r="CK123" s="887"/>
      <c r="CL123" s="887"/>
      <c r="CM123" s="887"/>
      <c r="CN123" s="887"/>
      <c r="CO123" s="887"/>
      <c r="CP123" s="887"/>
      <c r="CQ123" s="887"/>
      <c r="CR123" s="887"/>
      <c r="CS123" s="887"/>
      <c r="CT123" s="887"/>
      <c r="CU123" s="887"/>
      <c r="CV123" s="887"/>
      <c r="CW123" s="887"/>
      <c r="CX123" s="887"/>
      <c r="CY123" s="887"/>
      <c r="CZ123" s="887"/>
      <c r="DA123" s="887"/>
      <c r="DB123" s="887"/>
      <c r="DC123" s="887"/>
      <c r="DD123" s="887"/>
      <c r="DE123" s="887"/>
      <c r="DF123" s="887"/>
      <c r="DG123" s="887"/>
      <c r="DH123" s="887"/>
      <c r="DI123" s="887"/>
      <c r="DJ123" s="887"/>
      <c r="DK123" s="887"/>
      <c r="DL123" s="887"/>
      <c r="DM123" s="887"/>
    </row>
    <row r="124" spans="52:117" x14ac:dyDescent="0.25">
      <c r="AZ124" s="887"/>
      <c r="BA124" s="887"/>
      <c r="BB124" s="887"/>
      <c r="BC124" s="887"/>
      <c r="BD124" s="887"/>
      <c r="BE124" s="887"/>
      <c r="BF124" s="887"/>
      <c r="BG124" s="887"/>
      <c r="BH124" s="887"/>
      <c r="BI124" s="887"/>
      <c r="BJ124" s="887"/>
      <c r="BK124" s="887"/>
      <c r="BL124" s="887"/>
      <c r="BM124" s="887"/>
      <c r="BN124" s="887"/>
      <c r="BO124" s="887"/>
      <c r="BP124" s="887"/>
      <c r="BQ124" s="887"/>
      <c r="BR124" s="887"/>
      <c r="BS124" s="887"/>
      <c r="BT124" s="887"/>
      <c r="BU124" s="887"/>
      <c r="BV124" s="887"/>
      <c r="BW124" s="887"/>
      <c r="BX124" s="887"/>
      <c r="BY124" s="887"/>
      <c r="BZ124" s="887"/>
      <c r="CA124" s="887"/>
      <c r="CB124" s="887"/>
      <c r="CC124" s="887"/>
      <c r="CD124" s="887"/>
      <c r="CE124" s="887"/>
      <c r="CF124" s="887"/>
      <c r="CG124" s="887"/>
      <c r="CH124" s="887"/>
      <c r="CI124" s="887"/>
      <c r="CJ124" s="887"/>
      <c r="CK124" s="887"/>
      <c r="CL124" s="887"/>
      <c r="CM124" s="887"/>
      <c r="CN124" s="887"/>
      <c r="CO124" s="887"/>
      <c r="CP124" s="887"/>
      <c r="CQ124" s="887"/>
      <c r="CR124" s="887"/>
      <c r="CS124" s="887"/>
      <c r="CT124" s="887"/>
      <c r="CU124" s="887"/>
      <c r="CV124" s="887"/>
      <c r="CW124" s="887"/>
      <c r="CX124" s="887"/>
      <c r="CY124" s="887"/>
      <c r="CZ124" s="887"/>
      <c r="DA124" s="887"/>
      <c r="DB124" s="887"/>
      <c r="DC124" s="887"/>
      <c r="DD124" s="887"/>
      <c r="DE124" s="887"/>
      <c r="DF124" s="887"/>
      <c r="DG124" s="887"/>
      <c r="DH124" s="887"/>
      <c r="DI124" s="887"/>
      <c r="DJ124" s="887"/>
      <c r="DK124" s="887"/>
      <c r="DL124" s="887"/>
      <c r="DM124" s="887"/>
    </row>
    <row r="125" spans="52:117" x14ac:dyDescent="0.25">
      <c r="AZ125" s="887"/>
      <c r="BA125" s="887"/>
      <c r="BB125" s="887"/>
      <c r="BC125" s="887"/>
      <c r="BD125" s="887"/>
      <c r="BE125" s="887"/>
      <c r="BF125" s="887"/>
      <c r="BG125" s="887"/>
      <c r="BH125" s="887"/>
      <c r="BI125" s="887"/>
      <c r="BJ125" s="887"/>
      <c r="BK125" s="887"/>
      <c r="BL125" s="887"/>
      <c r="BM125" s="887"/>
      <c r="BN125" s="887"/>
      <c r="BO125" s="887"/>
      <c r="BP125" s="887"/>
      <c r="BQ125" s="887"/>
      <c r="BR125" s="887"/>
      <c r="BS125" s="887"/>
      <c r="BT125" s="887"/>
      <c r="BU125" s="887"/>
      <c r="BV125" s="887"/>
      <c r="BW125" s="887"/>
      <c r="BX125" s="887"/>
      <c r="BY125" s="887"/>
      <c r="BZ125" s="887"/>
      <c r="CA125" s="887"/>
      <c r="CB125" s="887"/>
      <c r="CC125" s="887"/>
      <c r="CD125" s="887"/>
      <c r="CE125" s="887"/>
      <c r="CF125" s="887"/>
      <c r="CG125" s="887"/>
      <c r="CH125" s="887"/>
      <c r="CI125" s="887"/>
      <c r="CJ125" s="887"/>
      <c r="CK125" s="887"/>
      <c r="CL125" s="887"/>
      <c r="CM125" s="887"/>
      <c r="CN125" s="887"/>
      <c r="CO125" s="887"/>
      <c r="CP125" s="887"/>
      <c r="CQ125" s="887"/>
      <c r="CR125" s="887"/>
      <c r="CS125" s="887"/>
      <c r="CT125" s="887"/>
      <c r="CU125" s="887"/>
      <c r="CV125" s="887"/>
      <c r="CW125" s="887"/>
      <c r="CX125" s="887"/>
      <c r="CY125" s="887"/>
      <c r="CZ125" s="887"/>
      <c r="DA125" s="887"/>
      <c r="DB125" s="887"/>
      <c r="DC125" s="887"/>
      <c r="DD125" s="887"/>
      <c r="DE125" s="887"/>
      <c r="DF125" s="887"/>
      <c r="DG125" s="887"/>
      <c r="DH125" s="887"/>
      <c r="DI125" s="887"/>
      <c r="DJ125" s="887"/>
      <c r="DK125" s="887"/>
      <c r="DL125" s="887"/>
      <c r="DM125" s="887"/>
    </row>
    <row r="126" spans="52:117" x14ac:dyDescent="0.25">
      <c r="AZ126" s="887"/>
      <c r="BA126" s="887"/>
      <c r="BB126" s="887"/>
      <c r="BC126" s="887"/>
      <c r="BD126" s="887"/>
      <c r="BE126" s="887"/>
      <c r="BF126" s="887"/>
      <c r="BG126" s="887"/>
      <c r="BH126" s="887"/>
      <c r="BI126" s="887"/>
      <c r="BJ126" s="887"/>
      <c r="BK126" s="887"/>
      <c r="BL126" s="887"/>
      <c r="BM126" s="887"/>
      <c r="BN126" s="887"/>
      <c r="BO126" s="887"/>
      <c r="BP126" s="887"/>
      <c r="BQ126" s="887"/>
      <c r="BR126" s="887"/>
      <c r="BS126" s="887"/>
      <c r="BT126" s="887"/>
      <c r="BU126" s="887"/>
      <c r="BV126" s="887"/>
      <c r="BW126" s="887"/>
      <c r="BX126" s="887"/>
      <c r="BY126" s="887"/>
      <c r="BZ126" s="887"/>
      <c r="CA126" s="887"/>
      <c r="CB126" s="887"/>
      <c r="CC126" s="887"/>
      <c r="CD126" s="887"/>
      <c r="CE126" s="887"/>
      <c r="CF126" s="887"/>
      <c r="CG126" s="887"/>
      <c r="CH126" s="887"/>
      <c r="CI126" s="887"/>
      <c r="CJ126" s="887"/>
      <c r="CK126" s="887"/>
      <c r="CL126" s="887"/>
      <c r="CM126" s="887"/>
      <c r="CN126" s="887"/>
      <c r="CO126" s="887"/>
      <c r="CP126" s="887"/>
      <c r="CQ126" s="887"/>
      <c r="CR126" s="887"/>
      <c r="CS126" s="887"/>
      <c r="CT126" s="887"/>
      <c r="CU126" s="887"/>
      <c r="CV126" s="887"/>
      <c r="CW126" s="887"/>
      <c r="CX126" s="887"/>
      <c r="CY126" s="887"/>
      <c r="CZ126" s="887"/>
      <c r="DA126" s="887"/>
      <c r="DB126" s="887"/>
      <c r="DC126" s="887"/>
      <c r="DD126" s="887"/>
      <c r="DE126" s="887"/>
      <c r="DF126" s="887"/>
      <c r="DG126" s="887"/>
      <c r="DH126" s="887"/>
      <c r="DI126" s="887"/>
      <c r="DJ126" s="887"/>
      <c r="DK126" s="887"/>
      <c r="DL126" s="887"/>
      <c r="DM126" s="887"/>
    </row>
    <row r="127" spans="52:117" x14ac:dyDescent="0.25">
      <c r="AZ127" s="887"/>
      <c r="BA127" s="887"/>
      <c r="BB127" s="887"/>
      <c r="BC127" s="887"/>
      <c r="BD127" s="887"/>
      <c r="BE127" s="887"/>
      <c r="BF127" s="887"/>
      <c r="BG127" s="887"/>
      <c r="BH127" s="887"/>
      <c r="BI127" s="887"/>
      <c r="BJ127" s="887"/>
      <c r="BK127" s="887"/>
      <c r="BL127" s="887"/>
      <c r="BM127" s="887"/>
      <c r="BN127" s="887"/>
      <c r="BO127" s="887"/>
      <c r="BP127" s="887"/>
      <c r="BQ127" s="887"/>
      <c r="BR127" s="887"/>
      <c r="BS127" s="887"/>
      <c r="BT127" s="887"/>
      <c r="BU127" s="887"/>
      <c r="BV127" s="887"/>
      <c r="BW127" s="887"/>
      <c r="BX127" s="887"/>
      <c r="BY127" s="887"/>
      <c r="BZ127" s="887"/>
      <c r="CA127" s="887"/>
      <c r="CB127" s="887"/>
      <c r="CC127" s="887"/>
      <c r="CD127" s="887"/>
      <c r="CE127" s="887"/>
      <c r="CF127" s="887"/>
      <c r="CG127" s="887"/>
      <c r="CH127" s="887"/>
      <c r="CI127" s="887"/>
      <c r="CJ127" s="887"/>
      <c r="CK127" s="887"/>
      <c r="CL127" s="887"/>
      <c r="CM127" s="887"/>
      <c r="CN127" s="887"/>
      <c r="CO127" s="887"/>
      <c r="CP127" s="887"/>
      <c r="CQ127" s="887"/>
      <c r="CR127" s="887"/>
      <c r="CS127" s="887"/>
      <c r="CT127" s="887"/>
      <c r="CU127" s="887"/>
      <c r="CV127" s="887"/>
      <c r="CW127" s="887"/>
      <c r="CX127" s="887"/>
      <c r="CY127" s="887"/>
      <c r="CZ127" s="887"/>
      <c r="DA127" s="887"/>
      <c r="DB127" s="887"/>
      <c r="DC127" s="887"/>
      <c r="DD127" s="887"/>
      <c r="DE127" s="887"/>
      <c r="DF127" s="887"/>
      <c r="DG127" s="887"/>
      <c r="DH127" s="887"/>
      <c r="DI127" s="887"/>
      <c r="DJ127" s="887"/>
      <c r="DK127" s="887"/>
      <c r="DL127" s="887"/>
      <c r="DM127" s="887"/>
    </row>
    <row r="128" spans="52:117" x14ac:dyDescent="0.25">
      <c r="AZ128" s="887"/>
      <c r="BA128" s="887"/>
      <c r="BB128" s="887"/>
      <c r="BC128" s="887"/>
      <c r="BD128" s="887"/>
      <c r="BE128" s="887"/>
      <c r="BF128" s="887"/>
      <c r="BG128" s="887"/>
      <c r="BH128" s="887"/>
      <c r="BI128" s="887"/>
      <c r="BJ128" s="887"/>
      <c r="BK128" s="887"/>
      <c r="BL128" s="887"/>
      <c r="BM128" s="887"/>
      <c r="BN128" s="887"/>
      <c r="BO128" s="887"/>
      <c r="BP128" s="887"/>
      <c r="BQ128" s="887"/>
      <c r="BR128" s="887"/>
      <c r="BS128" s="887"/>
      <c r="BT128" s="887"/>
      <c r="BU128" s="887"/>
      <c r="BV128" s="887"/>
      <c r="BW128" s="887"/>
      <c r="BX128" s="887"/>
      <c r="BY128" s="887"/>
      <c r="BZ128" s="887"/>
      <c r="CA128" s="887"/>
      <c r="CB128" s="887"/>
      <c r="CC128" s="887"/>
      <c r="CD128" s="887"/>
      <c r="CE128" s="887"/>
      <c r="CF128" s="887"/>
      <c r="CG128" s="887"/>
      <c r="CH128" s="887"/>
      <c r="CI128" s="887"/>
      <c r="CJ128" s="887"/>
      <c r="CK128" s="887"/>
      <c r="CL128" s="887"/>
      <c r="CM128" s="887"/>
      <c r="CN128" s="887"/>
      <c r="CO128" s="887"/>
      <c r="CP128" s="887"/>
      <c r="CQ128" s="887"/>
      <c r="CR128" s="887"/>
      <c r="CS128" s="887"/>
      <c r="CT128" s="887"/>
      <c r="CU128" s="887"/>
      <c r="CV128" s="887"/>
      <c r="CW128" s="887"/>
      <c r="CX128" s="887"/>
      <c r="CY128" s="887"/>
      <c r="CZ128" s="887"/>
      <c r="DA128" s="887"/>
      <c r="DB128" s="887"/>
      <c r="DC128" s="887"/>
      <c r="DD128" s="887"/>
      <c r="DE128" s="887"/>
      <c r="DF128" s="887"/>
      <c r="DG128" s="887"/>
      <c r="DH128" s="887"/>
      <c r="DI128" s="887"/>
      <c r="DJ128" s="887"/>
      <c r="DK128" s="887"/>
      <c r="DL128" s="887"/>
      <c r="DM128" s="887"/>
    </row>
    <row r="129" spans="52:117" x14ac:dyDescent="0.25">
      <c r="AZ129" s="887"/>
      <c r="BA129" s="887"/>
      <c r="BB129" s="887"/>
      <c r="BC129" s="887"/>
      <c r="BD129" s="887"/>
      <c r="BE129" s="887"/>
      <c r="BF129" s="887"/>
      <c r="BG129" s="887"/>
      <c r="BH129" s="887"/>
      <c r="BI129" s="887"/>
      <c r="BJ129" s="887"/>
      <c r="BK129" s="887"/>
      <c r="BL129" s="887"/>
      <c r="BM129" s="887"/>
      <c r="BN129" s="887"/>
      <c r="BO129" s="887"/>
      <c r="BP129" s="887"/>
      <c r="BQ129" s="887"/>
      <c r="BR129" s="887"/>
      <c r="BS129" s="887"/>
      <c r="BT129" s="887"/>
      <c r="BU129" s="887"/>
      <c r="BV129" s="887"/>
      <c r="BW129" s="887"/>
      <c r="BX129" s="887"/>
      <c r="BY129" s="887"/>
      <c r="BZ129" s="887"/>
      <c r="CA129" s="887"/>
      <c r="CB129" s="887"/>
      <c r="CC129" s="887"/>
      <c r="CD129" s="887"/>
      <c r="CE129" s="887"/>
      <c r="CF129" s="887"/>
      <c r="CG129" s="887"/>
      <c r="CH129" s="887"/>
      <c r="CI129" s="887"/>
      <c r="CJ129" s="887"/>
      <c r="CK129" s="887"/>
      <c r="CL129" s="887"/>
      <c r="CM129" s="887"/>
      <c r="CN129" s="887"/>
      <c r="CO129" s="887"/>
      <c r="CP129" s="887"/>
      <c r="CQ129" s="887"/>
      <c r="CR129" s="887"/>
      <c r="CS129" s="887"/>
      <c r="CT129" s="887"/>
      <c r="CU129" s="887"/>
      <c r="CV129" s="887"/>
      <c r="CW129" s="887"/>
      <c r="CX129" s="887"/>
      <c r="CY129" s="887"/>
      <c r="CZ129" s="887"/>
      <c r="DA129" s="887"/>
      <c r="DB129" s="887"/>
      <c r="DC129" s="887"/>
      <c r="DD129" s="887"/>
      <c r="DE129" s="887"/>
      <c r="DF129" s="887"/>
      <c r="DG129" s="887"/>
      <c r="DH129" s="887"/>
      <c r="DI129" s="887"/>
      <c r="DJ129" s="887"/>
      <c r="DK129" s="887"/>
      <c r="DL129" s="887"/>
      <c r="DM129" s="887"/>
    </row>
    <row r="130" spans="52:117" x14ac:dyDescent="0.25">
      <c r="AZ130" s="887"/>
      <c r="BA130" s="887"/>
      <c r="BB130" s="887"/>
      <c r="BC130" s="887"/>
      <c r="BD130" s="887"/>
      <c r="BE130" s="887"/>
      <c r="BF130" s="887"/>
      <c r="BG130" s="887"/>
      <c r="BH130" s="887"/>
      <c r="BI130" s="887"/>
      <c r="BJ130" s="887"/>
      <c r="BK130" s="887"/>
      <c r="BL130" s="887"/>
      <c r="BM130" s="887"/>
      <c r="BN130" s="887"/>
      <c r="BO130" s="887"/>
      <c r="BP130" s="887"/>
      <c r="BQ130" s="887"/>
      <c r="BR130" s="887"/>
      <c r="BS130" s="887"/>
      <c r="BT130" s="887"/>
      <c r="BU130" s="887"/>
      <c r="BV130" s="887"/>
      <c r="BW130" s="887"/>
      <c r="BX130" s="887"/>
      <c r="BY130" s="887"/>
      <c r="BZ130" s="887"/>
      <c r="CA130" s="887"/>
      <c r="CB130" s="887"/>
      <c r="CC130" s="887"/>
      <c r="CD130" s="887"/>
      <c r="CE130" s="887"/>
      <c r="CF130" s="887"/>
      <c r="CG130" s="887"/>
      <c r="CH130" s="887"/>
      <c r="CI130" s="887"/>
      <c r="CJ130" s="887"/>
      <c r="CK130" s="887"/>
      <c r="CL130" s="887"/>
      <c r="CM130" s="887"/>
      <c r="CN130" s="887"/>
      <c r="CO130" s="887"/>
      <c r="CP130" s="887"/>
      <c r="CQ130" s="887"/>
      <c r="CR130" s="887"/>
      <c r="CS130" s="887"/>
      <c r="CT130" s="887"/>
      <c r="CU130" s="887"/>
      <c r="CV130" s="887"/>
      <c r="CW130" s="887"/>
      <c r="CX130" s="887"/>
      <c r="CY130" s="887"/>
      <c r="CZ130" s="887"/>
      <c r="DA130" s="887"/>
      <c r="DB130" s="887"/>
      <c r="DC130" s="887"/>
      <c r="DD130" s="887"/>
      <c r="DE130" s="887"/>
      <c r="DF130" s="887"/>
      <c r="DG130" s="887"/>
      <c r="DH130" s="887"/>
      <c r="DI130" s="887"/>
      <c r="DJ130" s="887"/>
      <c r="DK130" s="887"/>
      <c r="DL130" s="887"/>
      <c r="DM130" s="887"/>
    </row>
    <row r="131" spans="52:117" x14ac:dyDescent="0.25">
      <c r="AZ131" s="887"/>
      <c r="BA131" s="887"/>
      <c r="BB131" s="887"/>
      <c r="BC131" s="887"/>
      <c r="BD131" s="887"/>
      <c r="BE131" s="887"/>
      <c r="BF131" s="887"/>
      <c r="BG131" s="887"/>
      <c r="BH131" s="887"/>
      <c r="BI131" s="887"/>
      <c r="BJ131" s="887"/>
      <c r="BK131" s="887"/>
      <c r="BL131" s="887"/>
      <c r="BM131" s="887"/>
      <c r="BN131" s="887"/>
      <c r="BO131" s="887"/>
      <c r="BP131" s="887"/>
      <c r="BQ131" s="887"/>
      <c r="BR131" s="887"/>
      <c r="BS131" s="887"/>
      <c r="BT131" s="887"/>
      <c r="BU131" s="887"/>
      <c r="BV131" s="887"/>
      <c r="BW131" s="887"/>
      <c r="BX131" s="887"/>
      <c r="BY131" s="887"/>
      <c r="BZ131" s="887"/>
      <c r="CA131" s="887"/>
      <c r="CB131" s="887"/>
      <c r="CC131" s="887"/>
      <c r="CD131" s="887"/>
      <c r="CE131" s="887"/>
      <c r="CF131" s="887"/>
      <c r="CG131" s="887"/>
      <c r="CH131" s="887"/>
      <c r="CI131" s="887"/>
      <c r="CJ131" s="887"/>
      <c r="CK131" s="887"/>
      <c r="CL131" s="887"/>
      <c r="CM131" s="887"/>
      <c r="CN131" s="887"/>
      <c r="CO131" s="887"/>
      <c r="CP131" s="887"/>
      <c r="CQ131" s="887"/>
      <c r="CR131" s="887"/>
      <c r="CS131" s="887"/>
      <c r="CT131" s="887"/>
      <c r="CU131" s="887"/>
      <c r="CV131" s="887"/>
      <c r="CW131" s="887"/>
      <c r="CX131" s="887"/>
      <c r="CY131" s="887"/>
      <c r="CZ131" s="887"/>
      <c r="DA131" s="887"/>
      <c r="DB131" s="887"/>
      <c r="DC131" s="887"/>
      <c r="DD131" s="887"/>
      <c r="DE131" s="887"/>
      <c r="DF131" s="887"/>
      <c r="DG131" s="887"/>
      <c r="DH131" s="887"/>
      <c r="DI131" s="887"/>
      <c r="DJ131" s="887"/>
      <c r="DK131" s="887"/>
      <c r="DL131" s="887"/>
      <c r="DM131" s="887"/>
    </row>
    <row r="132" spans="52:117" x14ac:dyDescent="0.25">
      <c r="AZ132" s="887"/>
      <c r="BA132" s="887"/>
      <c r="BB132" s="887"/>
      <c r="BC132" s="887"/>
      <c r="BD132" s="887"/>
      <c r="BE132" s="887"/>
      <c r="BF132" s="887"/>
      <c r="BG132" s="887"/>
      <c r="BH132" s="887"/>
      <c r="BI132" s="887"/>
      <c r="BJ132" s="887"/>
      <c r="BK132" s="887"/>
      <c r="BL132" s="887"/>
      <c r="BM132" s="887"/>
      <c r="BN132" s="887"/>
      <c r="BO132" s="887"/>
      <c r="BP132" s="887"/>
      <c r="BQ132" s="887"/>
      <c r="BR132" s="887"/>
      <c r="BS132" s="887"/>
      <c r="BT132" s="887"/>
      <c r="BU132" s="887"/>
      <c r="BV132" s="887"/>
      <c r="BW132" s="887"/>
      <c r="BX132" s="887"/>
      <c r="BY132" s="887"/>
      <c r="BZ132" s="887"/>
      <c r="CA132" s="887"/>
      <c r="CB132" s="887"/>
      <c r="CC132" s="887"/>
      <c r="CD132" s="887"/>
      <c r="CE132" s="887"/>
      <c r="CF132" s="887"/>
      <c r="CG132" s="887"/>
      <c r="CH132" s="887"/>
      <c r="CI132" s="887"/>
      <c r="CJ132" s="887"/>
      <c r="CK132" s="887"/>
      <c r="CL132" s="887"/>
      <c r="CM132" s="887"/>
      <c r="CN132" s="887"/>
      <c r="CO132" s="887"/>
      <c r="CP132" s="887"/>
      <c r="CQ132" s="887"/>
      <c r="CR132" s="887"/>
      <c r="CS132" s="887"/>
      <c r="CT132" s="887"/>
      <c r="CU132" s="887"/>
      <c r="CV132" s="887"/>
      <c r="CW132" s="887"/>
      <c r="CX132" s="887"/>
      <c r="CY132" s="887"/>
      <c r="CZ132" s="887"/>
      <c r="DA132" s="887"/>
      <c r="DB132" s="887"/>
      <c r="DC132" s="887"/>
      <c r="DD132" s="887"/>
      <c r="DE132" s="887"/>
      <c r="DF132" s="887"/>
      <c r="DG132" s="887"/>
      <c r="DH132" s="887"/>
      <c r="DI132" s="887"/>
      <c r="DJ132" s="887"/>
      <c r="DK132" s="887"/>
      <c r="DL132" s="887"/>
      <c r="DM132" s="887"/>
    </row>
    <row r="133" spans="52:117" x14ac:dyDescent="0.25">
      <c r="AZ133" s="887"/>
      <c r="BA133" s="887"/>
      <c r="BB133" s="887"/>
      <c r="BC133" s="887"/>
      <c r="BD133" s="887"/>
      <c r="BE133" s="887"/>
      <c r="BF133" s="887"/>
      <c r="BG133" s="887"/>
      <c r="BH133" s="887"/>
      <c r="BI133" s="887"/>
      <c r="BJ133" s="887"/>
      <c r="BK133" s="887"/>
      <c r="BL133" s="887"/>
      <c r="BM133" s="887"/>
      <c r="BN133" s="887"/>
      <c r="BO133" s="887"/>
      <c r="BP133" s="887"/>
      <c r="BQ133" s="887"/>
      <c r="BR133" s="887"/>
      <c r="BS133" s="887"/>
      <c r="BT133" s="887"/>
      <c r="BU133" s="887"/>
      <c r="BV133" s="887"/>
      <c r="BW133" s="887"/>
      <c r="BX133" s="887"/>
      <c r="BY133" s="887"/>
      <c r="BZ133" s="887"/>
      <c r="CA133" s="887"/>
      <c r="CB133" s="887"/>
      <c r="CC133" s="887"/>
      <c r="CD133" s="887"/>
      <c r="CE133" s="887"/>
      <c r="CF133" s="887"/>
      <c r="CG133" s="887"/>
      <c r="CH133" s="887"/>
      <c r="CI133" s="887"/>
      <c r="CJ133" s="887"/>
      <c r="CK133" s="887"/>
      <c r="CL133" s="887"/>
      <c r="CM133" s="887"/>
      <c r="CN133" s="887"/>
      <c r="CO133" s="887"/>
      <c r="CP133" s="887"/>
      <c r="CQ133" s="887"/>
      <c r="CR133" s="887"/>
      <c r="CS133" s="887"/>
      <c r="CT133" s="887"/>
      <c r="CU133" s="887"/>
      <c r="CV133" s="887"/>
      <c r="CW133" s="887"/>
      <c r="CX133" s="887"/>
      <c r="CY133" s="887"/>
      <c r="CZ133" s="887"/>
      <c r="DA133" s="887"/>
      <c r="DB133" s="887"/>
      <c r="DC133" s="887"/>
      <c r="DD133" s="887"/>
      <c r="DE133" s="887"/>
      <c r="DF133" s="887"/>
      <c r="DG133" s="887"/>
      <c r="DH133" s="887"/>
      <c r="DI133" s="887"/>
      <c r="DJ133" s="887"/>
      <c r="DK133" s="887"/>
      <c r="DL133" s="887"/>
      <c r="DM133" s="887"/>
    </row>
    <row r="134" spans="52:117" x14ac:dyDescent="0.25">
      <c r="AZ134" s="887"/>
      <c r="BA134" s="887"/>
      <c r="BB134" s="887"/>
      <c r="BC134" s="887"/>
      <c r="BD134" s="887"/>
      <c r="BE134" s="887"/>
      <c r="BF134" s="887"/>
      <c r="BG134" s="887"/>
      <c r="BH134" s="887"/>
      <c r="BI134" s="887"/>
      <c r="BJ134" s="887"/>
      <c r="BK134" s="887"/>
      <c r="BL134" s="887"/>
      <c r="BM134" s="887"/>
      <c r="BN134" s="887"/>
      <c r="BO134" s="887"/>
      <c r="BP134" s="887"/>
      <c r="BQ134" s="887"/>
      <c r="BR134" s="887"/>
      <c r="BS134" s="887"/>
      <c r="BT134" s="887"/>
      <c r="BU134" s="887"/>
      <c r="BV134" s="887"/>
      <c r="BW134" s="887"/>
      <c r="BX134" s="887"/>
      <c r="BY134" s="887"/>
      <c r="BZ134" s="887"/>
      <c r="CA134" s="887"/>
      <c r="CB134" s="887"/>
      <c r="CC134" s="887"/>
      <c r="CD134" s="887"/>
      <c r="CE134" s="887"/>
      <c r="CF134" s="887"/>
      <c r="CG134" s="887"/>
      <c r="CH134" s="887"/>
      <c r="CI134" s="887"/>
      <c r="CJ134" s="887"/>
      <c r="CK134" s="887"/>
      <c r="CL134" s="887"/>
      <c r="CM134" s="887"/>
      <c r="CN134" s="887"/>
      <c r="CO134" s="887"/>
      <c r="CP134" s="887"/>
      <c r="CQ134" s="887"/>
      <c r="CR134" s="887"/>
      <c r="CS134" s="887"/>
      <c r="CT134" s="887"/>
      <c r="CU134" s="887"/>
      <c r="CV134" s="887"/>
      <c r="CW134" s="887"/>
      <c r="CX134" s="887"/>
      <c r="CY134" s="887"/>
      <c r="CZ134" s="887"/>
      <c r="DA134" s="887"/>
      <c r="DB134" s="887"/>
      <c r="DC134" s="887"/>
      <c r="DD134" s="887"/>
      <c r="DE134" s="887"/>
      <c r="DF134" s="887"/>
      <c r="DG134" s="887"/>
      <c r="DH134" s="887"/>
      <c r="DI134" s="887"/>
      <c r="DJ134" s="887"/>
      <c r="DK134" s="887"/>
      <c r="DL134" s="887"/>
      <c r="DM134" s="887"/>
    </row>
    <row r="135" spans="52:117" x14ac:dyDescent="0.25">
      <c r="AZ135" s="887"/>
      <c r="BA135" s="887"/>
      <c r="BB135" s="887"/>
      <c r="BC135" s="887"/>
      <c r="BD135" s="887"/>
      <c r="BE135" s="887"/>
      <c r="BF135" s="887"/>
      <c r="BG135" s="887"/>
      <c r="BH135" s="887"/>
      <c r="BI135" s="887"/>
      <c r="BJ135" s="887"/>
      <c r="BK135" s="887"/>
      <c r="BL135" s="887"/>
      <c r="BM135" s="887"/>
      <c r="BN135" s="887"/>
      <c r="BO135" s="887"/>
      <c r="BP135" s="887"/>
      <c r="BQ135" s="887"/>
      <c r="BR135" s="887"/>
      <c r="BS135" s="887"/>
      <c r="BT135" s="887"/>
      <c r="BU135" s="887"/>
      <c r="BV135" s="887"/>
      <c r="BW135" s="887"/>
      <c r="BX135" s="887"/>
      <c r="BY135" s="887"/>
      <c r="BZ135" s="887"/>
      <c r="CA135" s="887"/>
      <c r="CB135" s="887"/>
      <c r="CC135" s="887"/>
      <c r="CD135" s="887"/>
      <c r="CE135" s="887"/>
      <c r="CF135" s="887"/>
      <c r="CG135" s="887"/>
      <c r="CH135" s="887"/>
      <c r="CI135" s="887"/>
      <c r="CJ135" s="887"/>
      <c r="CK135" s="887"/>
      <c r="CL135" s="887"/>
      <c r="CM135" s="887"/>
      <c r="CN135" s="887"/>
      <c r="CO135" s="887"/>
      <c r="CP135" s="887"/>
      <c r="CQ135" s="887"/>
      <c r="CR135" s="887"/>
      <c r="CS135" s="887"/>
      <c r="CT135" s="887"/>
      <c r="CU135" s="887"/>
      <c r="CV135" s="887"/>
      <c r="CW135" s="887"/>
      <c r="CX135" s="887"/>
      <c r="CY135" s="887"/>
      <c r="CZ135" s="887"/>
      <c r="DA135" s="887"/>
      <c r="DB135" s="887"/>
      <c r="DC135" s="887"/>
      <c r="DD135" s="887"/>
      <c r="DE135" s="887"/>
      <c r="DF135" s="887"/>
      <c r="DG135" s="887"/>
      <c r="DH135" s="887"/>
      <c r="DI135" s="887"/>
      <c r="DJ135" s="887"/>
      <c r="DK135" s="887"/>
      <c r="DL135" s="887"/>
      <c r="DM135" s="887"/>
    </row>
    <row r="136" spans="52:117" x14ac:dyDescent="0.25">
      <c r="AZ136" s="887"/>
      <c r="BA136" s="887"/>
      <c r="BB136" s="887"/>
      <c r="BC136" s="887"/>
      <c r="BD136" s="887"/>
      <c r="BE136" s="887"/>
      <c r="BF136" s="887"/>
      <c r="BG136" s="887"/>
      <c r="BH136" s="887"/>
      <c r="BI136" s="887"/>
      <c r="BJ136" s="887"/>
      <c r="BK136" s="887"/>
      <c r="BL136" s="887"/>
      <c r="BM136" s="887"/>
      <c r="BN136" s="887"/>
      <c r="BO136" s="887"/>
      <c r="BP136" s="887"/>
      <c r="BQ136" s="887"/>
      <c r="BR136" s="887"/>
      <c r="BS136" s="887"/>
      <c r="BT136" s="887"/>
      <c r="BU136" s="887"/>
      <c r="BV136" s="887"/>
      <c r="BW136" s="887"/>
      <c r="BX136" s="887"/>
      <c r="BY136" s="887"/>
      <c r="BZ136" s="887"/>
      <c r="CA136" s="887"/>
      <c r="CB136" s="887"/>
      <c r="CC136" s="887"/>
      <c r="CD136" s="887"/>
      <c r="CE136" s="887"/>
      <c r="CF136" s="887"/>
      <c r="CG136" s="887"/>
      <c r="CH136" s="887"/>
      <c r="CI136" s="887"/>
      <c r="CJ136" s="887"/>
      <c r="CK136" s="887"/>
      <c r="CL136" s="887"/>
      <c r="CM136" s="887"/>
      <c r="CN136" s="887"/>
      <c r="CO136" s="887"/>
      <c r="CP136" s="887"/>
      <c r="CQ136" s="887"/>
      <c r="CR136" s="887"/>
      <c r="CS136" s="887"/>
      <c r="CT136" s="887"/>
      <c r="CU136" s="887"/>
      <c r="CV136" s="887"/>
      <c r="CW136" s="887"/>
      <c r="CX136" s="887"/>
      <c r="CY136" s="887"/>
      <c r="CZ136" s="887"/>
      <c r="DA136" s="887"/>
      <c r="DB136" s="887"/>
      <c r="DC136" s="887"/>
      <c r="DD136" s="887"/>
      <c r="DE136" s="887"/>
      <c r="DF136" s="887"/>
      <c r="DG136" s="887"/>
      <c r="DH136" s="887"/>
      <c r="DI136" s="887"/>
      <c r="DJ136" s="887"/>
      <c r="DK136" s="887"/>
      <c r="DL136" s="887"/>
      <c r="DM136" s="887"/>
    </row>
    <row r="137" spans="52:117" x14ac:dyDescent="0.25">
      <c r="AZ137" s="887"/>
      <c r="BA137" s="887"/>
      <c r="BB137" s="887"/>
      <c r="BC137" s="887"/>
      <c r="BD137" s="887"/>
      <c r="BE137" s="887"/>
      <c r="BF137" s="887"/>
      <c r="BG137" s="887"/>
      <c r="BH137" s="887"/>
      <c r="BI137" s="887"/>
      <c r="BJ137" s="887"/>
      <c r="BK137" s="887"/>
      <c r="BL137" s="887"/>
      <c r="BM137" s="887"/>
      <c r="BN137" s="887"/>
      <c r="BO137" s="887"/>
      <c r="BP137" s="887"/>
      <c r="BQ137" s="887"/>
      <c r="BR137" s="887"/>
      <c r="BS137" s="887"/>
      <c r="BT137" s="887"/>
      <c r="BU137" s="887"/>
      <c r="BV137" s="887"/>
      <c r="BW137" s="887"/>
      <c r="BX137" s="887"/>
      <c r="BY137" s="887"/>
      <c r="BZ137" s="887"/>
      <c r="CA137" s="887"/>
      <c r="CB137" s="887"/>
      <c r="CC137" s="887"/>
      <c r="CD137" s="887"/>
      <c r="CE137" s="887"/>
      <c r="CF137" s="887"/>
      <c r="CG137" s="887"/>
      <c r="CH137" s="887"/>
      <c r="CI137" s="887"/>
      <c r="CJ137" s="887"/>
      <c r="CK137" s="887"/>
      <c r="CL137" s="887"/>
      <c r="CM137" s="887"/>
      <c r="CN137" s="887"/>
      <c r="CO137" s="887"/>
      <c r="CP137" s="887"/>
      <c r="CQ137" s="887"/>
      <c r="CR137" s="887"/>
      <c r="CS137" s="887"/>
      <c r="CT137" s="887"/>
      <c r="CU137" s="887"/>
      <c r="CV137" s="887"/>
      <c r="CW137" s="887"/>
      <c r="CX137" s="887"/>
      <c r="CY137" s="887"/>
      <c r="CZ137" s="887"/>
      <c r="DA137" s="887"/>
      <c r="DB137" s="887"/>
      <c r="DC137" s="887"/>
      <c r="DD137" s="887"/>
      <c r="DE137" s="887"/>
      <c r="DF137" s="887"/>
      <c r="DG137" s="887"/>
      <c r="DH137" s="887"/>
      <c r="DI137" s="887"/>
      <c r="DJ137" s="887"/>
      <c r="DK137" s="887"/>
      <c r="DL137" s="887"/>
      <c r="DM137" s="887"/>
    </row>
    <row r="138" spans="52:117" x14ac:dyDescent="0.25">
      <c r="AZ138" s="887"/>
      <c r="BA138" s="887"/>
      <c r="BB138" s="887"/>
      <c r="BC138" s="887"/>
      <c r="BD138" s="887"/>
      <c r="BE138" s="887"/>
      <c r="BF138" s="887"/>
      <c r="BG138" s="887"/>
      <c r="BH138" s="887"/>
      <c r="BI138" s="887"/>
      <c r="BJ138" s="887"/>
      <c r="BK138" s="887"/>
      <c r="BL138" s="887"/>
      <c r="BM138" s="887"/>
      <c r="BN138" s="887"/>
      <c r="BO138" s="887"/>
      <c r="BP138" s="887"/>
      <c r="BQ138" s="887"/>
      <c r="BR138" s="887"/>
      <c r="BS138" s="887"/>
      <c r="BT138" s="887"/>
      <c r="BU138" s="887"/>
      <c r="BV138" s="887"/>
      <c r="BW138" s="887"/>
      <c r="BX138" s="887"/>
      <c r="BY138" s="887"/>
      <c r="BZ138" s="887"/>
      <c r="CA138" s="887"/>
      <c r="CB138" s="887"/>
      <c r="CC138" s="887"/>
      <c r="CD138" s="887"/>
      <c r="CE138" s="887"/>
      <c r="CF138" s="887"/>
      <c r="CG138" s="887"/>
      <c r="CH138" s="887"/>
      <c r="CI138" s="887"/>
      <c r="CJ138" s="887"/>
      <c r="CK138" s="887"/>
      <c r="CL138" s="887"/>
      <c r="CM138" s="887"/>
      <c r="CN138" s="887"/>
      <c r="CO138" s="887"/>
      <c r="CP138" s="887"/>
      <c r="CQ138" s="887"/>
      <c r="CR138" s="887"/>
      <c r="CS138" s="887"/>
      <c r="CT138" s="887"/>
      <c r="CU138" s="887"/>
      <c r="CV138" s="887"/>
      <c r="CW138" s="887"/>
      <c r="CX138" s="887"/>
      <c r="CY138" s="887"/>
      <c r="CZ138" s="887"/>
      <c r="DA138" s="887"/>
      <c r="DB138" s="887"/>
      <c r="DC138" s="887"/>
      <c r="DD138" s="887"/>
      <c r="DE138" s="887"/>
      <c r="DF138" s="887"/>
      <c r="DG138" s="887"/>
      <c r="DH138" s="887"/>
      <c r="DI138" s="887"/>
      <c r="DJ138" s="887"/>
      <c r="DK138" s="887"/>
      <c r="DL138" s="887"/>
      <c r="DM138" s="887"/>
    </row>
    <row r="139" spans="52:117" x14ac:dyDescent="0.25">
      <c r="AZ139" s="887"/>
      <c r="BA139" s="887"/>
      <c r="BB139" s="887"/>
      <c r="BC139" s="887"/>
      <c r="BD139" s="887"/>
      <c r="BE139" s="887"/>
      <c r="BF139" s="887"/>
      <c r="BG139" s="887"/>
      <c r="BH139" s="887"/>
      <c r="BI139" s="887"/>
      <c r="BJ139" s="887"/>
      <c r="BK139" s="887"/>
      <c r="BL139" s="887"/>
      <c r="BM139" s="887"/>
      <c r="BN139" s="887"/>
      <c r="BO139" s="887"/>
      <c r="BP139" s="887"/>
      <c r="BQ139" s="887"/>
      <c r="BR139" s="887"/>
      <c r="BS139" s="887"/>
      <c r="BT139" s="887"/>
      <c r="BU139" s="887"/>
      <c r="BV139" s="887"/>
      <c r="BW139" s="887"/>
      <c r="BX139" s="887"/>
      <c r="BY139" s="887"/>
      <c r="BZ139" s="887"/>
      <c r="CA139" s="887"/>
      <c r="CB139" s="887"/>
      <c r="CC139" s="887"/>
      <c r="CD139" s="887"/>
      <c r="CE139" s="887"/>
      <c r="CF139" s="887"/>
      <c r="CG139" s="887"/>
      <c r="CH139" s="887"/>
      <c r="CI139" s="887"/>
      <c r="CJ139" s="887"/>
      <c r="CK139" s="887"/>
      <c r="CL139" s="887"/>
      <c r="CM139" s="887"/>
      <c r="CN139" s="887"/>
      <c r="CO139" s="887"/>
      <c r="CP139" s="887"/>
      <c r="CQ139" s="887"/>
      <c r="CR139" s="887"/>
      <c r="CS139" s="887"/>
      <c r="CT139" s="887"/>
      <c r="CU139" s="887"/>
      <c r="CV139" s="887"/>
      <c r="CW139" s="887"/>
      <c r="CX139" s="887"/>
      <c r="CY139" s="887"/>
      <c r="CZ139" s="887"/>
      <c r="DA139" s="887"/>
      <c r="DB139" s="887"/>
      <c r="DC139" s="887"/>
      <c r="DD139" s="887"/>
      <c r="DE139" s="887"/>
      <c r="DF139" s="887"/>
      <c r="DG139" s="887"/>
      <c r="DH139" s="887"/>
      <c r="DI139" s="887"/>
      <c r="DJ139" s="887"/>
      <c r="DK139" s="887"/>
      <c r="DL139" s="887"/>
      <c r="DM139" s="887"/>
    </row>
    <row r="140" spans="52:117" x14ac:dyDescent="0.25">
      <c r="AZ140" s="887"/>
      <c r="BA140" s="887"/>
      <c r="BB140" s="887"/>
      <c r="BC140" s="887"/>
      <c r="BD140" s="887"/>
      <c r="BE140" s="887"/>
      <c r="BF140" s="887"/>
      <c r="BG140" s="887"/>
      <c r="BH140" s="887"/>
      <c r="BI140" s="887"/>
      <c r="BJ140" s="887"/>
      <c r="BK140" s="887"/>
      <c r="BL140" s="887"/>
      <c r="BM140" s="887"/>
      <c r="BN140" s="887"/>
      <c r="BO140" s="887"/>
      <c r="BP140" s="887"/>
      <c r="BQ140" s="887"/>
      <c r="BR140" s="887"/>
      <c r="BS140" s="887"/>
      <c r="BT140" s="887"/>
      <c r="BU140" s="887"/>
      <c r="BV140" s="887"/>
      <c r="BW140" s="887"/>
      <c r="BX140" s="887"/>
      <c r="BY140" s="887"/>
      <c r="BZ140" s="887"/>
      <c r="CA140" s="887"/>
      <c r="CB140" s="887"/>
      <c r="CC140" s="887"/>
      <c r="CD140" s="887"/>
      <c r="CE140" s="887"/>
      <c r="CF140" s="887"/>
      <c r="CG140" s="887"/>
      <c r="CH140" s="887"/>
      <c r="CI140" s="887"/>
      <c r="CJ140" s="887"/>
      <c r="CK140" s="887"/>
      <c r="CL140" s="887"/>
      <c r="CM140" s="887"/>
      <c r="CN140" s="887"/>
      <c r="CO140" s="887"/>
      <c r="CP140" s="887"/>
      <c r="CQ140" s="887"/>
      <c r="CR140" s="887"/>
      <c r="CS140" s="887"/>
      <c r="CT140" s="887"/>
      <c r="CU140" s="887"/>
      <c r="CV140" s="887"/>
      <c r="CW140" s="887"/>
      <c r="CX140" s="887"/>
      <c r="CY140" s="887"/>
      <c r="CZ140" s="887"/>
      <c r="DA140" s="887"/>
      <c r="DB140" s="887"/>
      <c r="DC140" s="887"/>
      <c r="DD140" s="887"/>
      <c r="DE140" s="887"/>
      <c r="DF140" s="887"/>
      <c r="DG140" s="887"/>
      <c r="DH140" s="887"/>
      <c r="DI140" s="887"/>
      <c r="DJ140" s="887"/>
      <c r="DK140" s="887"/>
      <c r="DL140" s="887"/>
      <c r="DM140" s="887"/>
    </row>
    <row r="141" spans="52:117" x14ac:dyDescent="0.25">
      <c r="AZ141" s="887"/>
      <c r="BA141" s="887"/>
      <c r="BB141" s="887"/>
      <c r="BC141" s="887"/>
      <c r="BD141" s="887"/>
      <c r="BE141" s="887"/>
      <c r="BF141" s="887"/>
      <c r="BG141" s="887"/>
      <c r="BH141" s="887"/>
      <c r="BI141" s="887"/>
      <c r="BJ141" s="887"/>
      <c r="BK141" s="887"/>
      <c r="BL141" s="887"/>
      <c r="BM141" s="887"/>
      <c r="BN141" s="887"/>
      <c r="BO141" s="887"/>
      <c r="BP141" s="887"/>
      <c r="BQ141" s="887"/>
      <c r="BR141" s="887"/>
      <c r="BS141" s="887"/>
      <c r="BT141" s="887"/>
      <c r="BU141" s="887"/>
      <c r="BV141" s="887"/>
      <c r="BW141" s="887"/>
      <c r="BX141" s="887"/>
      <c r="BY141" s="887"/>
      <c r="BZ141" s="887"/>
      <c r="CA141" s="887"/>
      <c r="CB141" s="887"/>
      <c r="CC141" s="887"/>
      <c r="CD141" s="887"/>
      <c r="CE141" s="887"/>
      <c r="CF141" s="887"/>
      <c r="CG141" s="887"/>
      <c r="CH141" s="887"/>
      <c r="CI141" s="887"/>
      <c r="CJ141" s="887"/>
      <c r="CK141" s="887"/>
      <c r="CL141" s="887"/>
      <c r="CM141" s="887"/>
      <c r="CN141" s="887"/>
      <c r="CO141" s="887"/>
      <c r="CP141" s="887"/>
      <c r="CQ141" s="887"/>
      <c r="CR141" s="887"/>
      <c r="CS141" s="887"/>
      <c r="CT141" s="887"/>
      <c r="CU141" s="887"/>
      <c r="CV141" s="887"/>
      <c r="CW141" s="887"/>
      <c r="CX141" s="887"/>
      <c r="CY141" s="887"/>
      <c r="CZ141" s="887"/>
      <c r="DA141" s="887"/>
      <c r="DB141" s="887"/>
      <c r="DC141" s="887"/>
      <c r="DD141" s="887"/>
      <c r="DE141" s="887"/>
      <c r="DF141" s="887"/>
      <c r="DG141" s="887"/>
      <c r="DH141" s="887"/>
      <c r="DI141" s="887"/>
      <c r="DJ141" s="887"/>
      <c r="DK141" s="887"/>
      <c r="DL141" s="887"/>
      <c r="DM141" s="887"/>
    </row>
    <row r="142" spans="52:117" x14ac:dyDescent="0.25">
      <c r="AZ142" s="887"/>
      <c r="BA142" s="887"/>
      <c r="BB142" s="887"/>
      <c r="BC142" s="887"/>
      <c r="BD142" s="887"/>
      <c r="BE142" s="887"/>
      <c r="BF142" s="887"/>
      <c r="BG142" s="887"/>
      <c r="BH142" s="887"/>
      <c r="BI142" s="887"/>
      <c r="BJ142" s="887"/>
      <c r="BK142" s="887"/>
      <c r="BL142" s="887"/>
      <c r="BM142" s="887"/>
      <c r="BN142" s="887"/>
      <c r="BO142" s="887"/>
      <c r="BP142" s="887"/>
      <c r="BQ142" s="887"/>
      <c r="BR142" s="887"/>
      <c r="BS142" s="887"/>
      <c r="BT142" s="887"/>
      <c r="BU142" s="887"/>
      <c r="BV142" s="887"/>
      <c r="BW142" s="887"/>
      <c r="BX142" s="887"/>
      <c r="BY142" s="887"/>
      <c r="BZ142" s="887"/>
      <c r="CA142" s="887"/>
      <c r="CB142" s="887"/>
      <c r="CC142" s="887"/>
      <c r="CD142" s="887"/>
      <c r="CE142" s="887"/>
      <c r="CF142" s="887"/>
      <c r="CG142" s="887"/>
      <c r="CH142" s="887"/>
      <c r="CI142" s="887"/>
      <c r="CJ142" s="887"/>
      <c r="CK142" s="887"/>
      <c r="CL142" s="887"/>
      <c r="CM142" s="887"/>
      <c r="CN142" s="887"/>
      <c r="CO142" s="887"/>
      <c r="CP142" s="887"/>
      <c r="CQ142" s="887"/>
      <c r="CR142" s="887"/>
      <c r="CS142" s="887"/>
      <c r="CT142" s="887"/>
      <c r="CU142" s="887"/>
      <c r="CV142" s="887"/>
      <c r="CW142" s="887"/>
      <c r="CX142" s="887"/>
      <c r="CY142" s="887"/>
      <c r="CZ142" s="887"/>
      <c r="DA142" s="887"/>
      <c r="DB142" s="887"/>
      <c r="DC142" s="887"/>
      <c r="DD142" s="887"/>
      <c r="DE142" s="887"/>
      <c r="DF142" s="887"/>
      <c r="DG142" s="887"/>
      <c r="DH142" s="887"/>
      <c r="DI142" s="887"/>
      <c r="DJ142" s="887"/>
      <c r="DK142" s="887"/>
      <c r="DL142" s="887"/>
      <c r="DM142" s="887"/>
    </row>
    <row r="143" spans="52:117" x14ac:dyDescent="0.25">
      <c r="AZ143" s="887"/>
      <c r="BA143" s="887"/>
      <c r="BB143" s="887"/>
      <c r="BC143" s="887"/>
      <c r="BD143" s="887"/>
      <c r="BE143" s="887"/>
      <c r="BF143" s="887"/>
      <c r="BG143" s="887"/>
      <c r="BH143" s="887"/>
      <c r="BI143" s="887"/>
      <c r="BJ143" s="887"/>
      <c r="BK143" s="887"/>
      <c r="BL143" s="887"/>
      <c r="BM143" s="887"/>
      <c r="BN143" s="887"/>
      <c r="BO143" s="887"/>
      <c r="BP143" s="887"/>
      <c r="BQ143" s="887"/>
      <c r="BR143" s="887"/>
      <c r="BS143" s="887"/>
      <c r="BT143" s="887"/>
      <c r="BU143" s="887"/>
      <c r="BV143" s="887"/>
      <c r="BW143" s="887"/>
      <c r="BX143" s="887"/>
      <c r="BY143" s="887"/>
      <c r="BZ143" s="887"/>
      <c r="CA143" s="887"/>
      <c r="CB143" s="887"/>
      <c r="CC143" s="887"/>
      <c r="CD143" s="887"/>
      <c r="CE143" s="887"/>
      <c r="CF143" s="887"/>
      <c r="CG143" s="887"/>
      <c r="CH143" s="887"/>
      <c r="CI143" s="887"/>
      <c r="CJ143" s="887"/>
      <c r="CK143" s="887"/>
      <c r="CL143" s="887"/>
      <c r="CM143" s="887"/>
      <c r="CN143" s="887"/>
      <c r="CO143" s="887"/>
      <c r="CP143" s="887"/>
      <c r="CQ143" s="887"/>
      <c r="CR143" s="887"/>
      <c r="CS143" s="887"/>
      <c r="CT143" s="887"/>
      <c r="CU143" s="887"/>
      <c r="CV143" s="887"/>
      <c r="CW143" s="887"/>
      <c r="CX143" s="887"/>
      <c r="CY143" s="887"/>
      <c r="CZ143" s="887"/>
      <c r="DA143" s="887"/>
      <c r="DB143" s="887"/>
      <c r="DC143" s="887"/>
      <c r="DD143" s="887"/>
      <c r="DE143" s="887"/>
      <c r="DF143" s="887"/>
      <c r="DG143" s="887"/>
      <c r="DH143" s="887"/>
      <c r="DI143" s="887"/>
      <c r="DJ143" s="887"/>
      <c r="DK143" s="887"/>
      <c r="DL143" s="887"/>
      <c r="DM143" s="887"/>
    </row>
    <row r="144" spans="52:117" x14ac:dyDescent="0.25">
      <c r="AZ144" s="887"/>
      <c r="BA144" s="887"/>
      <c r="BB144" s="887"/>
      <c r="BC144" s="887"/>
      <c r="BD144" s="887"/>
      <c r="BE144" s="887"/>
      <c r="BF144" s="887"/>
      <c r="BG144" s="887"/>
      <c r="BH144" s="887"/>
      <c r="BI144" s="887"/>
      <c r="BJ144" s="887"/>
      <c r="BK144" s="887"/>
      <c r="BL144" s="887"/>
      <c r="BM144" s="887"/>
      <c r="BN144" s="887"/>
      <c r="BO144" s="887"/>
      <c r="BP144" s="887"/>
      <c r="BQ144" s="887"/>
      <c r="BR144" s="887"/>
      <c r="BS144" s="887"/>
      <c r="BT144" s="887"/>
      <c r="BU144" s="887"/>
      <c r="BV144" s="887"/>
      <c r="BW144" s="887"/>
      <c r="BX144" s="887"/>
      <c r="BY144" s="887"/>
      <c r="BZ144" s="887"/>
      <c r="CA144" s="887"/>
      <c r="CB144" s="887"/>
      <c r="CC144" s="887"/>
      <c r="CD144" s="887"/>
      <c r="CE144" s="887"/>
      <c r="CF144" s="887"/>
      <c r="CG144" s="887"/>
      <c r="CH144" s="887"/>
      <c r="CI144" s="887"/>
      <c r="CJ144" s="887"/>
      <c r="CK144" s="887"/>
      <c r="CL144" s="887"/>
      <c r="CM144" s="887"/>
      <c r="CN144" s="887"/>
      <c r="CO144" s="887"/>
      <c r="CP144" s="887"/>
      <c r="CQ144" s="887"/>
      <c r="CR144" s="887"/>
      <c r="CS144" s="887"/>
      <c r="CT144" s="887"/>
      <c r="CU144" s="887"/>
      <c r="CV144" s="887"/>
      <c r="CW144" s="887"/>
      <c r="CX144" s="887"/>
      <c r="CY144" s="887"/>
      <c r="CZ144" s="887"/>
      <c r="DA144" s="887"/>
      <c r="DB144" s="887"/>
      <c r="DC144" s="887"/>
      <c r="DD144" s="887"/>
      <c r="DE144" s="887"/>
      <c r="DF144" s="887"/>
      <c r="DG144" s="887"/>
      <c r="DH144" s="887"/>
      <c r="DI144" s="887"/>
      <c r="DJ144" s="887"/>
      <c r="DK144" s="887"/>
      <c r="DL144" s="887"/>
      <c r="DM144" s="887"/>
    </row>
    <row r="145" spans="52:117" x14ac:dyDescent="0.25">
      <c r="AZ145" s="887"/>
      <c r="BA145" s="887"/>
      <c r="BB145" s="887"/>
      <c r="BC145" s="887"/>
      <c r="BD145" s="887"/>
      <c r="BE145" s="887"/>
      <c r="BF145" s="887"/>
      <c r="BG145" s="887"/>
      <c r="BH145" s="887"/>
      <c r="BI145" s="887"/>
      <c r="BJ145" s="887"/>
      <c r="BK145" s="887"/>
      <c r="BL145" s="887"/>
      <c r="BM145" s="887"/>
      <c r="BN145" s="887"/>
      <c r="BO145" s="887"/>
      <c r="BP145" s="887"/>
      <c r="BQ145" s="887"/>
      <c r="BR145" s="887"/>
      <c r="BS145" s="887"/>
      <c r="BT145" s="887"/>
      <c r="BU145" s="887"/>
      <c r="BV145" s="887"/>
      <c r="BW145" s="887"/>
      <c r="BX145" s="887"/>
      <c r="BY145" s="887"/>
      <c r="BZ145" s="887"/>
      <c r="CA145" s="887"/>
      <c r="CB145" s="887"/>
      <c r="CC145" s="887"/>
      <c r="CD145" s="887"/>
      <c r="CE145" s="887"/>
      <c r="CF145" s="887"/>
      <c r="CG145" s="887"/>
      <c r="CH145" s="887"/>
      <c r="CI145" s="887"/>
      <c r="CJ145" s="887"/>
      <c r="CK145" s="887"/>
      <c r="CL145" s="887"/>
      <c r="CM145" s="887"/>
      <c r="CN145" s="887"/>
      <c r="CO145" s="887"/>
      <c r="CP145" s="887"/>
      <c r="CQ145" s="887"/>
      <c r="CR145" s="887"/>
      <c r="CS145" s="887"/>
      <c r="CT145" s="887"/>
      <c r="CU145" s="887"/>
      <c r="CV145" s="887"/>
      <c r="CW145" s="887"/>
      <c r="CX145" s="887"/>
      <c r="CY145" s="887"/>
      <c r="CZ145" s="887"/>
      <c r="DA145" s="887"/>
      <c r="DB145" s="887"/>
      <c r="DC145" s="887"/>
      <c r="DD145" s="887"/>
      <c r="DE145" s="887"/>
      <c r="DF145" s="887"/>
      <c r="DG145" s="887"/>
      <c r="DH145" s="887"/>
      <c r="DI145" s="887"/>
      <c r="DJ145" s="887"/>
      <c r="DK145" s="887"/>
      <c r="DL145" s="887"/>
      <c r="DM145" s="887"/>
    </row>
    <row r="146" spans="52:117" x14ac:dyDescent="0.25">
      <c r="AZ146" s="887"/>
      <c r="BA146" s="887"/>
      <c r="BB146" s="887"/>
      <c r="BC146" s="887"/>
      <c r="BD146" s="887"/>
      <c r="BE146" s="887"/>
      <c r="BF146" s="887"/>
      <c r="BG146" s="887"/>
      <c r="BH146" s="887"/>
      <c r="BI146" s="887"/>
      <c r="BJ146" s="887"/>
      <c r="BK146" s="887"/>
      <c r="BL146" s="887"/>
      <c r="BM146" s="887"/>
      <c r="BN146" s="887"/>
      <c r="BO146" s="887"/>
      <c r="BP146" s="887"/>
      <c r="BQ146" s="887"/>
      <c r="BR146" s="887"/>
      <c r="BS146" s="887"/>
      <c r="BT146" s="887"/>
      <c r="BU146" s="887"/>
      <c r="BV146" s="887"/>
      <c r="BW146" s="887"/>
      <c r="BX146" s="887"/>
      <c r="BY146" s="887"/>
      <c r="BZ146" s="887"/>
      <c r="CA146" s="887"/>
      <c r="CB146" s="887"/>
      <c r="CC146" s="887"/>
      <c r="CD146" s="887"/>
      <c r="CE146" s="887"/>
      <c r="CF146" s="887"/>
      <c r="CG146" s="887"/>
      <c r="CH146" s="887"/>
      <c r="CI146" s="887"/>
      <c r="CJ146" s="887"/>
      <c r="CK146" s="887"/>
      <c r="CL146" s="887"/>
      <c r="CM146" s="887"/>
      <c r="CN146" s="887"/>
      <c r="CO146" s="887"/>
      <c r="CP146" s="887"/>
      <c r="CQ146" s="887"/>
      <c r="CR146" s="887"/>
      <c r="CS146" s="887"/>
      <c r="CT146" s="887"/>
      <c r="CU146" s="887"/>
      <c r="CV146" s="887"/>
      <c r="CW146" s="887"/>
      <c r="CX146" s="887"/>
      <c r="CY146" s="887"/>
      <c r="CZ146" s="887"/>
      <c r="DA146" s="887"/>
      <c r="DB146" s="887"/>
      <c r="DC146" s="887"/>
      <c r="DD146" s="887"/>
      <c r="DE146" s="887"/>
      <c r="DF146" s="887"/>
      <c r="DG146" s="887"/>
      <c r="DH146" s="887"/>
      <c r="DI146" s="887"/>
      <c r="DJ146" s="887"/>
      <c r="DK146" s="887"/>
      <c r="DL146" s="887"/>
      <c r="DM146" s="887"/>
    </row>
    <row r="147" spans="52:117" x14ac:dyDescent="0.25">
      <c r="AZ147" s="887"/>
      <c r="BA147" s="887"/>
      <c r="BB147" s="887"/>
      <c r="BC147" s="887"/>
      <c r="BD147" s="887"/>
      <c r="BE147" s="887"/>
      <c r="BF147" s="887"/>
      <c r="BG147" s="887"/>
      <c r="BH147" s="887"/>
      <c r="BI147" s="887"/>
      <c r="BJ147" s="887"/>
      <c r="BK147" s="887"/>
      <c r="BL147" s="887"/>
      <c r="BM147" s="887"/>
      <c r="BN147" s="887"/>
      <c r="BO147" s="887"/>
      <c r="BP147" s="887"/>
      <c r="BQ147" s="887"/>
      <c r="BR147" s="887"/>
      <c r="BS147" s="887"/>
      <c r="BT147" s="887"/>
      <c r="BU147" s="887"/>
      <c r="BV147" s="887"/>
      <c r="BW147" s="887"/>
      <c r="BX147" s="887"/>
      <c r="BY147" s="887"/>
      <c r="BZ147" s="887"/>
      <c r="CA147" s="887"/>
      <c r="CB147" s="887"/>
      <c r="CC147" s="887"/>
      <c r="CD147" s="887"/>
      <c r="CE147" s="887"/>
      <c r="CF147" s="887"/>
      <c r="CG147" s="887"/>
      <c r="CH147" s="887"/>
      <c r="CI147" s="887"/>
      <c r="CJ147" s="887"/>
      <c r="CK147" s="887"/>
      <c r="CL147" s="887"/>
      <c r="CM147" s="887"/>
      <c r="CN147" s="887"/>
      <c r="CO147" s="887"/>
      <c r="CP147" s="887"/>
      <c r="CQ147" s="887"/>
      <c r="CR147" s="887"/>
      <c r="CS147" s="887"/>
      <c r="CT147" s="887"/>
      <c r="CU147" s="887"/>
      <c r="CV147" s="887"/>
      <c r="CW147" s="887"/>
      <c r="CX147" s="887"/>
      <c r="CY147" s="887"/>
      <c r="CZ147" s="887"/>
      <c r="DA147" s="887"/>
      <c r="DB147" s="887"/>
      <c r="DC147" s="887"/>
      <c r="DD147" s="887"/>
      <c r="DE147" s="887"/>
      <c r="DF147" s="887"/>
      <c r="DG147" s="887"/>
      <c r="DH147" s="887"/>
      <c r="DI147" s="887"/>
      <c r="DJ147" s="887"/>
      <c r="DK147" s="887"/>
      <c r="DL147" s="887"/>
      <c r="DM147" s="887"/>
    </row>
    <row r="148" spans="52:117" x14ac:dyDescent="0.25">
      <c r="AZ148" s="887"/>
      <c r="BA148" s="887"/>
      <c r="BB148" s="887"/>
      <c r="BC148" s="887"/>
      <c r="BD148" s="887"/>
      <c r="BE148" s="887"/>
      <c r="BF148" s="887"/>
      <c r="BG148" s="887"/>
      <c r="BH148" s="887"/>
      <c r="BI148" s="887"/>
      <c r="BJ148" s="887"/>
      <c r="BK148" s="887"/>
      <c r="BL148" s="887"/>
      <c r="BM148" s="887"/>
      <c r="BN148" s="887"/>
      <c r="BO148" s="887"/>
      <c r="BP148" s="887"/>
      <c r="BQ148" s="887"/>
      <c r="BR148" s="887"/>
      <c r="BS148" s="887"/>
      <c r="BT148" s="887"/>
      <c r="BU148" s="887"/>
      <c r="BV148" s="887"/>
      <c r="BW148" s="887"/>
      <c r="BX148" s="887"/>
      <c r="BY148" s="887"/>
      <c r="BZ148" s="887"/>
      <c r="CA148" s="887"/>
      <c r="CB148" s="887"/>
      <c r="CC148" s="887"/>
      <c r="CD148" s="887"/>
      <c r="CE148" s="887"/>
      <c r="CF148" s="887"/>
      <c r="CG148" s="887"/>
      <c r="CH148" s="887"/>
      <c r="CI148" s="887"/>
      <c r="CJ148" s="887"/>
      <c r="CK148" s="887"/>
      <c r="CL148" s="887"/>
      <c r="CM148" s="887"/>
      <c r="CN148" s="887"/>
      <c r="CO148" s="887"/>
      <c r="CP148" s="887"/>
      <c r="CQ148" s="887"/>
      <c r="CR148" s="887"/>
      <c r="CS148" s="887"/>
      <c r="CT148" s="887"/>
      <c r="CU148" s="887"/>
      <c r="CV148" s="887"/>
      <c r="CW148" s="887"/>
      <c r="CX148" s="887"/>
      <c r="CY148" s="887"/>
      <c r="CZ148" s="887"/>
      <c r="DA148" s="887"/>
      <c r="DB148" s="887"/>
      <c r="DC148" s="887"/>
      <c r="DD148" s="887"/>
      <c r="DE148" s="887"/>
      <c r="DF148" s="887"/>
      <c r="DG148" s="887"/>
      <c r="DH148" s="887"/>
      <c r="DI148" s="887"/>
      <c r="DJ148" s="887"/>
      <c r="DK148" s="887"/>
      <c r="DL148" s="887"/>
      <c r="DM148" s="887"/>
    </row>
    <row r="149" spans="52:117" x14ac:dyDescent="0.25">
      <c r="AZ149" s="887"/>
      <c r="BA149" s="887"/>
      <c r="BB149" s="887"/>
      <c r="BC149" s="887"/>
      <c r="BD149" s="887"/>
      <c r="BE149" s="887"/>
      <c r="BF149" s="887"/>
      <c r="BG149" s="887"/>
      <c r="BH149" s="887"/>
      <c r="BI149" s="887"/>
      <c r="BJ149" s="887"/>
      <c r="BK149" s="887"/>
      <c r="BL149" s="887"/>
      <c r="BM149" s="887"/>
      <c r="BN149" s="887"/>
      <c r="BO149" s="887"/>
      <c r="BP149" s="887"/>
      <c r="BQ149" s="887"/>
      <c r="BR149" s="887"/>
      <c r="BS149" s="887"/>
      <c r="BT149" s="887"/>
      <c r="BU149" s="887"/>
      <c r="BV149" s="887"/>
      <c r="BW149" s="887"/>
      <c r="BX149" s="887"/>
      <c r="BY149" s="887"/>
      <c r="BZ149" s="887"/>
      <c r="CA149" s="887"/>
      <c r="CB149" s="887"/>
      <c r="CC149" s="887"/>
      <c r="CD149" s="887"/>
      <c r="CE149" s="887"/>
      <c r="CF149" s="887"/>
      <c r="CG149" s="887"/>
      <c r="CH149" s="887"/>
      <c r="CI149" s="887"/>
      <c r="CJ149" s="887"/>
      <c r="CK149" s="887"/>
      <c r="CL149" s="887"/>
      <c r="CM149" s="887"/>
      <c r="CN149" s="887"/>
      <c r="CO149" s="887"/>
      <c r="CP149" s="887"/>
      <c r="CQ149" s="887"/>
      <c r="CR149" s="887"/>
      <c r="CS149" s="887"/>
      <c r="CT149" s="887"/>
      <c r="CU149" s="887"/>
      <c r="CV149" s="887"/>
      <c r="CW149" s="887"/>
      <c r="CX149" s="887"/>
      <c r="CY149" s="887"/>
      <c r="CZ149" s="887"/>
      <c r="DA149" s="887"/>
      <c r="DB149" s="887"/>
      <c r="DC149" s="887"/>
      <c r="DD149" s="887"/>
      <c r="DE149" s="887"/>
      <c r="DF149" s="887"/>
      <c r="DG149" s="887"/>
      <c r="DH149" s="887"/>
      <c r="DI149" s="887"/>
      <c r="DJ149" s="887"/>
      <c r="DK149" s="887"/>
      <c r="DL149" s="887"/>
      <c r="DM149" s="887"/>
    </row>
    <row r="150" spans="52:117" x14ac:dyDescent="0.25">
      <c r="AZ150" s="887"/>
      <c r="BA150" s="887"/>
      <c r="BB150" s="887"/>
      <c r="BC150" s="887"/>
      <c r="BD150" s="887"/>
      <c r="BE150" s="887"/>
      <c r="BF150" s="887"/>
      <c r="BG150" s="887"/>
      <c r="BH150" s="887"/>
      <c r="BI150" s="887"/>
      <c r="BJ150" s="887"/>
      <c r="BK150" s="887"/>
      <c r="BL150" s="887"/>
      <c r="BM150" s="887"/>
      <c r="BN150" s="887"/>
      <c r="BO150" s="887"/>
      <c r="BP150" s="887"/>
      <c r="BQ150" s="887"/>
      <c r="BR150" s="887"/>
      <c r="BS150" s="887"/>
      <c r="BT150" s="887"/>
      <c r="BU150" s="887"/>
      <c r="BV150" s="887"/>
      <c r="BW150" s="887"/>
      <c r="BX150" s="887"/>
      <c r="BY150" s="887"/>
      <c r="BZ150" s="887"/>
      <c r="CA150" s="887"/>
      <c r="CB150" s="887"/>
      <c r="CC150" s="887"/>
      <c r="CD150" s="887"/>
      <c r="CE150" s="887"/>
      <c r="CF150" s="887"/>
      <c r="CG150" s="887"/>
      <c r="CH150" s="887"/>
      <c r="CI150" s="887"/>
      <c r="CJ150" s="887"/>
      <c r="CK150" s="887"/>
      <c r="CL150" s="887"/>
      <c r="CM150" s="887"/>
      <c r="CN150" s="887"/>
      <c r="CO150" s="887"/>
      <c r="CP150" s="887"/>
      <c r="CQ150" s="887"/>
      <c r="CR150" s="887"/>
      <c r="CS150" s="887"/>
      <c r="CT150" s="887"/>
      <c r="CU150" s="887"/>
      <c r="CV150" s="887"/>
      <c r="CW150" s="887"/>
      <c r="CX150" s="887"/>
      <c r="CY150" s="887"/>
      <c r="CZ150" s="887"/>
      <c r="DA150" s="887"/>
      <c r="DB150" s="887"/>
      <c r="DC150" s="887"/>
      <c r="DD150" s="887"/>
      <c r="DE150" s="887"/>
      <c r="DF150" s="887"/>
      <c r="DG150" s="887"/>
      <c r="DH150" s="887"/>
      <c r="DI150" s="887"/>
      <c r="DJ150" s="887"/>
      <c r="DK150" s="887"/>
      <c r="DL150" s="887"/>
      <c r="DM150" s="887"/>
    </row>
    <row r="151" spans="52:117" x14ac:dyDescent="0.25">
      <c r="AZ151" s="887"/>
      <c r="BA151" s="887"/>
      <c r="BB151" s="887"/>
      <c r="BC151" s="887"/>
      <c r="BD151" s="887"/>
      <c r="BE151" s="887"/>
      <c r="BF151" s="887"/>
      <c r="BG151" s="887"/>
      <c r="BH151" s="887"/>
      <c r="BI151" s="887"/>
      <c r="BJ151" s="887"/>
      <c r="BK151" s="887"/>
      <c r="BL151" s="887"/>
      <c r="BM151" s="887"/>
      <c r="BN151" s="887"/>
      <c r="BO151" s="887"/>
      <c r="BP151" s="887"/>
      <c r="BQ151" s="887"/>
      <c r="BR151" s="887"/>
      <c r="BS151" s="887"/>
      <c r="BT151" s="887"/>
      <c r="BU151" s="887"/>
      <c r="BV151" s="887"/>
      <c r="BW151" s="887"/>
      <c r="BX151" s="887"/>
      <c r="BY151" s="887"/>
      <c r="BZ151" s="887"/>
      <c r="CA151" s="887"/>
      <c r="CB151" s="887"/>
      <c r="CC151" s="887"/>
      <c r="CD151" s="887"/>
      <c r="CE151" s="887"/>
      <c r="CF151" s="887"/>
      <c r="CG151" s="887"/>
      <c r="CH151" s="887"/>
      <c r="CI151" s="887"/>
      <c r="CJ151" s="887"/>
      <c r="CK151" s="887"/>
      <c r="CL151" s="887"/>
      <c r="CM151" s="887"/>
      <c r="CN151" s="887"/>
      <c r="CO151" s="887"/>
      <c r="CP151" s="887"/>
      <c r="CQ151" s="887"/>
      <c r="CR151" s="887"/>
      <c r="CS151" s="887"/>
      <c r="CT151" s="887"/>
      <c r="CU151" s="887"/>
      <c r="CV151" s="887"/>
      <c r="CW151" s="887"/>
      <c r="CX151" s="887"/>
      <c r="CY151" s="887"/>
      <c r="CZ151" s="887"/>
      <c r="DA151" s="887"/>
      <c r="DB151" s="887"/>
      <c r="DC151" s="887"/>
      <c r="DD151" s="887"/>
      <c r="DE151" s="887"/>
      <c r="DF151" s="887"/>
      <c r="DG151" s="887"/>
      <c r="DH151" s="887"/>
      <c r="DI151" s="887"/>
      <c r="DJ151" s="887"/>
      <c r="DK151" s="887"/>
      <c r="DL151" s="887"/>
      <c r="DM151" s="887"/>
    </row>
    <row r="152" spans="52:117" x14ac:dyDescent="0.25">
      <c r="AZ152" s="887"/>
      <c r="BA152" s="887"/>
      <c r="BB152" s="887"/>
      <c r="BC152" s="887"/>
      <c r="BD152" s="887"/>
      <c r="BE152" s="887"/>
      <c r="BF152" s="887"/>
      <c r="BG152" s="887"/>
      <c r="BH152" s="887"/>
      <c r="BI152" s="887"/>
      <c r="BJ152" s="887"/>
      <c r="BK152" s="887"/>
      <c r="BL152" s="887"/>
      <c r="BM152" s="887"/>
      <c r="BN152" s="887"/>
      <c r="BO152" s="887"/>
      <c r="BP152" s="887"/>
      <c r="BQ152" s="887"/>
      <c r="BR152" s="887"/>
      <c r="BS152" s="887"/>
      <c r="BT152" s="887"/>
      <c r="BU152" s="887"/>
      <c r="BV152" s="887"/>
      <c r="BW152" s="887"/>
      <c r="BX152" s="887"/>
      <c r="BY152" s="887"/>
      <c r="BZ152" s="887"/>
      <c r="CA152" s="887"/>
      <c r="CB152" s="887"/>
      <c r="CC152" s="887"/>
      <c r="CD152" s="887"/>
      <c r="CE152" s="887"/>
      <c r="CF152" s="887"/>
      <c r="CG152" s="887"/>
      <c r="CH152" s="887"/>
      <c r="CI152" s="887"/>
      <c r="CJ152" s="887"/>
      <c r="CK152" s="887"/>
      <c r="CL152" s="887"/>
      <c r="CM152" s="887"/>
      <c r="CN152" s="887"/>
      <c r="CO152" s="887"/>
      <c r="CP152" s="887"/>
      <c r="CQ152" s="887"/>
      <c r="CR152" s="887"/>
      <c r="CS152" s="887"/>
      <c r="CT152" s="887"/>
      <c r="CU152" s="887"/>
      <c r="CV152" s="887"/>
      <c r="CW152" s="887"/>
      <c r="CX152" s="887"/>
      <c r="CY152" s="887"/>
      <c r="CZ152" s="887"/>
      <c r="DA152" s="887"/>
      <c r="DB152" s="887"/>
      <c r="DC152" s="887"/>
      <c r="DD152" s="887"/>
      <c r="DE152" s="887"/>
      <c r="DF152" s="887"/>
      <c r="DG152" s="887"/>
      <c r="DH152" s="887"/>
      <c r="DI152" s="887"/>
      <c r="DJ152" s="887"/>
      <c r="DK152" s="887"/>
      <c r="DL152" s="887"/>
      <c r="DM152" s="887"/>
    </row>
    <row r="153" spans="52:117" x14ac:dyDescent="0.25">
      <c r="AZ153" s="887"/>
      <c r="BA153" s="887"/>
      <c r="BB153" s="887"/>
      <c r="BC153" s="887"/>
      <c r="BD153" s="887"/>
      <c r="BE153" s="887"/>
      <c r="BF153" s="887"/>
      <c r="BG153" s="887"/>
      <c r="BH153" s="887"/>
      <c r="BI153" s="887"/>
      <c r="BJ153" s="887"/>
      <c r="BK153" s="887"/>
      <c r="BL153" s="887"/>
      <c r="BM153" s="887"/>
      <c r="BN153" s="887"/>
      <c r="BO153" s="887"/>
      <c r="BP153" s="887"/>
      <c r="BQ153" s="887"/>
      <c r="BR153" s="887"/>
      <c r="BS153" s="887"/>
      <c r="BT153" s="887"/>
      <c r="BU153" s="887"/>
      <c r="BV153" s="887"/>
      <c r="BW153" s="887"/>
      <c r="BX153" s="887"/>
      <c r="BY153" s="887"/>
      <c r="BZ153" s="887"/>
      <c r="CA153" s="887"/>
      <c r="CB153" s="887"/>
      <c r="CC153" s="887"/>
      <c r="CD153" s="887"/>
      <c r="CE153" s="887"/>
      <c r="CF153" s="887"/>
      <c r="CG153" s="887"/>
      <c r="CH153" s="887"/>
      <c r="CI153" s="887"/>
      <c r="CJ153" s="887"/>
      <c r="CK153" s="887"/>
      <c r="CL153" s="887"/>
      <c r="CM153" s="887"/>
      <c r="CN153" s="887"/>
      <c r="CO153" s="887"/>
      <c r="CP153" s="887"/>
      <c r="CQ153" s="887"/>
      <c r="CR153" s="887"/>
      <c r="CS153" s="887"/>
      <c r="CT153" s="887"/>
      <c r="CU153" s="887"/>
      <c r="CV153" s="887"/>
      <c r="CW153" s="887"/>
      <c r="CX153" s="887"/>
      <c r="CY153" s="887"/>
      <c r="CZ153" s="887"/>
      <c r="DA153" s="887"/>
      <c r="DB153" s="887"/>
      <c r="DC153" s="887"/>
      <c r="DD153" s="887"/>
      <c r="DE153" s="887"/>
      <c r="DF153" s="887"/>
      <c r="DG153" s="887"/>
      <c r="DH153" s="887"/>
      <c r="DI153" s="887"/>
      <c r="DJ153" s="887"/>
      <c r="DK153" s="887"/>
      <c r="DL153" s="887"/>
      <c r="DM153" s="887"/>
    </row>
    <row r="154" spans="52:117" x14ac:dyDescent="0.25">
      <c r="AZ154" s="887"/>
      <c r="BA154" s="887"/>
      <c r="BB154" s="887"/>
      <c r="BC154" s="887"/>
      <c r="BD154" s="887"/>
      <c r="BE154" s="887"/>
      <c r="BF154" s="887"/>
      <c r="BG154" s="887"/>
      <c r="BH154" s="887"/>
      <c r="BI154" s="887"/>
      <c r="BJ154" s="887"/>
      <c r="BK154" s="887"/>
      <c r="BL154" s="887"/>
      <c r="BM154" s="887"/>
      <c r="BN154" s="887"/>
      <c r="BO154" s="887"/>
      <c r="BP154" s="887"/>
      <c r="BQ154" s="887"/>
      <c r="BR154" s="887"/>
      <c r="BS154" s="887"/>
      <c r="BT154" s="887"/>
      <c r="BU154" s="887"/>
      <c r="BV154" s="887"/>
      <c r="BW154" s="887"/>
      <c r="BX154" s="887"/>
      <c r="BY154" s="887"/>
      <c r="BZ154" s="887"/>
      <c r="CA154" s="887"/>
      <c r="CB154" s="887"/>
      <c r="CC154" s="887"/>
      <c r="CD154" s="887"/>
      <c r="CE154" s="887"/>
      <c r="CF154" s="887"/>
      <c r="CG154" s="887"/>
      <c r="CH154" s="887"/>
      <c r="CI154" s="887"/>
      <c r="CJ154" s="887"/>
      <c r="CK154" s="887"/>
      <c r="CL154" s="887"/>
      <c r="CM154" s="887"/>
      <c r="CN154" s="887"/>
      <c r="CO154" s="887"/>
      <c r="CP154" s="887"/>
      <c r="CQ154" s="887"/>
      <c r="CR154" s="887"/>
      <c r="CS154" s="887"/>
      <c r="CT154" s="887"/>
      <c r="CU154" s="887"/>
      <c r="CV154" s="887"/>
      <c r="CW154" s="887"/>
      <c r="CX154" s="887"/>
      <c r="CY154" s="887"/>
      <c r="CZ154" s="887"/>
      <c r="DA154" s="887"/>
      <c r="DB154" s="887"/>
      <c r="DC154" s="887"/>
      <c r="DD154" s="887"/>
      <c r="DE154" s="887"/>
      <c r="DF154" s="887"/>
      <c r="DG154" s="887"/>
      <c r="DH154" s="887"/>
      <c r="DI154" s="887"/>
      <c r="DJ154" s="887"/>
      <c r="DK154" s="887"/>
      <c r="DL154" s="887"/>
      <c r="DM154" s="887"/>
    </row>
    <row r="155" spans="52:117" x14ac:dyDescent="0.25">
      <c r="AZ155" s="887"/>
      <c r="BA155" s="887"/>
      <c r="BB155" s="887"/>
      <c r="BC155" s="887"/>
      <c r="BD155" s="887"/>
      <c r="BE155" s="887"/>
      <c r="BF155" s="887"/>
      <c r="BG155" s="887"/>
      <c r="BH155" s="887"/>
      <c r="BI155" s="887"/>
      <c r="BJ155" s="887"/>
      <c r="BK155" s="887"/>
      <c r="BL155" s="887"/>
      <c r="BM155" s="887"/>
      <c r="BN155" s="887"/>
      <c r="BO155" s="887"/>
      <c r="BP155" s="887"/>
      <c r="BQ155" s="887"/>
      <c r="BR155" s="887"/>
      <c r="BS155" s="887"/>
      <c r="BT155" s="887"/>
      <c r="BU155" s="887"/>
      <c r="BV155" s="887"/>
      <c r="BW155" s="887"/>
      <c r="BX155" s="887"/>
      <c r="BY155" s="887"/>
      <c r="BZ155" s="887"/>
      <c r="CA155" s="887"/>
      <c r="CB155" s="887"/>
      <c r="CC155" s="887"/>
      <c r="CD155" s="887"/>
      <c r="CE155" s="887"/>
      <c r="CF155" s="887"/>
      <c r="CG155" s="887"/>
      <c r="CH155" s="887"/>
      <c r="CI155" s="887"/>
      <c r="CJ155" s="887"/>
      <c r="CK155" s="887"/>
      <c r="CL155" s="887"/>
      <c r="CM155" s="887"/>
      <c r="CN155" s="887"/>
      <c r="CO155" s="887"/>
      <c r="CP155" s="887"/>
      <c r="CQ155" s="887"/>
      <c r="CR155" s="887"/>
      <c r="CS155" s="887"/>
      <c r="CT155" s="887"/>
      <c r="CU155" s="887"/>
      <c r="CV155" s="887"/>
      <c r="CW155" s="887"/>
      <c r="CX155" s="887"/>
      <c r="CY155" s="887"/>
      <c r="CZ155" s="887"/>
      <c r="DA155" s="887"/>
      <c r="DB155" s="887"/>
      <c r="DC155" s="887"/>
      <c r="DD155" s="887"/>
      <c r="DE155" s="887"/>
      <c r="DF155" s="887"/>
      <c r="DG155" s="887"/>
      <c r="DH155" s="887"/>
      <c r="DI155" s="887"/>
      <c r="DJ155" s="887"/>
      <c r="DK155" s="887"/>
      <c r="DL155" s="887"/>
      <c r="DM155" s="887"/>
    </row>
    <row r="156" spans="52:117" x14ac:dyDescent="0.25">
      <c r="AZ156" s="887"/>
      <c r="BA156" s="887"/>
      <c r="BB156" s="887"/>
      <c r="BC156" s="887"/>
      <c r="BD156" s="887"/>
      <c r="BE156" s="887"/>
      <c r="BF156" s="887"/>
      <c r="BG156" s="887"/>
      <c r="BH156" s="887"/>
      <c r="BI156" s="887"/>
      <c r="BJ156" s="887"/>
      <c r="BK156" s="887"/>
      <c r="BL156" s="887"/>
      <c r="BM156" s="887"/>
      <c r="BN156" s="887"/>
      <c r="BO156" s="887"/>
      <c r="BP156" s="887"/>
      <c r="BQ156" s="887"/>
      <c r="BR156" s="887"/>
      <c r="BS156" s="887"/>
      <c r="BT156" s="887"/>
      <c r="BU156" s="887"/>
      <c r="BV156" s="887"/>
      <c r="BW156" s="887"/>
      <c r="BX156" s="887"/>
      <c r="BY156" s="887"/>
      <c r="BZ156" s="887"/>
      <c r="CA156" s="887"/>
      <c r="CB156" s="887"/>
      <c r="CC156" s="887"/>
      <c r="CD156" s="887"/>
      <c r="CE156" s="887"/>
      <c r="CF156" s="887"/>
      <c r="CG156" s="887"/>
      <c r="CH156" s="887"/>
      <c r="CI156" s="887"/>
      <c r="CJ156" s="887"/>
      <c r="CK156" s="887"/>
      <c r="CL156" s="887"/>
      <c r="CM156" s="887"/>
      <c r="CN156" s="887"/>
      <c r="CO156" s="887"/>
      <c r="CP156" s="887"/>
      <c r="CQ156" s="887"/>
      <c r="CR156" s="887"/>
      <c r="CS156" s="887"/>
      <c r="CT156" s="887"/>
      <c r="CU156" s="887"/>
      <c r="CV156" s="887"/>
      <c r="CW156" s="887"/>
      <c r="CX156" s="887"/>
      <c r="CY156" s="887"/>
      <c r="CZ156" s="887"/>
      <c r="DA156" s="887"/>
      <c r="DB156" s="887"/>
      <c r="DC156" s="887"/>
      <c r="DD156" s="887"/>
      <c r="DE156" s="887"/>
      <c r="DF156" s="887"/>
      <c r="DG156" s="887"/>
      <c r="DH156" s="887"/>
      <c r="DI156" s="887"/>
      <c r="DJ156" s="887"/>
      <c r="DK156" s="887"/>
      <c r="DL156" s="887"/>
      <c r="DM156" s="887"/>
    </row>
    <row r="157" spans="52:117" x14ac:dyDescent="0.25">
      <c r="AZ157" s="887"/>
      <c r="BA157" s="887"/>
      <c r="BB157" s="887"/>
      <c r="BC157" s="887"/>
      <c r="BD157" s="887"/>
      <c r="BE157" s="887"/>
      <c r="BF157" s="887"/>
      <c r="BG157" s="887"/>
      <c r="BH157" s="887"/>
      <c r="BI157" s="887"/>
      <c r="BJ157" s="887"/>
      <c r="BK157" s="887"/>
      <c r="BL157" s="887"/>
      <c r="BM157" s="887"/>
      <c r="BN157" s="887"/>
      <c r="BO157" s="887"/>
      <c r="BP157" s="887"/>
      <c r="BQ157" s="887"/>
      <c r="BR157" s="887"/>
      <c r="BS157" s="887"/>
      <c r="BT157" s="887"/>
      <c r="BU157" s="887"/>
      <c r="BV157" s="887"/>
      <c r="BW157" s="887"/>
      <c r="BX157" s="887"/>
      <c r="BY157" s="887"/>
      <c r="BZ157" s="887"/>
      <c r="CA157" s="887"/>
      <c r="CB157" s="887"/>
      <c r="CC157" s="887"/>
      <c r="CD157" s="887"/>
      <c r="CE157" s="887"/>
      <c r="CF157" s="887"/>
      <c r="CG157" s="887"/>
      <c r="CH157" s="887"/>
      <c r="CI157" s="887"/>
      <c r="CJ157" s="887"/>
      <c r="CK157" s="887"/>
      <c r="CL157" s="887"/>
      <c r="CM157" s="887"/>
      <c r="CN157" s="887"/>
      <c r="CO157" s="887"/>
      <c r="CP157" s="887"/>
      <c r="CQ157" s="887"/>
      <c r="CR157" s="887"/>
      <c r="CS157" s="887"/>
      <c r="CT157" s="887"/>
      <c r="CU157" s="887"/>
      <c r="CV157" s="887"/>
      <c r="CW157" s="887"/>
      <c r="CX157" s="887"/>
      <c r="CY157" s="887"/>
      <c r="CZ157" s="887"/>
      <c r="DA157" s="887"/>
      <c r="DB157" s="887"/>
      <c r="DC157" s="887"/>
      <c r="DD157" s="887"/>
      <c r="DE157" s="887"/>
      <c r="DF157" s="887"/>
      <c r="DG157" s="887"/>
      <c r="DH157" s="887"/>
      <c r="DI157" s="887"/>
      <c r="DJ157" s="887"/>
      <c r="DK157" s="887"/>
      <c r="DL157" s="887"/>
      <c r="DM157" s="887"/>
    </row>
    <row r="158" spans="52:117" x14ac:dyDescent="0.25">
      <c r="AZ158" s="887"/>
      <c r="BA158" s="887"/>
      <c r="BB158" s="887"/>
      <c r="BC158" s="887"/>
      <c r="BD158" s="887"/>
      <c r="BE158" s="887"/>
      <c r="BF158" s="887"/>
      <c r="BG158" s="887"/>
      <c r="BH158" s="887"/>
      <c r="BI158" s="887"/>
      <c r="BJ158" s="887"/>
      <c r="BK158" s="887"/>
      <c r="BL158" s="887"/>
      <c r="BM158" s="887"/>
      <c r="BN158" s="887"/>
      <c r="BO158" s="887"/>
      <c r="BP158" s="887"/>
      <c r="BQ158" s="887"/>
      <c r="BR158" s="887"/>
      <c r="BS158" s="887"/>
      <c r="BT158" s="887"/>
      <c r="BU158" s="887"/>
      <c r="BV158" s="887"/>
      <c r="BW158" s="887"/>
      <c r="BX158" s="887"/>
      <c r="BY158" s="887"/>
      <c r="BZ158" s="887"/>
      <c r="CA158" s="887"/>
      <c r="CB158" s="887"/>
      <c r="CC158" s="887"/>
      <c r="CD158" s="887"/>
      <c r="CE158" s="887"/>
      <c r="CF158" s="887"/>
      <c r="CG158" s="887"/>
      <c r="CH158" s="887"/>
      <c r="CI158" s="887"/>
      <c r="CJ158" s="887"/>
      <c r="CK158" s="887"/>
      <c r="CL158" s="887"/>
      <c r="CM158" s="887"/>
      <c r="CN158" s="887"/>
      <c r="CO158" s="887"/>
      <c r="CP158" s="887"/>
      <c r="CQ158" s="887"/>
      <c r="CR158" s="887"/>
      <c r="CS158" s="887"/>
      <c r="CT158" s="887"/>
      <c r="CU158" s="887"/>
      <c r="CV158" s="887"/>
      <c r="CW158" s="887"/>
      <c r="CX158" s="887"/>
      <c r="CY158" s="887"/>
      <c r="CZ158" s="887"/>
      <c r="DA158" s="887"/>
      <c r="DB158" s="887"/>
      <c r="DC158" s="887"/>
      <c r="DD158" s="887"/>
      <c r="DE158" s="887"/>
      <c r="DF158" s="887"/>
      <c r="DG158" s="887"/>
      <c r="DH158" s="887"/>
      <c r="DI158" s="887"/>
      <c r="DJ158" s="887"/>
      <c r="DK158" s="887"/>
      <c r="DL158" s="887"/>
      <c r="DM158" s="887"/>
    </row>
    <row r="159" spans="52:117" x14ac:dyDescent="0.25">
      <c r="AZ159" s="887"/>
      <c r="BA159" s="887"/>
      <c r="BB159" s="887"/>
      <c r="BC159" s="887"/>
      <c r="BD159" s="887"/>
      <c r="BE159" s="887"/>
      <c r="BF159" s="887"/>
      <c r="BG159" s="887"/>
      <c r="BH159" s="887"/>
      <c r="BI159" s="887"/>
      <c r="BJ159" s="887"/>
      <c r="BK159" s="887"/>
      <c r="BL159" s="887"/>
      <c r="BM159" s="887"/>
      <c r="BN159" s="887"/>
      <c r="BO159" s="887"/>
      <c r="BP159" s="887"/>
      <c r="BQ159" s="887"/>
      <c r="BR159" s="887"/>
      <c r="BS159" s="887"/>
      <c r="BT159" s="887"/>
      <c r="BU159" s="887"/>
      <c r="BV159" s="887"/>
      <c r="BW159" s="887"/>
      <c r="BX159" s="887"/>
      <c r="BY159" s="887"/>
      <c r="BZ159" s="887"/>
      <c r="CA159" s="887"/>
      <c r="CB159" s="887"/>
      <c r="CC159" s="887"/>
      <c r="CD159" s="887"/>
      <c r="CE159" s="887"/>
      <c r="CF159" s="887"/>
      <c r="CG159" s="887"/>
      <c r="CH159" s="887"/>
      <c r="CI159" s="887"/>
      <c r="CJ159" s="887"/>
      <c r="CK159" s="887"/>
      <c r="CL159" s="887"/>
      <c r="CM159" s="887"/>
      <c r="CN159" s="887"/>
      <c r="CO159" s="887"/>
      <c r="CP159" s="887"/>
      <c r="CQ159" s="887"/>
      <c r="CR159" s="887"/>
      <c r="CS159" s="887"/>
      <c r="CT159" s="887"/>
      <c r="CU159" s="887"/>
      <c r="CV159" s="887"/>
      <c r="CW159" s="887"/>
      <c r="CX159" s="887"/>
      <c r="CY159" s="887"/>
      <c r="CZ159" s="887"/>
      <c r="DA159" s="887"/>
      <c r="DB159" s="887"/>
      <c r="DC159" s="887"/>
      <c r="DD159" s="887"/>
      <c r="DE159" s="887"/>
      <c r="DF159" s="887"/>
      <c r="DG159" s="887"/>
      <c r="DH159" s="887"/>
      <c r="DI159" s="887"/>
      <c r="DJ159" s="887"/>
      <c r="DK159" s="887"/>
      <c r="DL159" s="887"/>
      <c r="DM159" s="887"/>
    </row>
    <row r="160" spans="52:117" x14ac:dyDescent="0.25">
      <c r="AZ160" s="887"/>
      <c r="BA160" s="887"/>
      <c r="BB160" s="887"/>
      <c r="BC160" s="887"/>
      <c r="BD160" s="887"/>
      <c r="BE160" s="887"/>
      <c r="BF160" s="887"/>
      <c r="BG160" s="887"/>
      <c r="BH160" s="887"/>
      <c r="BI160" s="887"/>
      <c r="BJ160" s="887"/>
      <c r="BK160" s="887"/>
      <c r="BL160" s="887"/>
      <c r="BM160" s="887"/>
      <c r="BN160" s="887"/>
      <c r="BO160" s="887"/>
      <c r="BP160" s="887"/>
      <c r="BQ160" s="887"/>
      <c r="BR160" s="887"/>
      <c r="BS160" s="887"/>
      <c r="BT160" s="887"/>
      <c r="BU160" s="887"/>
      <c r="BV160" s="887"/>
      <c r="BW160" s="887"/>
      <c r="BX160" s="887"/>
      <c r="BY160" s="887"/>
      <c r="BZ160" s="887"/>
      <c r="CA160" s="887"/>
      <c r="CB160" s="887"/>
      <c r="CC160" s="887"/>
      <c r="CD160" s="887"/>
      <c r="CE160" s="887"/>
      <c r="CF160" s="887"/>
      <c r="CG160" s="887"/>
      <c r="CH160" s="887"/>
      <c r="CI160" s="887"/>
      <c r="CJ160" s="887"/>
      <c r="CK160" s="887"/>
      <c r="CL160" s="887"/>
      <c r="CM160" s="887"/>
      <c r="CN160" s="887"/>
      <c r="CO160" s="887"/>
      <c r="CP160" s="887"/>
      <c r="CQ160" s="887"/>
      <c r="CR160" s="887"/>
      <c r="CS160" s="887"/>
      <c r="CT160" s="887"/>
      <c r="CU160" s="887"/>
      <c r="CV160" s="887"/>
      <c r="CW160" s="887"/>
      <c r="CX160" s="887"/>
      <c r="CY160" s="887"/>
      <c r="CZ160" s="887"/>
      <c r="DA160" s="887"/>
      <c r="DB160" s="887"/>
      <c r="DC160" s="887"/>
      <c r="DD160" s="887"/>
      <c r="DE160" s="887"/>
      <c r="DF160" s="887"/>
      <c r="DG160" s="887"/>
      <c r="DH160" s="887"/>
      <c r="DI160" s="887"/>
      <c r="DJ160" s="887"/>
      <c r="DK160" s="887"/>
      <c r="DL160" s="887"/>
      <c r="DM160" s="887"/>
    </row>
    <row r="161" spans="52:117" x14ac:dyDescent="0.25">
      <c r="AZ161" s="887"/>
      <c r="BA161" s="887"/>
      <c r="BB161" s="887"/>
      <c r="BC161" s="887"/>
      <c r="BD161" s="887"/>
      <c r="BE161" s="887"/>
      <c r="BF161" s="887"/>
      <c r="BG161" s="887"/>
      <c r="BH161" s="887"/>
      <c r="BI161" s="887"/>
      <c r="BJ161" s="887"/>
      <c r="BK161" s="887"/>
      <c r="BL161" s="887"/>
      <c r="BM161" s="887"/>
      <c r="BN161" s="887"/>
      <c r="BO161" s="887"/>
      <c r="BP161" s="887"/>
      <c r="BQ161" s="887"/>
      <c r="BR161" s="887"/>
      <c r="BS161" s="887"/>
      <c r="BT161" s="887"/>
      <c r="BU161" s="887"/>
      <c r="BV161" s="887"/>
      <c r="BW161" s="887"/>
      <c r="BX161" s="887"/>
      <c r="BY161" s="887"/>
      <c r="BZ161" s="887"/>
      <c r="CA161" s="887"/>
      <c r="CB161" s="887"/>
      <c r="CC161" s="887"/>
      <c r="CD161" s="887"/>
      <c r="CE161" s="887"/>
      <c r="CF161" s="887"/>
      <c r="CG161" s="887"/>
      <c r="CH161" s="887"/>
      <c r="CI161" s="887"/>
      <c r="CJ161" s="887"/>
      <c r="CK161" s="887"/>
      <c r="CL161" s="887"/>
      <c r="CM161" s="887"/>
      <c r="CN161" s="887"/>
      <c r="CO161" s="887"/>
      <c r="CP161" s="887"/>
      <c r="CQ161" s="887"/>
      <c r="CR161" s="887"/>
      <c r="CS161" s="887"/>
      <c r="CT161" s="887"/>
      <c r="CU161" s="887"/>
      <c r="CV161" s="887"/>
      <c r="CW161" s="887"/>
      <c r="CX161" s="887"/>
      <c r="CY161" s="887"/>
      <c r="CZ161" s="887"/>
      <c r="DA161" s="887"/>
      <c r="DB161" s="887"/>
      <c r="DC161" s="887"/>
      <c r="DD161" s="887"/>
      <c r="DE161" s="887"/>
      <c r="DF161" s="887"/>
      <c r="DG161" s="887"/>
      <c r="DH161" s="887"/>
      <c r="DI161" s="887"/>
      <c r="DJ161" s="887"/>
      <c r="DK161" s="887"/>
      <c r="DL161" s="887"/>
      <c r="DM161" s="887"/>
    </row>
    <row r="162" spans="52:117" x14ac:dyDescent="0.25">
      <c r="AZ162" s="887"/>
      <c r="BA162" s="887"/>
      <c r="BB162" s="887"/>
      <c r="BC162" s="887"/>
      <c r="BD162" s="887"/>
      <c r="BE162" s="887"/>
      <c r="BF162" s="887"/>
      <c r="BG162" s="887"/>
      <c r="BH162" s="887"/>
      <c r="BI162" s="887"/>
      <c r="BJ162" s="887"/>
      <c r="BK162" s="887"/>
      <c r="BL162" s="887"/>
      <c r="BM162" s="887"/>
      <c r="BN162" s="887"/>
      <c r="BO162" s="887"/>
      <c r="BP162" s="887"/>
      <c r="BQ162" s="887"/>
      <c r="BR162" s="887"/>
      <c r="BS162" s="887"/>
      <c r="BT162" s="887"/>
      <c r="BU162" s="887"/>
      <c r="BV162" s="887"/>
      <c r="BW162" s="887"/>
      <c r="BX162" s="887"/>
      <c r="BY162" s="887"/>
      <c r="BZ162" s="887"/>
      <c r="CA162" s="887"/>
      <c r="CB162" s="887"/>
      <c r="CC162" s="887"/>
      <c r="CD162" s="887"/>
      <c r="CE162" s="887"/>
      <c r="CF162" s="887"/>
      <c r="CG162" s="887"/>
      <c r="CH162" s="887"/>
      <c r="CI162" s="887"/>
      <c r="CJ162" s="887"/>
      <c r="CK162" s="887"/>
      <c r="CL162" s="887"/>
      <c r="CM162" s="887"/>
      <c r="CN162" s="887"/>
      <c r="CO162" s="887"/>
      <c r="CP162" s="887"/>
      <c r="CQ162" s="887"/>
      <c r="CR162" s="887"/>
      <c r="CS162" s="887"/>
      <c r="CT162" s="887"/>
      <c r="CU162" s="887"/>
      <c r="CV162" s="887"/>
      <c r="CW162" s="887"/>
      <c r="CX162" s="887"/>
      <c r="CY162" s="887"/>
      <c r="CZ162" s="887"/>
      <c r="DA162" s="887"/>
      <c r="DB162" s="887"/>
      <c r="DC162" s="887"/>
      <c r="DD162" s="887"/>
      <c r="DE162" s="887"/>
      <c r="DF162" s="887"/>
      <c r="DG162" s="887"/>
      <c r="DH162" s="887"/>
      <c r="DI162" s="887"/>
      <c r="DJ162" s="887"/>
      <c r="DK162" s="887"/>
      <c r="DL162" s="887"/>
      <c r="DM162" s="887"/>
    </row>
    <row r="163" spans="52:117" x14ac:dyDescent="0.25">
      <c r="AZ163" s="887"/>
      <c r="BA163" s="887"/>
      <c r="BB163" s="887"/>
      <c r="BC163" s="887"/>
      <c r="BD163" s="887"/>
      <c r="BE163" s="887"/>
      <c r="BF163" s="887"/>
      <c r="BG163" s="887"/>
      <c r="BH163" s="887"/>
      <c r="BI163" s="887"/>
      <c r="BJ163" s="887"/>
      <c r="BK163" s="887"/>
      <c r="BL163" s="887"/>
      <c r="BM163" s="887"/>
      <c r="BN163" s="887"/>
      <c r="BO163" s="887"/>
      <c r="BP163" s="887"/>
      <c r="BQ163" s="887"/>
      <c r="BR163" s="887"/>
      <c r="BS163" s="887"/>
      <c r="BT163" s="887"/>
      <c r="BU163" s="887"/>
      <c r="BV163" s="887"/>
      <c r="BW163" s="887"/>
      <c r="BX163" s="887"/>
      <c r="BY163" s="887"/>
      <c r="BZ163" s="887"/>
      <c r="CA163" s="887"/>
      <c r="CB163" s="887"/>
      <c r="CC163" s="887"/>
      <c r="CD163" s="887"/>
      <c r="CE163" s="887"/>
      <c r="CF163" s="887"/>
      <c r="CG163" s="887"/>
      <c r="CH163" s="887"/>
      <c r="CI163" s="887"/>
      <c r="CJ163" s="887"/>
      <c r="CK163" s="887"/>
      <c r="CL163" s="887"/>
      <c r="CM163" s="887"/>
      <c r="CN163" s="887"/>
      <c r="CO163" s="887"/>
      <c r="CP163" s="887"/>
      <c r="CQ163" s="887"/>
      <c r="CR163" s="887"/>
      <c r="CS163" s="887"/>
      <c r="CT163" s="887"/>
      <c r="CU163" s="887"/>
      <c r="CV163" s="887"/>
      <c r="CW163" s="887"/>
      <c r="CX163" s="887"/>
      <c r="CY163" s="887"/>
      <c r="CZ163" s="887"/>
      <c r="DA163" s="887"/>
      <c r="DB163" s="887"/>
      <c r="DC163" s="887"/>
      <c r="DD163" s="887"/>
      <c r="DE163" s="887"/>
      <c r="DF163" s="887"/>
      <c r="DG163" s="887"/>
      <c r="DH163" s="887"/>
      <c r="DI163" s="887"/>
      <c r="DJ163" s="887"/>
      <c r="DK163" s="887"/>
      <c r="DL163" s="887"/>
      <c r="DM163" s="887"/>
    </row>
    <row r="164" spans="52:117" x14ac:dyDescent="0.25">
      <c r="AZ164" s="887"/>
      <c r="BA164" s="887"/>
      <c r="BB164" s="887"/>
      <c r="BC164" s="887"/>
      <c r="BD164" s="887"/>
      <c r="BE164" s="887"/>
      <c r="BF164" s="887"/>
      <c r="BG164" s="887"/>
      <c r="BH164" s="887"/>
      <c r="BI164" s="887"/>
      <c r="BJ164" s="887"/>
      <c r="BK164" s="887"/>
      <c r="BL164" s="887"/>
      <c r="BM164" s="887"/>
      <c r="BN164" s="887"/>
      <c r="BO164" s="887"/>
      <c r="BP164" s="887"/>
      <c r="BQ164" s="887"/>
      <c r="BR164" s="887"/>
      <c r="BS164" s="887"/>
      <c r="BT164" s="887"/>
      <c r="BU164" s="887"/>
      <c r="BV164" s="887"/>
      <c r="BW164" s="887"/>
      <c r="BX164" s="887"/>
      <c r="BY164" s="887"/>
      <c r="BZ164" s="887"/>
      <c r="CA164" s="887"/>
      <c r="CB164" s="887"/>
      <c r="CC164" s="887"/>
      <c r="CD164" s="887"/>
      <c r="CE164" s="887"/>
      <c r="CF164" s="887"/>
      <c r="CG164" s="887"/>
      <c r="CH164" s="887"/>
      <c r="CI164" s="887"/>
      <c r="CJ164" s="887"/>
      <c r="CK164" s="887"/>
      <c r="CL164" s="887"/>
      <c r="CM164" s="887"/>
      <c r="CN164" s="887"/>
      <c r="CO164" s="887"/>
      <c r="CP164" s="887"/>
      <c r="CQ164" s="887"/>
      <c r="CR164" s="887"/>
      <c r="CS164" s="887"/>
      <c r="CT164" s="887"/>
      <c r="CU164" s="887"/>
      <c r="CV164" s="887"/>
      <c r="CW164" s="887"/>
      <c r="CX164" s="887"/>
      <c r="CY164" s="887"/>
      <c r="CZ164" s="887"/>
      <c r="DA164" s="887"/>
      <c r="DB164" s="887"/>
      <c r="DC164" s="887"/>
      <c r="DD164" s="887"/>
      <c r="DE164" s="887"/>
      <c r="DF164" s="887"/>
      <c r="DG164" s="887"/>
      <c r="DH164" s="887"/>
      <c r="DI164" s="887"/>
      <c r="DJ164" s="887"/>
      <c r="DK164" s="887"/>
      <c r="DL164" s="887"/>
      <c r="DM164" s="887"/>
    </row>
    <row r="165" spans="52:117" x14ac:dyDescent="0.25">
      <c r="AZ165" s="887"/>
      <c r="BA165" s="887"/>
      <c r="BB165" s="887"/>
      <c r="BC165" s="887"/>
      <c r="BD165" s="887"/>
      <c r="BE165" s="887"/>
      <c r="BF165" s="887"/>
      <c r="BG165" s="887"/>
      <c r="BH165" s="887"/>
      <c r="BI165" s="887"/>
      <c r="BJ165" s="887"/>
      <c r="BK165" s="887"/>
      <c r="BL165" s="887"/>
      <c r="BM165" s="887"/>
      <c r="BN165" s="887"/>
      <c r="BO165" s="887"/>
      <c r="BP165" s="887"/>
      <c r="BQ165" s="887"/>
      <c r="BR165" s="887"/>
      <c r="BS165" s="887"/>
      <c r="BT165" s="887"/>
      <c r="BU165" s="887"/>
      <c r="BV165" s="887"/>
      <c r="BW165" s="887"/>
      <c r="BX165" s="887"/>
      <c r="BY165" s="887"/>
      <c r="BZ165" s="887"/>
      <c r="CA165" s="887"/>
      <c r="CB165" s="887"/>
      <c r="CC165" s="887"/>
      <c r="CD165" s="887"/>
      <c r="CE165" s="887"/>
      <c r="CF165" s="887"/>
      <c r="CG165" s="887"/>
      <c r="CH165" s="887"/>
      <c r="CI165" s="887"/>
      <c r="CJ165" s="887"/>
      <c r="CK165" s="887"/>
      <c r="CL165" s="887"/>
      <c r="CM165" s="887"/>
      <c r="CN165" s="887"/>
      <c r="CO165" s="887"/>
      <c r="CP165" s="887"/>
      <c r="CQ165" s="887"/>
      <c r="CR165" s="887"/>
      <c r="CS165" s="887"/>
      <c r="CT165" s="887"/>
      <c r="CU165" s="887"/>
      <c r="CV165" s="887"/>
      <c r="CW165" s="887"/>
      <c r="CX165" s="887"/>
      <c r="CY165" s="887"/>
      <c r="CZ165" s="887"/>
      <c r="DA165" s="887"/>
      <c r="DB165" s="887"/>
      <c r="DC165" s="887"/>
      <c r="DD165" s="887"/>
      <c r="DE165" s="887"/>
      <c r="DF165" s="887"/>
      <c r="DG165" s="887"/>
      <c r="DH165" s="887"/>
      <c r="DI165" s="887"/>
      <c r="DJ165" s="887"/>
      <c r="DK165" s="887"/>
      <c r="DL165" s="887"/>
      <c r="DM165" s="887"/>
    </row>
    <row r="166" spans="52:117" x14ac:dyDescent="0.25">
      <c r="AZ166" s="887"/>
      <c r="BA166" s="887"/>
      <c r="BB166" s="887"/>
      <c r="BC166" s="887"/>
      <c r="BD166" s="887"/>
      <c r="BE166" s="887"/>
      <c r="BF166" s="887"/>
      <c r="BG166" s="887"/>
      <c r="BH166" s="887"/>
      <c r="BI166" s="887"/>
      <c r="BJ166" s="887"/>
      <c r="BK166" s="887"/>
      <c r="BL166" s="887"/>
      <c r="BM166" s="887"/>
      <c r="BN166" s="887"/>
      <c r="BO166" s="887"/>
      <c r="BP166" s="887"/>
      <c r="BQ166" s="887"/>
      <c r="BR166" s="887"/>
      <c r="BS166" s="887"/>
      <c r="BT166" s="887"/>
      <c r="BU166" s="887"/>
      <c r="BV166" s="887"/>
      <c r="BW166" s="887"/>
      <c r="BX166" s="887"/>
      <c r="BY166" s="887"/>
      <c r="BZ166" s="887"/>
      <c r="CA166" s="887"/>
      <c r="CB166" s="887"/>
      <c r="CC166" s="887"/>
      <c r="CD166" s="887"/>
      <c r="CE166" s="887"/>
      <c r="CF166" s="887"/>
      <c r="CG166" s="887"/>
      <c r="CH166" s="887"/>
      <c r="CI166" s="887"/>
      <c r="CJ166" s="887"/>
      <c r="CK166" s="887"/>
      <c r="CL166" s="887"/>
      <c r="CM166" s="887"/>
      <c r="CN166" s="887"/>
      <c r="CO166" s="887"/>
      <c r="CP166" s="887"/>
      <c r="CQ166" s="887"/>
      <c r="CR166" s="887"/>
      <c r="CS166" s="887"/>
      <c r="CT166" s="887"/>
      <c r="CU166" s="887"/>
      <c r="CV166" s="887"/>
      <c r="CW166" s="887"/>
      <c r="CX166" s="887"/>
      <c r="CY166" s="887"/>
      <c r="CZ166" s="887"/>
      <c r="DA166" s="887"/>
      <c r="DB166" s="887"/>
      <c r="DC166" s="887"/>
      <c r="DD166" s="887"/>
      <c r="DE166" s="887"/>
      <c r="DF166" s="887"/>
      <c r="DG166" s="887"/>
      <c r="DH166" s="887"/>
      <c r="DI166" s="887"/>
      <c r="DJ166" s="887"/>
      <c r="DK166" s="887"/>
      <c r="DL166" s="887"/>
      <c r="DM166" s="887"/>
    </row>
    <row r="167" spans="52:117" x14ac:dyDescent="0.25">
      <c r="AZ167" s="887"/>
      <c r="BA167" s="887"/>
      <c r="BB167" s="887"/>
      <c r="BC167" s="887"/>
      <c r="BD167" s="887"/>
      <c r="BE167" s="887"/>
      <c r="BF167" s="887"/>
      <c r="BG167" s="887"/>
      <c r="BH167" s="887"/>
      <c r="BI167" s="887"/>
      <c r="BJ167" s="887"/>
      <c r="BK167" s="887"/>
      <c r="BL167" s="887"/>
      <c r="BM167" s="887"/>
      <c r="BN167" s="887"/>
      <c r="BO167" s="887"/>
      <c r="BP167" s="887"/>
      <c r="BQ167" s="887"/>
      <c r="BR167" s="887"/>
      <c r="BS167" s="887"/>
      <c r="BT167" s="887"/>
      <c r="BU167" s="887"/>
      <c r="BV167" s="887"/>
      <c r="BW167" s="887"/>
      <c r="BX167" s="887"/>
      <c r="BY167" s="887"/>
      <c r="BZ167" s="887"/>
      <c r="CA167" s="887"/>
      <c r="CB167" s="887"/>
      <c r="CC167" s="887"/>
      <c r="CD167" s="887"/>
      <c r="CE167" s="887"/>
      <c r="CF167" s="887"/>
      <c r="CG167" s="887"/>
      <c r="CH167" s="887"/>
      <c r="CI167" s="887"/>
      <c r="CJ167" s="887"/>
      <c r="CK167" s="887"/>
      <c r="CL167" s="887"/>
      <c r="CM167" s="887"/>
      <c r="CN167" s="887"/>
      <c r="CO167" s="887"/>
      <c r="CP167" s="887"/>
      <c r="CQ167" s="887"/>
      <c r="CR167" s="887"/>
      <c r="CS167" s="887"/>
      <c r="CT167" s="887"/>
      <c r="CU167" s="887"/>
      <c r="CV167" s="887"/>
      <c r="CW167" s="887"/>
      <c r="CX167" s="887"/>
      <c r="CY167" s="887"/>
      <c r="CZ167" s="887"/>
      <c r="DA167" s="887"/>
      <c r="DB167" s="887"/>
      <c r="DC167" s="887"/>
      <c r="DD167" s="887"/>
      <c r="DE167" s="887"/>
      <c r="DF167" s="887"/>
      <c r="DG167" s="887"/>
      <c r="DH167" s="887"/>
      <c r="DI167" s="887"/>
      <c r="DJ167" s="887"/>
      <c r="DK167" s="887"/>
      <c r="DL167" s="887"/>
      <c r="DM167" s="887"/>
    </row>
    <row r="168" spans="52:117" x14ac:dyDescent="0.25">
      <c r="AZ168" s="887"/>
      <c r="BA168" s="887"/>
      <c r="BB168" s="887"/>
      <c r="BC168" s="887"/>
      <c r="BD168" s="887"/>
      <c r="BE168" s="887"/>
      <c r="BF168" s="887"/>
      <c r="BG168" s="887"/>
      <c r="BH168" s="887"/>
      <c r="BI168" s="887"/>
      <c r="BJ168" s="887"/>
      <c r="BK168" s="887"/>
      <c r="BL168" s="887"/>
      <c r="BM168" s="887"/>
      <c r="BN168" s="887"/>
      <c r="BO168" s="887"/>
      <c r="BP168" s="887"/>
      <c r="BQ168" s="887"/>
      <c r="BR168" s="887"/>
      <c r="BS168" s="887"/>
      <c r="BT168" s="887"/>
      <c r="BU168" s="887"/>
      <c r="BV168" s="887"/>
      <c r="BW168" s="887"/>
      <c r="BX168" s="887"/>
      <c r="BY168" s="887"/>
      <c r="BZ168" s="887"/>
      <c r="CA168" s="887"/>
      <c r="CB168" s="887"/>
      <c r="CC168" s="887"/>
      <c r="CD168" s="887"/>
      <c r="CE168" s="887"/>
      <c r="CF168" s="887"/>
      <c r="CG168" s="887"/>
      <c r="CH168" s="887"/>
      <c r="CI168" s="887"/>
      <c r="CJ168" s="887"/>
      <c r="CK168" s="887"/>
      <c r="CL168" s="887"/>
      <c r="CM168" s="887"/>
      <c r="CN168" s="887"/>
      <c r="CO168" s="887"/>
      <c r="CP168" s="887"/>
      <c r="CQ168" s="887"/>
      <c r="CR168" s="887"/>
      <c r="CS168" s="887"/>
      <c r="CT168" s="887"/>
      <c r="CU168" s="887"/>
      <c r="CV168" s="887"/>
      <c r="CW168" s="887"/>
      <c r="CX168" s="887"/>
      <c r="CY168" s="887"/>
      <c r="CZ168" s="887"/>
      <c r="DA168" s="887"/>
      <c r="DB168" s="887"/>
      <c r="DC168" s="887"/>
      <c r="DD168" s="887"/>
      <c r="DE168" s="887"/>
      <c r="DF168" s="887"/>
      <c r="DG168" s="887"/>
      <c r="DH168" s="887"/>
      <c r="DI168" s="887"/>
      <c r="DJ168" s="887"/>
      <c r="DK168" s="887"/>
      <c r="DL168" s="887"/>
      <c r="DM168" s="887"/>
    </row>
    <row r="169" spans="52:117" x14ac:dyDescent="0.25">
      <c r="AZ169" s="887"/>
      <c r="BA169" s="887"/>
      <c r="BB169" s="887"/>
      <c r="BC169" s="887"/>
      <c r="BD169" s="887"/>
      <c r="BE169" s="887"/>
      <c r="BF169" s="887"/>
      <c r="BG169" s="887"/>
      <c r="BH169" s="887"/>
      <c r="BI169" s="887"/>
      <c r="BJ169" s="887"/>
      <c r="BK169" s="887"/>
      <c r="BL169" s="887"/>
      <c r="BM169" s="887"/>
      <c r="BN169" s="887"/>
      <c r="BO169" s="887"/>
      <c r="BP169" s="887"/>
      <c r="BQ169" s="887"/>
      <c r="BR169" s="887"/>
      <c r="BS169" s="887"/>
      <c r="BT169" s="887"/>
      <c r="BU169" s="887"/>
      <c r="BV169" s="887"/>
      <c r="BW169" s="887"/>
      <c r="BX169" s="887"/>
      <c r="BY169" s="887"/>
      <c r="BZ169" s="887"/>
      <c r="CA169" s="887"/>
      <c r="CB169" s="887"/>
      <c r="CC169" s="887"/>
      <c r="CD169" s="887"/>
      <c r="CE169" s="887"/>
      <c r="CF169" s="887"/>
      <c r="CG169" s="887"/>
      <c r="CH169" s="887"/>
      <c r="CI169" s="887"/>
      <c r="CJ169" s="887"/>
      <c r="CK169" s="887"/>
      <c r="CL169" s="887"/>
      <c r="CM169" s="887"/>
      <c r="CN169" s="887"/>
      <c r="CO169" s="887"/>
      <c r="CP169" s="887"/>
      <c r="CQ169" s="887"/>
      <c r="CR169" s="887"/>
      <c r="CS169" s="887"/>
      <c r="CT169" s="887"/>
      <c r="CU169" s="887"/>
      <c r="CV169" s="887"/>
      <c r="CW169" s="887"/>
      <c r="CX169" s="887"/>
      <c r="CY169" s="887"/>
      <c r="CZ169" s="887"/>
      <c r="DA169" s="887"/>
      <c r="DB169" s="887"/>
      <c r="DC169" s="887"/>
      <c r="DD169" s="887"/>
      <c r="DE169" s="887"/>
      <c r="DF169" s="887"/>
      <c r="DG169" s="887"/>
      <c r="DH169" s="887"/>
      <c r="DI169" s="887"/>
      <c r="DJ169" s="887"/>
      <c r="DK169" s="887"/>
      <c r="DL169" s="887"/>
      <c r="DM169" s="887"/>
    </row>
    <row r="170" spans="52:117" x14ac:dyDescent="0.25">
      <c r="AZ170" s="887"/>
      <c r="BA170" s="887"/>
      <c r="BB170" s="887"/>
      <c r="BC170" s="887"/>
      <c r="BD170" s="887"/>
      <c r="BE170" s="887"/>
      <c r="BF170" s="887"/>
      <c r="BG170" s="887"/>
      <c r="BH170" s="887"/>
      <c r="BI170" s="887"/>
      <c r="BJ170" s="887"/>
      <c r="BK170" s="887"/>
      <c r="BL170" s="887"/>
      <c r="BM170" s="887"/>
      <c r="BN170" s="887"/>
      <c r="BO170" s="887"/>
      <c r="BP170" s="887"/>
      <c r="BQ170" s="887"/>
      <c r="BR170" s="887"/>
      <c r="BS170" s="887"/>
      <c r="BT170" s="887"/>
      <c r="BU170" s="887"/>
      <c r="BV170" s="887"/>
      <c r="BW170" s="887"/>
      <c r="BX170" s="887"/>
      <c r="BY170" s="887"/>
      <c r="BZ170" s="887"/>
      <c r="CA170" s="887"/>
      <c r="CB170" s="887"/>
      <c r="CC170" s="887"/>
      <c r="CD170" s="887"/>
      <c r="CE170" s="887"/>
      <c r="CF170" s="887"/>
      <c r="CG170" s="887"/>
      <c r="CH170" s="887"/>
      <c r="CI170" s="887"/>
      <c r="CJ170" s="887"/>
      <c r="CK170" s="887"/>
      <c r="CL170" s="887"/>
      <c r="CM170" s="887"/>
      <c r="CN170" s="887"/>
      <c r="CO170" s="887"/>
      <c r="CP170" s="887"/>
      <c r="CQ170" s="887"/>
      <c r="CR170" s="887"/>
      <c r="CS170" s="887"/>
      <c r="CT170" s="887"/>
      <c r="CU170" s="887"/>
      <c r="CV170" s="887"/>
      <c r="CW170" s="887"/>
      <c r="CX170" s="887"/>
      <c r="CY170" s="887"/>
      <c r="CZ170" s="887"/>
      <c r="DA170" s="887"/>
      <c r="DB170" s="887"/>
      <c r="DC170" s="887"/>
      <c r="DD170" s="887"/>
      <c r="DE170" s="887"/>
      <c r="DF170" s="887"/>
      <c r="DG170" s="887"/>
      <c r="DH170" s="887"/>
      <c r="DI170" s="887"/>
      <c r="DJ170" s="887"/>
      <c r="DK170" s="887"/>
      <c r="DL170" s="887"/>
      <c r="DM170" s="887"/>
    </row>
    <row r="171" spans="52:117" x14ac:dyDescent="0.25">
      <c r="AZ171" s="887"/>
      <c r="BA171" s="887"/>
      <c r="BB171" s="887"/>
      <c r="BC171" s="887"/>
      <c r="BD171" s="887"/>
      <c r="BE171" s="887"/>
      <c r="BF171" s="887"/>
      <c r="BG171" s="887"/>
      <c r="BH171" s="887"/>
      <c r="BI171" s="887"/>
      <c r="BJ171" s="887"/>
      <c r="BK171" s="887"/>
      <c r="BL171" s="887"/>
      <c r="BM171" s="887"/>
      <c r="BN171" s="887"/>
      <c r="BO171" s="887"/>
      <c r="BP171" s="887"/>
      <c r="BQ171" s="887"/>
      <c r="BR171" s="887"/>
      <c r="BS171" s="887"/>
      <c r="BT171" s="887"/>
      <c r="BU171" s="887"/>
      <c r="BV171" s="887"/>
      <c r="BW171" s="887"/>
      <c r="BX171" s="887"/>
      <c r="BY171" s="887"/>
      <c r="BZ171" s="887"/>
      <c r="CA171" s="887"/>
      <c r="CB171" s="887"/>
      <c r="CC171" s="887"/>
      <c r="CD171" s="887"/>
      <c r="CE171" s="887"/>
      <c r="CF171" s="887"/>
      <c r="CG171" s="887"/>
      <c r="CH171" s="887"/>
      <c r="CI171" s="887"/>
      <c r="CJ171" s="887"/>
      <c r="CK171" s="887"/>
      <c r="CL171" s="887"/>
      <c r="CM171" s="887"/>
      <c r="CN171" s="887"/>
      <c r="CO171" s="887"/>
      <c r="CP171" s="887"/>
      <c r="CQ171" s="887"/>
      <c r="CR171" s="887"/>
      <c r="CS171" s="887"/>
      <c r="CT171" s="887"/>
      <c r="CU171" s="887"/>
      <c r="CV171" s="887"/>
      <c r="CW171" s="887"/>
      <c r="CX171" s="887"/>
      <c r="CY171" s="887"/>
      <c r="CZ171" s="887"/>
      <c r="DA171" s="887"/>
      <c r="DB171" s="887"/>
      <c r="DC171" s="887"/>
      <c r="DD171" s="887"/>
      <c r="DE171" s="887"/>
      <c r="DF171" s="887"/>
      <c r="DG171" s="887"/>
      <c r="DH171" s="887"/>
      <c r="DI171" s="887"/>
      <c r="DJ171" s="887"/>
      <c r="DK171" s="887"/>
      <c r="DL171" s="887"/>
      <c r="DM171" s="887"/>
    </row>
    <row r="172" spans="52:117" x14ac:dyDescent="0.25">
      <c r="AZ172" s="887"/>
      <c r="BA172" s="887"/>
      <c r="BB172" s="887"/>
      <c r="BC172" s="887"/>
      <c r="BD172" s="887"/>
      <c r="BE172" s="887"/>
      <c r="BF172" s="887"/>
      <c r="BG172" s="887"/>
      <c r="BH172" s="887"/>
      <c r="BI172" s="887"/>
      <c r="BJ172" s="887"/>
      <c r="BK172" s="887"/>
      <c r="BL172" s="887"/>
      <c r="BM172" s="887"/>
      <c r="BN172" s="887"/>
      <c r="BO172" s="887"/>
      <c r="BP172" s="887"/>
      <c r="BQ172" s="887"/>
      <c r="BR172" s="887"/>
      <c r="BS172" s="887"/>
      <c r="BT172" s="887"/>
      <c r="BU172" s="887"/>
      <c r="BV172" s="887"/>
      <c r="BW172" s="887"/>
      <c r="BX172" s="887"/>
      <c r="BY172" s="887"/>
      <c r="BZ172" s="887"/>
      <c r="CA172" s="887"/>
      <c r="CB172" s="887"/>
      <c r="CC172" s="887"/>
      <c r="CD172" s="887"/>
      <c r="CE172" s="887"/>
      <c r="CF172" s="887"/>
      <c r="CG172" s="887"/>
      <c r="CH172" s="887"/>
      <c r="CI172" s="887"/>
      <c r="CJ172" s="887"/>
      <c r="CK172" s="887"/>
      <c r="CL172" s="887"/>
      <c r="CM172" s="887"/>
      <c r="CN172" s="887"/>
      <c r="CO172" s="887"/>
      <c r="CP172" s="887"/>
      <c r="CQ172" s="887"/>
      <c r="CR172" s="887"/>
      <c r="CS172" s="887"/>
      <c r="CT172" s="887"/>
      <c r="CU172" s="887"/>
      <c r="CV172" s="887"/>
      <c r="CW172" s="887"/>
      <c r="CX172" s="887"/>
      <c r="CY172" s="887"/>
      <c r="CZ172" s="887"/>
      <c r="DA172" s="887"/>
      <c r="DB172" s="887"/>
      <c r="DC172" s="887"/>
      <c r="DD172" s="887"/>
      <c r="DE172" s="887"/>
      <c r="DF172" s="887"/>
      <c r="DG172" s="887"/>
      <c r="DH172" s="887"/>
      <c r="DI172" s="887"/>
      <c r="DJ172" s="887"/>
      <c r="DK172" s="887"/>
      <c r="DL172" s="887"/>
      <c r="DM172" s="887"/>
    </row>
    <row r="173" spans="52:117" x14ac:dyDescent="0.25">
      <c r="AZ173" s="887"/>
      <c r="BA173" s="887"/>
      <c r="BB173" s="887"/>
      <c r="BC173" s="887"/>
      <c r="BD173" s="887"/>
      <c r="BE173" s="887"/>
      <c r="BF173" s="887"/>
      <c r="BG173" s="887"/>
      <c r="BH173" s="887"/>
      <c r="BI173" s="887"/>
      <c r="BJ173" s="887"/>
      <c r="BK173" s="887"/>
      <c r="BL173" s="887"/>
      <c r="BM173" s="887"/>
      <c r="BN173" s="887"/>
      <c r="BO173" s="887"/>
      <c r="BP173" s="887"/>
      <c r="BQ173" s="887"/>
      <c r="BR173" s="887"/>
      <c r="BS173" s="887"/>
      <c r="BT173" s="887"/>
      <c r="BU173" s="887"/>
      <c r="BV173" s="887"/>
      <c r="BW173" s="887"/>
      <c r="BX173" s="887"/>
      <c r="BY173" s="887"/>
      <c r="BZ173" s="887"/>
      <c r="CA173" s="887"/>
      <c r="CB173" s="887"/>
      <c r="CC173" s="887"/>
      <c r="CD173" s="887"/>
      <c r="CE173" s="887"/>
      <c r="CF173" s="887"/>
      <c r="CG173" s="887"/>
      <c r="CH173" s="887"/>
      <c r="CI173" s="887"/>
      <c r="CJ173" s="887"/>
      <c r="CK173" s="887"/>
      <c r="CL173" s="887"/>
      <c r="CM173" s="887"/>
      <c r="CN173" s="887"/>
      <c r="CO173" s="887"/>
      <c r="CP173" s="887"/>
      <c r="CQ173" s="887"/>
      <c r="CR173" s="887"/>
      <c r="CS173" s="887"/>
      <c r="CT173" s="887"/>
      <c r="CU173" s="887"/>
      <c r="CV173" s="887"/>
      <c r="CW173" s="887"/>
      <c r="CX173" s="887"/>
      <c r="CY173" s="887"/>
      <c r="CZ173" s="887"/>
      <c r="DA173" s="887"/>
      <c r="DB173" s="887"/>
      <c r="DC173" s="887"/>
      <c r="DD173" s="887"/>
      <c r="DE173" s="887"/>
      <c r="DF173" s="887"/>
      <c r="DG173" s="887"/>
      <c r="DH173" s="887"/>
      <c r="DI173" s="887"/>
      <c r="DJ173" s="887"/>
      <c r="DK173" s="887"/>
      <c r="DL173" s="887"/>
      <c r="DM173" s="887"/>
    </row>
    <row r="174" spans="52:117" x14ac:dyDescent="0.25">
      <c r="AZ174" s="887"/>
      <c r="BA174" s="887"/>
      <c r="BB174" s="887"/>
      <c r="BC174" s="887"/>
      <c r="BD174" s="887"/>
      <c r="BE174" s="887"/>
      <c r="BF174" s="887"/>
      <c r="BG174" s="887"/>
      <c r="BH174" s="887"/>
      <c r="BI174" s="887"/>
      <c r="BJ174" s="887"/>
      <c r="BK174" s="887"/>
      <c r="BL174" s="887"/>
      <c r="BM174" s="887"/>
      <c r="BN174" s="887"/>
      <c r="BO174" s="887"/>
      <c r="BP174" s="887"/>
      <c r="BQ174" s="887"/>
      <c r="BR174" s="887"/>
      <c r="BS174" s="887"/>
      <c r="BT174" s="887"/>
      <c r="BU174" s="887"/>
      <c r="BV174" s="887"/>
      <c r="BW174" s="887"/>
      <c r="BX174" s="887"/>
      <c r="BY174" s="887"/>
      <c r="BZ174" s="887"/>
      <c r="CA174" s="887"/>
      <c r="CB174" s="887"/>
      <c r="CC174" s="887"/>
      <c r="CD174" s="887"/>
      <c r="CE174" s="887"/>
      <c r="CF174" s="887"/>
      <c r="CG174" s="887"/>
      <c r="CH174" s="887"/>
      <c r="CI174" s="887"/>
      <c r="CJ174" s="887"/>
      <c r="CK174" s="887"/>
      <c r="CL174" s="887"/>
      <c r="CM174" s="887"/>
      <c r="CN174" s="887"/>
      <c r="CO174" s="887"/>
      <c r="CP174" s="887"/>
      <c r="CQ174" s="887"/>
      <c r="CR174" s="887"/>
      <c r="CS174" s="887"/>
      <c r="CT174" s="887"/>
      <c r="CU174" s="887"/>
      <c r="CV174" s="887"/>
      <c r="CW174" s="887"/>
      <c r="CX174" s="887"/>
      <c r="CY174" s="887"/>
      <c r="CZ174" s="887"/>
      <c r="DA174" s="887"/>
      <c r="DB174" s="887"/>
      <c r="DC174" s="887"/>
      <c r="DD174" s="887"/>
      <c r="DE174" s="887"/>
      <c r="DF174" s="887"/>
      <c r="DG174" s="887"/>
      <c r="DH174" s="887"/>
      <c r="DI174" s="887"/>
      <c r="DJ174" s="887"/>
      <c r="DK174" s="887"/>
      <c r="DL174" s="887"/>
      <c r="DM174" s="887"/>
    </row>
    <row r="175" spans="52:117" x14ac:dyDescent="0.25">
      <c r="AZ175" s="887"/>
      <c r="BA175" s="887"/>
      <c r="BB175" s="887"/>
      <c r="BC175" s="887"/>
      <c r="BD175" s="887"/>
      <c r="BE175" s="887"/>
      <c r="BF175" s="887"/>
      <c r="BG175" s="887"/>
      <c r="BH175" s="887"/>
      <c r="BI175" s="887"/>
      <c r="BJ175" s="887"/>
      <c r="BK175" s="887"/>
      <c r="BL175" s="887"/>
      <c r="BM175" s="887"/>
      <c r="BN175" s="887"/>
      <c r="BO175" s="887"/>
      <c r="BP175" s="887"/>
      <c r="BQ175" s="887"/>
      <c r="BR175" s="887"/>
      <c r="BS175" s="887"/>
      <c r="BT175" s="887"/>
      <c r="BU175" s="887"/>
      <c r="BV175" s="887"/>
      <c r="BW175" s="887"/>
      <c r="BX175" s="887"/>
      <c r="BY175" s="887"/>
      <c r="BZ175" s="887"/>
      <c r="CA175" s="887"/>
      <c r="CB175" s="887"/>
      <c r="CC175" s="887"/>
      <c r="CD175" s="887"/>
      <c r="CE175" s="887"/>
      <c r="CF175" s="887"/>
      <c r="CG175" s="887"/>
      <c r="CH175" s="887"/>
      <c r="CI175" s="887"/>
      <c r="CJ175" s="887"/>
      <c r="CK175" s="887"/>
      <c r="CL175" s="887"/>
      <c r="CM175" s="887"/>
      <c r="CN175" s="887"/>
      <c r="CO175" s="887"/>
      <c r="CP175" s="887"/>
      <c r="CQ175" s="887"/>
      <c r="CR175" s="887"/>
      <c r="CS175" s="887"/>
      <c r="CT175" s="887"/>
      <c r="CU175" s="887"/>
      <c r="CV175" s="887"/>
      <c r="CW175" s="887"/>
      <c r="CX175" s="887"/>
      <c r="CY175" s="887"/>
      <c r="CZ175" s="887"/>
      <c r="DA175" s="887"/>
      <c r="DB175" s="887"/>
      <c r="DC175" s="887"/>
      <c r="DD175" s="887"/>
      <c r="DE175" s="887"/>
      <c r="DF175" s="887"/>
      <c r="DG175" s="887"/>
      <c r="DH175" s="887"/>
      <c r="DI175" s="887"/>
      <c r="DJ175" s="887"/>
      <c r="DK175" s="887"/>
      <c r="DL175" s="887"/>
      <c r="DM175" s="887"/>
    </row>
    <row r="176" spans="52:117" x14ac:dyDescent="0.25">
      <c r="AZ176" s="887"/>
      <c r="BA176" s="887"/>
      <c r="BB176" s="887"/>
      <c r="BC176" s="887"/>
      <c r="BD176" s="887"/>
      <c r="BE176" s="887"/>
      <c r="BF176" s="887"/>
      <c r="BG176" s="887"/>
      <c r="BH176" s="887"/>
      <c r="BI176" s="887"/>
      <c r="BJ176" s="887"/>
      <c r="BK176" s="887"/>
      <c r="BL176" s="887"/>
      <c r="BM176" s="887"/>
      <c r="BN176" s="887"/>
      <c r="BO176" s="887"/>
      <c r="BP176" s="887"/>
      <c r="BQ176" s="887"/>
      <c r="BR176" s="887"/>
      <c r="BS176" s="887"/>
      <c r="BT176" s="887"/>
      <c r="BU176" s="887"/>
      <c r="BV176" s="887"/>
      <c r="BW176" s="887"/>
      <c r="BX176" s="887"/>
      <c r="BY176" s="887"/>
      <c r="BZ176" s="887"/>
      <c r="CA176" s="887"/>
      <c r="CB176" s="887"/>
      <c r="CC176" s="887"/>
      <c r="CD176" s="887"/>
      <c r="CE176" s="887"/>
      <c r="CF176" s="887"/>
      <c r="CG176" s="887"/>
      <c r="CH176" s="887"/>
      <c r="CI176" s="887"/>
      <c r="CJ176" s="887"/>
      <c r="CK176" s="887"/>
      <c r="CL176" s="887"/>
      <c r="CM176" s="887"/>
      <c r="CN176" s="887"/>
      <c r="CO176" s="887"/>
      <c r="CP176" s="887"/>
      <c r="CQ176" s="887"/>
      <c r="CR176" s="887"/>
      <c r="CS176" s="887"/>
      <c r="CT176" s="887"/>
      <c r="CU176" s="887"/>
      <c r="CV176" s="887"/>
      <c r="CW176" s="887"/>
      <c r="CX176" s="887"/>
      <c r="CY176" s="887"/>
      <c r="CZ176" s="887"/>
      <c r="DA176" s="887"/>
      <c r="DB176" s="887"/>
      <c r="DC176" s="887"/>
      <c r="DD176" s="887"/>
      <c r="DE176" s="887"/>
      <c r="DF176" s="887"/>
      <c r="DG176" s="887"/>
      <c r="DH176" s="887"/>
      <c r="DI176" s="887"/>
      <c r="DJ176" s="887"/>
      <c r="DK176" s="887"/>
      <c r="DL176" s="887"/>
      <c r="DM176" s="887"/>
    </row>
    <row r="177" spans="52:117" x14ac:dyDescent="0.25">
      <c r="AZ177" s="887"/>
      <c r="BA177" s="887"/>
      <c r="BB177" s="887"/>
      <c r="BC177" s="887"/>
      <c r="BD177" s="887"/>
      <c r="BE177" s="887"/>
      <c r="BF177" s="887"/>
      <c r="BG177" s="887"/>
      <c r="BH177" s="887"/>
      <c r="BI177" s="887"/>
      <c r="BJ177" s="887"/>
      <c r="BK177" s="887"/>
      <c r="BL177" s="887"/>
      <c r="BM177" s="887"/>
      <c r="BN177" s="887"/>
      <c r="BO177" s="887"/>
      <c r="BP177" s="887"/>
      <c r="BQ177" s="887"/>
      <c r="BR177" s="887"/>
      <c r="BS177" s="887"/>
      <c r="BT177" s="887"/>
      <c r="BU177" s="887"/>
      <c r="BV177" s="887"/>
      <c r="BW177" s="887"/>
      <c r="BX177" s="887"/>
      <c r="BY177" s="887"/>
      <c r="BZ177" s="887"/>
      <c r="CA177" s="887"/>
      <c r="CB177" s="887"/>
      <c r="CC177" s="887"/>
      <c r="CD177" s="887"/>
      <c r="CE177" s="887"/>
      <c r="CF177" s="887"/>
      <c r="CG177" s="887"/>
      <c r="CH177" s="887"/>
      <c r="CI177" s="887"/>
      <c r="CJ177" s="887"/>
      <c r="CK177" s="887"/>
      <c r="CL177" s="887"/>
      <c r="CM177" s="887"/>
      <c r="CN177" s="887"/>
      <c r="CO177" s="887"/>
      <c r="CP177" s="887"/>
      <c r="CQ177" s="887"/>
      <c r="CR177" s="887"/>
      <c r="CS177" s="887"/>
      <c r="CT177" s="887"/>
      <c r="CU177" s="887"/>
      <c r="CV177" s="887"/>
      <c r="CW177" s="887"/>
      <c r="CX177" s="887"/>
      <c r="CY177" s="887"/>
      <c r="CZ177" s="887"/>
      <c r="DA177" s="887"/>
      <c r="DB177" s="887"/>
      <c r="DC177" s="887"/>
      <c r="DD177" s="887"/>
      <c r="DE177" s="887"/>
      <c r="DF177" s="887"/>
      <c r="DG177" s="887"/>
      <c r="DH177" s="887"/>
      <c r="DI177" s="887"/>
      <c r="DJ177" s="887"/>
      <c r="DK177" s="887"/>
      <c r="DL177" s="887"/>
      <c r="DM177" s="887"/>
    </row>
    <row r="178" spans="52:117" x14ac:dyDescent="0.25">
      <c r="AZ178" s="887"/>
      <c r="BA178" s="887"/>
      <c r="BB178" s="887"/>
      <c r="BC178" s="887"/>
      <c r="BD178" s="887"/>
      <c r="BE178" s="887"/>
      <c r="BF178" s="887"/>
      <c r="BG178" s="887"/>
      <c r="BH178" s="887"/>
      <c r="BI178" s="887"/>
      <c r="BJ178" s="887"/>
      <c r="BK178" s="887"/>
      <c r="BL178" s="887"/>
      <c r="BM178" s="887"/>
      <c r="BN178" s="887"/>
      <c r="BO178" s="887"/>
      <c r="BP178" s="887"/>
      <c r="BQ178" s="887"/>
      <c r="BR178" s="887"/>
      <c r="BS178" s="887"/>
      <c r="BT178" s="887"/>
      <c r="BU178" s="887"/>
      <c r="BV178" s="887"/>
      <c r="BW178" s="887"/>
      <c r="BX178" s="887"/>
      <c r="BY178" s="887"/>
      <c r="BZ178" s="887"/>
      <c r="CA178" s="887"/>
      <c r="CB178" s="887"/>
      <c r="CC178" s="887"/>
      <c r="CD178" s="887"/>
      <c r="CE178" s="887"/>
      <c r="CF178" s="887"/>
      <c r="CG178" s="887"/>
      <c r="CH178" s="887"/>
      <c r="CI178" s="887"/>
      <c r="CJ178" s="887"/>
      <c r="CK178" s="887"/>
      <c r="CL178" s="887"/>
      <c r="CM178" s="887"/>
      <c r="CN178" s="887"/>
      <c r="CO178" s="887"/>
      <c r="CP178" s="887"/>
      <c r="CQ178" s="887"/>
      <c r="CR178" s="887"/>
      <c r="CS178" s="887"/>
      <c r="CT178" s="887"/>
      <c r="CU178" s="887"/>
      <c r="CV178" s="887"/>
      <c r="CW178" s="887"/>
      <c r="CX178" s="887"/>
      <c r="CY178" s="887"/>
      <c r="CZ178" s="887"/>
      <c r="DA178" s="887"/>
      <c r="DB178" s="887"/>
      <c r="DC178" s="887"/>
      <c r="DD178" s="887"/>
      <c r="DE178" s="887"/>
      <c r="DF178" s="887"/>
      <c r="DG178" s="887"/>
      <c r="DH178" s="887"/>
      <c r="DI178" s="887"/>
      <c r="DJ178" s="887"/>
      <c r="DK178" s="887"/>
      <c r="DL178" s="887"/>
      <c r="DM178" s="887"/>
    </row>
    <row r="179" spans="52:117" x14ac:dyDescent="0.25">
      <c r="AZ179" s="887"/>
      <c r="BA179" s="887"/>
      <c r="BB179" s="887"/>
      <c r="BC179" s="887"/>
      <c r="BD179" s="887"/>
      <c r="BE179" s="887"/>
      <c r="BF179" s="887"/>
      <c r="BG179" s="887"/>
      <c r="BH179" s="887"/>
      <c r="BI179" s="887"/>
      <c r="BJ179" s="887"/>
      <c r="BK179" s="887"/>
      <c r="BL179" s="887"/>
      <c r="BM179" s="887"/>
      <c r="BN179" s="887"/>
      <c r="BO179" s="887"/>
      <c r="BP179" s="887"/>
      <c r="BQ179" s="887"/>
      <c r="BR179" s="887"/>
      <c r="BS179" s="887"/>
      <c r="BT179" s="887"/>
      <c r="BU179" s="887"/>
      <c r="BV179" s="887"/>
      <c r="BW179" s="887"/>
      <c r="BX179" s="887"/>
      <c r="BY179" s="887"/>
      <c r="BZ179" s="887"/>
      <c r="CA179" s="887"/>
      <c r="CB179" s="887"/>
      <c r="CC179" s="887"/>
      <c r="CD179" s="887"/>
      <c r="CE179" s="887"/>
      <c r="CF179" s="887"/>
      <c r="CG179" s="887"/>
      <c r="CH179" s="887"/>
      <c r="CI179" s="887"/>
      <c r="CJ179" s="887"/>
      <c r="CK179" s="887"/>
      <c r="CL179" s="887"/>
      <c r="CM179" s="887"/>
      <c r="CN179" s="887"/>
      <c r="CO179" s="887"/>
      <c r="CP179" s="887"/>
      <c r="CQ179" s="887"/>
      <c r="CR179" s="887"/>
      <c r="CS179" s="887"/>
      <c r="CT179" s="887"/>
      <c r="CU179" s="887"/>
      <c r="CV179" s="887"/>
      <c r="CW179" s="887"/>
      <c r="CX179" s="887"/>
      <c r="CY179" s="887"/>
      <c r="CZ179" s="887"/>
      <c r="DA179" s="887"/>
      <c r="DB179" s="887"/>
      <c r="DC179" s="887"/>
      <c r="DD179" s="887"/>
      <c r="DE179" s="887"/>
      <c r="DF179" s="887"/>
      <c r="DG179" s="887"/>
      <c r="DH179" s="887"/>
      <c r="DI179" s="887"/>
      <c r="DJ179" s="887"/>
      <c r="DK179" s="887"/>
      <c r="DL179" s="887"/>
      <c r="DM179" s="887"/>
    </row>
    <row r="180" spans="52:117" x14ac:dyDescent="0.25">
      <c r="AZ180" s="887"/>
      <c r="BA180" s="887"/>
      <c r="BB180" s="887"/>
      <c r="BC180" s="887"/>
      <c r="BD180" s="887"/>
      <c r="BE180" s="887"/>
      <c r="BF180" s="887"/>
      <c r="BG180" s="887"/>
      <c r="BH180" s="887"/>
      <c r="BI180" s="887"/>
      <c r="BJ180" s="887"/>
      <c r="BK180" s="887"/>
      <c r="BL180" s="887"/>
      <c r="BM180" s="887"/>
      <c r="BN180" s="887"/>
      <c r="BO180" s="887"/>
      <c r="BP180" s="887"/>
      <c r="BQ180" s="887"/>
      <c r="BR180" s="887"/>
      <c r="BS180" s="887"/>
      <c r="BT180" s="887"/>
      <c r="BU180" s="887"/>
      <c r="BV180" s="887"/>
      <c r="BW180" s="887"/>
      <c r="BX180" s="887"/>
      <c r="BY180" s="887"/>
      <c r="BZ180" s="887"/>
      <c r="CA180" s="887"/>
      <c r="CB180" s="887"/>
      <c r="CC180" s="887"/>
      <c r="CD180" s="887"/>
      <c r="CE180" s="887"/>
      <c r="CF180" s="887"/>
      <c r="CG180" s="887"/>
      <c r="CH180" s="887"/>
      <c r="CI180" s="887"/>
      <c r="CJ180" s="887"/>
      <c r="CK180" s="887"/>
      <c r="CL180" s="887"/>
      <c r="CM180" s="887"/>
      <c r="CN180" s="887"/>
      <c r="CO180" s="887"/>
      <c r="CP180" s="887"/>
      <c r="CQ180" s="887"/>
      <c r="CR180" s="887"/>
      <c r="CS180" s="887"/>
      <c r="CT180" s="887"/>
      <c r="CU180" s="887"/>
      <c r="CV180" s="887"/>
      <c r="CW180" s="887"/>
      <c r="CX180" s="887"/>
      <c r="CY180" s="887"/>
      <c r="CZ180" s="887"/>
      <c r="DA180" s="887"/>
      <c r="DB180" s="887"/>
      <c r="DC180" s="887"/>
      <c r="DD180" s="887"/>
      <c r="DE180" s="887"/>
      <c r="DF180" s="887"/>
      <c r="DG180" s="887"/>
      <c r="DH180" s="887"/>
      <c r="DI180" s="887"/>
      <c r="DJ180" s="887"/>
      <c r="DK180" s="887"/>
      <c r="DL180" s="887"/>
      <c r="DM180" s="887"/>
    </row>
    <row r="181" spans="52:117" x14ac:dyDescent="0.25">
      <c r="AZ181" s="887"/>
      <c r="BA181" s="887"/>
      <c r="BB181" s="887"/>
      <c r="BC181" s="887"/>
      <c r="BD181" s="887"/>
      <c r="BE181" s="887"/>
      <c r="BF181" s="887"/>
      <c r="BG181" s="887"/>
      <c r="BH181" s="887"/>
      <c r="BI181" s="887"/>
      <c r="BJ181" s="887"/>
      <c r="BK181" s="887"/>
      <c r="BL181" s="887"/>
      <c r="BM181" s="887"/>
      <c r="BN181" s="887"/>
      <c r="BO181" s="887"/>
      <c r="BP181" s="887"/>
      <c r="BQ181" s="887"/>
      <c r="BR181" s="887"/>
      <c r="BS181" s="887"/>
      <c r="BT181" s="887"/>
      <c r="BU181" s="887"/>
      <c r="BV181" s="887"/>
      <c r="BW181" s="887"/>
      <c r="BX181" s="887"/>
      <c r="BY181" s="887"/>
      <c r="BZ181" s="887"/>
      <c r="CA181" s="887"/>
      <c r="CB181" s="887"/>
      <c r="CC181" s="887"/>
      <c r="CD181" s="887"/>
      <c r="CE181" s="887"/>
      <c r="CF181" s="887"/>
      <c r="CG181" s="887"/>
      <c r="CH181" s="887"/>
      <c r="CI181" s="887"/>
      <c r="CJ181" s="887"/>
      <c r="CK181" s="887"/>
      <c r="CL181" s="887"/>
      <c r="CM181" s="887"/>
      <c r="CN181" s="887"/>
      <c r="CO181" s="887"/>
      <c r="CP181" s="887"/>
      <c r="CQ181" s="887"/>
      <c r="CR181" s="887"/>
      <c r="CS181" s="887"/>
      <c r="CT181" s="887"/>
      <c r="CU181" s="887"/>
      <c r="CV181" s="887"/>
      <c r="CW181" s="887"/>
      <c r="CX181" s="887"/>
      <c r="CY181" s="887"/>
      <c r="CZ181" s="887"/>
      <c r="DA181" s="887"/>
      <c r="DB181" s="887"/>
      <c r="DC181" s="887"/>
      <c r="DD181" s="887"/>
      <c r="DE181" s="887"/>
      <c r="DF181" s="887"/>
      <c r="DG181" s="887"/>
      <c r="DH181" s="887"/>
      <c r="DI181" s="887"/>
      <c r="DJ181" s="887"/>
      <c r="DK181" s="887"/>
      <c r="DL181" s="887"/>
      <c r="DM181" s="887"/>
    </row>
    <row r="182" spans="52:117" x14ac:dyDescent="0.25">
      <c r="AZ182" s="887"/>
      <c r="BA182" s="887"/>
      <c r="BB182" s="887"/>
      <c r="BC182" s="887"/>
      <c r="BD182" s="887"/>
      <c r="BE182" s="887"/>
      <c r="BF182" s="887"/>
      <c r="BG182" s="887"/>
      <c r="BH182" s="887"/>
      <c r="BI182" s="887"/>
      <c r="BJ182" s="887"/>
      <c r="BK182" s="887"/>
      <c r="BL182" s="887"/>
      <c r="BM182" s="887"/>
      <c r="BN182" s="887"/>
      <c r="BO182" s="887"/>
      <c r="BP182" s="887"/>
      <c r="BQ182" s="887"/>
      <c r="BR182" s="887"/>
      <c r="BS182" s="887"/>
      <c r="BT182" s="887"/>
      <c r="BU182" s="887"/>
      <c r="BV182" s="887"/>
      <c r="BW182" s="887"/>
      <c r="BX182" s="887"/>
      <c r="BY182" s="887"/>
      <c r="BZ182" s="887"/>
      <c r="CA182" s="887"/>
      <c r="CB182" s="887"/>
      <c r="CC182" s="887"/>
      <c r="CD182" s="887"/>
      <c r="CE182" s="887"/>
      <c r="CF182" s="887"/>
      <c r="CG182" s="887"/>
      <c r="CH182" s="887"/>
      <c r="CI182" s="887"/>
      <c r="CJ182" s="887"/>
      <c r="CK182" s="887"/>
      <c r="CL182" s="887"/>
      <c r="CM182" s="887"/>
      <c r="CN182" s="887"/>
      <c r="CO182" s="887"/>
      <c r="CP182" s="887"/>
      <c r="CQ182" s="887"/>
      <c r="CR182" s="887"/>
      <c r="CS182" s="887"/>
      <c r="CT182" s="887"/>
      <c r="CU182" s="887"/>
      <c r="CV182" s="887"/>
      <c r="CW182" s="887"/>
      <c r="CX182" s="887"/>
      <c r="CY182" s="887"/>
      <c r="CZ182" s="887"/>
      <c r="DA182" s="887"/>
      <c r="DB182" s="887"/>
      <c r="DC182" s="887"/>
      <c r="DD182" s="887"/>
      <c r="DE182" s="887"/>
      <c r="DF182" s="887"/>
      <c r="DG182" s="887"/>
      <c r="DH182" s="887"/>
      <c r="DI182" s="887"/>
      <c r="DJ182" s="887"/>
      <c r="DK182" s="887"/>
      <c r="DL182" s="887"/>
      <c r="DM182" s="887"/>
    </row>
    <row r="183" spans="52:117" x14ac:dyDescent="0.25">
      <c r="AZ183" s="887"/>
      <c r="BA183" s="887"/>
      <c r="BB183" s="887"/>
      <c r="BC183" s="887"/>
      <c r="BD183" s="887"/>
      <c r="BE183" s="887"/>
      <c r="BF183" s="887"/>
      <c r="BG183" s="887"/>
      <c r="BH183" s="887"/>
      <c r="BI183" s="887"/>
      <c r="BJ183" s="887"/>
      <c r="BK183" s="887"/>
      <c r="BL183" s="887"/>
      <c r="BM183" s="887"/>
      <c r="BN183" s="887"/>
      <c r="BO183" s="887"/>
      <c r="BP183" s="887"/>
      <c r="BQ183" s="887"/>
      <c r="BR183" s="887"/>
      <c r="BS183" s="887"/>
      <c r="BT183" s="887"/>
      <c r="BU183" s="887"/>
      <c r="BV183" s="887"/>
      <c r="BW183" s="887"/>
      <c r="BX183" s="887"/>
      <c r="BY183" s="887"/>
      <c r="BZ183" s="887"/>
      <c r="CA183" s="887"/>
      <c r="CB183" s="887"/>
      <c r="CC183" s="887"/>
      <c r="CD183" s="887"/>
      <c r="CE183" s="887"/>
      <c r="CF183" s="887"/>
      <c r="CG183" s="887"/>
      <c r="CH183" s="887"/>
      <c r="CI183" s="887"/>
      <c r="CJ183" s="887"/>
      <c r="CK183" s="887"/>
      <c r="CL183" s="887"/>
      <c r="CM183" s="887"/>
      <c r="CN183" s="887"/>
      <c r="CO183" s="887"/>
      <c r="CP183" s="887"/>
      <c r="CQ183" s="887"/>
      <c r="CR183" s="887"/>
      <c r="CS183" s="887"/>
      <c r="CT183" s="887"/>
      <c r="CU183" s="887"/>
      <c r="CV183" s="887"/>
      <c r="CW183" s="887"/>
      <c r="CX183" s="887"/>
      <c r="CY183" s="887"/>
      <c r="CZ183" s="887"/>
      <c r="DA183" s="887"/>
      <c r="DB183" s="887"/>
      <c r="DC183" s="887"/>
      <c r="DD183" s="887"/>
      <c r="DE183" s="887"/>
      <c r="DF183" s="887"/>
      <c r="DG183" s="887"/>
      <c r="DH183" s="887"/>
      <c r="DI183" s="887"/>
      <c r="DJ183" s="887"/>
      <c r="DK183" s="887"/>
      <c r="DL183" s="887"/>
      <c r="DM183" s="887"/>
    </row>
    <row r="184" spans="52:117" x14ac:dyDescent="0.25">
      <c r="AZ184" s="887"/>
      <c r="BA184" s="887"/>
      <c r="BB184" s="887"/>
      <c r="BC184" s="887"/>
      <c r="BD184" s="887"/>
      <c r="BE184" s="887"/>
      <c r="BF184" s="887"/>
      <c r="BG184" s="887"/>
      <c r="BH184" s="887"/>
      <c r="BI184" s="887"/>
      <c r="BJ184" s="887"/>
      <c r="BK184" s="887"/>
      <c r="BL184" s="887"/>
      <c r="BM184" s="887"/>
      <c r="BN184" s="887"/>
      <c r="BO184" s="887"/>
      <c r="BP184" s="887"/>
      <c r="BQ184" s="887"/>
      <c r="BR184" s="887"/>
      <c r="BS184" s="887"/>
      <c r="BT184" s="887"/>
      <c r="BU184" s="887"/>
      <c r="BV184" s="887"/>
      <c r="BW184" s="887"/>
      <c r="BX184" s="887"/>
      <c r="BY184" s="887"/>
      <c r="BZ184" s="887"/>
      <c r="CA184" s="887"/>
      <c r="CB184" s="887"/>
      <c r="CC184" s="887"/>
      <c r="CD184" s="887"/>
      <c r="CE184" s="887"/>
      <c r="CF184" s="887"/>
      <c r="CG184" s="887"/>
      <c r="CH184" s="887"/>
      <c r="CI184" s="887"/>
      <c r="CJ184" s="887"/>
      <c r="CK184" s="887"/>
      <c r="CL184" s="887"/>
      <c r="CM184" s="887"/>
      <c r="CN184" s="887"/>
      <c r="CO184" s="887"/>
      <c r="CP184" s="887"/>
      <c r="CQ184" s="887"/>
      <c r="CR184" s="887"/>
      <c r="CS184" s="887"/>
      <c r="CT184" s="887"/>
      <c r="CU184" s="887"/>
      <c r="CV184" s="887"/>
      <c r="CW184" s="887"/>
      <c r="CX184" s="887"/>
      <c r="CY184" s="887"/>
      <c r="CZ184" s="887"/>
      <c r="DA184" s="887"/>
      <c r="DB184" s="887"/>
      <c r="DC184" s="887"/>
      <c r="DD184" s="887"/>
      <c r="DE184" s="887"/>
      <c r="DF184" s="887"/>
      <c r="DG184" s="887"/>
      <c r="DH184" s="887"/>
      <c r="DI184" s="887"/>
      <c r="DJ184" s="887"/>
      <c r="DK184" s="887"/>
      <c r="DL184" s="887"/>
      <c r="DM184" s="887"/>
    </row>
    <row r="185" spans="52:117" x14ac:dyDescent="0.25">
      <c r="AZ185" s="887"/>
      <c r="BA185" s="887"/>
      <c r="BB185" s="887"/>
      <c r="BC185" s="887"/>
      <c r="BD185" s="887"/>
      <c r="BE185" s="887"/>
      <c r="BF185" s="887"/>
      <c r="BG185" s="887"/>
      <c r="BH185" s="887"/>
      <c r="BI185" s="887"/>
      <c r="BJ185" s="887"/>
      <c r="BK185" s="887"/>
      <c r="BL185" s="887"/>
      <c r="BM185" s="887"/>
      <c r="BN185" s="887"/>
      <c r="BO185" s="887"/>
      <c r="BP185" s="887"/>
      <c r="BQ185" s="887"/>
      <c r="BR185" s="887"/>
      <c r="BS185" s="887"/>
      <c r="BT185" s="887"/>
      <c r="BU185" s="887"/>
      <c r="BV185" s="887"/>
      <c r="BW185" s="887"/>
      <c r="BX185" s="887"/>
      <c r="BY185" s="887"/>
      <c r="BZ185" s="887"/>
      <c r="CA185" s="887"/>
      <c r="CB185" s="887"/>
      <c r="CC185" s="887"/>
      <c r="CD185" s="887"/>
      <c r="CE185" s="887"/>
      <c r="CF185" s="887"/>
      <c r="CG185" s="887"/>
      <c r="CH185" s="887"/>
      <c r="CI185" s="887"/>
      <c r="CJ185" s="887"/>
      <c r="CK185" s="887"/>
      <c r="CL185" s="887"/>
      <c r="CM185" s="887"/>
      <c r="CN185" s="887"/>
      <c r="CO185" s="887"/>
      <c r="CP185" s="887"/>
      <c r="CQ185" s="887"/>
      <c r="CR185" s="887"/>
      <c r="CS185" s="887"/>
      <c r="CT185" s="887"/>
      <c r="CU185" s="887"/>
      <c r="CV185" s="887"/>
      <c r="CW185" s="887"/>
      <c r="CX185" s="887"/>
      <c r="CY185" s="887"/>
      <c r="CZ185" s="887"/>
      <c r="DA185" s="887"/>
      <c r="DB185" s="887"/>
      <c r="DC185" s="887"/>
      <c r="DD185" s="887"/>
      <c r="DE185" s="887"/>
      <c r="DF185" s="887"/>
      <c r="DG185" s="887"/>
      <c r="DH185" s="887"/>
      <c r="DI185" s="887"/>
      <c r="DJ185" s="887"/>
      <c r="DK185" s="887"/>
      <c r="DL185" s="887"/>
      <c r="DM185" s="887"/>
    </row>
    <row r="186" spans="52:117" x14ac:dyDescent="0.25">
      <c r="AZ186" s="887"/>
      <c r="BA186" s="887"/>
      <c r="BB186" s="887"/>
      <c r="BC186" s="887"/>
      <c r="BD186" s="887"/>
      <c r="BE186" s="887"/>
      <c r="BF186" s="887"/>
      <c r="BG186" s="887"/>
      <c r="BH186" s="887"/>
      <c r="BI186" s="887"/>
      <c r="BJ186" s="887"/>
      <c r="BK186" s="887"/>
      <c r="BL186" s="887"/>
      <c r="BM186" s="887"/>
      <c r="BN186" s="887"/>
      <c r="BO186" s="887"/>
      <c r="BP186" s="887"/>
      <c r="BQ186" s="887"/>
      <c r="BR186" s="887"/>
      <c r="BS186" s="887"/>
      <c r="BT186" s="887"/>
      <c r="BU186" s="887"/>
      <c r="BV186" s="887"/>
      <c r="BW186" s="887"/>
      <c r="BX186" s="887"/>
      <c r="BY186" s="887"/>
      <c r="BZ186" s="887"/>
      <c r="CA186" s="887"/>
      <c r="CB186" s="887"/>
      <c r="CC186" s="887"/>
      <c r="CD186" s="887"/>
      <c r="CE186" s="887"/>
      <c r="CF186" s="887"/>
      <c r="CG186" s="887"/>
      <c r="CH186" s="887"/>
      <c r="CI186" s="887"/>
      <c r="CJ186" s="887"/>
      <c r="CK186" s="887"/>
      <c r="CL186" s="887"/>
      <c r="CM186" s="887"/>
      <c r="CN186" s="887"/>
      <c r="CO186" s="887"/>
      <c r="CP186" s="887"/>
      <c r="CQ186" s="887"/>
      <c r="CR186" s="887"/>
      <c r="CS186" s="887"/>
      <c r="CT186" s="887"/>
      <c r="CU186" s="887"/>
      <c r="CV186" s="887"/>
      <c r="CW186" s="887"/>
      <c r="CX186" s="887"/>
      <c r="CY186" s="887"/>
      <c r="CZ186" s="887"/>
      <c r="DA186" s="887"/>
      <c r="DB186" s="887"/>
      <c r="DC186" s="887"/>
      <c r="DD186" s="887"/>
      <c r="DE186" s="887"/>
      <c r="DF186" s="887"/>
      <c r="DG186" s="887"/>
      <c r="DH186" s="887"/>
      <c r="DI186" s="887"/>
      <c r="DJ186" s="887"/>
      <c r="DK186" s="887"/>
      <c r="DL186" s="887"/>
      <c r="DM186" s="887"/>
    </row>
    <row r="187" spans="52:117" x14ac:dyDescent="0.25">
      <c r="AZ187" s="887"/>
      <c r="BA187" s="887"/>
      <c r="BB187" s="887"/>
      <c r="BC187" s="887"/>
      <c r="BD187" s="887"/>
      <c r="BE187" s="887"/>
      <c r="BF187" s="887"/>
      <c r="BG187" s="887"/>
      <c r="BH187" s="887"/>
      <c r="BI187" s="887"/>
      <c r="BJ187" s="887"/>
      <c r="BK187" s="887"/>
      <c r="BL187" s="887"/>
      <c r="BM187" s="887"/>
      <c r="BN187" s="887"/>
      <c r="BO187" s="887"/>
      <c r="BP187" s="887"/>
      <c r="BQ187" s="887"/>
      <c r="BR187" s="887"/>
      <c r="BS187" s="887"/>
      <c r="BT187" s="887"/>
      <c r="BU187" s="887"/>
      <c r="BV187" s="887"/>
      <c r="BW187" s="887"/>
      <c r="BX187" s="887"/>
      <c r="BY187" s="887"/>
      <c r="BZ187" s="887"/>
      <c r="CA187" s="887"/>
      <c r="CB187" s="887"/>
      <c r="CC187" s="887"/>
      <c r="CD187" s="887"/>
      <c r="CE187" s="887"/>
      <c r="CF187" s="887"/>
      <c r="CG187" s="887"/>
      <c r="CH187" s="887"/>
      <c r="CI187" s="887"/>
      <c r="CJ187" s="887"/>
      <c r="CK187" s="887"/>
      <c r="CL187" s="887"/>
      <c r="CM187" s="887"/>
      <c r="CN187" s="887"/>
      <c r="CO187" s="887"/>
      <c r="CP187" s="887"/>
      <c r="CQ187" s="887"/>
      <c r="CR187" s="887"/>
      <c r="CS187" s="887"/>
      <c r="CT187" s="887"/>
      <c r="CU187" s="887"/>
      <c r="CV187" s="887"/>
      <c r="CW187" s="887"/>
      <c r="CX187" s="887"/>
      <c r="CY187" s="887"/>
      <c r="CZ187" s="887"/>
      <c r="DA187" s="887"/>
      <c r="DB187" s="887"/>
      <c r="DC187" s="887"/>
      <c r="DD187" s="887"/>
      <c r="DE187" s="887"/>
      <c r="DF187" s="887"/>
      <c r="DG187" s="887"/>
      <c r="DH187" s="887"/>
      <c r="DI187" s="887"/>
      <c r="DJ187" s="887"/>
      <c r="DK187" s="887"/>
      <c r="DL187" s="887"/>
      <c r="DM187" s="887"/>
    </row>
    <row r="188" spans="52:117" x14ac:dyDescent="0.25">
      <c r="AZ188" s="887"/>
      <c r="BA188" s="887"/>
      <c r="BB188" s="887"/>
      <c r="BC188" s="887"/>
      <c r="BD188" s="887"/>
      <c r="BE188" s="887"/>
      <c r="BF188" s="887"/>
      <c r="BG188" s="887"/>
      <c r="BH188" s="887"/>
      <c r="BI188" s="887"/>
      <c r="BJ188" s="887"/>
      <c r="BK188" s="887"/>
      <c r="BL188" s="887"/>
      <c r="BM188" s="887"/>
      <c r="BN188" s="887"/>
      <c r="BO188" s="887"/>
      <c r="BP188" s="887"/>
      <c r="BQ188" s="887"/>
      <c r="BR188" s="887"/>
      <c r="BS188" s="887"/>
      <c r="BT188" s="887"/>
      <c r="BU188" s="887"/>
      <c r="BV188" s="887"/>
      <c r="BW188" s="887"/>
      <c r="BX188" s="887"/>
      <c r="BY188" s="887"/>
      <c r="BZ188" s="887"/>
      <c r="CA188" s="887"/>
      <c r="CB188" s="887"/>
      <c r="CC188" s="887"/>
      <c r="CD188" s="887"/>
      <c r="CE188" s="887"/>
      <c r="CF188" s="887"/>
      <c r="CG188" s="887"/>
      <c r="CH188" s="887"/>
      <c r="CI188" s="887"/>
      <c r="CJ188" s="887"/>
      <c r="CK188" s="887"/>
      <c r="CL188" s="887"/>
      <c r="CM188" s="887"/>
      <c r="CN188" s="887"/>
      <c r="CO188" s="887"/>
      <c r="CP188" s="887"/>
      <c r="CQ188" s="887"/>
      <c r="CR188" s="887"/>
      <c r="CS188" s="887"/>
      <c r="CT188" s="887"/>
      <c r="CU188" s="887"/>
      <c r="CV188" s="887"/>
      <c r="CW188" s="887"/>
      <c r="CX188" s="887"/>
      <c r="CY188" s="887"/>
      <c r="CZ188" s="887"/>
      <c r="DA188" s="887"/>
      <c r="DB188" s="887"/>
      <c r="DC188" s="887"/>
      <c r="DD188" s="887"/>
      <c r="DE188" s="887"/>
      <c r="DF188" s="887"/>
      <c r="DG188" s="887"/>
      <c r="DH188" s="887"/>
      <c r="DI188" s="887"/>
      <c r="DJ188" s="887"/>
      <c r="DK188" s="887"/>
      <c r="DL188" s="887"/>
      <c r="DM188" s="887"/>
    </row>
    <row r="189" spans="52:117" x14ac:dyDescent="0.25">
      <c r="AZ189" s="887"/>
      <c r="BA189" s="887"/>
      <c r="BB189" s="887"/>
      <c r="BC189" s="887"/>
      <c r="BD189" s="887"/>
      <c r="BE189" s="887"/>
      <c r="BF189" s="887"/>
      <c r="BG189" s="887"/>
      <c r="BH189" s="887"/>
      <c r="BI189" s="887"/>
      <c r="BJ189" s="887"/>
      <c r="BK189" s="887"/>
      <c r="BL189" s="887"/>
      <c r="BM189" s="887"/>
      <c r="BN189" s="887"/>
      <c r="BO189" s="887"/>
      <c r="BP189" s="887"/>
      <c r="BQ189" s="887"/>
      <c r="BR189" s="887"/>
      <c r="BS189" s="887"/>
      <c r="BT189" s="887"/>
      <c r="BU189" s="887"/>
      <c r="BV189" s="887"/>
      <c r="BW189" s="887"/>
      <c r="BX189" s="887"/>
      <c r="BY189" s="887"/>
      <c r="BZ189" s="887"/>
      <c r="CA189" s="887"/>
      <c r="CB189" s="887"/>
      <c r="CC189" s="887"/>
      <c r="CD189" s="887"/>
      <c r="CE189" s="887"/>
      <c r="CF189" s="887"/>
      <c r="CG189" s="887"/>
      <c r="CH189" s="887"/>
      <c r="CI189" s="887"/>
      <c r="CJ189" s="887"/>
      <c r="CK189" s="887"/>
      <c r="CL189" s="887"/>
      <c r="CM189" s="887"/>
      <c r="CN189" s="887"/>
      <c r="CO189" s="887"/>
      <c r="CP189" s="887"/>
      <c r="CQ189" s="887"/>
      <c r="CR189" s="887"/>
      <c r="CS189" s="887"/>
      <c r="CT189" s="887"/>
      <c r="CU189" s="887"/>
      <c r="CV189" s="887"/>
      <c r="CW189" s="887"/>
      <c r="CX189" s="887"/>
      <c r="CY189" s="887"/>
      <c r="CZ189" s="887"/>
      <c r="DA189" s="887"/>
      <c r="DB189" s="887"/>
      <c r="DC189" s="887"/>
      <c r="DD189" s="887"/>
      <c r="DE189" s="887"/>
      <c r="DF189" s="887"/>
      <c r="DG189" s="887"/>
      <c r="DH189" s="887"/>
      <c r="DI189" s="887"/>
      <c r="DJ189" s="887"/>
      <c r="DK189" s="887"/>
      <c r="DL189" s="887"/>
      <c r="DM189" s="887"/>
    </row>
    <row r="190" spans="52:117" x14ac:dyDescent="0.25">
      <c r="AZ190" s="887"/>
      <c r="BA190" s="887"/>
      <c r="BB190" s="887"/>
      <c r="BC190" s="887"/>
      <c r="BD190" s="887"/>
      <c r="BE190" s="887"/>
      <c r="BF190" s="887"/>
      <c r="BG190" s="887"/>
      <c r="BH190" s="887"/>
      <c r="BI190" s="887"/>
      <c r="BJ190" s="887"/>
      <c r="BK190" s="887"/>
      <c r="BL190" s="887"/>
      <c r="BM190" s="887"/>
      <c r="BN190" s="887"/>
      <c r="BO190" s="887"/>
      <c r="BP190" s="887"/>
      <c r="BQ190" s="887"/>
      <c r="BR190" s="887"/>
      <c r="BS190" s="887"/>
      <c r="BT190" s="887"/>
      <c r="BU190" s="887"/>
      <c r="BV190" s="887"/>
      <c r="BW190" s="887"/>
      <c r="BX190" s="887"/>
      <c r="BY190" s="887"/>
      <c r="BZ190" s="887"/>
      <c r="CA190" s="887"/>
      <c r="CB190" s="887"/>
      <c r="CC190" s="887"/>
      <c r="CD190" s="887"/>
      <c r="CE190" s="887"/>
      <c r="CF190" s="887"/>
      <c r="CG190" s="887"/>
      <c r="CH190" s="887"/>
      <c r="CI190" s="887"/>
      <c r="CJ190" s="887"/>
      <c r="CK190" s="887"/>
      <c r="CL190" s="887"/>
      <c r="CM190" s="887"/>
      <c r="CN190" s="887"/>
      <c r="CO190" s="887"/>
      <c r="CP190" s="887"/>
      <c r="CQ190" s="887"/>
      <c r="CR190" s="887"/>
      <c r="CS190" s="887"/>
      <c r="CT190" s="887"/>
      <c r="CU190" s="887"/>
      <c r="CV190" s="887"/>
      <c r="CW190" s="887"/>
      <c r="CX190" s="887"/>
      <c r="CY190" s="887"/>
      <c r="CZ190" s="887"/>
      <c r="DA190" s="887"/>
      <c r="DB190" s="887"/>
      <c r="DC190" s="887"/>
      <c r="DD190" s="887"/>
      <c r="DE190" s="887"/>
      <c r="DF190" s="887"/>
      <c r="DG190" s="887"/>
      <c r="DH190" s="887"/>
      <c r="DI190" s="887"/>
      <c r="DJ190" s="887"/>
      <c r="DK190" s="887"/>
      <c r="DL190" s="887"/>
      <c r="DM190" s="887"/>
    </row>
    <row r="191" spans="52:117" x14ac:dyDescent="0.25">
      <c r="AZ191" s="887"/>
      <c r="BA191" s="887"/>
      <c r="BB191" s="887"/>
      <c r="BC191" s="887"/>
      <c r="BD191" s="887"/>
      <c r="BE191" s="887"/>
      <c r="BF191" s="887"/>
      <c r="BG191" s="887"/>
      <c r="BH191" s="887"/>
      <c r="BI191" s="887"/>
      <c r="BJ191" s="887"/>
      <c r="BK191" s="887"/>
      <c r="BL191" s="887"/>
      <c r="BM191" s="887"/>
      <c r="BN191" s="887"/>
      <c r="BO191" s="887"/>
      <c r="BP191" s="887"/>
      <c r="BQ191" s="887"/>
      <c r="BR191" s="887"/>
      <c r="BS191" s="887"/>
      <c r="BT191" s="887"/>
      <c r="BU191" s="887"/>
      <c r="BV191" s="887"/>
      <c r="BW191" s="887"/>
      <c r="BX191" s="887"/>
      <c r="BY191" s="887"/>
      <c r="BZ191" s="887"/>
      <c r="CA191" s="887"/>
      <c r="CB191" s="887"/>
      <c r="CC191" s="887"/>
      <c r="CD191" s="887"/>
      <c r="CE191" s="887"/>
      <c r="CF191" s="887"/>
      <c r="CG191" s="887"/>
      <c r="CH191" s="887"/>
      <c r="CI191" s="887"/>
      <c r="CJ191" s="887"/>
      <c r="CK191" s="887"/>
      <c r="CL191" s="887"/>
      <c r="CM191" s="887"/>
      <c r="CN191" s="887"/>
      <c r="CO191" s="887"/>
      <c r="CP191" s="887"/>
      <c r="CQ191" s="887"/>
      <c r="CR191" s="887"/>
      <c r="CS191" s="887"/>
      <c r="CT191" s="887"/>
      <c r="CU191" s="887"/>
      <c r="CV191" s="887"/>
      <c r="CW191" s="887"/>
      <c r="CX191" s="887"/>
      <c r="CY191" s="887"/>
      <c r="CZ191" s="887"/>
      <c r="DA191" s="887"/>
      <c r="DB191" s="887"/>
      <c r="DC191" s="887"/>
      <c r="DD191" s="887"/>
      <c r="DE191" s="887"/>
      <c r="DF191" s="887"/>
      <c r="DG191" s="887"/>
      <c r="DH191" s="887"/>
      <c r="DI191" s="887"/>
      <c r="DJ191" s="887"/>
      <c r="DK191" s="887"/>
      <c r="DL191" s="887"/>
      <c r="DM191" s="887"/>
    </row>
    <row r="192" spans="52:117" x14ac:dyDescent="0.25">
      <c r="AZ192" s="887"/>
      <c r="BA192" s="887"/>
      <c r="BB192" s="887"/>
      <c r="BC192" s="887"/>
      <c r="BD192" s="887"/>
      <c r="BE192" s="887"/>
      <c r="BF192" s="887"/>
      <c r="BG192" s="887"/>
      <c r="BH192" s="887"/>
      <c r="BI192" s="887"/>
      <c r="BJ192" s="887"/>
      <c r="BK192" s="887"/>
      <c r="BL192" s="887"/>
      <c r="BM192" s="887"/>
      <c r="BN192" s="887"/>
      <c r="BO192" s="887"/>
      <c r="BP192" s="887"/>
      <c r="BQ192" s="887"/>
      <c r="BR192" s="887"/>
      <c r="BS192" s="887"/>
      <c r="BT192" s="887"/>
      <c r="BU192" s="887"/>
      <c r="BV192" s="887"/>
      <c r="BW192" s="887"/>
      <c r="BX192" s="887"/>
      <c r="BY192" s="887"/>
      <c r="BZ192" s="887"/>
      <c r="CA192" s="887"/>
      <c r="CB192" s="887"/>
      <c r="CC192" s="887"/>
      <c r="CD192" s="887"/>
      <c r="CE192" s="887"/>
      <c r="CF192" s="887"/>
      <c r="CG192" s="887"/>
      <c r="CH192" s="887"/>
      <c r="CI192" s="887"/>
      <c r="CJ192" s="887"/>
      <c r="CK192" s="887"/>
      <c r="CL192" s="887"/>
      <c r="CM192" s="887"/>
      <c r="CN192" s="887"/>
      <c r="CO192" s="887"/>
      <c r="CP192" s="887"/>
      <c r="CQ192" s="887"/>
      <c r="CR192" s="887"/>
      <c r="CS192" s="887"/>
      <c r="CT192" s="887"/>
      <c r="CU192" s="887"/>
      <c r="CV192" s="887"/>
      <c r="CW192" s="887"/>
      <c r="CX192" s="887"/>
      <c r="CY192" s="887"/>
      <c r="CZ192" s="887"/>
      <c r="DA192" s="887"/>
      <c r="DB192" s="887"/>
      <c r="DC192" s="887"/>
      <c r="DD192" s="887"/>
      <c r="DE192" s="887"/>
      <c r="DF192" s="887"/>
      <c r="DG192" s="887"/>
      <c r="DH192" s="887"/>
      <c r="DI192" s="887"/>
      <c r="DJ192" s="887"/>
      <c r="DK192" s="887"/>
      <c r="DL192" s="887"/>
      <c r="DM192" s="887"/>
    </row>
    <row r="193" spans="52:117" x14ac:dyDescent="0.25">
      <c r="AZ193" s="887"/>
      <c r="BA193" s="887"/>
      <c r="BB193" s="887"/>
      <c r="BC193" s="887"/>
      <c r="BD193" s="887"/>
      <c r="BE193" s="887"/>
      <c r="BF193" s="887"/>
      <c r="BG193" s="887"/>
      <c r="BH193" s="887"/>
      <c r="BI193" s="887"/>
      <c r="BJ193" s="887"/>
      <c r="BK193" s="887"/>
      <c r="BL193" s="887"/>
      <c r="BM193" s="887"/>
      <c r="BN193" s="887"/>
      <c r="BO193" s="887"/>
      <c r="BP193" s="887"/>
      <c r="BQ193" s="887"/>
      <c r="BR193" s="887"/>
      <c r="BS193" s="887"/>
      <c r="BT193" s="887"/>
      <c r="BU193" s="887"/>
      <c r="BV193" s="887"/>
      <c r="BW193" s="887"/>
      <c r="BX193" s="887"/>
      <c r="BY193" s="887"/>
      <c r="BZ193" s="887"/>
      <c r="CA193" s="887"/>
      <c r="CB193" s="887"/>
      <c r="CC193" s="887"/>
      <c r="CD193" s="887"/>
      <c r="CE193" s="887"/>
      <c r="CF193" s="887"/>
      <c r="CG193" s="887"/>
      <c r="CH193" s="887"/>
      <c r="CI193" s="887"/>
      <c r="CJ193" s="887"/>
      <c r="CK193" s="887"/>
      <c r="CL193" s="887"/>
      <c r="CM193" s="887"/>
      <c r="CN193" s="887"/>
      <c r="CO193" s="887"/>
      <c r="CP193" s="887"/>
      <c r="CQ193" s="887"/>
      <c r="CR193" s="887"/>
      <c r="CS193" s="887"/>
      <c r="CT193" s="887"/>
      <c r="CU193" s="887"/>
      <c r="CV193" s="887"/>
      <c r="CW193" s="887"/>
      <c r="CX193" s="887"/>
      <c r="CY193" s="887"/>
      <c r="CZ193" s="887"/>
      <c r="DA193" s="887"/>
      <c r="DB193" s="887"/>
      <c r="DC193" s="887"/>
      <c r="DD193" s="887"/>
      <c r="DE193" s="887"/>
      <c r="DF193" s="887"/>
      <c r="DG193" s="887"/>
      <c r="DH193" s="887"/>
      <c r="DI193" s="887"/>
      <c r="DJ193" s="887"/>
      <c r="DK193" s="887"/>
      <c r="DL193" s="887"/>
      <c r="DM193" s="887"/>
    </row>
    <row r="194" spans="52:117" x14ac:dyDescent="0.25">
      <c r="AZ194" s="887"/>
      <c r="BA194" s="887"/>
      <c r="BB194" s="887"/>
      <c r="BC194" s="887"/>
      <c r="BD194" s="887"/>
      <c r="BE194" s="887"/>
      <c r="BF194" s="887"/>
      <c r="BG194" s="887"/>
      <c r="BH194" s="887"/>
      <c r="BI194" s="887"/>
      <c r="BJ194" s="887"/>
      <c r="BK194" s="887"/>
      <c r="BL194" s="887"/>
      <c r="BM194" s="887"/>
      <c r="BN194" s="887"/>
      <c r="BO194" s="887"/>
      <c r="BP194" s="887"/>
      <c r="BQ194" s="887"/>
      <c r="BR194" s="887"/>
      <c r="BS194" s="887"/>
      <c r="BT194" s="887"/>
      <c r="BU194" s="887"/>
      <c r="BV194" s="887"/>
      <c r="BW194" s="887"/>
      <c r="BX194" s="887"/>
      <c r="BY194" s="887"/>
      <c r="BZ194" s="887"/>
      <c r="CA194" s="887"/>
      <c r="CB194" s="887"/>
      <c r="CC194" s="887"/>
      <c r="CD194" s="887"/>
      <c r="CE194" s="887"/>
      <c r="CF194" s="887"/>
      <c r="CG194" s="887"/>
      <c r="CH194" s="887"/>
      <c r="CI194" s="887"/>
      <c r="CJ194" s="887"/>
      <c r="CK194" s="887"/>
      <c r="CL194" s="887"/>
      <c r="CM194" s="887"/>
      <c r="CN194" s="887"/>
      <c r="CO194" s="887"/>
      <c r="CP194" s="887"/>
      <c r="CQ194" s="887"/>
      <c r="CR194" s="887"/>
      <c r="CS194" s="887"/>
      <c r="CT194" s="887"/>
      <c r="CU194" s="887"/>
      <c r="CV194" s="887"/>
      <c r="CW194" s="887"/>
      <c r="CX194" s="887"/>
      <c r="CY194" s="887"/>
      <c r="CZ194" s="887"/>
      <c r="DA194" s="887"/>
      <c r="DB194" s="887"/>
      <c r="DC194" s="887"/>
      <c r="DD194" s="887"/>
      <c r="DE194" s="887"/>
      <c r="DF194" s="887"/>
      <c r="DG194" s="887"/>
      <c r="DH194" s="887"/>
      <c r="DI194" s="887"/>
      <c r="DJ194" s="887"/>
      <c r="DK194" s="887"/>
      <c r="DL194" s="887"/>
      <c r="DM194" s="887"/>
    </row>
    <row r="195" spans="52:117" x14ac:dyDescent="0.25">
      <c r="AZ195" s="887"/>
      <c r="BA195" s="887"/>
      <c r="BB195" s="887"/>
      <c r="BC195" s="887"/>
      <c r="BD195" s="887"/>
      <c r="BE195" s="887"/>
      <c r="BF195" s="887"/>
      <c r="BG195" s="887"/>
      <c r="BH195" s="887"/>
      <c r="BI195" s="887"/>
      <c r="BJ195" s="887"/>
      <c r="BK195" s="887"/>
      <c r="BL195" s="887"/>
      <c r="BM195" s="887"/>
      <c r="BN195" s="887"/>
      <c r="BO195" s="887"/>
      <c r="BP195" s="887"/>
      <c r="BQ195" s="887"/>
      <c r="BR195" s="887"/>
      <c r="BS195" s="887"/>
      <c r="BT195" s="887"/>
      <c r="BU195" s="887"/>
      <c r="BV195" s="887"/>
      <c r="BW195" s="887"/>
      <c r="BX195" s="887"/>
      <c r="BY195" s="887"/>
      <c r="BZ195" s="887"/>
      <c r="CA195" s="887"/>
      <c r="CB195" s="887"/>
      <c r="CC195" s="887"/>
      <c r="CD195" s="887"/>
      <c r="CE195" s="887"/>
      <c r="CF195" s="887"/>
      <c r="CG195" s="887"/>
      <c r="CH195" s="887"/>
      <c r="CI195" s="887"/>
      <c r="CJ195" s="887"/>
      <c r="CK195" s="887"/>
      <c r="CL195" s="887"/>
      <c r="CM195" s="887"/>
      <c r="CN195" s="887"/>
      <c r="CO195" s="887"/>
      <c r="CP195" s="887"/>
      <c r="CQ195" s="887"/>
      <c r="CR195" s="887"/>
      <c r="CS195" s="887"/>
      <c r="CT195" s="887"/>
      <c r="CU195" s="887"/>
      <c r="CV195" s="887"/>
      <c r="CW195" s="887"/>
      <c r="CX195" s="887"/>
      <c r="CY195" s="887"/>
      <c r="CZ195" s="887"/>
      <c r="DA195" s="887"/>
      <c r="DB195" s="887"/>
      <c r="DC195" s="887"/>
      <c r="DD195" s="887"/>
      <c r="DE195" s="887"/>
      <c r="DF195" s="887"/>
      <c r="DG195" s="887"/>
      <c r="DH195" s="887"/>
      <c r="DI195" s="887"/>
      <c r="DJ195" s="887"/>
      <c r="DK195" s="887"/>
      <c r="DL195" s="887"/>
      <c r="DM195" s="887"/>
    </row>
    <row r="196" spans="52:117" x14ac:dyDescent="0.25">
      <c r="AZ196" s="887"/>
      <c r="BA196" s="887"/>
      <c r="BB196" s="887"/>
      <c r="BC196" s="887"/>
      <c r="BD196" s="887"/>
      <c r="BE196" s="887"/>
      <c r="BF196" s="887"/>
      <c r="BG196" s="887"/>
      <c r="BH196" s="887"/>
      <c r="BI196" s="887"/>
      <c r="BJ196" s="887"/>
      <c r="BK196" s="887"/>
      <c r="BL196" s="887"/>
      <c r="BM196" s="887"/>
      <c r="BN196" s="887"/>
      <c r="BO196" s="887"/>
      <c r="BP196" s="887"/>
      <c r="BQ196" s="887"/>
      <c r="BR196" s="887"/>
      <c r="BS196" s="887"/>
      <c r="BT196" s="887"/>
      <c r="BU196" s="887"/>
      <c r="BV196" s="887"/>
      <c r="BW196" s="887"/>
      <c r="BX196" s="887"/>
      <c r="BY196" s="887"/>
      <c r="BZ196" s="887"/>
      <c r="CA196" s="887"/>
      <c r="CB196" s="887"/>
      <c r="CC196" s="887"/>
      <c r="CD196" s="887"/>
      <c r="CE196" s="887"/>
      <c r="CF196" s="887"/>
      <c r="CG196" s="887"/>
      <c r="CH196" s="887"/>
      <c r="CI196" s="887"/>
      <c r="CJ196" s="887"/>
      <c r="CK196" s="887"/>
      <c r="CL196" s="887"/>
      <c r="CM196" s="887"/>
      <c r="CN196" s="887"/>
      <c r="CO196" s="887"/>
      <c r="CP196" s="887"/>
      <c r="CQ196" s="887"/>
      <c r="CR196" s="887"/>
      <c r="CS196" s="887"/>
      <c r="CT196" s="887"/>
      <c r="CU196" s="887"/>
      <c r="CV196" s="887"/>
      <c r="CW196" s="887"/>
      <c r="CX196" s="887"/>
      <c r="CY196" s="887"/>
      <c r="CZ196" s="887"/>
      <c r="DA196" s="887"/>
      <c r="DB196" s="887"/>
      <c r="DC196" s="887"/>
      <c r="DD196" s="887"/>
      <c r="DE196" s="887"/>
      <c r="DF196" s="887"/>
      <c r="DG196" s="887"/>
      <c r="DH196" s="887"/>
      <c r="DI196" s="887"/>
      <c r="DJ196" s="887"/>
      <c r="DK196" s="887"/>
      <c r="DL196" s="887"/>
      <c r="DM196" s="887"/>
    </row>
    <row r="197" spans="52:117" x14ac:dyDescent="0.25">
      <c r="AZ197" s="887"/>
      <c r="BA197" s="887"/>
      <c r="BB197" s="887"/>
      <c r="BC197" s="887"/>
      <c r="BD197" s="887"/>
      <c r="BE197" s="887"/>
      <c r="BF197" s="887"/>
      <c r="BG197" s="887"/>
      <c r="BH197" s="887"/>
      <c r="BI197" s="887"/>
      <c r="BJ197" s="887"/>
      <c r="BK197" s="887"/>
      <c r="BL197" s="887"/>
      <c r="BM197" s="887"/>
      <c r="BN197" s="887"/>
      <c r="BO197" s="887"/>
      <c r="BP197" s="887"/>
      <c r="BQ197" s="887"/>
      <c r="BR197" s="887"/>
      <c r="BS197" s="887"/>
      <c r="BT197" s="887"/>
      <c r="BU197" s="887"/>
      <c r="BV197" s="887"/>
      <c r="BW197" s="887"/>
      <c r="BX197" s="887"/>
      <c r="BY197" s="887"/>
      <c r="BZ197" s="887"/>
      <c r="CA197" s="887"/>
      <c r="CB197" s="887"/>
      <c r="CC197" s="887"/>
      <c r="CD197" s="887"/>
      <c r="CE197" s="887"/>
      <c r="CF197" s="887"/>
      <c r="CG197" s="887"/>
      <c r="CH197" s="887"/>
      <c r="CI197" s="887"/>
      <c r="CJ197" s="887"/>
      <c r="CK197" s="887"/>
      <c r="CL197" s="887"/>
      <c r="CM197" s="887"/>
      <c r="CN197" s="887"/>
      <c r="CO197" s="887"/>
      <c r="CP197" s="887"/>
      <c r="CQ197" s="887"/>
      <c r="CR197" s="887"/>
      <c r="CS197" s="887"/>
      <c r="CT197" s="887"/>
      <c r="CU197" s="887"/>
      <c r="CV197" s="887"/>
      <c r="CW197" s="887"/>
      <c r="CX197" s="887"/>
      <c r="CY197" s="887"/>
      <c r="CZ197" s="887"/>
      <c r="DA197" s="887"/>
      <c r="DB197" s="887"/>
      <c r="DC197" s="887"/>
      <c r="DD197" s="887"/>
      <c r="DE197" s="887"/>
      <c r="DF197" s="887"/>
      <c r="DG197" s="887"/>
      <c r="DH197" s="887"/>
      <c r="DI197" s="887"/>
      <c r="DJ197" s="887"/>
      <c r="DK197" s="887"/>
      <c r="DL197" s="887"/>
      <c r="DM197" s="887"/>
    </row>
    <row r="198" spans="52:117" x14ac:dyDescent="0.25">
      <c r="AZ198" s="887"/>
      <c r="BA198" s="887"/>
      <c r="BB198" s="887"/>
      <c r="BC198" s="887"/>
      <c r="BD198" s="887"/>
      <c r="BE198" s="887"/>
      <c r="BF198" s="887"/>
      <c r="BG198" s="887"/>
      <c r="BH198" s="887"/>
      <c r="BI198" s="887"/>
      <c r="BJ198" s="887"/>
      <c r="BK198" s="887"/>
      <c r="BL198" s="887"/>
      <c r="BM198" s="887"/>
      <c r="BN198" s="887"/>
      <c r="BO198" s="887"/>
      <c r="BP198" s="887"/>
      <c r="BQ198" s="887"/>
      <c r="BR198" s="887"/>
      <c r="BS198" s="887"/>
      <c r="BT198" s="887"/>
      <c r="BU198" s="887"/>
      <c r="BV198" s="887"/>
      <c r="BW198" s="887"/>
      <c r="BX198" s="887"/>
      <c r="BY198" s="887"/>
      <c r="BZ198" s="887"/>
      <c r="CA198" s="887"/>
      <c r="CB198" s="887"/>
      <c r="CC198" s="887"/>
      <c r="CD198" s="887"/>
      <c r="CE198" s="887"/>
      <c r="CF198" s="887"/>
      <c r="CG198" s="887"/>
      <c r="CH198" s="887"/>
      <c r="CI198" s="887"/>
      <c r="CJ198" s="887"/>
      <c r="CK198" s="887"/>
      <c r="CL198" s="887"/>
      <c r="CM198" s="887"/>
      <c r="CN198" s="887"/>
      <c r="CO198" s="887"/>
      <c r="CP198" s="887"/>
      <c r="CQ198" s="887"/>
      <c r="CR198" s="887"/>
      <c r="CS198" s="887"/>
      <c r="CT198" s="887"/>
      <c r="CU198" s="887"/>
      <c r="CV198" s="887"/>
      <c r="CW198" s="887"/>
      <c r="CX198" s="887"/>
      <c r="CY198" s="887"/>
      <c r="CZ198" s="887"/>
      <c r="DA198" s="887"/>
      <c r="DB198" s="887"/>
      <c r="DC198" s="887"/>
      <c r="DD198" s="887"/>
      <c r="DE198" s="887"/>
      <c r="DF198" s="887"/>
      <c r="DG198" s="887"/>
      <c r="DH198" s="887"/>
      <c r="DI198" s="887"/>
      <c r="DJ198" s="887"/>
      <c r="DK198" s="887"/>
      <c r="DL198" s="887"/>
      <c r="DM198" s="887"/>
    </row>
    <row r="199" spans="52:117" x14ac:dyDescent="0.25">
      <c r="AZ199" s="887"/>
      <c r="BA199" s="887"/>
      <c r="BB199" s="887"/>
      <c r="BC199" s="887"/>
      <c r="BD199" s="887"/>
      <c r="BE199" s="887"/>
      <c r="BF199" s="887"/>
      <c r="BG199" s="887"/>
      <c r="BH199" s="887"/>
      <c r="BI199" s="887"/>
      <c r="BJ199" s="887"/>
      <c r="BK199" s="887"/>
      <c r="BL199" s="887"/>
      <c r="BM199" s="887"/>
      <c r="BN199" s="887"/>
      <c r="BO199" s="887"/>
      <c r="BP199" s="887"/>
      <c r="BQ199" s="887"/>
      <c r="BR199" s="887"/>
      <c r="BS199" s="887"/>
      <c r="BT199" s="887"/>
      <c r="BU199" s="887"/>
      <c r="BV199" s="887"/>
      <c r="BW199" s="887"/>
      <c r="BX199" s="887"/>
      <c r="BY199" s="887"/>
      <c r="BZ199" s="887"/>
      <c r="CA199" s="887"/>
      <c r="CB199" s="887"/>
      <c r="CC199" s="887"/>
      <c r="CD199" s="887"/>
      <c r="CE199" s="887"/>
      <c r="CF199" s="887"/>
      <c r="CG199" s="887"/>
      <c r="CH199" s="887"/>
      <c r="CI199" s="887"/>
      <c r="CJ199" s="887"/>
      <c r="CK199" s="887"/>
      <c r="CL199" s="887"/>
      <c r="CM199" s="887"/>
      <c r="CN199" s="887"/>
      <c r="CO199" s="887"/>
      <c r="CP199" s="887"/>
      <c r="CQ199" s="887"/>
      <c r="CR199" s="887"/>
      <c r="CS199" s="887"/>
      <c r="CT199" s="887"/>
      <c r="CU199" s="887"/>
      <c r="CV199" s="887"/>
      <c r="CW199" s="887"/>
      <c r="CX199" s="887"/>
      <c r="CY199" s="887"/>
      <c r="CZ199" s="887"/>
      <c r="DA199" s="887"/>
      <c r="DB199" s="887"/>
      <c r="DC199" s="887"/>
      <c r="DD199" s="887"/>
      <c r="DE199" s="887"/>
      <c r="DF199" s="887"/>
      <c r="DG199" s="887"/>
      <c r="DH199" s="887"/>
      <c r="DI199" s="887"/>
      <c r="DJ199" s="887"/>
      <c r="DK199" s="887"/>
      <c r="DL199" s="887"/>
      <c r="DM199" s="887"/>
    </row>
    <row r="200" spans="52:117" x14ac:dyDescent="0.25">
      <c r="AZ200" s="887"/>
      <c r="BA200" s="887"/>
      <c r="BB200" s="887"/>
      <c r="BC200" s="887"/>
      <c r="BD200" s="887"/>
      <c r="BE200" s="887"/>
      <c r="BF200" s="887"/>
      <c r="BG200" s="887"/>
      <c r="BH200" s="887"/>
      <c r="BI200" s="887"/>
      <c r="BJ200" s="887"/>
      <c r="BK200" s="887"/>
      <c r="BL200" s="887"/>
      <c r="BM200" s="887"/>
      <c r="BN200" s="887"/>
      <c r="BO200" s="887"/>
      <c r="BP200" s="887"/>
      <c r="BQ200" s="887"/>
      <c r="BR200" s="887"/>
      <c r="BS200" s="887"/>
      <c r="BT200" s="887"/>
      <c r="BU200" s="887"/>
      <c r="BV200" s="887"/>
      <c r="BW200" s="887"/>
      <c r="BX200" s="887"/>
      <c r="BY200" s="887"/>
      <c r="BZ200" s="887"/>
      <c r="CA200" s="887"/>
      <c r="CB200" s="887"/>
      <c r="CC200" s="887"/>
      <c r="CD200" s="887"/>
      <c r="CE200" s="887"/>
      <c r="CF200" s="887"/>
      <c r="CG200" s="887"/>
      <c r="CH200" s="887"/>
      <c r="CI200" s="887"/>
      <c r="CJ200" s="887"/>
      <c r="CK200" s="887"/>
      <c r="CL200" s="887"/>
      <c r="CM200" s="887"/>
      <c r="CN200" s="887"/>
      <c r="CO200" s="887"/>
      <c r="CP200" s="887"/>
      <c r="CQ200" s="887"/>
      <c r="CR200" s="887"/>
      <c r="CS200" s="887"/>
      <c r="CT200" s="887"/>
      <c r="CU200" s="887"/>
      <c r="CV200" s="887"/>
      <c r="CW200" s="887"/>
      <c r="CX200" s="887"/>
      <c r="CY200" s="887"/>
      <c r="CZ200" s="887"/>
      <c r="DA200" s="887"/>
      <c r="DB200" s="887"/>
      <c r="DC200" s="887"/>
      <c r="DD200" s="887"/>
      <c r="DE200" s="887"/>
      <c r="DF200" s="887"/>
      <c r="DG200" s="887"/>
      <c r="DH200" s="887"/>
      <c r="DI200" s="887"/>
      <c r="DJ200" s="887"/>
      <c r="DK200" s="887"/>
      <c r="DL200" s="887"/>
      <c r="DM200" s="887"/>
    </row>
  </sheetData>
  <sheetProtection algorithmName="SHA-512" hashValue="Pc/h9WGXvlvm8PL4LfbbVVDFOWmuNYau7VmZZtb3MGtPQvvKb6YDchOrgy/pG5+KLIasReFEDaGo3MYCWX0/7g==" saltValue="V01cBLqnlyQL1EQC2tSiXg==" spinCount="100000" sheet="1" objects="1" scenarios="1"/>
  <mergeCells count="60">
    <mergeCell ref="BR33:BV33"/>
    <mergeCell ref="BR34:BV34"/>
    <mergeCell ref="BR35:BV35"/>
    <mergeCell ref="BR36:BV36"/>
    <mergeCell ref="BR48:BV48"/>
    <mergeCell ref="BR49:BV49"/>
    <mergeCell ref="BR50:BV50"/>
    <mergeCell ref="BR51:BV51"/>
    <mergeCell ref="AA4:AW4"/>
    <mergeCell ref="AE50:AI50"/>
    <mergeCell ref="AQ50:AU50"/>
    <mergeCell ref="AE51:AI51"/>
    <mergeCell ref="AQ51:AU51"/>
    <mergeCell ref="AE36:AI36"/>
    <mergeCell ref="AQ36:AU36"/>
    <mergeCell ref="AE48:AI48"/>
    <mergeCell ref="AQ48:AU48"/>
    <mergeCell ref="AE49:AI49"/>
    <mergeCell ref="AQ49:AU49"/>
    <mergeCell ref="AE33:AI33"/>
    <mergeCell ref="AQ33:AU33"/>
    <mergeCell ref="AE34:AI34"/>
    <mergeCell ref="AQ34:AU34"/>
    <mergeCell ref="AE35:AI35"/>
    <mergeCell ref="AQ35:AU35"/>
    <mergeCell ref="AE18:AI18"/>
    <mergeCell ref="AE19:AI19"/>
    <mergeCell ref="AE20:AI20"/>
    <mergeCell ref="AE21:AI21"/>
    <mergeCell ref="AQ18:AU18"/>
    <mergeCell ref="AQ19:AU19"/>
    <mergeCell ref="AQ20:AU20"/>
    <mergeCell ref="AQ21:AU21"/>
    <mergeCell ref="G51:K51"/>
    <mergeCell ref="S51:W51"/>
    <mergeCell ref="G48:K48"/>
    <mergeCell ref="S48:W48"/>
    <mergeCell ref="G49:K49"/>
    <mergeCell ref="S49:W49"/>
    <mergeCell ref="G50:K50"/>
    <mergeCell ref="S50:W50"/>
    <mergeCell ref="G34:K34"/>
    <mergeCell ref="S34:W34"/>
    <mergeCell ref="G35:K35"/>
    <mergeCell ref="S35:W35"/>
    <mergeCell ref="G36:K36"/>
    <mergeCell ref="S36:W36"/>
    <mergeCell ref="G20:K20"/>
    <mergeCell ref="S20:W20"/>
    <mergeCell ref="G21:K21"/>
    <mergeCell ref="S21:W21"/>
    <mergeCell ref="G33:K33"/>
    <mergeCell ref="S33:W33"/>
    <mergeCell ref="G19:K19"/>
    <mergeCell ref="S19:W19"/>
    <mergeCell ref="C4:W4"/>
    <mergeCell ref="X4:Y4"/>
    <mergeCell ref="C5:W5"/>
    <mergeCell ref="G18:K18"/>
    <mergeCell ref="S18:W18"/>
  </mergeCells>
  <printOptions horizontalCentered="1"/>
  <pageMargins left="0.19685039370078741" right="0.23622047244094491" top="0.19685039370078741" bottom="0.15748031496062992" header="0.19685039370078741" footer="0.19685039370078741"/>
  <pageSetup paperSize="9" scale="60" orientation="landscape"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O204"/>
  <sheetViews>
    <sheetView showGridLines="0" tabSelected="1" view="pageBreakPreview" topLeftCell="A9" zoomScale="85" zoomScaleNormal="85" zoomScaleSheetLayoutView="85" workbookViewId="0">
      <selection activeCell="L50" sqref="L50"/>
    </sheetView>
  </sheetViews>
  <sheetFormatPr defaultColWidth="9.140625" defaultRowHeight="15.75" x14ac:dyDescent="0.25"/>
  <cols>
    <col min="1" max="1" width="5.42578125" style="74" customWidth="1"/>
    <col min="2" max="2" width="4" style="73" customWidth="1"/>
    <col min="3" max="3" width="14.5703125" style="73" customWidth="1"/>
    <col min="4" max="4" width="0.5703125" style="73" hidden="1" customWidth="1"/>
    <col min="5" max="5" width="1.42578125" style="73" customWidth="1"/>
    <col min="6" max="6" width="15.28515625" style="73" customWidth="1"/>
    <col min="7" max="7" width="12.5703125" style="73" customWidth="1"/>
    <col min="8" max="8" width="11.42578125" style="73" customWidth="1"/>
    <col min="9" max="9" width="11.85546875" style="73" customWidth="1"/>
    <col min="10" max="10" width="14.5703125" style="73" customWidth="1"/>
    <col min="11" max="11" width="11" style="73" customWidth="1"/>
    <col min="12" max="12" width="10.140625" style="73" customWidth="1"/>
    <col min="13" max="13" width="6.140625" style="73" bestFit="1" customWidth="1"/>
    <col min="14" max="14" width="5.85546875" style="73" customWidth="1"/>
    <col min="15" max="15" width="7.28515625" style="73" customWidth="1"/>
    <col min="16" max="16" width="9.140625" style="73" customWidth="1"/>
    <col min="17" max="17" width="10.7109375" style="73" customWidth="1"/>
    <col min="18" max="19" width="9.140625" style="73" customWidth="1"/>
    <col min="20" max="20" width="8.5703125" style="73" bestFit="1" customWidth="1"/>
    <col min="21" max="224" width="9.140625" style="73" customWidth="1"/>
    <col min="225" max="248" width="10.28515625" style="73" customWidth="1"/>
    <col min="249" max="249" width="7.5703125" style="73" customWidth="1"/>
    <col min="250" max="250" width="8.7109375" style="73" customWidth="1"/>
    <col min="251" max="256" width="8.85546875" style="73" customWidth="1"/>
    <col min="257" max="16384" width="9.140625" style="73"/>
  </cols>
  <sheetData>
    <row r="1" spans="1:249" ht="18.75" x14ac:dyDescent="0.25">
      <c r="A1" s="1324" t="s">
        <v>88</v>
      </c>
      <c r="B1" s="1324"/>
      <c r="C1" s="1324"/>
      <c r="D1" s="1324"/>
      <c r="E1" s="1324"/>
      <c r="F1" s="1324"/>
      <c r="G1" s="1324"/>
      <c r="H1" s="1324"/>
      <c r="I1" s="1324"/>
      <c r="J1" s="1324"/>
      <c r="K1" s="1324"/>
      <c r="L1" s="1324"/>
      <c r="M1" s="1324"/>
      <c r="N1" s="1324"/>
      <c r="O1" s="67"/>
      <c r="P1" s="481"/>
      <c r="Q1" s="69"/>
      <c r="R1" s="69"/>
      <c r="S1" s="69"/>
      <c r="T1" s="69"/>
      <c r="U1" s="69"/>
      <c r="V1" s="69"/>
      <c r="W1" s="69"/>
      <c r="X1" s="69"/>
      <c r="Y1" s="69"/>
      <c r="Z1" s="69"/>
    </row>
    <row r="2" spans="1:249" ht="17.25" x14ac:dyDescent="0.25">
      <c r="A2" s="1325" t="str">
        <f>ID!D2&amp;" "&amp;ID!I2</f>
        <v>Nomor Sertifikat : 44 / 11 / II - 21 / E - 035.66 DL</v>
      </c>
      <c r="B2" s="1325"/>
      <c r="C2" s="1325"/>
      <c r="D2" s="1325"/>
      <c r="E2" s="1325"/>
      <c r="F2" s="1325"/>
      <c r="G2" s="1325"/>
      <c r="H2" s="1325"/>
      <c r="I2" s="1325"/>
      <c r="J2" s="1325"/>
      <c r="K2" s="1325"/>
      <c r="L2" s="1325"/>
      <c r="M2" s="1325"/>
      <c r="N2" s="1325"/>
      <c r="P2" s="69"/>
      <c r="Q2" s="69"/>
      <c r="R2" s="69"/>
      <c r="S2" s="69"/>
      <c r="T2" s="69"/>
      <c r="U2" s="69"/>
      <c r="V2" s="69"/>
      <c r="W2" s="69"/>
      <c r="X2" s="69"/>
      <c r="Y2" s="69"/>
      <c r="Z2" s="69"/>
      <c r="IO2" s="73" t="s">
        <v>29</v>
      </c>
    </row>
    <row r="3" spans="1:249" ht="6" customHeight="1" x14ac:dyDescent="0.3">
      <c r="A3" s="499"/>
      <c r="B3" s="500"/>
      <c r="C3" s="500"/>
      <c r="D3" s="500"/>
      <c r="E3" s="500"/>
      <c r="F3" s="500"/>
      <c r="G3" s="500"/>
      <c r="H3" s="500"/>
      <c r="I3" s="500"/>
      <c r="J3" s="500"/>
      <c r="K3" s="501"/>
      <c r="P3" s="69"/>
      <c r="Q3" s="69"/>
      <c r="R3" s="69"/>
      <c r="S3" s="69"/>
      <c r="T3" s="69"/>
      <c r="U3" s="69"/>
      <c r="V3" s="69"/>
      <c r="W3" s="69"/>
      <c r="X3" s="69"/>
      <c r="Y3" s="69"/>
      <c r="Z3" s="69"/>
    </row>
    <row r="4" spans="1:249" ht="17.25" hidden="1" x14ac:dyDescent="0.3">
      <c r="A4" s="74" t="str">
        <f>ID!A80</f>
        <v xml:space="preserve">Petugas Kalibrasi  </v>
      </c>
      <c r="B4" s="74"/>
      <c r="C4" s="74"/>
      <c r="D4" s="73" t="s">
        <v>0</v>
      </c>
      <c r="E4" s="73" t="s">
        <v>0</v>
      </c>
      <c r="F4" s="74" t="str">
        <f>ID!A81</f>
        <v>Sholihatussa'diah</v>
      </c>
      <c r="G4" s="502"/>
      <c r="H4" s="502"/>
      <c r="I4" s="502"/>
      <c r="J4" s="502"/>
      <c r="K4" s="502"/>
      <c r="P4" s="69"/>
      <c r="Q4" s="69"/>
      <c r="R4" s="69"/>
      <c r="S4" s="69"/>
      <c r="T4" s="69"/>
      <c r="U4" s="69"/>
      <c r="V4" s="69"/>
      <c r="W4" s="69"/>
      <c r="X4" s="69"/>
      <c r="Y4" s="69"/>
      <c r="Z4" s="69"/>
    </row>
    <row r="5" spans="1:249" x14ac:dyDescent="0.25">
      <c r="A5" s="74" t="str">
        <f>ID!A6</f>
        <v xml:space="preserve">Merek                </v>
      </c>
      <c r="B5" s="74"/>
      <c r="C5" s="74"/>
      <c r="D5" s="73" t="s">
        <v>0</v>
      </c>
      <c r="E5" s="73" t="s">
        <v>0</v>
      </c>
      <c r="F5" s="74" t="str">
        <f>ID!C6</f>
        <v>COSMO Med</v>
      </c>
      <c r="G5" s="74"/>
      <c r="H5" s="74"/>
      <c r="I5" s="74"/>
      <c r="P5" s="69"/>
      <c r="Q5" s="69"/>
      <c r="R5" s="69"/>
      <c r="S5" s="69"/>
      <c r="T5" s="69"/>
      <c r="U5" s="69"/>
      <c r="V5" s="69"/>
      <c r="W5" s="69"/>
      <c r="X5" s="69"/>
      <c r="Y5" s="69"/>
      <c r="Z5" s="69"/>
      <c r="IO5" s="73" t="s">
        <v>30</v>
      </c>
    </row>
    <row r="6" spans="1:249" x14ac:dyDescent="0.25">
      <c r="A6" s="74" t="str">
        <f>ID!A7</f>
        <v>Model</v>
      </c>
      <c r="B6" s="74"/>
      <c r="C6" s="74"/>
      <c r="D6" s="73" t="s">
        <v>0</v>
      </c>
      <c r="E6" s="73" t="s">
        <v>0</v>
      </c>
      <c r="F6" s="74" t="str">
        <f>ID!C7</f>
        <v>-</v>
      </c>
      <c r="G6" s="74"/>
      <c r="H6" s="74"/>
      <c r="I6" s="74"/>
      <c r="P6" s="69"/>
      <c r="Q6" s="69"/>
      <c r="R6" s="69"/>
      <c r="S6" s="69"/>
      <c r="T6" s="69"/>
      <c r="U6" s="69"/>
      <c r="V6" s="69"/>
      <c r="W6" s="69"/>
      <c r="X6" s="69"/>
      <c r="Y6" s="69"/>
      <c r="Z6" s="69"/>
    </row>
    <row r="7" spans="1:249" x14ac:dyDescent="0.25">
      <c r="A7" s="74" t="str">
        <f>ID!A8</f>
        <v xml:space="preserve">No. Seri         </v>
      </c>
      <c r="B7" s="74"/>
      <c r="C7" s="74"/>
      <c r="E7" s="73" t="s">
        <v>0</v>
      </c>
      <c r="F7" s="74" t="str">
        <f>ID!C8</f>
        <v>-</v>
      </c>
      <c r="G7" s="74"/>
      <c r="H7" s="74"/>
      <c r="I7" s="74"/>
      <c r="P7" s="69"/>
      <c r="Q7" s="69"/>
      <c r="R7" s="69"/>
      <c r="S7" s="69"/>
      <c r="T7" s="69"/>
      <c r="U7" s="69"/>
      <c r="V7" s="69"/>
      <c r="W7" s="69"/>
      <c r="X7" s="69"/>
      <c r="Y7" s="69"/>
      <c r="Z7" s="69"/>
    </row>
    <row r="8" spans="1:249" x14ac:dyDescent="0.25">
      <c r="A8" s="74" t="str">
        <f>ID!A9</f>
        <v>Resolusi</v>
      </c>
      <c r="E8" s="399" t="s">
        <v>0</v>
      </c>
      <c r="F8" s="503">
        <f>ID!C9</f>
        <v>2</v>
      </c>
      <c r="P8" s="69"/>
      <c r="Q8" s="69"/>
      <c r="R8" s="69"/>
      <c r="S8" s="69"/>
      <c r="T8" s="69"/>
      <c r="U8" s="69"/>
      <c r="V8" s="69"/>
      <c r="W8" s="69"/>
      <c r="X8" s="69"/>
      <c r="Y8" s="69"/>
      <c r="Z8" s="69"/>
    </row>
    <row r="9" spans="1:249" x14ac:dyDescent="0.25">
      <c r="A9" s="74" t="str">
        <f>ID!A10</f>
        <v>Tanggal Penerimaan Alat</v>
      </c>
      <c r="D9" s="73" t="s">
        <v>0</v>
      </c>
      <c r="E9" s="73" t="s">
        <v>0</v>
      </c>
      <c r="F9" s="1053">
        <f>ID!C10</f>
        <v>44641</v>
      </c>
      <c r="P9" s="69"/>
      <c r="Q9" s="69"/>
      <c r="R9" s="69"/>
      <c r="S9" s="69"/>
      <c r="T9" s="69"/>
      <c r="U9" s="69"/>
      <c r="V9" s="69"/>
      <c r="W9" s="69"/>
      <c r="X9" s="69"/>
      <c r="Y9" s="69"/>
      <c r="Z9" s="69"/>
    </row>
    <row r="10" spans="1:249" x14ac:dyDescent="0.25">
      <c r="A10" s="74" t="str">
        <f>ID!A11</f>
        <v>Tanggal Kalibrasi</v>
      </c>
      <c r="D10" s="73" t="s">
        <v>0</v>
      </c>
      <c r="E10" s="73" t="s">
        <v>0</v>
      </c>
      <c r="F10" s="1053">
        <f>ID!C11</f>
        <v>44641</v>
      </c>
      <c r="G10" s="74"/>
      <c r="H10" s="74"/>
      <c r="I10" s="74"/>
      <c r="P10" s="69"/>
      <c r="Q10" s="69"/>
      <c r="R10" s="69"/>
      <c r="S10" s="69"/>
      <c r="T10" s="69"/>
      <c r="U10" s="69"/>
      <c r="V10" s="69"/>
      <c r="W10" s="69"/>
      <c r="X10" s="69"/>
      <c r="Y10" s="69"/>
      <c r="Z10" s="69"/>
    </row>
    <row r="11" spans="1:249" x14ac:dyDescent="0.25">
      <c r="A11" s="74" t="str">
        <f>ID!A12</f>
        <v>Tempat Kalibrasi</v>
      </c>
      <c r="B11" s="74"/>
      <c r="C11" s="74"/>
      <c r="E11" s="73" t="s">
        <v>0</v>
      </c>
      <c r="F11" s="74" t="str">
        <f>ID!C12</f>
        <v>ICU</v>
      </c>
      <c r="P11" s="69"/>
      <c r="Q11" s="69"/>
      <c r="R11" s="69"/>
      <c r="S11" s="69"/>
      <c r="T11" s="69"/>
      <c r="U11" s="69"/>
      <c r="V11" s="69"/>
      <c r="W11" s="69"/>
      <c r="X11" s="69"/>
      <c r="Y11" s="69"/>
      <c r="Z11" s="69"/>
    </row>
    <row r="12" spans="1:249" x14ac:dyDescent="0.25">
      <c r="A12" s="74" t="str">
        <f>ID!A13</f>
        <v>Nama Ruang</v>
      </c>
      <c r="B12" s="74"/>
      <c r="C12" s="74"/>
      <c r="E12" s="73" t="s">
        <v>0</v>
      </c>
      <c r="F12" s="74" t="str">
        <f>ID!C13</f>
        <v>VK</v>
      </c>
      <c r="P12" s="69"/>
      <c r="Q12" s="400">
        <f>'SERTIFIKAT THERMOHYGROMETER'!Q15</f>
        <v>0.8</v>
      </c>
      <c r="R12" s="69"/>
      <c r="S12" s="69"/>
      <c r="T12" s="69"/>
      <c r="U12" s="69"/>
      <c r="V12" s="69"/>
      <c r="W12" s="69"/>
      <c r="X12" s="69"/>
      <c r="Y12" s="69"/>
      <c r="Z12" s="69"/>
    </row>
    <row r="13" spans="1:249" x14ac:dyDescent="0.25">
      <c r="A13" s="450" t="s">
        <v>180</v>
      </c>
      <c r="B13" s="74"/>
      <c r="C13" s="74"/>
      <c r="E13" s="73" t="s">
        <v>0</v>
      </c>
      <c r="F13" s="399" t="s">
        <v>181</v>
      </c>
      <c r="P13" s="69"/>
      <c r="Q13" s="401">
        <f>'SERTIFIKAT THERMOHYGROMETER'!T15</f>
        <v>2.6</v>
      </c>
      <c r="R13" s="69"/>
      <c r="S13" s="69"/>
      <c r="T13" s="69"/>
      <c r="U13" s="69"/>
      <c r="V13" s="69"/>
      <c r="W13" s="69"/>
      <c r="X13" s="69"/>
      <c r="Y13" s="69"/>
      <c r="Z13" s="69"/>
    </row>
    <row r="14" spans="1:249" hidden="1" x14ac:dyDescent="0.25">
      <c r="A14" s="464"/>
      <c r="B14" s="69"/>
      <c r="C14" s="69"/>
      <c r="D14" s="69"/>
      <c r="E14" s="69"/>
      <c r="F14" s="69"/>
      <c r="G14" s="69"/>
      <c r="H14" s="69"/>
      <c r="I14" s="69"/>
      <c r="J14" s="69"/>
      <c r="K14" s="69"/>
      <c r="L14" s="69"/>
      <c r="M14" s="69"/>
      <c r="N14" s="69"/>
      <c r="O14" s="69"/>
      <c r="P14" s="69"/>
      <c r="Q14" s="69"/>
      <c r="R14" s="69"/>
      <c r="S14" s="69"/>
      <c r="T14" s="69"/>
      <c r="U14" s="69"/>
      <c r="V14" s="69"/>
      <c r="W14" s="69"/>
      <c r="X14" s="69"/>
      <c r="Y14" s="69"/>
      <c r="Z14" s="69"/>
    </row>
    <row r="15" spans="1:249" ht="9.75" customHeight="1" x14ac:dyDescent="0.25">
      <c r="A15" s="464"/>
      <c r="B15" s="464"/>
      <c r="C15" s="464"/>
      <c r="D15" s="69"/>
      <c r="E15" s="69"/>
      <c r="F15" s="69"/>
      <c r="G15" s="69"/>
      <c r="H15" s="69"/>
      <c r="I15" s="69"/>
      <c r="J15" s="69"/>
      <c r="K15" s="69"/>
      <c r="L15" s="69"/>
      <c r="M15" s="69"/>
      <c r="N15" s="69"/>
      <c r="O15" s="69"/>
      <c r="P15" s="69"/>
      <c r="Q15" s="69"/>
      <c r="R15" s="69"/>
      <c r="S15" s="69"/>
      <c r="T15" s="69"/>
      <c r="U15" s="69"/>
      <c r="V15" s="69"/>
      <c r="W15" s="69"/>
      <c r="X15" s="69"/>
      <c r="Y15" s="69"/>
      <c r="Z15" s="69"/>
    </row>
    <row r="16" spans="1:249" x14ac:dyDescent="0.25">
      <c r="A16" s="402" t="str">
        <f>ID!A18</f>
        <v>I. Kondisi Ruang</v>
      </c>
      <c r="B16" s="402"/>
      <c r="C16" s="402"/>
      <c r="D16" s="402"/>
      <c r="E16" s="402"/>
      <c r="F16" s="402"/>
      <c r="G16" s="402"/>
      <c r="H16" s="69"/>
      <c r="I16" s="69"/>
      <c r="J16" s="69"/>
      <c r="K16" s="69"/>
      <c r="L16" s="69"/>
      <c r="M16" s="69"/>
      <c r="N16" s="69"/>
      <c r="O16" s="69"/>
      <c r="P16" s="69"/>
      <c r="Q16" s="482" t="s">
        <v>219</v>
      </c>
      <c r="R16" s="69"/>
      <c r="S16" s="69"/>
      <c r="T16" s="69"/>
      <c r="U16" s="69"/>
      <c r="V16" s="69"/>
      <c r="W16" s="69"/>
      <c r="X16" s="69"/>
      <c r="Y16" s="69"/>
      <c r="Z16" s="69"/>
    </row>
    <row r="17" spans="1:26" x14ac:dyDescent="0.25">
      <c r="A17" s="464"/>
      <c r="B17" s="1308" t="s">
        <v>15</v>
      </c>
      <c r="C17" s="1308"/>
      <c r="D17" s="69" t="s">
        <v>0</v>
      </c>
      <c r="E17" s="69" t="s">
        <v>0</v>
      </c>
      <c r="F17" s="1059">
        <f>ID!F22</f>
        <v>25.396000000000001</v>
      </c>
      <c r="G17" s="997" t="s">
        <v>699</v>
      </c>
      <c r="H17" s="996">
        <f>'SERTIFIKAT THERMOHYGROMETER'!Q15</f>
        <v>0.8</v>
      </c>
      <c r="I17" s="994" t="s">
        <v>698</v>
      </c>
      <c r="J17" s="69"/>
      <c r="K17" s="69"/>
      <c r="L17" s="69"/>
      <c r="M17" s="69"/>
      <c r="N17" s="69"/>
      <c r="O17" s="69"/>
      <c r="P17" s="69"/>
      <c r="Q17" s="69"/>
      <c r="R17" s="69"/>
      <c r="S17" s="69"/>
      <c r="T17" s="69"/>
      <c r="U17" s="69"/>
      <c r="V17" s="69"/>
      <c r="W17" s="69"/>
      <c r="X17" s="69"/>
      <c r="Y17" s="69"/>
      <c r="Z17" s="69"/>
    </row>
    <row r="18" spans="1:26" x14ac:dyDescent="0.25">
      <c r="A18" s="464"/>
      <c r="B18" s="1308" t="s">
        <v>25</v>
      </c>
      <c r="C18" s="1308"/>
      <c r="D18" s="69" t="s">
        <v>0</v>
      </c>
      <c r="E18" s="69" t="s">
        <v>0</v>
      </c>
      <c r="F18" s="1059">
        <f>ID!F23</f>
        <v>76.364000000000004</v>
      </c>
      <c r="G18" s="997" t="s">
        <v>699</v>
      </c>
      <c r="H18" s="996">
        <f>'SERTIFIKAT THERMOHYGROMETER'!T15</f>
        <v>2.6</v>
      </c>
      <c r="I18" s="995" t="s">
        <v>700</v>
      </c>
      <c r="J18" s="69"/>
      <c r="K18" s="69"/>
      <c r="L18" s="69"/>
      <c r="M18" s="69"/>
      <c r="N18" s="69"/>
      <c r="O18" s="69"/>
      <c r="P18" s="69"/>
      <c r="Q18" s="69"/>
      <c r="R18" s="69"/>
      <c r="S18" s="69"/>
      <c r="T18" s="69"/>
      <c r="U18" s="69"/>
      <c r="V18" s="69"/>
      <c r="W18" s="69"/>
      <c r="X18" s="69"/>
      <c r="Y18" s="69"/>
      <c r="Z18" s="69"/>
    </row>
    <row r="19" spans="1:26" ht="7.5" customHeight="1" x14ac:dyDescent="0.25">
      <c r="A19" s="464"/>
      <c r="B19" s="464"/>
      <c r="C19" s="464"/>
      <c r="D19" s="69"/>
      <c r="E19" s="69"/>
      <c r="F19" s="403"/>
      <c r="G19" s="464"/>
      <c r="H19" s="464"/>
      <c r="I19" s="464"/>
      <c r="J19" s="69"/>
      <c r="K19" s="69"/>
      <c r="L19" s="69"/>
      <c r="M19" s="69"/>
      <c r="N19" s="69"/>
      <c r="O19" s="69"/>
      <c r="P19" s="69"/>
      <c r="Q19" s="69"/>
      <c r="R19" s="69"/>
      <c r="S19" s="69"/>
      <c r="T19" s="69"/>
      <c r="U19" s="69"/>
      <c r="V19" s="69"/>
      <c r="W19" s="69"/>
      <c r="X19" s="69"/>
      <c r="Y19" s="69"/>
      <c r="Z19" s="69"/>
    </row>
    <row r="20" spans="1:26" x14ac:dyDescent="0.25">
      <c r="A20" s="402" t="str">
        <f>ID!A36</f>
        <v>II. Pemeriksaan Kondisi Fisik dan Fungsi Alat</v>
      </c>
      <c r="B20" s="404"/>
      <c r="C20" s="404"/>
      <c r="D20" s="404"/>
      <c r="E20" s="404"/>
      <c r="F20" s="404"/>
      <c r="G20" s="404"/>
      <c r="H20" s="404"/>
      <c r="I20" s="69"/>
      <c r="J20" s="69"/>
      <c r="K20" s="69"/>
      <c r="L20" s="69"/>
      <c r="M20" s="69"/>
      <c r="N20" s="69"/>
      <c r="O20" s="483" t="s">
        <v>220</v>
      </c>
      <c r="P20" s="69"/>
      <c r="Q20" s="69"/>
      <c r="R20" s="69"/>
      <c r="S20" s="69"/>
      <c r="T20" s="69"/>
      <c r="U20" s="69"/>
      <c r="V20" s="69"/>
      <c r="W20" s="69"/>
      <c r="X20" s="69"/>
      <c r="Y20" s="69"/>
      <c r="Z20" s="69"/>
    </row>
    <row r="21" spans="1:26" x14ac:dyDescent="0.25">
      <c r="A21" s="464"/>
      <c r="B21" s="69" t="s">
        <v>31</v>
      </c>
      <c r="C21" s="69"/>
      <c r="D21" s="69" t="s">
        <v>32</v>
      </c>
      <c r="E21" s="69" t="s">
        <v>0</v>
      </c>
      <c r="F21" s="464" t="str">
        <f>ID!C37</f>
        <v>Baik</v>
      </c>
      <c r="G21" s="69"/>
      <c r="H21" s="69"/>
      <c r="I21" s="69"/>
      <c r="J21" s="69"/>
      <c r="K21" s="69"/>
      <c r="L21" s="69"/>
      <c r="M21" s="69"/>
      <c r="N21" s="69"/>
      <c r="O21" s="687">
        <f>IF(F21="Baik",5,IF(F21="Tidak Baik",0))</f>
        <v>5</v>
      </c>
      <c r="P21" s="69"/>
      <c r="Q21" s="69"/>
      <c r="R21" s="69"/>
      <c r="S21" s="69"/>
      <c r="T21" s="69"/>
      <c r="U21" s="69"/>
      <c r="V21" s="69"/>
      <c r="W21" s="69"/>
      <c r="X21" s="69"/>
      <c r="Y21" s="69"/>
      <c r="Z21" s="69"/>
    </row>
    <row r="22" spans="1:26" x14ac:dyDescent="0.25">
      <c r="A22" s="464"/>
      <c r="B22" s="69" t="s">
        <v>33</v>
      </c>
      <c r="C22" s="69"/>
      <c r="D22" s="69" t="s">
        <v>32</v>
      </c>
      <c r="E22" s="69" t="s">
        <v>0</v>
      </c>
      <c r="F22" s="464" t="str">
        <f>ID!C38</f>
        <v>Baik</v>
      </c>
      <c r="G22" s="69"/>
      <c r="H22" s="69"/>
      <c r="I22" s="69"/>
      <c r="J22" s="69"/>
      <c r="K22" s="69"/>
      <c r="L22" s="69"/>
      <c r="M22" s="69"/>
      <c r="N22" s="69"/>
      <c r="O22" s="687">
        <f>IF(F22="Baik",5,IF(F22="Tidak Baik",0))</f>
        <v>5</v>
      </c>
      <c r="P22" s="69"/>
      <c r="Q22" s="69"/>
      <c r="R22" s="69"/>
      <c r="S22" s="69"/>
      <c r="T22" s="69"/>
      <c r="U22" s="69"/>
      <c r="V22" s="69"/>
      <c r="W22" s="69"/>
      <c r="X22" s="69"/>
      <c r="Y22" s="69"/>
      <c r="Z22" s="69"/>
    </row>
    <row r="23" spans="1:26" ht="5.25" customHeight="1" x14ac:dyDescent="0.25">
      <c r="A23" s="1322"/>
      <c r="B23" s="1322"/>
      <c r="C23" s="1322"/>
      <c r="D23" s="1322"/>
      <c r="E23" s="1322"/>
      <c r="F23" s="1322"/>
      <c r="G23" s="1322"/>
      <c r="H23" s="69"/>
      <c r="I23" s="69"/>
      <c r="J23" s="69"/>
      <c r="K23" s="69"/>
      <c r="L23" s="69"/>
      <c r="M23" s="69"/>
      <c r="N23" s="484"/>
      <c r="O23" s="69"/>
      <c r="P23" s="69"/>
      <c r="Q23" s="69"/>
      <c r="R23" s="69"/>
      <c r="S23" s="69"/>
      <c r="T23" s="69"/>
      <c r="U23" s="69"/>
      <c r="V23" s="69"/>
      <c r="W23" s="69"/>
      <c r="X23" s="69"/>
      <c r="Y23" s="69"/>
      <c r="Z23" s="69"/>
    </row>
    <row r="24" spans="1:26" ht="15" customHeight="1" x14ac:dyDescent="0.25">
      <c r="A24" s="402" t="str">
        <f>ID!A39</f>
        <v>III. Pengujian Kinerja</v>
      </c>
      <c r="B24" s="460"/>
      <c r="C24" s="460"/>
      <c r="D24" s="460"/>
      <c r="E24" s="460"/>
      <c r="F24" s="460"/>
      <c r="G24" s="460"/>
      <c r="H24" s="69"/>
      <c r="I24" s="69"/>
      <c r="J24" s="69"/>
      <c r="K24" s="69"/>
      <c r="L24" s="69"/>
      <c r="M24" s="69"/>
      <c r="N24" s="484"/>
      <c r="O24" s="69"/>
      <c r="P24" s="69"/>
      <c r="Q24" s="69"/>
      <c r="R24" s="69"/>
      <c r="S24" s="69"/>
      <c r="T24" s="69"/>
      <c r="U24" s="69"/>
      <c r="V24" s="69"/>
      <c r="W24" s="69"/>
      <c r="X24" s="69"/>
      <c r="Y24" s="69"/>
      <c r="Z24" s="69"/>
    </row>
    <row r="25" spans="1:26" x14ac:dyDescent="0.25">
      <c r="A25" s="402" t="str">
        <f>ID!A40</f>
        <v>A. Pengujian Kebocoran</v>
      </c>
      <c r="B25" s="402"/>
      <c r="C25" s="405"/>
      <c r="D25" s="405"/>
      <c r="E25" s="405"/>
      <c r="F25" s="405"/>
      <c r="G25" s="460"/>
      <c r="H25" s="69"/>
      <c r="I25" s="69"/>
      <c r="J25" s="69"/>
      <c r="K25" s="69"/>
      <c r="L25" s="69"/>
      <c r="M25" s="69"/>
      <c r="N25" s="484"/>
      <c r="O25" s="69"/>
      <c r="P25" s="69"/>
      <c r="Q25" s="69"/>
      <c r="R25" s="69"/>
      <c r="S25" s="69"/>
      <c r="T25" s="69"/>
      <c r="U25" s="69"/>
      <c r="V25" s="69"/>
      <c r="W25" s="69"/>
      <c r="X25" s="69"/>
      <c r="Y25" s="69"/>
      <c r="Z25" s="69"/>
    </row>
    <row r="26" spans="1:26" ht="15.75" customHeight="1" x14ac:dyDescent="0.25">
      <c r="A26" s="464"/>
      <c r="B26" s="1313" t="s">
        <v>53</v>
      </c>
      <c r="C26" s="1314"/>
      <c r="D26" s="1314"/>
      <c r="E26" s="1315"/>
      <c r="F26" s="1298" t="str">
        <f>ID!B41</f>
        <v>Laju Kebocoran tekanan 250 mmHg dalam 1 menit</v>
      </c>
      <c r="G26" s="1330"/>
      <c r="H26" s="1295"/>
      <c r="I26" s="1328" t="s">
        <v>37</v>
      </c>
      <c r="J26" s="69"/>
      <c r="K26" s="69"/>
      <c r="L26" s="69"/>
      <c r="M26" s="69"/>
      <c r="N26" s="484"/>
      <c r="O26" s="69"/>
      <c r="P26" s="69"/>
      <c r="Q26" s="69"/>
      <c r="R26" s="69"/>
      <c r="S26" s="69"/>
      <c r="T26" s="69"/>
      <c r="U26" s="69"/>
      <c r="V26" s="69"/>
      <c r="W26" s="69"/>
      <c r="X26" s="69"/>
      <c r="Y26" s="69"/>
      <c r="Z26" s="69"/>
    </row>
    <row r="27" spans="1:26" x14ac:dyDescent="0.25">
      <c r="A27" s="464"/>
      <c r="B27" s="1316"/>
      <c r="C27" s="1317"/>
      <c r="D27" s="1317"/>
      <c r="E27" s="1318"/>
      <c r="F27" s="1331"/>
      <c r="G27" s="1332"/>
      <c r="H27" s="1333"/>
      <c r="I27" s="1329"/>
      <c r="J27" s="69"/>
      <c r="K27" s="69"/>
      <c r="L27" s="69"/>
      <c r="M27" s="69"/>
      <c r="N27" s="484"/>
      <c r="O27" s="69"/>
      <c r="P27" s="69"/>
      <c r="Q27" s="69"/>
      <c r="R27" s="69"/>
      <c r="S27" s="69"/>
      <c r="T27" s="69"/>
      <c r="U27" s="69"/>
      <c r="V27" s="69"/>
      <c r="W27" s="69"/>
      <c r="X27" s="69"/>
      <c r="Y27" s="69"/>
      <c r="Z27" s="69"/>
    </row>
    <row r="28" spans="1:26" x14ac:dyDescent="0.25">
      <c r="A28" s="464"/>
      <c r="B28" s="1319"/>
      <c r="C28" s="1320"/>
      <c r="D28" s="1320"/>
      <c r="E28" s="1321"/>
      <c r="F28" s="1319" t="s">
        <v>4</v>
      </c>
      <c r="G28" s="1320"/>
      <c r="H28" s="1321"/>
      <c r="I28" s="406" t="s">
        <v>4</v>
      </c>
      <c r="J28" s="69"/>
      <c r="K28" s="69"/>
      <c r="L28" s="69"/>
      <c r="M28" s="69"/>
      <c r="N28" s="484"/>
      <c r="O28" s="483" t="s">
        <v>220</v>
      </c>
      <c r="P28" s="69"/>
      <c r="Q28" s="69"/>
      <c r="R28" s="69"/>
      <c r="S28" s="69"/>
      <c r="T28" s="69"/>
      <c r="U28" s="69"/>
      <c r="V28" s="69"/>
      <c r="W28" s="69"/>
      <c r="X28" s="69"/>
      <c r="Y28" s="69"/>
      <c r="Z28" s="69"/>
    </row>
    <row r="29" spans="1:26" ht="19.5" customHeight="1" x14ac:dyDescent="0.25">
      <c r="A29" s="464"/>
      <c r="B29" s="1310" t="s">
        <v>54</v>
      </c>
      <c r="C29" s="1311"/>
      <c r="D29" s="1311"/>
      <c r="E29" s="1312"/>
      <c r="F29" s="1334">
        <f>ID!D43</f>
        <v>8.2492008309840159</v>
      </c>
      <c r="G29" s="1335"/>
      <c r="H29" s="1336"/>
      <c r="I29" s="407" t="s">
        <v>358</v>
      </c>
      <c r="J29" s="69"/>
      <c r="K29" s="69"/>
      <c r="L29" s="69"/>
      <c r="M29" s="69"/>
      <c r="N29" s="69"/>
      <c r="O29" s="687">
        <f>IF(F29&lt;=15,20,0)</f>
        <v>20</v>
      </c>
      <c r="P29" s="69"/>
      <c r="Q29" s="69"/>
      <c r="R29" s="69"/>
      <c r="S29" s="69"/>
      <c r="T29" s="69"/>
      <c r="U29" s="69"/>
      <c r="V29" s="69"/>
      <c r="W29" s="69"/>
      <c r="X29" s="69"/>
      <c r="Y29" s="69"/>
      <c r="Z29" s="69"/>
    </row>
    <row r="30" spans="1:26" ht="18" customHeight="1" x14ac:dyDescent="0.25">
      <c r="A30" s="464"/>
      <c r="B30" s="464"/>
      <c r="C30" s="460"/>
      <c r="D30" s="460"/>
      <c r="E30" s="460"/>
      <c r="F30" s="460"/>
      <c r="G30" s="460"/>
      <c r="H30" s="69"/>
      <c r="I30" s="69"/>
      <c r="J30" s="69"/>
      <c r="K30" s="69"/>
      <c r="L30" s="69"/>
      <c r="M30" s="69"/>
      <c r="N30" s="484"/>
      <c r="O30" s="69"/>
      <c r="P30" s="69"/>
      <c r="Q30" s="69"/>
      <c r="R30" s="69"/>
      <c r="S30" s="69"/>
      <c r="T30" s="69"/>
      <c r="U30" s="69"/>
      <c r="V30" s="69"/>
      <c r="W30" s="69"/>
      <c r="X30" s="69"/>
      <c r="Y30" s="69"/>
      <c r="Z30" s="69"/>
    </row>
    <row r="31" spans="1:26" x14ac:dyDescent="0.25">
      <c r="A31" s="402" t="str">
        <f>ID!A51</f>
        <v>B. Laju Buang Cepat</v>
      </c>
      <c r="B31" s="402"/>
      <c r="C31" s="405"/>
      <c r="D31" s="405"/>
      <c r="E31" s="405"/>
      <c r="F31" s="405"/>
      <c r="G31" s="460"/>
      <c r="H31" s="69"/>
      <c r="I31" s="69"/>
      <c r="J31" s="69"/>
      <c r="K31" s="69"/>
      <c r="L31" s="69"/>
      <c r="M31" s="69"/>
      <c r="N31" s="484"/>
      <c r="O31" s="69"/>
      <c r="P31" s="69"/>
      <c r="Q31" s="69"/>
      <c r="R31" s="69"/>
      <c r="S31" s="69"/>
      <c r="T31" s="69"/>
      <c r="U31" s="69"/>
      <c r="V31" s="69"/>
      <c r="W31" s="69"/>
      <c r="X31" s="69"/>
      <c r="Y31" s="69"/>
      <c r="Z31" s="69"/>
    </row>
    <row r="32" spans="1:26" ht="15.75" customHeight="1" x14ac:dyDescent="0.25">
      <c r="A32" s="464"/>
      <c r="B32" s="1313" t="s">
        <v>53</v>
      </c>
      <c r="C32" s="1314"/>
      <c r="D32" s="1314"/>
      <c r="E32" s="1315"/>
      <c r="F32" s="1298" t="str">
        <f>ID!B52</f>
        <v>Laju Buang Cepat tekanan 260 mmHg sampai dengan 15 mmHg</v>
      </c>
      <c r="G32" s="1330"/>
      <c r="H32" s="1295"/>
      <c r="I32" s="1328" t="s">
        <v>37</v>
      </c>
      <c r="J32" s="69"/>
      <c r="K32" s="69"/>
      <c r="L32" s="69"/>
      <c r="M32" s="69"/>
      <c r="N32" s="484"/>
      <c r="O32" s="69"/>
      <c r="P32" s="69"/>
      <c r="Q32" s="69"/>
      <c r="R32" s="69"/>
      <c r="S32" s="69"/>
      <c r="T32" s="69"/>
      <c r="U32" s="69"/>
      <c r="V32" s="69"/>
      <c r="W32" s="69"/>
      <c r="X32" s="69"/>
      <c r="Y32" s="69"/>
      <c r="Z32" s="69"/>
    </row>
    <row r="33" spans="1:26" x14ac:dyDescent="0.25">
      <c r="A33" s="464"/>
      <c r="B33" s="1316"/>
      <c r="C33" s="1317"/>
      <c r="D33" s="1317"/>
      <c r="E33" s="1318"/>
      <c r="F33" s="1331"/>
      <c r="G33" s="1332"/>
      <c r="H33" s="1333"/>
      <c r="I33" s="1329"/>
      <c r="J33" s="69"/>
      <c r="K33" s="69"/>
      <c r="L33" s="69"/>
      <c r="M33" s="69"/>
      <c r="N33" s="484"/>
      <c r="O33" s="69"/>
      <c r="P33" s="69"/>
      <c r="Q33" s="69"/>
      <c r="R33" s="69"/>
      <c r="S33" s="69"/>
      <c r="T33" s="69"/>
      <c r="U33" s="69"/>
      <c r="V33" s="69"/>
      <c r="W33" s="69"/>
      <c r="X33" s="69"/>
      <c r="Y33" s="69"/>
      <c r="Z33" s="69"/>
    </row>
    <row r="34" spans="1:26" x14ac:dyDescent="0.25">
      <c r="A34" s="464"/>
      <c r="B34" s="1319"/>
      <c r="C34" s="1320"/>
      <c r="D34" s="1320"/>
      <c r="E34" s="1321"/>
      <c r="F34" s="1326" t="s">
        <v>165</v>
      </c>
      <c r="G34" s="1320"/>
      <c r="H34" s="1321"/>
      <c r="I34" s="409" t="s">
        <v>165</v>
      </c>
      <c r="J34" s="69"/>
      <c r="K34" s="69"/>
      <c r="L34" s="69"/>
      <c r="M34" s="69"/>
      <c r="N34" s="484"/>
      <c r="O34" s="483" t="s">
        <v>220</v>
      </c>
      <c r="P34" s="69"/>
      <c r="Q34" s="69"/>
      <c r="R34" s="69"/>
      <c r="S34" s="69"/>
      <c r="T34" s="69"/>
      <c r="U34" s="69"/>
      <c r="V34" s="69"/>
      <c r="W34" s="69"/>
      <c r="X34" s="69"/>
      <c r="Y34" s="69"/>
      <c r="Z34" s="69"/>
    </row>
    <row r="35" spans="1:26" ht="19.5" customHeight="1" x14ac:dyDescent="0.25">
      <c r="A35" s="464"/>
      <c r="B35" s="1337" t="s">
        <v>139</v>
      </c>
      <c r="C35" s="1311"/>
      <c r="D35" s="1311"/>
      <c r="E35" s="1312"/>
      <c r="F35" s="1338">
        <f>ID!D54</f>
        <v>8.5711208246224153</v>
      </c>
      <c r="G35" s="1339"/>
      <c r="H35" s="1340"/>
      <c r="I35" s="407" t="s">
        <v>166</v>
      </c>
      <c r="J35" s="69"/>
      <c r="K35" s="69"/>
      <c r="L35" s="69"/>
      <c r="M35" s="69"/>
      <c r="N35" s="69"/>
      <c r="O35" s="687">
        <f>IF(F35&lt;=10,20,0)</f>
        <v>20</v>
      </c>
      <c r="P35" s="69"/>
      <c r="Q35" s="69"/>
      <c r="R35" s="69"/>
      <c r="S35" s="69"/>
      <c r="T35" s="69"/>
      <c r="U35" s="69"/>
      <c r="V35" s="69"/>
      <c r="W35" s="69"/>
      <c r="X35" s="69"/>
      <c r="Y35" s="69"/>
      <c r="Z35" s="69"/>
    </row>
    <row r="36" spans="1:26" ht="7.5" customHeight="1" x14ac:dyDescent="0.25">
      <c r="A36" s="464"/>
      <c r="B36" s="464"/>
      <c r="C36" s="460"/>
      <c r="D36" s="460"/>
      <c r="E36" s="460"/>
      <c r="F36" s="460"/>
      <c r="G36" s="460"/>
      <c r="H36" s="69"/>
      <c r="I36" s="69"/>
      <c r="J36" s="69"/>
      <c r="K36" s="69"/>
      <c r="L36" s="69"/>
      <c r="M36" s="69"/>
      <c r="N36" s="69"/>
      <c r="O36" s="69"/>
      <c r="P36" s="69"/>
      <c r="Q36" s="69"/>
      <c r="R36" s="69"/>
      <c r="S36" s="69"/>
      <c r="T36" s="69"/>
      <c r="U36" s="69"/>
      <c r="V36" s="69"/>
      <c r="W36" s="69"/>
      <c r="X36" s="69"/>
      <c r="Y36" s="69"/>
      <c r="Z36" s="69"/>
    </row>
    <row r="37" spans="1:26" x14ac:dyDescent="0.25">
      <c r="A37" s="402" t="str">
        <f>ID!A64</f>
        <v>C. Kalibrasi Akurasi Tekanan</v>
      </c>
      <c r="B37" s="404"/>
      <c r="C37" s="404"/>
      <c r="D37" s="404"/>
      <c r="E37" s="404"/>
      <c r="F37" s="404"/>
      <c r="G37" s="404"/>
      <c r="H37" s="69"/>
      <c r="I37" s="69"/>
      <c r="J37" s="69"/>
      <c r="K37" s="69"/>
      <c r="L37" s="69"/>
      <c r="M37" s="69"/>
      <c r="N37" s="69"/>
      <c r="O37" s="69"/>
      <c r="P37" s="69"/>
      <c r="Q37" s="69"/>
      <c r="R37" s="69"/>
      <c r="S37" s="69"/>
      <c r="T37" s="69"/>
      <c r="U37" s="69"/>
      <c r="V37" s="69"/>
      <c r="W37" s="69"/>
      <c r="X37" s="69"/>
      <c r="Y37" s="69"/>
      <c r="Z37" s="69"/>
    </row>
    <row r="38" spans="1:26" ht="15.75" hidden="1" customHeight="1" x14ac:dyDescent="0.25">
      <c r="A38" s="464"/>
      <c r="B38" s="1309" t="s">
        <v>3</v>
      </c>
      <c r="C38" s="1309" t="s">
        <v>18</v>
      </c>
      <c r="D38" s="1309"/>
      <c r="E38" s="1309"/>
      <c r="F38" s="1348" t="s">
        <v>20</v>
      </c>
      <c r="G38" s="1348" t="s">
        <v>49</v>
      </c>
      <c r="H38" s="1353" t="s">
        <v>37</v>
      </c>
      <c r="I38" s="1353" t="s">
        <v>19</v>
      </c>
      <c r="J38" s="69"/>
      <c r="K38" s="69"/>
      <c r="L38" s="69"/>
      <c r="M38" s="69"/>
      <c r="N38" s="69"/>
      <c r="O38" s="69"/>
      <c r="P38" s="69"/>
      <c r="Q38" s="69"/>
      <c r="R38" s="69"/>
      <c r="S38" s="69"/>
      <c r="T38" s="69"/>
      <c r="U38" s="69"/>
      <c r="V38" s="69"/>
      <c r="W38" s="69"/>
      <c r="X38" s="69"/>
      <c r="Y38" s="69"/>
      <c r="Z38" s="69"/>
    </row>
    <row r="39" spans="1:26" hidden="1" x14ac:dyDescent="0.25">
      <c r="A39" s="464"/>
      <c r="B39" s="1309"/>
      <c r="C39" s="1309" t="s">
        <v>8</v>
      </c>
      <c r="D39" s="1309"/>
      <c r="E39" s="1309"/>
      <c r="F39" s="1348"/>
      <c r="G39" s="1348"/>
      <c r="H39" s="1348"/>
      <c r="I39" s="1348"/>
      <c r="J39" s="69"/>
      <c r="K39" s="69"/>
      <c r="L39" s="69"/>
      <c r="M39" s="69"/>
      <c r="N39" s="69"/>
      <c r="O39" s="69"/>
      <c r="P39" s="69"/>
      <c r="Q39" s="1294" t="s">
        <v>86</v>
      </c>
      <c r="R39" s="1295"/>
      <c r="S39" s="69"/>
      <c r="T39" s="69"/>
      <c r="U39" s="69"/>
      <c r="V39" s="69"/>
      <c r="W39" s="69"/>
      <c r="X39" s="69"/>
      <c r="Y39" s="69"/>
      <c r="Z39" s="69"/>
    </row>
    <row r="40" spans="1:26" hidden="1" x14ac:dyDescent="0.25">
      <c r="A40" s="464"/>
      <c r="B40" s="1307"/>
      <c r="C40" s="1307" t="s">
        <v>4</v>
      </c>
      <c r="D40" s="1307"/>
      <c r="E40" s="1307"/>
      <c r="F40" s="466" t="s">
        <v>4</v>
      </c>
      <c r="G40" s="466" t="s">
        <v>4</v>
      </c>
      <c r="H40" s="466" t="s">
        <v>4</v>
      </c>
      <c r="I40" s="410" t="s">
        <v>90</v>
      </c>
      <c r="J40" s="69"/>
      <c r="K40" s="69"/>
      <c r="L40" s="69"/>
      <c r="M40" s="69"/>
      <c r="N40" s="69"/>
      <c r="O40" s="69"/>
      <c r="P40" s="69"/>
      <c r="Q40" s="1296"/>
      <c r="R40" s="1297"/>
      <c r="S40" s="69"/>
      <c r="T40" s="69"/>
      <c r="U40" s="69"/>
      <c r="V40" s="69"/>
      <c r="W40" s="69"/>
      <c r="X40" s="69"/>
      <c r="Y40" s="69"/>
      <c r="Z40" s="69"/>
    </row>
    <row r="41" spans="1:26" hidden="1" x14ac:dyDescent="0.25">
      <c r="A41" s="464"/>
      <c r="B41" s="461" t="s">
        <v>5</v>
      </c>
      <c r="C41" s="1349">
        <f>ID!A68</f>
        <v>0</v>
      </c>
      <c r="D41" s="1349"/>
      <c r="E41" s="1349"/>
      <c r="F41" s="411" t="e">
        <f>ID!#REF!</f>
        <v>#REF!</v>
      </c>
      <c r="G41" s="411" t="e">
        <f>ID!#REF!</f>
        <v>#REF!</v>
      </c>
      <c r="H41" s="1347" t="s">
        <v>123</v>
      </c>
      <c r="I41" s="485" t="str">
        <f>IF(Q41&lt;0.6,"0.6",Q41)</f>
        <v>0.6</v>
      </c>
      <c r="J41" s="69"/>
      <c r="K41" s="69"/>
      <c r="L41" s="69"/>
      <c r="M41" s="69"/>
      <c r="N41" s="69"/>
      <c r="O41" s="69"/>
      <c r="P41" s="69"/>
      <c r="Q41" s="412">
        <f>'BUDGET NAIK'!L21</f>
        <v>0.47284983442043033</v>
      </c>
      <c r="R41" s="69"/>
      <c r="S41" s="69"/>
      <c r="T41" s="69"/>
      <c r="U41" s="69"/>
      <c r="V41" s="69"/>
      <c r="W41" s="69"/>
      <c r="X41" s="69"/>
      <c r="Y41" s="69"/>
      <c r="Z41" s="69"/>
    </row>
    <row r="42" spans="1:26" hidden="1" x14ac:dyDescent="0.25">
      <c r="A42" s="464"/>
      <c r="B42" s="461" t="s">
        <v>6</v>
      </c>
      <c r="C42" s="1349">
        <f>ID!A69</f>
        <v>50</v>
      </c>
      <c r="D42" s="1349"/>
      <c r="E42" s="1349"/>
      <c r="F42" s="411" t="e">
        <f>ID!#REF!</f>
        <v>#REF!</v>
      </c>
      <c r="G42" s="411" t="e">
        <f>ID!#REF!</f>
        <v>#REF!</v>
      </c>
      <c r="H42" s="1347"/>
      <c r="I42" s="485" t="str">
        <f>IF(Q42&lt;0.6,"0.6",Q42)</f>
        <v>0.6</v>
      </c>
      <c r="J42" s="69"/>
      <c r="K42" s="69"/>
      <c r="L42" s="69"/>
      <c r="M42" s="69"/>
      <c r="N42" s="69"/>
      <c r="O42" s="69"/>
      <c r="P42" s="69"/>
      <c r="Q42" s="412">
        <f>'BUDGET NAIK'!L36</f>
        <v>0.55316336713855274</v>
      </c>
      <c r="R42" s="69"/>
      <c r="S42" s="69"/>
      <c r="T42" s="69"/>
      <c r="U42" s="69"/>
      <c r="V42" s="69"/>
      <c r="W42" s="69"/>
      <c r="X42" s="69"/>
      <c r="Y42" s="69"/>
      <c r="Z42" s="69"/>
    </row>
    <row r="43" spans="1:26" hidden="1" x14ac:dyDescent="0.25">
      <c r="A43" s="464"/>
      <c r="B43" s="461" t="s">
        <v>7</v>
      </c>
      <c r="C43" s="1349">
        <f>ID!A70</f>
        <v>100</v>
      </c>
      <c r="D43" s="1349"/>
      <c r="E43" s="1349"/>
      <c r="F43" s="411" t="e">
        <f>ID!#REF!</f>
        <v>#REF!</v>
      </c>
      <c r="G43" s="411" t="e">
        <f>ID!#REF!</f>
        <v>#REF!</v>
      </c>
      <c r="H43" s="1347"/>
      <c r="I43" s="485" t="str">
        <f>IF(Q43&lt;0.6,"0.6",Q43)</f>
        <v>0.6</v>
      </c>
      <c r="J43" s="69"/>
      <c r="K43" s="69"/>
      <c r="L43" s="69"/>
      <c r="M43" s="69"/>
      <c r="N43" s="69"/>
      <c r="O43" s="69"/>
      <c r="P43" s="69"/>
      <c r="Q43" s="412">
        <f>'BUDGET NAIK'!L51</f>
        <v>0.56110622725718295</v>
      </c>
      <c r="R43" s="69"/>
      <c r="S43" s="69"/>
      <c r="T43" s="69"/>
      <c r="U43" s="69"/>
      <c r="V43" s="69"/>
      <c r="W43" s="69"/>
      <c r="X43" s="69"/>
      <c r="Y43" s="69"/>
      <c r="Z43" s="69"/>
    </row>
    <row r="44" spans="1:26" ht="7.5" customHeight="1" x14ac:dyDescent="0.25">
      <c r="A44" s="464"/>
      <c r="B44" s="460"/>
      <c r="C44" s="460"/>
      <c r="D44" s="460"/>
      <c r="E44" s="460"/>
      <c r="F44" s="413"/>
      <c r="G44" s="413"/>
      <c r="H44" s="414"/>
      <c r="I44" s="53"/>
      <c r="J44" s="69"/>
      <c r="K44" s="69"/>
      <c r="L44" s="69"/>
      <c r="M44" s="69"/>
      <c r="N44" s="69"/>
      <c r="O44" s="69"/>
      <c r="P44" s="69"/>
      <c r="Q44" s="416"/>
      <c r="R44" s="69"/>
      <c r="S44" s="69"/>
      <c r="T44" s="69"/>
      <c r="U44" s="69"/>
      <c r="V44" s="69"/>
      <c r="W44" s="69"/>
      <c r="X44" s="69"/>
      <c r="Y44" s="69"/>
      <c r="Z44" s="69"/>
    </row>
    <row r="45" spans="1:26" s="418" customFormat="1" ht="30.75" customHeight="1" x14ac:dyDescent="0.2">
      <c r="A45" s="417"/>
      <c r="B45" s="1323" t="s">
        <v>3</v>
      </c>
      <c r="C45" s="1327" t="s">
        <v>52</v>
      </c>
      <c r="D45" s="1323"/>
      <c r="E45" s="1327"/>
      <c r="F45" s="1352" t="s">
        <v>20</v>
      </c>
      <c r="G45" s="1352"/>
      <c r="H45" s="1352" t="s">
        <v>49</v>
      </c>
      <c r="I45" s="1352"/>
      <c r="J45" s="463" t="s">
        <v>37</v>
      </c>
      <c r="K45" s="1299" t="s">
        <v>19</v>
      </c>
      <c r="L45" s="1300"/>
      <c r="M45" s="486"/>
      <c r="N45" s="486"/>
      <c r="O45" s="486"/>
      <c r="P45" s="486"/>
      <c r="Q45" s="1298" t="s">
        <v>169</v>
      </c>
      <c r="R45" s="1295"/>
      <c r="S45" s="486"/>
      <c r="T45" s="486"/>
      <c r="U45" s="486"/>
      <c r="V45" s="486"/>
      <c r="W45" s="486"/>
      <c r="X45" s="486"/>
      <c r="Y45" s="486"/>
      <c r="Z45" s="486"/>
    </row>
    <row r="46" spans="1:26" x14ac:dyDescent="0.25">
      <c r="A46" s="464"/>
      <c r="B46" s="1323"/>
      <c r="C46" s="419"/>
      <c r="D46" s="420"/>
      <c r="E46" s="421"/>
      <c r="F46" s="487" t="s">
        <v>158</v>
      </c>
      <c r="G46" s="487" t="s">
        <v>159</v>
      </c>
      <c r="H46" s="487" t="s">
        <v>158</v>
      </c>
      <c r="I46" s="487" t="s">
        <v>159</v>
      </c>
      <c r="J46" s="422"/>
      <c r="K46" s="487" t="s">
        <v>158</v>
      </c>
      <c r="L46" s="487" t="s">
        <v>159</v>
      </c>
      <c r="M46" s="1305"/>
      <c r="N46" s="1305"/>
      <c r="O46" s="1345" t="s">
        <v>220</v>
      </c>
      <c r="P46" s="69"/>
      <c r="Q46" s="1296"/>
      <c r="R46" s="1297"/>
      <c r="S46" s="69"/>
      <c r="T46" s="1202" t="s">
        <v>185</v>
      </c>
      <c r="U46" s="1202"/>
      <c r="V46" s="69"/>
      <c r="W46" s="69"/>
      <c r="X46" s="69"/>
      <c r="Y46" s="69"/>
      <c r="Z46" s="69"/>
    </row>
    <row r="47" spans="1:26" x14ac:dyDescent="0.25">
      <c r="A47" s="464"/>
      <c r="B47" s="1323"/>
      <c r="C47" s="1341" t="s">
        <v>4</v>
      </c>
      <c r="D47" s="1341"/>
      <c r="E47" s="1341"/>
      <c r="F47" s="465" t="s">
        <v>4</v>
      </c>
      <c r="G47" s="465" t="s">
        <v>4</v>
      </c>
      <c r="H47" s="465" t="s">
        <v>4</v>
      </c>
      <c r="I47" s="465" t="s">
        <v>4</v>
      </c>
      <c r="J47" s="423" t="s">
        <v>4</v>
      </c>
      <c r="K47" s="424" t="s">
        <v>90</v>
      </c>
      <c r="L47" s="424" t="s">
        <v>90</v>
      </c>
      <c r="M47" s="1305"/>
      <c r="N47" s="1305"/>
      <c r="O47" s="1345"/>
      <c r="P47" s="69"/>
      <c r="Q47" s="425" t="s">
        <v>152</v>
      </c>
      <c r="R47" s="425" t="s">
        <v>153</v>
      </c>
      <c r="S47" s="69"/>
      <c r="T47" s="425" t="s">
        <v>152</v>
      </c>
      <c r="U47" s="425" t="s">
        <v>153</v>
      </c>
      <c r="V47" s="69"/>
      <c r="W47" s="488" t="s">
        <v>158</v>
      </c>
      <c r="X47" s="488" t="s">
        <v>159</v>
      </c>
      <c r="Y47" s="489" t="s">
        <v>192</v>
      </c>
      <c r="Z47" s="69"/>
    </row>
    <row r="48" spans="1:26" ht="15.75" customHeight="1" x14ac:dyDescent="0.25">
      <c r="A48" s="464"/>
      <c r="B48" s="426">
        <v>1</v>
      </c>
      <c r="C48" s="427">
        <f>ID!A68</f>
        <v>0</v>
      </c>
      <c r="D48" s="428"/>
      <c r="E48" s="195"/>
      <c r="F48" s="429">
        <f>ID!J68</f>
        <v>9.9999999999999995E-7</v>
      </c>
      <c r="G48" s="429">
        <f>ID!K68</f>
        <v>1.00199998E-6</v>
      </c>
      <c r="H48" s="430">
        <f>ID!N68</f>
        <v>9.9999999999999995E-7</v>
      </c>
      <c r="I48" s="490">
        <f>ID!O68</f>
        <v>1.00199998E-6</v>
      </c>
      <c r="J48" s="431"/>
      <c r="K48" s="512" t="str">
        <f>IF(Q48&lt;0.6,"0.6",Q48)</f>
        <v>0.6</v>
      </c>
      <c r="L48" s="512" t="str">
        <f>IF(R48&lt;0.6,"0.6",R48)</f>
        <v>0.6</v>
      </c>
      <c r="M48" s="1306"/>
      <c r="N48" s="1306"/>
      <c r="O48" s="1342">
        <f>W71</f>
        <v>50</v>
      </c>
      <c r="P48" s="69"/>
      <c r="Q48" s="491">
        <f>ID!P68</f>
        <v>0.47284983442043033</v>
      </c>
      <c r="R48" s="509">
        <f>ID!Q68</f>
        <v>0.55315145964114765</v>
      </c>
      <c r="S48" s="69"/>
      <c r="T48" s="510">
        <f>ABS(H48)+ABS(K48)</f>
        <v>0.60000100000000001</v>
      </c>
      <c r="U48" s="510">
        <f t="shared" ref="T48:U53" si="0">ABS(I48)+ABS(L48)</f>
        <v>0.60000100199997997</v>
      </c>
      <c r="V48" s="69"/>
      <c r="W48" s="492" t="str">
        <f t="shared" ref="W48:X53" si="1">IF(T48&lt;=3,"4.167","0")</f>
        <v>4.167</v>
      </c>
      <c r="X48" s="492" t="str">
        <f t="shared" si="1"/>
        <v>4.167</v>
      </c>
      <c r="Y48" s="489">
        <f t="shared" ref="Y48:Y53" si="2">W48+X48</f>
        <v>8.3339999999999996</v>
      </c>
      <c r="Z48" s="69"/>
    </row>
    <row r="49" spans="1:26" x14ac:dyDescent="0.25">
      <c r="A49" s="464"/>
      <c r="B49" s="426">
        <v>2</v>
      </c>
      <c r="C49" s="427">
        <f>ID!A69</f>
        <v>50</v>
      </c>
      <c r="D49" s="428"/>
      <c r="E49" s="195"/>
      <c r="F49" s="429">
        <f>ID!J69</f>
        <v>50.1</v>
      </c>
      <c r="G49" s="429">
        <f>ID!K69</f>
        <v>50.1</v>
      </c>
      <c r="H49" s="430">
        <f>ID!N69</f>
        <v>0.10000000000000142</v>
      </c>
      <c r="I49" s="490">
        <f>ID!O69</f>
        <v>0.10000000000000142</v>
      </c>
      <c r="J49" s="433"/>
      <c r="K49" s="512" t="str">
        <f t="shared" ref="K49:K53" si="3">IF(Q49&lt;0.6,"0.6",Q49)</f>
        <v>0.6</v>
      </c>
      <c r="L49" s="512" t="str">
        <f t="shared" ref="L49:L53" si="4">IF(R49&lt;0.6,"0.6",R49)</f>
        <v>0.6</v>
      </c>
      <c r="M49" s="1306"/>
      <c r="N49" s="1306"/>
      <c r="O49" s="1343"/>
      <c r="P49" s="69"/>
      <c r="Q49" s="491">
        <f>ID!P69</f>
        <v>0.55316336713855274</v>
      </c>
      <c r="R49" s="509">
        <f>ID!Q69</f>
        <v>0.57527207033174854</v>
      </c>
      <c r="S49" s="69"/>
      <c r="T49" s="510">
        <f t="shared" si="0"/>
        <v>0.7000000000000014</v>
      </c>
      <c r="U49" s="510">
        <f t="shared" si="0"/>
        <v>0.7000000000000014</v>
      </c>
      <c r="V49" s="69"/>
      <c r="W49" s="492" t="str">
        <f t="shared" si="1"/>
        <v>4.167</v>
      </c>
      <c r="X49" s="492" t="str">
        <f t="shared" si="1"/>
        <v>4.167</v>
      </c>
      <c r="Y49" s="489">
        <f t="shared" si="2"/>
        <v>8.3339999999999996</v>
      </c>
      <c r="Z49" s="69"/>
    </row>
    <row r="50" spans="1:26" x14ac:dyDescent="0.25">
      <c r="A50" s="464"/>
      <c r="B50" s="426">
        <v>3</v>
      </c>
      <c r="C50" s="427">
        <f>ID!A70</f>
        <v>100</v>
      </c>
      <c r="D50" s="428"/>
      <c r="E50" s="195"/>
      <c r="F50" s="429">
        <f>ID!J70</f>
        <v>97.908000000000001</v>
      </c>
      <c r="G50" s="429">
        <f>ID!K70</f>
        <v>97.908000000000001</v>
      </c>
      <c r="H50" s="430">
        <f>ID!N70</f>
        <v>-2.0919999999999987</v>
      </c>
      <c r="I50" s="490">
        <f>ID!O70</f>
        <v>-2.0919999999999987</v>
      </c>
      <c r="J50" s="434" t="s">
        <v>171</v>
      </c>
      <c r="K50" s="512" t="str">
        <f t="shared" si="3"/>
        <v>0.6</v>
      </c>
      <c r="L50" s="512" t="str">
        <f t="shared" si="4"/>
        <v>0.6</v>
      </c>
      <c r="M50" s="1306"/>
      <c r="N50" s="1306"/>
      <c r="O50" s="1343"/>
      <c r="P50" s="69"/>
      <c r="Q50" s="491">
        <f>ID!P70</f>
        <v>0.56110622725718295</v>
      </c>
      <c r="R50" s="509">
        <f>ID!Q70</f>
        <v>0.55039094910184039</v>
      </c>
      <c r="S50" s="69"/>
      <c r="T50" s="510">
        <f t="shared" si="0"/>
        <v>2.6919999999999988</v>
      </c>
      <c r="U50" s="510">
        <f t="shared" si="0"/>
        <v>2.6919999999999988</v>
      </c>
      <c r="V50" s="69"/>
      <c r="W50" s="492" t="str">
        <f t="shared" si="1"/>
        <v>4.167</v>
      </c>
      <c r="X50" s="492" t="str">
        <f t="shared" si="1"/>
        <v>4.167</v>
      </c>
      <c r="Y50" s="489">
        <f t="shared" si="2"/>
        <v>8.3339999999999996</v>
      </c>
      <c r="Z50" s="69"/>
    </row>
    <row r="51" spans="1:26" x14ac:dyDescent="0.25">
      <c r="A51" s="464"/>
      <c r="B51" s="426">
        <v>4</v>
      </c>
      <c r="C51" s="427">
        <f>ID!A71</f>
        <v>150</v>
      </c>
      <c r="D51" s="428"/>
      <c r="E51" s="195"/>
      <c r="F51" s="429">
        <f>ID!J71</f>
        <v>147.9</v>
      </c>
      <c r="G51" s="429">
        <f>ID!K71</f>
        <v>147.9</v>
      </c>
      <c r="H51" s="430">
        <f>ID!N71</f>
        <v>-2.0999999999999943</v>
      </c>
      <c r="I51" s="490">
        <f>ID!O71</f>
        <v>-2.0999999999999943</v>
      </c>
      <c r="J51" s="435" t="s">
        <v>167</v>
      </c>
      <c r="K51" s="512" t="str">
        <f t="shared" si="3"/>
        <v>0.6</v>
      </c>
      <c r="L51" s="512" t="str">
        <f t="shared" si="4"/>
        <v>0.6</v>
      </c>
      <c r="M51" s="1306"/>
      <c r="N51" s="1306"/>
      <c r="O51" s="1343"/>
      <c r="P51" s="69"/>
      <c r="Q51" s="491">
        <f>ID!P71</f>
        <v>0.5615137787744543</v>
      </c>
      <c r="R51" s="509">
        <f>ID!Q71</f>
        <v>0.55034381273390953</v>
      </c>
      <c r="S51" s="69"/>
      <c r="T51" s="510">
        <f t="shared" si="0"/>
        <v>2.6999999999999944</v>
      </c>
      <c r="U51" s="510">
        <f t="shared" si="0"/>
        <v>2.6999999999999944</v>
      </c>
      <c r="V51" s="69"/>
      <c r="W51" s="492" t="str">
        <f t="shared" si="1"/>
        <v>4.167</v>
      </c>
      <c r="X51" s="492" t="str">
        <f t="shared" si="1"/>
        <v>4.167</v>
      </c>
      <c r="Y51" s="489">
        <f t="shared" si="2"/>
        <v>8.3339999999999996</v>
      </c>
      <c r="Z51" s="69"/>
    </row>
    <row r="52" spans="1:26" x14ac:dyDescent="0.25">
      <c r="A52" s="464"/>
      <c r="B52" s="426">
        <v>5</v>
      </c>
      <c r="C52" s="427">
        <f>ID!A72</f>
        <v>200</v>
      </c>
      <c r="D52" s="428"/>
      <c r="E52" s="195"/>
      <c r="F52" s="429">
        <f>ID!J72</f>
        <v>198.80199999999999</v>
      </c>
      <c r="G52" s="429">
        <f>ID!K72</f>
        <v>197.804</v>
      </c>
      <c r="H52" s="430">
        <f>ID!N72</f>
        <v>-1.1980000000000075</v>
      </c>
      <c r="I52" s="490">
        <f>ID!O72</f>
        <v>-2.195999999999998</v>
      </c>
      <c r="J52" s="433"/>
      <c r="K52" s="512" t="str">
        <f t="shared" si="3"/>
        <v>0.6</v>
      </c>
      <c r="L52" s="512" t="str">
        <f t="shared" si="4"/>
        <v>0.6</v>
      </c>
      <c r="M52" s="1306"/>
      <c r="N52" s="1306"/>
      <c r="O52" s="1343"/>
      <c r="P52" s="69"/>
      <c r="Q52" s="491">
        <f>ID!P72</f>
        <v>0.5615137787744543</v>
      </c>
      <c r="R52" s="509">
        <f>ID!Q72</f>
        <v>0.55289591198453314</v>
      </c>
      <c r="S52" s="69"/>
      <c r="T52" s="510">
        <f t="shared" si="0"/>
        <v>1.7980000000000076</v>
      </c>
      <c r="U52" s="510">
        <f t="shared" si="0"/>
        <v>2.795999999999998</v>
      </c>
      <c r="V52" s="69"/>
      <c r="W52" s="492" t="str">
        <f t="shared" si="1"/>
        <v>4.167</v>
      </c>
      <c r="X52" s="492" t="str">
        <f t="shared" si="1"/>
        <v>4.167</v>
      </c>
      <c r="Y52" s="489">
        <f t="shared" si="2"/>
        <v>8.3339999999999996</v>
      </c>
      <c r="Z52" s="69"/>
    </row>
    <row r="53" spans="1:26" x14ac:dyDescent="0.25">
      <c r="A53" s="464"/>
      <c r="B53" s="426">
        <v>6</v>
      </c>
      <c r="C53" s="427">
        <f>ID!A73</f>
        <v>250</v>
      </c>
      <c r="D53" s="428"/>
      <c r="E53" s="195"/>
      <c r="F53" s="429">
        <f>ID!J73</f>
        <v>247.86260000000001</v>
      </c>
      <c r="G53" s="429">
        <f>ID!K73</f>
        <v>247.89599999999999</v>
      </c>
      <c r="H53" s="430">
        <f>ID!N73</f>
        <v>-2.1373999999999853</v>
      </c>
      <c r="I53" s="490">
        <f>ID!O73</f>
        <v>-2.1040000000000134</v>
      </c>
      <c r="J53" s="436"/>
      <c r="K53" s="512" t="str">
        <f t="shared" si="3"/>
        <v>0.6</v>
      </c>
      <c r="L53" s="512" t="str">
        <f t="shared" si="4"/>
        <v>0.6</v>
      </c>
      <c r="M53" s="1306"/>
      <c r="N53" s="1306"/>
      <c r="O53" s="1344"/>
      <c r="P53" s="69"/>
      <c r="Q53" s="491">
        <f>ID!P73</f>
        <v>0.55711006504170457</v>
      </c>
      <c r="R53" s="509">
        <f>ID!Q73</f>
        <v>0.55315145964067181</v>
      </c>
      <c r="S53" s="69"/>
      <c r="T53" s="510">
        <f t="shared" si="0"/>
        <v>2.7373999999999854</v>
      </c>
      <c r="U53" s="510">
        <f t="shared" si="0"/>
        <v>2.7040000000000135</v>
      </c>
      <c r="V53" s="69"/>
      <c r="W53" s="492" t="str">
        <f t="shared" si="1"/>
        <v>4.167</v>
      </c>
      <c r="X53" s="492" t="str">
        <f t="shared" si="1"/>
        <v>4.167</v>
      </c>
      <c r="Y53" s="489">
        <f t="shared" si="2"/>
        <v>8.3339999999999996</v>
      </c>
      <c r="Z53" s="69"/>
    </row>
    <row r="54" spans="1:26" ht="9" customHeight="1" x14ac:dyDescent="0.25">
      <c r="A54" s="464"/>
      <c r="B54" s="460"/>
      <c r="C54" s="460"/>
      <c r="D54" s="460"/>
      <c r="E54" s="460"/>
      <c r="F54" s="413"/>
      <c r="G54" s="413"/>
      <c r="H54" s="414"/>
      <c r="I54" s="53"/>
      <c r="J54" s="69"/>
      <c r="K54" s="69"/>
      <c r="L54" s="69"/>
      <c r="M54" s="69"/>
      <c r="N54" s="69"/>
      <c r="O54" s="69"/>
      <c r="P54" s="69"/>
      <c r="Q54" s="416"/>
      <c r="R54" s="69"/>
      <c r="S54" s="69"/>
      <c r="T54" s="69"/>
      <c r="U54" s="69"/>
      <c r="V54" s="69"/>
      <c r="W54" s="69"/>
      <c r="X54" s="69"/>
      <c r="Y54" s="69"/>
      <c r="Z54" s="69"/>
    </row>
    <row r="55" spans="1:26" hidden="1" x14ac:dyDescent="0.25">
      <c r="A55" s="70"/>
      <c r="B55" s="71"/>
      <c r="C55" s="71"/>
      <c r="D55" s="71"/>
      <c r="E55" s="71"/>
      <c r="F55" s="413"/>
      <c r="G55" s="413"/>
      <c r="H55" s="414"/>
      <c r="I55" s="415"/>
      <c r="J55" s="69"/>
      <c r="Q55" s="416"/>
      <c r="R55" s="69"/>
    </row>
    <row r="56" spans="1:26" hidden="1" x14ac:dyDescent="0.25">
      <c r="A56" s="70"/>
      <c r="B56" s="71"/>
      <c r="C56" s="71"/>
      <c r="D56" s="71"/>
      <c r="E56" s="71"/>
      <c r="F56" s="413"/>
      <c r="G56" s="413"/>
      <c r="H56" s="414"/>
      <c r="I56" s="415"/>
      <c r="J56" s="69"/>
      <c r="Q56" s="416"/>
      <c r="R56" s="69"/>
    </row>
    <row r="57" spans="1:26" ht="17.25" hidden="1" customHeight="1" x14ac:dyDescent="0.25">
      <c r="A57" s="1322"/>
      <c r="B57" s="1322"/>
      <c r="C57" s="1322"/>
      <c r="D57" s="1322"/>
      <c r="E57" s="1322"/>
      <c r="F57" s="1322"/>
      <c r="G57" s="1322"/>
      <c r="H57" s="72"/>
      <c r="I57" s="72"/>
      <c r="J57" s="69"/>
    </row>
    <row r="58" spans="1:26" x14ac:dyDescent="0.25">
      <c r="A58" s="462" t="s">
        <v>12</v>
      </c>
      <c r="B58" s="462" t="s">
        <v>16</v>
      </c>
      <c r="C58" s="493"/>
      <c r="D58" s="76"/>
      <c r="E58" s="76"/>
      <c r="F58" s="76"/>
      <c r="G58" s="76"/>
      <c r="H58" s="77"/>
      <c r="I58" s="77"/>
    </row>
    <row r="59" spans="1:26" x14ac:dyDescent="0.25">
      <c r="B59" s="399" t="s">
        <v>179</v>
      </c>
      <c r="C59" s="76"/>
      <c r="D59" s="76"/>
      <c r="E59" s="76"/>
      <c r="F59" s="76"/>
      <c r="G59" s="76"/>
      <c r="H59" s="77"/>
      <c r="I59" s="77"/>
    </row>
    <row r="60" spans="1:26" x14ac:dyDescent="0.25">
      <c r="B60" s="75" t="str">
        <f>'SERTIFIKAT DPM'!AV10</f>
        <v>Hasil pengujian kebocoran dan kalibrasi akurasi tekanan tertelusur ke Satuan SI melalui PT. KALIMAN</v>
      </c>
      <c r="C60" s="76"/>
      <c r="D60" s="76"/>
      <c r="E60" s="76"/>
      <c r="F60" s="76"/>
      <c r="G60" s="76"/>
      <c r="H60" s="77"/>
      <c r="I60" s="77"/>
      <c r="U60" s="222"/>
    </row>
    <row r="61" spans="1:26" x14ac:dyDescent="0.25">
      <c r="B61" s="437" t="str">
        <f>'SERTIFIKAT STOPWATCH'!U37</f>
        <v xml:space="preserve">Hasil laju buang cepat tertelusur ke satuan SI melalui PT. KALIMAN </v>
      </c>
      <c r="C61" s="76"/>
      <c r="D61" s="76"/>
      <c r="E61" s="76"/>
      <c r="F61" s="76"/>
      <c r="G61" s="76"/>
      <c r="H61" s="77"/>
      <c r="I61" s="77"/>
    </row>
    <row r="62" spans="1:26" x14ac:dyDescent="0.25">
      <c r="B62" s="224" t="str">
        <f>ID!A76</f>
        <v>Bulb harap diganti</v>
      </c>
      <c r="C62" s="76"/>
      <c r="D62" s="76"/>
      <c r="E62" s="76"/>
      <c r="F62" s="76"/>
      <c r="G62" s="76"/>
      <c r="H62" s="77"/>
      <c r="I62" s="77"/>
    </row>
    <row r="63" spans="1:26" hidden="1" x14ac:dyDescent="0.25">
      <c r="B63" s="224">
        <f>ID!A77</f>
        <v>0</v>
      </c>
      <c r="C63" s="76"/>
      <c r="D63" s="76"/>
      <c r="E63" s="76"/>
      <c r="F63" s="76"/>
      <c r="G63" s="76"/>
      <c r="H63" s="77"/>
      <c r="I63" s="77"/>
    </row>
    <row r="64" spans="1:26" ht="6.75" customHeight="1" x14ac:dyDescent="0.25">
      <c r="B64" s="75"/>
      <c r="C64" s="76"/>
      <c r="D64" s="76"/>
      <c r="E64" s="76"/>
      <c r="F64" s="76"/>
      <c r="G64" s="76"/>
      <c r="H64" s="77"/>
      <c r="I64" s="77"/>
    </row>
    <row r="65" spans="1:27" x14ac:dyDescent="0.25">
      <c r="A65" s="462" t="s">
        <v>168</v>
      </c>
      <c r="B65" s="1351" t="s">
        <v>247</v>
      </c>
      <c r="C65" s="1351"/>
      <c r="D65" s="1351"/>
      <c r="E65" s="1351"/>
      <c r="F65" s="1351"/>
      <c r="G65" s="1351"/>
    </row>
    <row r="66" spans="1:27" ht="15.75" customHeight="1" x14ac:dyDescent="0.25">
      <c r="B66" s="73" t="str">
        <f>ID!A83</f>
        <v>Digital Pressure Meter, Merek : Fluke Biomedical, Model : DPM 4-1H, SN : 3505042</v>
      </c>
      <c r="F66" s="76"/>
      <c r="G66" s="76"/>
      <c r="H66" s="77"/>
      <c r="I66" s="77"/>
      <c r="T66" s="438"/>
      <c r="U66" s="438"/>
      <c r="V66" s="438"/>
      <c r="W66" s="438"/>
      <c r="X66" s="438"/>
      <c r="Y66" s="438"/>
      <c r="Z66" s="438"/>
      <c r="AA66" s="438"/>
    </row>
    <row r="67" spans="1:27" ht="17.25" customHeight="1" x14ac:dyDescent="0.25">
      <c r="B67" s="418" t="str">
        <f>ID!A85</f>
        <v>Stopwatch, Merek : Casio, Model : HS - 80TW, SN : 611Q02R</v>
      </c>
      <c r="T67" s="438"/>
      <c r="U67" s="438"/>
      <c r="V67" s="438"/>
      <c r="W67" s="438"/>
      <c r="X67" s="438"/>
      <c r="Y67" s="438"/>
      <c r="Z67" s="438"/>
      <c r="AA67" s="438"/>
    </row>
    <row r="68" spans="1:27" x14ac:dyDescent="0.25">
      <c r="A68" s="462" t="s">
        <v>34</v>
      </c>
      <c r="B68" s="439" t="s">
        <v>35</v>
      </c>
      <c r="C68" s="439"/>
    </row>
    <row r="69" spans="1:27" ht="47.25" customHeight="1" x14ac:dyDescent="0.25">
      <c r="B69" s="1350" t="str">
        <f>IF(M73&gt;=70,KETERANGAN!G8,KETERANGAN!G9)</f>
        <v>Alat yang dikalibrasi dalam batas toleransi dan dinyatakan LAIK PAKAI, dimana hasil atau skor akhir sama dengan atau melampaui 80% berdasarkan Keputusan Direktur Jenderal Pelayanan Kesehatan No : HK.02.02/V/0412/2020</v>
      </c>
      <c r="C69" s="1350"/>
      <c r="D69" s="1350"/>
      <c r="E69" s="1350"/>
      <c r="F69" s="1350"/>
      <c r="G69" s="1350"/>
      <c r="H69" s="1350"/>
      <c r="I69" s="1350"/>
      <c r="J69" s="1350"/>
      <c r="K69" s="1350"/>
      <c r="L69" s="1350"/>
    </row>
    <row r="70" spans="1:27" ht="18.75" customHeight="1" x14ac:dyDescent="0.25">
      <c r="A70" s="439" t="s">
        <v>191</v>
      </c>
      <c r="B70" s="439" t="s">
        <v>13</v>
      </c>
      <c r="C70" s="439"/>
      <c r="Q70" s="399" t="s">
        <v>204</v>
      </c>
      <c r="R70" s="399" t="s">
        <v>205</v>
      </c>
      <c r="S70" s="399" t="s">
        <v>206</v>
      </c>
      <c r="T70" s="595" t="s">
        <v>301</v>
      </c>
      <c r="U70" s="595" t="s">
        <v>302</v>
      </c>
      <c r="V70" s="596">
        <v>1</v>
      </c>
      <c r="W70" s="595" t="s">
        <v>303</v>
      </c>
    </row>
    <row r="71" spans="1:27" ht="18.75" customHeight="1" x14ac:dyDescent="0.25">
      <c r="B71" s="418" t="str">
        <f>ID!A81</f>
        <v>Sholihatussa'diah</v>
      </c>
      <c r="P71" s="73">
        <f>IF(ID!$C$14=ID!$M$9,PENYELIA!Q71,IF(ID!$C$14=ID!$M$10,PENYELIA!R71,IF(ID!$C$14=ID!$M$11,PENYELIA!S71)))</f>
        <v>0</v>
      </c>
      <c r="Q71" s="408">
        <v>0</v>
      </c>
      <c r="R71" s="408">
        <v>0</v>
      </c>
      <c r="S71" s="408">
        <v>0</v>
      </c>
      <c r="T71" s="592">
        <f>IF(ID!$C$14=ID!$M$9,PENYELIA!Q71,IF(ID!$C$14=ID!$M$10,PENYELIA!R71,IF(ID!$C$14=ID!$M$11,PENYELIA!S71)))</f>
        <v>0</v>
      </c>
      <c r="U71" s="592">
        <f>(IF(AND(T48&lt;=3,U48&lt;=3),T71,0))</f>
        <v>0</v>
      </c>
      <c r="V71" s="593">
        <f>SUM(U71:U76)</f>
        <v>50</v>
      </c>
      <c r="W71" s="594">
        <f>Z71</f>
        <v>50</v>
      </c>
      <c r="X71" s="399" t="s">
        <v>204</v>
      </c>
      <c r="Y71" s="592">
        <f>IF(V71=50,50,IF(V71=36,50,IF(V71=33,50,IF(V71=49,50,0))))</f>
        <v>50</v>
      </c>
      <c r="Z71" s="592">
        <f>IF(ID!$C$14=X71,Y71,IF(ID!$C$14=X72,Y72,IF(ID!$C$14=X73,Y73)))</f>
        <v>50</v>
      </c>
    </row>
    <row r="72" spans="1:27" ht="31.5" customHeight="1" x14ac:dyDescent="0.25">
      <c r="C72" s="1303" t="s">
        <v>200</v>
      </c>
      <c r="D72" s="1346"/>
      <c r="E72" s="1346"/>
      <c r="F72" s="1346"/>
      <c r="G72" s="1346"/>
      <c r="H72" s="1304"/>
      <c r="I72" s="440" t="s">
        <v>239</v>
      </c>
      <c r="J72" s="440" t="s">
        <v>201</v>
      </c>
      <c r="K72" s="1214" t="s">
        <v>203</v>
      </c>
      <c r="L72" s="1214"/>
      <c r="M72" s="1303" t="s">
        <v>202</v>
      </c>
      <c r="N72" s="1304"/>
      <c r="P72" s="73">
        <f>IF(ID!$C$14=ID!$M$9,PENYELIA!Q72,IF(ID!$C$14=ID!$M$10,PENYELIA!R72,IF(ID!$C$14=ID!$M$11,PENYELIA!S72)))</f>
        <v>14</v>
      </c>
      <c r="Q72" s="408">
        <v>1</v>
      </c>
      <c r="R72" s="408">
        <v>14</v>
      </c>
      <c r="S72" s="408">
        <v>1</v>
      </c>
      <c r="T72" s="592">
        <f>IF(ID!$C$14=ID!$M$9,PENYELIA!Q72,IF(ID!$C$14=ID!$M$10,PENYELIA!R72,IF(ID!$C$14=ID!$M$11,PENYELIA!S72)))</f>
        <v>14</v>
      </c>
      <c r="U72" s="592">
        <f t="shared" ref="U72:U76" si="5">(IF(AND(T49&lt;=3,U49&lt;=3),T72,0))</f>
        <v>14</v>
      </c>
      <c r="V72" s="100"/>
      <c r="W72" s="100"/>
      <c r="X72" s="399" t="s">
        <v>205</v>
      </c>
      <c r="Y72" s="592">
        <f>IF(V71=50,50,IF(V71=36,50,IF(V71=33,50,IF(V71=49,50,0))))</f>
        <v>50</v>
      </c>
    </row>
    <row r="73" spans="1:27" x14ac:dyDescent="0.25">
      <c r="C73" s="441" t="s">
        <v>92</v>
      </c>
      <c r="D73" s="442"/>
      <c r="E73" s="443" t="s">
        <v>0</v>
      </c>
      <c r="F73" s="444" t="str">
        <f>ID!A81</f>
        <v>Sholihatussa'diah</v>
      </c>
      <c r="G73" s="444"/>
      <c r="H73" s="445"/>
      <c r="I73" s="515">
        <f ca="1">TODAY()</f>
        <v>44663</v>
      </c>
      <c r="J73" s="446"/>
      <c r="K73" s="1201" t="str">
        <f>IF($M$73&gt;=80,"HIJAU","MERAH")</f>
        <v>HIJAU</v>
      </c>
      <c r="L73" s="1201"/>
      <c r="M73" s="1293">
        <f>O21+O22+O29+O35+O48</f>
        <v>100</v>
      </c>
      <c r="N73" s="1301" t="str">
        <f>IF($M$73&gt;=80,"P","O")</f>
        <v>P</v>
      </c>
      <c r="P73" s="73">
        <f>IF(ID!$C$14=ID!$M$9,PENYELIA!Q73,IF(ID!$C$14=ID!$M$10,PENYELIA!R73,IF(ID!$C$14=ID!$M$11,PENYELIA!S73)))</f>
        <v>17</v>
      </c>
      <c r="Q73" s="408">
        <v>17</v>
      </c>
      <c r="R73" s="408">
        <v>17</v>
      </c>
      <c r="S73" s="408">
        <v>8</v>
      </c>
      <c r="T73" s="592">
        <f>IF(ID!$C$14=ID!$M$9,PENYELIA!Q73,IF(ID!$C$14=ID!$M$10,PENYELIA!R73,IF(ID!$C$14=ID!$M$11,PENYELIA!S73)))</f>
        <v>17</v>
      </c>
      <c r="U73" s="592">
        <f t="shared" si="5"/>
        <v>17</v>
      </c>
      <c r="V73" s="100"/>
      <c r="W73" s="100"/>
      <c r="X73" s="399" t="s">
        <v>206</v>
      </c>
      <c r="Y73" s="592">
        <f>IF(V71=49,50,IF(V71=48,50,IF(V71=41,50,IF(V71=32,50,IF(V71=35,50,IF(V71=40,50,0))))))</f>
        <v>0</v>
      </c>
    </row>
    <row r="74" spans="1:27" x14ac:dyDescent="0.25">
      <c r="C74" s="447" t="s">
        <v>93</v>
      </c>
      <c r="D74" s="445"/>
      <c r="E74" s="444" t="s">
        <v>0</v>
      </c>
      <c r="F74" s="444"/>
      <c r="G74" s="444"/>
      <c r="H74" s="445"/>
      <c r="I74" s="446"/>
      <c r="J74" s="446"/>
      <c r="K74" s="1201"/>
      <c r="L74" s="1201"/>
      <c r="M74" s="1293"/>
      <c r="N74" s="1302"/>
      <c r="P74" s="73">
        <f>IF(ID!$C$14=ID!$M$9,PENYELIA!Q74,IF(ID!$C$14=ID!$M$10,PENYELIA!R74,IF(ID!$C$14=ID!$M$11,PENYELIA!S74)))</f>
        <v>17</v>
      </c>
      <c r="Q74" s="408">
        <v>17</v>
      </c>
      <c r="R74" s="408">
        <v>17</v>
      </c>
      <c r="S74" s="408">
        <v>17</v>
      </c>
      <c r="T74" s="592">
        <f>IF(ID!$C$14=ID!$M$9,PENYELIA!Q74,IF(ID!$C$14=ID!$M$10,PENYELIA!R74,IF(ID!$C$14=ID!$M$11,PENYELIA!S74)))</f>
        <v>17</v>
      </c>
      <c r="U74" s="592">
        <f>(IF(AND(T51&lt;=3,U51&lt;=3),T74,0))</f>
        <v>17</v>
      </c>
      <c r="V74" s="100"/>
      <c r="W74" s="100"/>
    </row>
    <row r="75" spans="1:27" x14ac:dyDescent="0.25">
      <c r="P75" s="73">
        <f>IF(ID!$C$14=ID!$M$9,PENYELIA!Q75,IF(ID!$C$14=ID!$M$10,PENYELIA!R75,IF(ID!$C$14=ID!$M$11,PENYELIA!S75)))</f>
        <v>1</v>
      </c>
      <c r="Q75" s="408">
        <v>14</v>
      </c>
      <c r="R75" s="408">
        <v>1</v>
      </c>
      <c r="S75" s="408">
        <v>14</v>
      </c>
      <c r="T75" s="592">
        <f>IF(ID!$C$14=ID!$M$9,PENYELIA!Q75,IF(ID!$C$14=ID!$M$10,PENYELIA!R75,IF(ID!$C$14=ID!$M$11,PENYELIA!S75)))</f>
        <v>1</v>
      </c>
      <c r="U75" s="592">
        <f t="shared" si="5"/>
        <v>1</v>
      </c>
      <c r="V75" s="100"/>
      <c r="W75" s="100"/>
    </row>
    <row r="76" spans="1:27" x14ac:dyDescent="0.25">
      <c r="P76" s="73">
        <f>IF(ID!$C$14=ID!$M$9,PENYELIA!Q76,IF(ID!$C$14=ID!$M$10,PENYELIA!R76,IF(ID!$C$14=ID!$M$11,PENYELIA!S76)))</f>
        <v>1</v>
      </c>
      <c r="Q76" s="408">
        <v>1</v>
      </c>
      <c r="R76" s="408">
        <v>1</v>
      </c>
      <c r="S76" s="408">
        <v>9</v>
      </c>
      <c r="T76" s="592">
        <f>IF(ID!$C$14=ID!$M$9,PENYELIA!Q76,IF(ID!$C$14=ID!$M$10,PENYELIA!R76,IF(ID!$C$14=ID!$M$11,PENYELIA!S76)))</f>
        <v>1</v>
      </c>
      <c r="U76" s="592">
        <f t="shared" si="5"/>
        <v>1</v>
      </c>
      <c r="V76" s="100"/>
      <c r="W76" s="100"/>
    </row>
    <row r="204" spans="1:6" x14ac:dyDescent="0.25">
      <c r="A204" s="73"/>
      <c r="F204" s="448"/>
    </row>
  </sheetData>
  <sheetProtection algorithmName="SHA-512" hashValue="27bp3ryErJuMXyk+qvVQFFytgX9eqS9MDHrMjXsVWAMACNBDWAoSPb2MCJJIi/YHowBwwI2sN8kFks4gGNP1hg==" saltValue="MAE9jJFOibSSPQyl4X8QlQ==" spinCount="100000" sheet="1" formatCells="0" formatColumns="0" formatRows="0" insertRows="0" deleteRows="0"/>
  <mergeCells count="58">
    <mergeCell ref="O48:O53"/>
    <mergeCell ref="O46:O47"/>
    <mergeCell ref="C72:H72"/>
    <mergeCell ref="H41:H43"/>
    <mergeCell ref="G38:G39"/>
    <mergeCell ref="A57:G57"/>
    <mergeCell ref="C41:E41"/>
    <mergeCell ref="C43:E43"/>
    <mergeCell ref="C42:E42"/>
    <mergeCell ref="B69:L69"/>
    <mergeCell ref="B65:G65"/>
    <mergeCell ref="F45:G45"/>
    <mergeCell ref="H45:I45"/>
    <mergeCell ref="H38:H39"/>
    <mergeCell ref="I38:I39"/>
    <mergeCell ref="F38:F39"/>
    <mergeCell ref="B45:B47"/>
    <mergeCell ref="A1:N1"/>
    <mergeCell ref="A2:N2"/>
    <mergeCell ref="F34:H34"/>
    <mergeCell ref="B17:C17"/>
    <mergeCell ref="C45:E45"/>
    <mergeCell ref="I26:I27"/>
    <mergeCell ref="F32:H33"/>
    <mergeCell ref="I32:I33"/>
    <mergeCell ref="F29:H29"/>
    <mergeCell ref="B32:E33"/>
    <mergeCell ref="F26:H27"/>
    <mergeCell ref="B35:E35"/>
    <mergeCell ref="F35:H35"/>
    <mergeCell ref="C38:E38"/>
    <mergeCell ref="C47:E47"/>
    <mergeCell ref="C40:E40"/>
    <mergeCell ref="B18:C18"/>
    <mergeCell ref="C39:E39"/>
    <mergeCell ref="B29:E29"/>
    <mergeCell ref="B26:E27"/>
    <mergeCell ref="B28:E28"/>
    <mergeCell ref="B38:B40"/>
    <mergeCell ref="B34:E34"/>
    <mergeCell ref="A23:G23"/>
    <mergeCell ref="F28:H28"/>
    <mergeCell ref="M73:M74"/>
    <mergeCell ref="T46:U46"/>
    <mergeCell ref="Q39:R40"/>
    <mergeCell ref="Q45:R46"/>
    <mergeCell ref="K45:L45"/>
    <mergeCell ref="N73:N74"/>
    <mergeCell ref="K72:L72"/>
    <mergeCell ref="K73:L74"/>
    <mergeCell ref="M72:N72"/>
    <mergeCell ref="M46:N47"/>
    <mergeCell ref="M48:N48"/>
    <mergeCell ref="M49:N49"/>
    <mergeCell ref="M50:N50"/>
    <mergeCell ref="M51:N51"/>
    <mergeCell ref="M52:N52"/>
    <mergeCell ref="M53:N53"/>
  </mergeCells>
  <phoneticPr fontId="0" type="noConversion"/>
  <printOptions horizontalCentered="1"/>
  <pageMargins left="0.511811023622047" right="0.23622047244094499" top="0.511811023622047" bottom="0.23622047244094499" header="0.23622047244094499" footer="0.23622047244094499"/>
  <pageSetup paperSize="9" scale="73" orientation="portrait" horizontalDpi="4294967294" verticalDpi="4294967293" r:id="rId1"/>
  <headerFooter>
    <oddHeader>&amp;R&amp;"-,Regular"&amp;8T.042-18</oddHeader>
    <oddFooter>&amp;R&amp;8&amp;K00-012Software Sphygmomanometer 9.3.2022</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IG201"/>
  <sheetViews>
    <sheetView view="pageBreakPreview" topLeftCell="A26" zoomScaleNormal="100" zoomScaleSheetLayoutView="100" workbookViewId="0">
      <selection activeCell="K31" sqref="K31"/>
    </sheetView>
  </sheetViews>
  <sheetFormatPr defaultColWidth="9.140625" defaultRowHeight="15.75" x14ac:dyDescent="0.25"/>
  <cols>
    <col min="1" max="1" width="5.42578125" style="326" customWidth="1"/>
    <col min="2" max="2" width="4" style="325" customWidth="1"/>
    <col min="3" max="3" width="14.5703125" style="325" customWidth="1"/>
    <col min="4" max="4" width="0.5703125" style="325" hidden="1" customWidth="1"/>
    <col min="5" max="5" width="1.42578125" style="325" customWidth="1"/>
    <col min="6" max="6" width="14.28515625" style="325" customWidth="1"/>
    <col min="7" max="7" width="12.5703125" style="325" customWidth="1"/>
    <col min="8" max="8" width="11.42578125" style="325" customWidth="1"/>
    <col min="9" max="9" width="11.85546875" style="325" customWidth="1"/>
    <col min="10" max="10" width="14.5703125" style="325" customWidth="1"/>
    <col min="11" max="12" width="10.140625" style="325" customWidth="1"/>
    <col min="13" max="13" width="4.7109375" style="68" customWidth="1"/>
    <col min="14" max="216" width="9.140625" style="68" customWidth="1"/>
    <col min="217" max="240" width="10.28515625" style="68" customWidth="1"/>
    <col min="241" max="241" width="7.5703125" style="68" customWidth="1"/>
    <col min="242" max="242" width="8.7109375" style="68" customWidth="1"/>
    <col min="243" max="248" width="8.85546875" style="68" customWidth="1"/>
    <col min="249" max="16384" width="9.140625" style="68"/>
  </cols>
  <sheetData>
    <row r="1" spans="1:241" ht="18" x14ac:dyDescent="0.25">
      <c r="A1" s="1354" t="s">
        <v>88</v>
      </c>
      <c r="B1" s="1354"/>
      <c r="C1" s="1354"/>
      <c r="D1" s="1354"/>
      <c r="E1" s="1354"/>
      <c r="F1" s="1354"/>
      <c r="G1" s="1354"/>
      <c r="H1" s="1354"/>
      <c r="I1" s="1354"/>
      <c r="J1" s="1354"/>
      <c r="K1" s="1354"/>
      <c r="L1" s="1354"/>
      <c r="M1" s="67"/>
    </row>
    <row r="2" spans="1:241" x14ac:dyDescent="0.25">
      <c r="A2" s="1355" t="str">
        <f>PENYELIA!A2</f>
        <v>Nomor Sertifikat : 44 / 11 / II - 21 / E - 035.66 DL</v>
      </c>
      <c r="B2" s="1355"/>
      <c r="C2" s="1355"/>
      <c r="D2" s="1355"/>
      <c r="E2" s="1355"/>
      <c r="F2" s="1355"/>
      <c r="G2" s="1355"/>
      <c r="H2" s="1355"/>
      <c r="I2" s="1355"/>
      <c r="J2" s="1355"/>
      <c r="K2" s="1355"/>
      <c r="L2" s="1355"/>
      <c r="IG2" s="68" t="s">
        <v>29</v>
      </c>
    </row>
    <row r="3" spans="1:241" ht="5.25" customHeight="1" x14ac:dyDescent="0.25">
      <c r="A3" s="494"/>
      <c r="B3" s="495"/>
      <c r="C3" s="495"/>
      <c r="D3" s="495"/>
      <c r="E3" s="495"/>
      <c r="F3" s="495"/>
      <c r="G3" s="495"/>
      <c r="H3" s="495"/>
      <c r="I3" s="495"/>
      <c r="J3" s="495"/>
      <c r="K3" s="496"/>
    </row>
    <row r="4" spans="1:241" ht="16.5" hidden="1" x14ac:dyDescent="0.25">
      <c r="H4" s="497"/>
      <c r="I4" s="497"/>
      <c r="J4" s="497"/>
      <c r="K4" s="497"/>
    </row>
    <row r="5" spans="1:241" x14ac:dyDescent="0.25">
      <c r="A5" s="363" t="str">
        <f>ID!A6</f>
        <v xml:space="preserve">Merek                </v>
      </c>
      <c r="B5" s="363"/>
      <c r="C5" s="363"/>
      <c r="D5" s="362" t="s">
        <v>0</v>
      </c>
      <c r="E5" s="362" t="s">
        <v>0</v>
      </c>
      <c r="F5" s="363" t="str">
        <f>ID!C6</f>
        <v>COSMO Med</v>
      </c>
      <c r="G5" s="363"/>
      <c r="H5" s="363"/>
      <c r="I5" s="363"/>
      <c r="J5" s="331"/>
      <c r="K5" s="331"/>
      <c r="L5" s="331"/>
      <c r="IG5" s="68" t="s">
        <v>30</v>
      </c>
    </row>
    <row r="6" spans="1:241" x14ac:dyDescent="0.25">
      <c r="A6" s="363" t="str">
        <f>ID!A7</f>
        <v>Model</v>
      </c>
      <c r="B6" s="363"/>
      <c r="C6" s="363"/>
      <c r="D6" s="362" t="s">
        <v>0</v>
      </c>
      <c r="E6" s="362" t="s">
        <v>0</v>
      </c>
      <c r="F6" s="363" t="str">
        <f>ID!C7</f>
        <v>-</v>
      </c>
      <c r="G6" s="363"/>
      <c r="H6" s="363"/>
      <c r="I6" s="363"/>
      <c r="J6" s="331"/>
      <c r="K6" s="331"/>
      <c r="L6" s="331"/>
    </row>
    <row r="7" spans="1:241" x14ac:dyDescent="0.25">
      <c r="A7" s="363" t="str">
        <f>ID!A8</f>
        <v xml:space="preserve">No. Seri         </v>
      </c>
      <c r="B7" s="363"/>
      <c r="C7" s="363"/>
      <c r="D7" s="362"/>
      <c r="E7" s="362" t="s">
        <v>0</v>
      </c>
      <c r="F7" s="363" t="str">
        <f>ID!C8</f>
        <v>-</v>
      </c>
      <c r="G7" s="363"/>
      <c r="H7" s="363"/>
      <c r="I7" s="363"/>
      <c r="J7" s="331"/>
      <c r="K7" s="331"/>
      <c r="L7" s="331"/>
    </row>
    <row r="8" spans="1:241" x14ac:dyDescent="0.25">
      <c r="A8" s="363" t="str">
        <f>ID!A9</f>
        <v>Resolusi</v>
      </c>
      <c r="B8" s="331"/>
      <c r="C8" s="331"/>
      <c r="D8" s="331"/>
      <c r="E8" s="331" t="s">
        <v>0</v>
      </c>
      <c r="F8" s="498">
        <f>ID!C9</f>
        <v>2</v>
      </c>
      <c r="G8" s="362"/>
      <c r="H8" s="362"/>
      <c r="I8" s="362"/>
      <c r="J8" s="331"/>
      <c r="K8" s="331"/>
      <c r="L8" s="331"/>
    </row>
    <row r="9" spans="1:241" x14ac:dyDescent="0.25">
      <c r="A9" s="363" t="str">
        <f>ID!A10</f>
        <v>Tanggal Penerimaan Alat</v>
      </c>
      <c r="B9" s="362"/>
      <c r="C9" s="362"/>
      <c r="D9" s="362" t="s">
        <v>0</v>
      </c>
      <c r="E9" s="362" t="s">
        <v>0</v>
      </c>
      <c r="F9" s="1046">
        <f>ID!C10</f>
        <v>44641</v>
      </c>
      <c r="G9" s="362"/>
      <c r="H9" s="362"/>
      <c r="I9" s="362"/>
      <c r="J9" s="331"/>
      <c r="K9" s="331"/>
      <c r="L9" s="331"/>
    </row>
    <row r="10" spans="1:241" x14ac:dyDescent="0.25">
      <c r="A10" s="363" t="str">
        <f>ID!A11</f>
        <v>Tanggal Kalibrasi</v>
      </c>
      <c r="B10" s="362"/>
      <c r="C10" s="362"/>
      <c r="D10" s="362" t="s">
        <v>0</v>
      </c>
      <c r="E10" s="362" t="s">
        <v>0</v>
      </c>
      <c r="F10" s="1046">
        <f>ID!C11</f>
        <v>44641</v>
      </c>
      <c r="G10" s="363"/>
      <c r="H10" s="363"/>
      <c r="I10" s="363"/>
      <c r="J10" s="331"/>
      <c r="K10" s="331"/>
      <c r="L10" s="331"/>
    </row>
    <row r="11" spans="1:241" x14ac:dyDescent="0.25">
      <c r="A11" s="363" t="str">
        <f>ID!A12</f>
        <v>Tempat Kalibrasi</v>
      </c>
      <c r="B11" s="363"/>
      <c r="C11" s="363"/>
      <c r="D11" s="362"/>
      <c r="E11" s="362" t="s">
        <v>0</v>
      </c>
      <c r="F11" s="363" t="str">
        <f>ID!C12</f>
        <v>ICU</v>
      </c>
      <c r="G11" s="362"/>
      <c r="H11" s="362"/>
      <c r="I11" s="362"/>
      <c r="J11" s="331"/>
      <c r="K11" s="331"/>
      <c r="L11" s="331"/>
    </row>
    <row r="12" spans="1:241" x14ac:dyDescent="0.25">
      <c r="A12" s="363" t="str">
        <f>ID!A13</f>
        <v>Nama Ruang</v>
      </c>
      <c r="B12" s="363"/>
      <c r="C12" s="363"/>
      <c r="D12" s="362"/>
      <c r="E12" s="362" t="s">
        <v>0</v>
      </c>
      <c r="F12" s="363" t="str">
        <f>ID!C13</f>
        <v>VK</v>
      </c>
      <c r="G12" s="362"/>
      <c r="H12" s="362"/>
      <c r="I12" s="362"/>
      <c r="J12" s="331"/>
      <c r="K12" s="331"/>
      <c r="L12" s="331"/>
    </row>
    <row r="13" spans="1:241" x14ac:dyDescent="0.25">
      <c r="A13" s="363" t="s">
        <v>180</v>
      </c>
      <c r="B13" s="363"/>
      <c r="C13" s="363"/>
      <c r="D13" s="362"/>
      <c r="E13" s="362" t="s">
        <v>0</v>
      </c>
      <c r="F13" s="356" t="s">
        <v>181</v>
      </c>
      <c r="G13" s="362"/>
      <c r="H13" s="362"/>
      <c r="I13" s="362"/>
      <c r="J13" s="331"/>
      <c r="K13" s="331"/>
      <c r="L13" s="331"/>
    </row>
    <row r="14" spans="1:241" hidden="1" x14ac:dyDescent="0.25">
      <c r="A14" s="474"/>
      <c r="B14" s="473"/>
      <c r="C14" s="473"/>
      <c r="D14" s="473"/>
      <c r="E14" s="473"/>
      <c r="F14" s="473"/>
      <c r="G14" s="329"/>
      <c r="H14" s="329"/>
      <c r="I14" s="329"/>
      <c r="J14" s="330"/>
      <c r="K14" s="330"/>
      <c r="L14" s="330"/>
    </row>
    <row r="15" spans="1:241" ht="18" customHeight="1" x14ac:dyDescent="0.25">
      <c r="A15" s="332" t="str">
        <f>ID!A18</f>
        <v>I. Kondisi Ruang</v>
      </c>
      <c r="B15" s="332"/>
      <c r="C15" s="332"/>
      <c r="D15" s="332"/>
      <c r="E15" s="332"/>
      <c r="F15" s="332"/>
      <c r="G15" s="332"/>
      <c r="H15" s="329"/>
      <c r="I15" s="329"/>
      <c r="J15" s="330"/>
      <c r="K15" s="330"/>
      <c r="L15" s="330"/>
    </row>
    <row r="16" spans="1:241" x14ac:dyDescent="0.25">
      <c r="A16" s="472"/>
      <c r="B16" s="1356" t="s">
        <v>15</v>
      </c>
      <c r="C16" s="1356"/>
      <c r="D16" s="329" t="s">
        <v>0</v>
      </c>
      <c r="E16" s="329" t="s">
        <v>0</v>
      </c>
      <c r="F16" s="1058">
        <f>PENYELIA!F17</f>
        <v>25.396000000000001</v>
      </c>
      <c r="G16" s="999" t="str">
        <f>PENYELIA!G17</f>
        <v>±</v>
      </c>
      <c r="H16" s="998">
        <f>PENYELIA!H17</f>
        <v>0.8</v>
      </c>
      <c r="I16" s="994" t="s">
        <v>698</v>
      </c>
      <c r="J16" s="330"/>
      <c r="K16" s="330"/>
      <c r="L16" s="330"/>
    </row>
    <row r="17" spans="1:12" x14ac:dyDescent="0.25">
      <c r="A17" s="472"/>
      <c r="B17" s="1356" t="s">
        <v>25</v>
      </c>
      <c r="C17" s="1356"/>
      <c r="D17" s="329" t="s">
        <v>0</v>
      </c>
      <c r="E17" s="329" t="s">
        <v>0</v>
      </c>
      <c r="F17" s="1058">
        <f>PENYELIA!F18</f>
        <v>76.364000000000004</v>
      </c>
      <c r="G17" s="999" t="str">
        <f>PENYELIA!G18</f>
        <v>±</v>
      </c>
      <c r="H17" s="998">
        <f>PENYELIA!H18</f>
        <v>2.6</v>
      </c>
      <c r="I17" s="995" t="s">
        <v>700</v>
      </c>
      <c r="J17" s="330"/>
      <c r="K17" s="330"/>
      <c r="L17" s="330"/>
    </row>
    <row r="18" spans="1:12" ht="16.5" customHeight="1" x14ac:dyDescent="0.25">
      <c r="A18" s="333" t="str">
        <f>ID!A36</f>
        <v>II. Pemeriksaan Kondisi Fisik dan Fungsi Alat</v>
      </c>
      <c r="B18" s="334"/>
      <c r="C18" s="334"/>
      <c r="D18" s="334"/>
      <c r="E18" s="334"/>
      <c r="F18" s="334"/>
      <c r="G18" s="334"/>
      <c r="H18" s="334"/>
      <c r="I18" s="330"/>
      <c r="J18" s="330"/>
      <c r="K18" s="330"/>
      <c r="L18" s="330"/>
    </row>
    <row r="19" spans="1:12" x14ac:dyDescent="0.25">
      <c r="A19" s="335"/>
      <c r="B19" s="330" t="s">
        <v>31</v>
      </c>
      <c r="C19" s="330"/>
      <c r="D19" s="330" t="s">
        <v>32</v>
      </c>
      <c r="E19" s="330" t="s">
        <v>0</v>
      </c>
      <c r="F19" s="335" t="str">
        <f>ID!C37</f>
        <v>Baik</v>
      </c>
      <c r="G19" s="330"/>
      <c r="H19" s="330"/>
      <c r="I19" s="330"/>
      <c r="J19" s="330"/>
      <c r="K19" s="330"/>
      <c r="L19" s="330"/>
    </row>
    <row r="20" spans="1:12" x14ac:dyDescent="0.25">
      <c r="A20" s="335"/>
      <c r="B20" s="330" t="s">
        <v>33</v>
      </c>
      <c r="C20" s="330"/>
      <c r="D20" s="330" t="s">
        <v>32</v>
      </c>
      <c r="E20" s="330" t="s">
        <v>0</v>
      </c>
      <c r="F20" s="335" t="str">
        <f>ID!C38</f>
        <v>Baik</v>
      </c>
      <c r="G20" s="330"/>
      <c r="H20" s="330"/>
      <c r="I20" s="330"/>
      <c r="J20" s="330"/>
      <c r="K20" s="330"/>
      <c r="L20" s="330"/>
    </row>
    <row r="21" spans="1:12" ht="15.75" customHeight="1" x14ac:dyDescent="0.25">
      <c r="A21" s="332" t="str">
        <f>ID!A39</f>
        <v>III. Pengujian Kinerja</v>
      </c>
      <c r="B21" s="468"/>
      <c r="C21" s="468"/>
      <c r="D21" s="468"/>
      <c r="E21" s="468"/>
      <c r="F21" s="468"/>
      <c r="G21" s="468"/>
      <c r="H21" s="329"/>
      <c r="I21" s="329"/>
      <c r="J21" s="330"/>
      <c r="K21" s="330"/>
      <c r="L21" s="330"/>
    </row>
    <row r="22" spans="1:12" x14ac:dyDescent="0.25">
      <c r="A22" s="332" t="str">
        <f>ID!A40</f>
        <v>A. Pengujian Kebocoran</v>
      </c>
      <c r="B22" s="332"/>
      <c r="C22" s="337"/>
      <c r="D22" s="337"/>
      <c r="E22" s="337"/>
      <c r="F22" s="337"/>
      <c r="G22" s="468"/>
      <c r="H22" s="329"/>
      <c r="I22" s="329"/>
      <c r="J22" s="330"/>
      <c r="K22" s="330"/>
      <c r="L22" s="330"/>
    </row>
    <row r="23" spans="1:12" ht="20.25" customHeight="1" x14ac:dyDescent="0.25">
      <c r="A23" s="472"/>
      <c r="B23" s="1357" t="s">
        <v>53</v>
      </c>
      <c r="C23" s="1358"/>
      <c r="D23" s="1358"/>
      <c r="E23" s="1359"/>
      <c r="F23" s="1363" t="str">
        <f>PENYELIA!F26</f>
        <v>Laju Kebocoran tekanan 250 mmHg dalam 1 menit</v>
      </c>
      <c r="G23" s="1364"/>
      <c r="H23" s="1365"/>
      <c r="I23" s="1369" t="s">
        <v>37</v>
      </c>
      <c r="J23" s="330"/>
      <c r="K23" s="330"/>
      <c r="L23" s="330"/>
    </row>
    <row r="24" spans="1:12" x14ac:dyDescent="0.25">
      <c r="A24" s="472"/>
      <c r="B24" s="1360"/>
      <c r="C24" s="1361"/>
      <c r="D24" s="1361"/>
      <c r="E24" s="1362"/>
      <c r="F24" s="1366"/>
      <c r="G24" s="1367"/>
      <c r="H24" s="1368"/>
      <c r="I24" s="1370"/>
      <c r="J24" s="330"/>
      <c r="K24" s="330"/>
      <c r="L24" s="330"/>
    </row>
    <row r="25" spans="1:12" x14ac:dyDescent="0.25">
      <c r="A25" s="472"/>
      <c r="B25" s="1371"/>
      <c r="C25" s="1372"/>
      <c r="D25" s="1372"/>
      <c r="E25" s="1373"/>
      <c r="F25" s="1371" t="s">
        <v>4</v>
      </c>
      <c r="G25" s="1372"/>
      <c r="H25" s="1373"/>
      <c r="I25" s="338" t="s">
        <v>4</v>
      </c>
      <c r="J25" s="330"/>
      <c r="K25" s="330"/>
      <c r="L25" s="330"/>
    </row>
    <row r="26" spans="1:12" x14ac:dyDescent="0.25">
      <c r="A26" s="472"/>
      <c r="B26" s="1374" t="s">
        <v>54</v>
      </c>
      <c r="C26" s="1375"/>
      <c r="D26" s="1375"/>
      <c r="E26" s="1376"/>
      <c r="F26" s="1377">
        <f>ID!D43</f>
        <v>8.2492008309840159</v>
      </c>
      <c r="G26" s="1378"/>
      <c r="H26" s="1379"/>
      <c r="I26" s="339" t="s">
        <v>359</v>
      </c>
      <c r="J26" s="330"/>
      <c r="K26" s="330"/>
      <c r="L26" s="330"/>
    </row>
    <row r="27" spans="1:12" ht="19.5" customHeight="1" x14ac:dyDescent="0.25">
      <c r="A27" s="332" t="str">
        <f>ID!A51</f>
        <v>B. Laju Buang Cepat</v>
      </c>
      <c r="B27" s="332"/>
      <c r="C27" s="337"/>
      <c r="D27" s="337"/>
      <c r="E27" s="337"/>
      <c r="F27" s="337"/>
      <c r="G27" s="468"/>
      <c r="H27" s="329"/>
      <c r="I27" s="329"/>
      <c r="J27" s="330"/>
      <c r="K27" s="330"/>
      <c r="L27" s="330"/>
    </row>
    <row r="28" spans="1:12" x14ac:dyDescent="0.25">
      <c r="A28" s="472"/>
      <c r="B28" s="1357" t="s">
        <v>53</v>
      </c>
      <c r="C28" s="1358"/>
      <c r="D28" s="1358"/>
      <c r="E28" s="1359"/>
      <c r="F28" s="1363" t="str">
        <f>PENYELIA!F32</f>
        <v>Laju Buang Cepat tekanan 260 mmHg sampai dengan 15 mmHg</v>
      </c>
      <c r="G28" s="1364"/>
      <c r="H28" s="1365"/>
      <c r="I28" s="1369" t="s">
        <v>37</v>
      </c>
      <c r="J28" s="330"/>
      <c r="K28" s="330"/>
      <c r="L28" s="330"/>
    </row>
    <row r="29" spans="1:12" x14ac:dyDescent="0.25">
      <c r="A29" s="472"/>
      <c r="B29" s="1360"/>
      <c r="C29" s="1361"/>
      <c r="D29" s="1361"/>
      <c r="E29" s="1362"/>
      <c r="F29" s="1366"/>
      <c r="G29" s="1367"/>
      <c r="H29" s="1368"/>
      <c r="I29" s="1370"/>
      <c r="J29" s="330"/>
      <c r="K29" s="330"/>
      <c r="L29" s="330"/>
    </row>
    <row r="30" spans="1:12" x14ac:dyDescent="0.25">
      <c r="A30" s="472"/>
      <c r="B30" s="1371"/>
      <c r="C30" s="1372"/>
      <c r="D30" s="1372"/>
      <c r="E30" s="1373"/>
      <c r="F30" s="1371" t="s">
        <v>165</v>
      </c>
      <c r="G30" s="1372"/>
      <c r="H30" s="1373"/>
      <c r="I30" s="338" t="s">
        <v>165</v>
      </c>
      <c r="J30" s="330"/>
      <c r="K30" s="330"/>
      <c r="L30" s="330"/>
    </row>
    <row r="31" spans="1:12" x14ac:dyDescent="0.25">
      <c r="A31" s="472"/>
      <c r="B31" s="1374" t="s">
        <v>139</v>
      </c>
      <c r="C31" s="1375"/>
      <c r="D31" s="1375"/>
      <c r="E31" s="1376"/>
      <c r="F31" s="1384">
        <f>ID!D54</f>
        <v>8.5711208246224153</v>
      </c>
      <c r="G31" s="1385"/>
      <c r="H31" s="1386"/>
      <c r="I31" s="339" t="s">
        <v>212</v>
      </c>
      <c r="J31" s="330"/>
      <c r="K31" s="330"/>
      <c r="L31" s="330"/>
    </row>
    <row r="32" spans="1:12" ht="24" customHeight="1" x14ac:dyDescent="0.25">
      <c r="A32" s="332" t="str">
        <f>ID!A64</f>
        <v>C. Kalibrasi Akurasi Tekanan</v>
      </c>
      <c r="B32" s="340"/>
      <c r="C32" s="340"/>
      <c r="D32" s="340"/>
      <c r="E32" s="340"/>
      <c r="F32" s="340"/>
      <c r="G32" s="340"/>
      <c r="H32" s="329"/>
      <c r="I32" s="329"/>
      <c r="J32" s="330"/>
      <c r="K32" s="330"/>
      <c r="L32" s="330"/>
    </row>
    <row r="33" spans="1:12" hidden="1" x14ac:dyDescent="0.25">
      <c r="A33" s="472"/>
      <c r="B33" s="1380" t="s">
        <v>3</v>
      </c>
      <c r="C33" s="1380" t="s">
        <v>18</v>
      </c>
      <c r="D33" s="1380"/>
      <c r="E33" s="1380"/>
      <c r="F33" s="1382" t="s">
        <v>20</v>
      </c>
      <c r="G33" s="1382" t="s">
        <v>49</v>
      </c>
      <c r="H33" s="1383" t="s">
        <v>37</v>
      </c>
      <c r="I33" s="1383" t="s">
        <v>19</v>
      </c>
      <c r="J33" s="330"/>
      <c r="K33" s="330"/>
      <c r="L33" s="330"/>
    </row>
    <row r="34" spans="1:12" ht="15.75" hidden="1" customHeight="1" x14ac:dyDescent="0.25">
      <c r="A34" s="472"/>
      <c r="B34" s="1380"/>
      <c r="C34" s="1380" t="s">
        <v>8</v>
      </c>
      <c r="D34" s="1380"/>
      <c r="E34" s="1380"/>
      <c r="F34" s="1382"/>
      <c r="G34" s="1382"/>
      <c r="H34" s="1382"/>
      <c r="I34" s="1382"/>
      <c r="J34" s="330"/>
      <c r="K34" s="330"/>
      <c r="L34" s="330"/>
    </row>
    <row r="35" spans="1:12" hidden="1" x14ac:dyDescent="0.25">
      <c r="A35" s="472"/>
      <c r="B35" s="1381"/>
      <c r="C35" s="1381" t="s">
        <v>4</v>
      </c>
      <c r="D35" s="1381"/>
      <c r="E35" s="1381"/>
      <c r="F35" s="467" t="s">
        <v>4</v>
      </c>
      <c r="G35" s="467" t="s">
        <v>4</v>
      </c>
      <c r="H35" s="467" t="s">
        <v>4</v>
      </c>
      <c r="I35" s="341" t="s">
        <v>90</v>
      </c>
      <c r="J35" s="330"/>
      <c r="K35" s="330"/>
      <c r="L35" s="330"/>
    </row>
    <row r="36" spans="1:12" hidden="1" x14ac:dyDescent="0.25">
      <c r="A36" s="472"/>
      <c r="B36" s="470" t="s">
        <v>5</v>
      </c>
      <c r="C36" s="1387">
        <f>ID!A68</f>
        <v>0</v>
      </c>
      <c r="D36" s="1387"/>
      <c r="E36" s="1388"/>
      <c r="F36" s="342" t="e">
        <f>ID!#REF!</f>
        <v>#REF!</v>
      </c>
      <c r="G36" s="342" t="e">
        <f>ID!#REF!</f>
        <v>#REF!</v>
      </c>
      <c r="H36" s="1389" t="s">
        <v>213</v>
      </c>
      <c r="I36" s="475" t="e">
        <f>IF(#REF!&lt;0.6,"0.6",#REF!)</f>
        <v>#REF!</v>
      </c>
      <c r="J36" s="330"/>
      <c r="K36" s="330"/>
      <c r="L36" s="330"/>
    </row>
    <row r="37" spans="1:12" hidden="1" x14ac:dyDescent="0.25">
      <c r="A37" s="472"/>
      <c r="B37" s="470" t="s">
        <v>6</v>
      </c>
      <c r="C37" s="1387">
        <f>ID!A69</f>
        <v>50</v>
      </c>
      <c r="D37" s="1387"/>
      <c r="E37" s="1388"/>
      <c r="F37" s="342" t="e">
        <f>ID!#REF!</f>
        <v>#REF!</v>
      </c>
      <c r="G37" s="342" t="e">
        <f>ID!#REF!</f>
        <v>#REF!</v>
      </c>
      <c r="H37" s="1389"/>
      <c r="I37" s="475" t="e">
        <f>IF(#REF!&lt;0.6,"0.6",#REF!)</f>
        <v>#REF!</v>
      </c>
      <c r="J37" s="330"/>
      <c r="K37" s="330"/>
      <c r="L37" s="330"/>
    </row>
    <row r="38" spans="1:12" hidden="1" x14ac:dyDescent="0.25">
      <c r="A38" s="472"/>
      <c r="B38" s="470" t="s">
        <v>7</v>
      </c>
      <c r="C38" s="1387">
        <f>ID!A70</f>
        <v>100</v>
      </c>
      <c r="D38" s="1387"/>
      <c r="E38" s="1388"/>
      <c r="F38" s="342" t="e">
        <f>ID!#REF!</f>
        <v>#REF!</v>
      </c>
      <c r="G38" s="342" t="e">
        <f>ID!#REF!</f>
        <v>#REF!</v>
      </c>
      <c r="H38" s="1389"/>
      <c r="I38" s="475" t="e">
        <f>IF(#REF!&lt;0.6,"0.6",#REF!)</f>
        <v>#REF!</v>
      </c>
      <c r="J38" s="330"/>
      <c r="K38" s="330"/>
      <c r="L38" s="330"/>
    </row>
    <row r="39" spans="1:12" ht="6.75" customHeight="1" x14ac:dyDescent="0.25">
      <c r="A39" s="472"/>
      <c r="B39" s="468"/>
      <c r="C39" s="468"/>
      <c r="D39" s="468"/>
      <c r="E39" s="343"/>
      <c r="F39" s="344"/>
      <c r="G39" s="344"/>
      <c r="H39" s="345"/>
      <c r="I39" s="476"/>
      <c r="J39" s="330"/>
      <c r="K39" s="330"/>
      <c r="L39" s="330"/>
    </row>
    <row r="40" spans="1:12" s="196" customFormat="1" ht="32.25" customHeight="1" x14ac:dyDescent="0.2">
      <c r="A40" s="347"/>
      <c r="B40" s="1393" t="s">
        <v>3</v>
      </c>
      <c r="C40" s="1400" t="s">
        <v>365</v>
      </c>
      <c r="D40" s="1401"/>
      <c r="E40" s="1402"/>
      <c r="F40" s="1394" t="s">
        <v>20</v>
      </c>
      <c r="G40" s="1394"/>
      <c r="H40" s="1394" t="s">
        <v>49</v>
      </c>
      <c r="I40" s="1394"/>
      <c r="J40" s="1397" t="s">
        <v>364</v>
      </c>
      <c r="K40" s="1395" t="s">
        <v>19</v>
      </c>
      <c r="L40" s="1396"/>
    </row>
    <row r="41" spans="1:12" ht="15.75" customHeight="1" x14ac:dyDescent="0.25">
      <c r="A41" s="472"/>
      <c r="B41" s="1393"/>
      <c r="C41" s="1403"/>
      <c r="D41" s="1404"/>
      <c r="E41" s="1405"/>
      <c r="F41" s="477" t="s">
        <v>158</v>
      </c>
      <c r="G41" s="477" t="s">
        <v>159</v>
      </c>
      <c r="H41" s="477" t="s">
        <v>158</v>
      </c>
      <c r="I41" s="477" t="s">
        <v>159</v>
      </c>
      <c r="J41" s="1398"/>
      <c r="K41" s="477" t="s">
        <v>158</v>
      </c>
      <c r="L41" s="477" t="s">
        <v>159</v>
      </c>
    </row>
    <row r="42" spans="1:12" x14ac:dyDescent="0.25">
      <c r="A42" s="472"/>
      <c r="B42" s="1393"/>
      <c r="C42" s="1406"/>
      <c r="D42" s="1407"/>
      <c r="E42" s="1408"/>
      <c r="F42" s="467" t="s">
        <v>4</v>
      </c>
      <c r="G42" s="467" t="s">
        <v>4</v>
      </c>
      <c r="H42" s="467" t="s">
        <v>4</v>
      </c>
      <c r="I42" s="467" t="s">
        <v>4</v>
      </c>
      <c r="J42" s="1399"/>
      <c r="K42" s="341" t="s">
        <v>90</v>
      </c>
      <c r="L42" s="341" t="s">
        <v>90</v>
      </c>
    </row>
    <row r="43" spans="1:12" x14ac:dyDescent="0.25">
      <c r="A43" s="472"/>
      <c r="B43" s="470">
        <v>1</v>
      </c>
      <c r="C43" s="348">
        <f>PENYELIA!C48</f>
        <v>0</v>
      </c>
      <c r="D43" s="471"/>
      <c r="E43" s="349"/>
      <c r="F43" s="342">
        <f>PENYELIA!F48</f>
        <v>9.9999999999999995E-7</v>
      </c>
      <c r="G43" s="342">
        <f>PENYELIA!G48</f>
        <v>1.00199998E-6</v>
      </c>
      <c r="H43" s="1057">
        <f>ID!N68</f>
        <v>9.9999999999999995E-7</v>
      </c>
      <c r="I43" s="475">
        <f>ID!O68</f>
        <v>1.00199998E-6</v>
      </c>
      <c r="J43" s="350"/>
      <c r="K43" s="475" t="str">
        <f>PENYELIA!K48</f>
        <v>0.6</v>
      </c>
      <c r="L43" s="475" t="str">
        <f>PENYELIA!L48</f>
        <v>0.6</v>
      </c>
    </row>
    <row r="44" spans="1:12" x14ac:dyDescent="0.25">
      <c r="A44" s="472"/>
      <c r="B44" s="470">
        <v>2</v>
      </c>
      <c r="C44" s="348">
        <f>PENYELIA!C49</f>
        <v>50</v>
      </c>
      <c r="D44" s="471"/>
      <c r="E44" s="349"/>
      <c r="F44" s="342">
        <f>PENYELIA!F49</f>
        <v>50.1</v>
      </c>
      <c r="G44" s="342">
        <f>PENYELIA!G49</f>
        <v>50.1</v>
      </c>
      <c r="H44" s="1057">
        <f>ID!N69</f>
        <v>0.10000000000000142</v>
      </c>
      <c r="I44" s="475">
        <f>ID!O69</f>
        <v>0.10000000000000142</v>
      </c>
      <c r="J44" s="351"/>
      <c r="K44" s="475" t="str">
        <f>PENYELIA!K49</f>
        <v>0.6</v>
      </c>
      <c r="L44" s="475" t="str">
        <f>PENYELIA!L49</f>
        <v>0.6</v>
      </c>
    </row>
    <row r="45" spans="1:12" x14ac:dyDescent="0.25">
      <c r="A45" s="472"/>
      <c r="B45" s="470">
        <v>3</v>
      </c>
      <c r="C45" s="348">
        <f>PENYELIA!C50</f>
        <v>100</v>
      </c>
      <c r="D45" s="471"/>
      <c r="E45" s="349"/>
      <c r="F45" s="342">
        <f>PENYELIA!F50</f>
        <v>97.908000000000001</v>
      </c>
      <c r="G45" s="342">
        <f>PENYELIA!G50</f>
        <v>97.908000000000001</v>
      </c>
      <c r="H45" s="1057">
        <f>ID!N70</f>
        <v>-2.0919999999999987</v>
      </c>
      <c r="I45" s="475">
        <f>ID!O70</f>
        <v>-2.0919999999999987</v>
      </c>
      <c r="J45" s="352" t="s">
        <v>171</v>
      </c>
      <c r="K45" s="475" t="str">
        <f>PENYELIA!K50</f>
        <v>0.6</v>
      </c>
      <c r="L45" s="475" t="str">
        <f>PENYELIA!L50</f>
        <v>0.6</v>
      </c>
    </row>
    <row r="46" spans="1:12" ht="15.75" customHeight="1" x14ac:dyDescent="0.25">
      <c r="A46" s="472"/>
      <c r="B46" s="470">
        <v>4</v>
      </c>
      <c r="C46" s="348">
        <f>PENYELIA!C51</f>
        <v>150</v>
      </c>
      <c r="D46" s="471"/>
      <c r="E46" s="349"/>
      <c r="F46" s="342">
        <f>PENYELIA!F51</f>
        <v>147.9</v>
      </c>
      <c r="G46" s="342">
        <f>PENYELIA!G51</f>
        <v>147.9</v>
      </c>
      <c r="H46" s="1057">
        <f>ID!N71</f>
        <v>-2.0999999999999943</v>
      </c>
      <c r="I46" s="475">
        <f>ID!O71</f>
        <v>-2.0999999999999943</v>
      </c>
      <c r="J46" s="353" t="s">
        <v>167</v>
      </c>
      <c r="K46" s="475" t="str">
        <f>PENYELIA!K51</f>
        <v>0.6</v>
      </c>
      <c r="L46" s="475" t="str">
        <f>PENYELIA!L51</f>
        <v>0.6</v>
      </c>
    </row>
    <row r="47" spans="1:12" x14ac:dyDescent="0.25">
      <c r="A47" s="472"/>
      <c r="B47" s="470">
        <v>5</v>
      </c>
      <c r="C47" s="348">
        <f>PENYELIA!C52</f>
        <v>200</v>
      </c>
      <c r="D47" s="471"/>
      <c r="E47" s="349"/>
      <c r="F47" s="342">
        <f>PENYELIA!F52</f>
        <v>198.80199999999999</v>
      </c>
      <c r="G47" s="342">
        <f>PENYELIA!G52</f>
        <v>197.804</v>
      </c>
      <c r="H47" s="1057">
        <f>ID!N72</f>
        <v>-1.1980000000000075</v>
      </c>
      <c r="I47" s="475">
        <f>ID!O72</f>
        <v>-2.195999999999998</v>
      </c>
      <c r="J47" s="351"/>
      <c r="K47" s="475" t="str">
        <f>PENYELIA!K52</f>
        <v>0.6</v>
      </c>
      <c r="L47" s="475" t="str">
        <f>PENYELIA!L52</f>
        <v>0.6</v>
      </c>
    </row>
    <row r="48" spans="1:12" x14ac:dyDescent="0.25">
      <c r="A48" s="472"/>
      <c r="B48" s="470">
        <v>6</v>
      </c>
      <c r="C48" s="348">
        <f>PENYELIA!C53</f>
        <v>250</v>
      </c>
      <c r="D48" s="471"/>
      <c r="E48" s="349"/>
      <c r="F48" s="342">
        <f>PENYELIA!F53</f>
        <v>247.86260000000001</v>
      </c>
      <c r="G48" s="342">
        <f>PENYELIA!G53</f>
        <v>247.89599999999999</v>
      </c>
      <c r="H48" s="1057">
        <f>ID!N73</f>
        <v>-2.1373999999999853</v>
      </c>
      <c r="I48" s="475">
        <f>ID!O73</f>
        <v>-2.1040000000000134</v>
      </c>
      <c r="J48" s="354"/>
      <c r="K48" s="475" t="str">
        <f>PENYELIA!K53</f>
        <v>0.6</v>
      </c>
      <c r="L48" s="475" t="str">
        <f>PENYELIA!L53</f>
        <v>0.6</v>
      </c>
    </row>
    <row r="49" spans="1:19" hidden="1" x14ac:dyDescent="0.25">
      <c r="A49" s="328"/>
      <c r="B49" s="336"/>
      <c r="C49" s="336"/>
      <c r="D49" s="336"/>
      <c r="E49" s="343"/>
      <c r="F49" s="344"/>
      <c r="G49" s="344"/>
      <c r="H49" s="345"/>
      <c r="I49" s="346"/>
      <c r="J49" s="330"/>
      <c r="K49" s="331"/>
      <c r="L49" s="331"/>
    </row>
    <row r="50" spans="1:19" hidden="1" x14ac:dyDescent="0.25">
      <c r="A50" s="328"/>
      <c r="B50" s="336"/>
      <c r="C50" s="336"/>
      <c r="D50" s="336"/>
      <c r="E50" s="343"/>
      <c r="F50" s="344"/>
      <c r="G50" s="344"/>
      <c r="H50" s="345"/>
      <c r="I50" s="346"/>
      <c r="J50" s="330"/>
      <c r="K50" s="331"/>
      <c r="L50" s="331"/>
    </row>
    <row r="51" spans="1:19" hidden="1" x14ac:dyDescent="0.25">
      <c r="A51" s="328"/>
      <c r="B51" s="336"/>
      <c r="C51" s="336"/>
      <c r="D51" s="336"/>
      <c r="E51" s="343"/>
      <c r="F51" s="344"/>
      <c r="G51" s="344"/>
      <c r="H51" s="345"/>
      <c r="I51" s="346"/>
      <c r="J51" s="330"/>
      <c r="K51" s="331"/>
      <c r="L51" s="331"/>
    </row>
    <row r="52" spans="1:19" hidden="1" x14ac:dyDescent="0.25">
      <c r="A52" s="1390"/>
      <c r="B52" s="1390"/>
      <c r="C52" s="1390"/>
      <c r="D52" s="1390"/>
      <c r="E52" s="1390"/>
      <c r="F52" s="1390"/>
      <c r="G52" s="1390"/>
      <c r="H52" s="355"/>
      <c r="I52" s="355"/>
      <c r="J52" s="330"/>
      <c r="K52" s="331"/>
      <c r="L52" s="331"/>
    </row>
    <row r="53" spans="1:19" ht="20.25" customHeight="1" x14ac:dyDescent="0.25">
      <c r="A53" s="469" t="s">
        <v>12</v>
      </c>
      <c r="B53" s="469" t="s">
        <v>16</v>
      </c>
      <c r="C53" s="478"/>
      <c r="D53" s="364"/>
      <c r="E53" s="364"/>
      <c r="F53" s="364"/>
      <c r="G53" s="364"/>
      <c r="H53" s="365"/>
      <c r="I53" s="365"/>
      <c r="J53" s="331"/>
      <c r="K53" s="331"/>
      <c r="L53" s="331"/>
    </row>
    <row r="54" spans="1:19" x14ac:dyDescent="0.25">
      <c r="A54" s="363"/>
      <c r="B54" s="362" t="s">
        <v>179</v>
      </c>
      <c r="C54" s="364"/>
      <c r="D54" s="364"/>
      <c r="E54" s="364"/>
      <c r="F54" s="364"/>
      <c r="G54" s="364"/>
      <c r="H54" s="365"/>
      <c r="I54" s="365"/>
      <c r="J54" s="331"/>
      <c r="K54" s="331"/>
      <c r="L54" s="331"/>
    </row>
    <row r="55" spans="1:19" s="73" customFormat="1" x14ac:dyDescent="0.25">
      <c r="A55" s="358"/>
      <c r="B55" s="361" t="str">
        <f>'SERTIFIKAT DPM'!AV10</f>
        <v>Hasil pengujian kebocoran dan kalibrasi akurasi tekanan tertelusur ke Satuan SI melalui PT. KALIMAN</v>
      </c>
      <c r="C55" s="359"/>
      <c r="D55" s="359"/>
      <c r="E55" s="359"/>
      <c r="F55" s="359"/>
      <c r="G55" s="359"/>
      <c r="H55" s="360"/>
      <c r="I55" s="360"/>
      <c r="J55" s="356"/>
      <c r="K55" s="356"/>
      <c r="L55" s="356"/>
    </row>
    <row r="56" spans="1:19" s="73" customFormat="1" x14ac:dyDescent="0.25">
      <c r="A56" s="358"/>
      <c r="B56" s="357" t="str">
        <f>'SERTIFIKAT STOPWATCH'!U37</f>
        <v xml:space="preserve">Hasil laju buang cepat tertelusur ke satuan SI melalui PT. KALIMAN </v>
      </c>
      <c r="C56" s="359"/>
      <c r="D56" s="359"/>
      <c r="E56" s="359"/>
      <c r="F56" s="359"/>
      <c r="G56" s="359"/>
      <c r="H56" s="360"/>
      <c r="I56" s="360"/>
      <c r="J56" s="356"/>
      <c r="K56" s="356"/>
      <c r="L56" s="356"/>
    </row>
    <row r="57" spans="1:19" s="399" customFormat="1" ht="15" customHeight="1" x14ac:dyDescent="0.25">
      <c r="A57" s="358"/>
      <c r="B57" s="1000" t="str">
        <f>IF(ID!A76="","",ID!A76)</f>
        <v>Bulb harap diganti</v>
      </c>
      <c r="C57" s="989"/>
      <c r="D57" s="989"/>
      <c r="E57" s="989"/>
      <c r="F57" s="989"/>
      <c r="G57" s="989"/>
      <c r="H57" s="990"/>
      <c r="I57" s="990"/>
      <c r="J57" s="991"/>
      <c r="K57" s="991"/>
      <c r="L57" s="991"/>
    </row>
    <row r="58" spans="1:19" s="399" customFormat="1" ht="15" customHeight="1" x14ac:dyDescent="0.25">
      <c r="A58" s="358"/>
      <c r="B58" s="1000" t="str">
        <f>IF(ID!A77="","",ID!A77)</f>
        <v/>
      </c>
      <c r="C58" s="989"/>
      <c r="D58" s="989"/>
      <c r="E58" s="989"/>
      <c r="F58" s="989"/>
      <c r="G58" s="989"/>
      <c r="H58" s="990"/>
      <c r="I58" s="990"/>
      <c r="J58" s="991"/>
      <c r="K58" s="991"/>
      <c r="L58" s="991"/>
    </row>
    <row r="59" spans="1:19" s="73" customFormat="1" ht="12.75" customHeight="1" x14ac:dyDescent="0.25">
      <c r="A59" s="358"/>
      <c r="B59" s="361"/>
      <c r="C59" s="359"/>
      <c r="D59" s="359"/>
      <c r="E59" s="359"/>
      <c r="F59" s="359"/>
      <c r="G59" s="359"/>
      <c r="H59" s="360"/>
      <c r="I59" s="360"/>
      <c r="J59" s="356"/>
      <c r="K59" s="356"/>
      <c r="L59" s="356"/>
    </row>
    <row r="60" spans="1:19" x14ac:dyDescent="0.25">
      <c r="A60" s="469" t="s">
        <v>168</v>
      </c>
      <c r="B60" s="1391" t="s">
        <v>247</v>
      </c>
      <c r="C60" s="1391"/>
      <c r="D60" s="1391"/>
      <c r="E60" s="1391"/>
      <c r="F60" s="1391"/>
      <c r="G60" s="1391"/>
      <c r="H60" s="362"/>
      <c r="I60" s="362"/>
      <c r="J60" s="331"/>
      <c r="K60" s="331"/>
      <c r="L60" s="331"/>
    </row>
    <row r="61" spans="1:19" x14ac:dyDescent="0.25">
      <c r="A61" s="363"/>
      <c r="B61" s="362" t="str">
        <f>ID!A83</f>
        <v>Digital Pressure Meter, Merek : Fluke Biomedical, Model : DPM 4-1H, SN : 3505042</v>
      </c>
      <c r="C61" s="362"/>
      <c r="D61" s="362"/>
      <c r="E61" s="362"/>
      <c r="F61" s="364"/>
      <c r="G61" s="364"/>
      <c r="H61" s="365"/>
      <c r="I61" s="365"/>
      <c r="J61" s="331"/>
      <c r="K61" s="331"/>
      <c r="L61" s="331"/>
      <c r="N61" s="78"/>
      <c r="O61" s="78"/>
      <c r="P61" s="78"/>
      <c r="Q61" s="78"/>
      <c r="R61" s="78"/>
      <c r="S61" s="78"/>
    </row>
    <row r="62" spans="1:19" x14ac:dyDescent="0.25">
      <c r="A62" s="363"/>
      <c r="B62" s="366" t="str">
        <f>ID!A85</f>
        <v>Stopwatch, Merek : Casio, Model : HS - 80TW, SN : 611Q02R</v>
      </c>
      <c r="C62" s="362"/>
      <c r="D62" s="362"/>
      <c r="E62" s="362"/>
      <c r="F62" s="362"/>
      <c r="G62" s="362"/>
      <c r="H62" s="362"/>
      <c r="I62" s="362"/>
      <c r="J62" s="331"/>
      <c r="K62" s="331"/>
      <c r="L62" s="331"/>
      <c r="N62" s="78"/>
      <c r="O62" s="78"/>
      <c r="P62" s="78"/>
      <c r="Q62" s="78"/>
      <c r="R62" s="78"/>
      <c r="S62" s="78"/>
    </row>
    <row r="63" spans="1:19" ht="11.25" customHeight="1" x14ac:dyDescent="0.25">
      <c r="A63" s="363"/>
      <c r="B63" s="366"/>
      <c r="C63" s="362"/>
      <c r="D63" s="362"/>
      <c r="E63" s="362"/>
      <c r="F63" s="362"/>
      <c r="G63" s="362"/>
      <c r="H63" s="362"/>
      <c r="I63" s="362"/>
      <c r="J63" s="331"/>
      <c r="K63" s="331"/>
      <c r="L63" s="331"/>
      <c r="N63" s="78"/>
      <c r="O63" s="78"/>
      <c r="P63" s="78"/>
      <c r="Q63" s="78"/>
      <c r="R63" s="78"/>
      <c r="S63" s="78"/>
    </row>
    <row r="64" spans="1:19" x14ac:dyDescent="0.25">
      <c r="A64" s="469" t="s">
        <v>34</v>
      </c>
      <c r="B64" s="479" t="s">
        <v>35</v>
      </c>
      <c r="C64" s="479"/>
      <c r="D64" s="362"/>
      <c r="E64" s="362"/>
      <c r="F64" s="362"/>
      <c r="G64" s="362"/>
      <c r="H64" s="362"/>
      <c r="I64" s="362"/>
      <c r="J64" s="331"/>
      <c r="K64" s="331"/>
      <c r="L64" s="331"/>
    </row>
    <row r="65" spans="1:12" ht="36.75" customHeight="1" x14ac:dyDescent="0.25">
      <c r="A65" s="363"/>
      <c r="B65" s="1392" t="str">
        <f>PENYELIA!B69</f>
        <v>Alat yang dikalibrasi dalam batas toleransi dan dinyatakan LAIK PAKAI, dimana hasil atau skor akhir sama dengan atau melampaui 80% berdasarkan Keputusan Direktur Jenderal Pelayanan Kesehatan No : HK.02.02/V/0412/2020</v>
      </c>
      <c r="C65" s="1392"/>
      <c r="D65" s="1392"/>
      <c r="E65" s="1392"/>
      <c r="F65" s="1392"/>
      <c r="G65" s="1392"/>
      <c r="H65" s="1392"/>
      <c r="I65" s="1392"/>
      <c r="J65" s="1392"/>
      <c r="K65" s="1392"/>
      <c r="L65" s="1392"/>
    </row>
    <row r="66" spans="1:12" ht="18.75" customHeight="1" x14ac:dyDescent="0.25">
      <c r="A66" s="469" t="s">
        <v>36</v>
      </c>
      <c r="B66" s="469" t="s">
        <v>13</v>
      </c>
      <c r="C66" s="469"/>
      <c r="D66" s="362" t="s">
        <v>0</v>
      </c>
      <c r="E66" s="362"/>
      <c r="F66" s="331"/>
      <c r="G66" s="478"/>
      <c r="H66" s="480"/>
      <c r="I66" s="480"/>
      <c r="J66" s="480"/>
      <c r="K66" s="480"/>
      <c r="L66" s="480"/>
    </row>
    <row r="67" spans="1:12" x14ac:dyDescent="0.25">
      <c r="A67" s="362"/>
      <c r="B67" s="363" t="str">
        <f>ID!A81</f>
        <v>Sholihatussa'diah</v>
      </c>
      <c r="C67" s="362"/>
      <c r="D67" s="362"/>
      <c r="E67" s="362"/>
      <c r="F67" s="362"/>
      <c r="G67" s="362"/>
      <c r="H67" s="362"/>
      <c r="I67" s="362"/>
      <c r="L67" s="331"/>
    </row>
    <row r="68" spans="1:12" x14ac:dyDescent="0.25">
      <c r="A68" s="362"/>
      <c r="B68" s="363"/>
      <c r="C68" s="362"/>
      <c r="D68" s="362"/>
      <c r="E68" s="362"/>
      <c r="F68" s="362"/>
      <c r="G68" s="362"/>
      <c r="H68" s="362"/>
      <c r="I68" s="362"/>
      <c r="L68" s="331"/>
    </row>
    <row r="69" spans="1:12" x14ac:dyDescent="0.25">
      <c r="A69" s="368"/>
      <c r="B69" s="331"/>
      <c r="C69" s="331"/>
      <c r="D69" s="331"/>
      <c r="E69" s="331"/>
      <c r="F69" s="331"/>
      <c r="G69" s="331"/>
      <c r="H69" s="331"/>
      <c r="I69" s="331"/>
      <c r="L69" s="331"/>
    </row>
    <row r="70" spans="1:12" x14ac:dyDescent="0.25">
      <c r="A70" s="368"/>
      <c r="B70" s="331"/>
      <c r="C70" s="331"/>
      <c r="D70" s="331"/>
      <c r="E70" s="331"/>
      <c r="F70" s="331"/>
      <c r="G70" s="331"/>
      <c r="H70" s="331"/>
      <c r="I70" s="331"/>
      <c r="J70" s="367" t="s">
        <v>17</v>
      </c>
      <c r="K70" s="367"/>
      <c r="L70" s="331"/>
    </row>
    <row r="71" spans="1:12" x14ac:dyDescent="0.25">
      <c r="A71" s="368"/>
      <c r="B71" s="331"/>
      <c r="C71" s="331"/>
      <c r="D71" s="331"/>
      <c r="E71" s="331"/>
      <c r="F71" s="331"/>
      <c r="G71" s="331"/>
      <c r="H71" s="331"/>
      <c r="I71" s="331"/>
      <c r="J71" s="367" t="s">
        <v>95</v>
      </c>
      <c r="K71" s="367"/>
      <c r="L71" s="331"/>
    </row>
    <row r="72" spans="1:12" x14ac:dyDescent="0.25">
      <c r="A72" s="368"/>
      <c r="B72" s="331"/>
      <c r="C72" s="331"/>
      <c r="D72" s="331"/>
      <c r="E72" s="331"/>
      <c r="F72" s="331"/>
      <c r="G72" s="331"/>
      <c r="H72" s="331"/>
      <c r="I72" s="331"/>
      <c r="J72" s="367" t="s">
        <v>96</v>
      </c>
      <c r="K72" s="367"/>
      <c r="L72" s="331"/>
    </row>
    <row r="73" spans="1:12" x14ac:dyDescent="0.25">
      <c r="A73" s="368"/>
      <c r="B73" s="331"/>
      <c r="C73" s="331"/>
      <c r="D73" s="331"/>
      <c r="E73" s="331"/>
      <c r="F73" s="331"/>
      <c r="G73" s="331"/>
      <c r="H73" s="331"/>
      <c r="I73" s="331"/>
      <c r="J73" s="367"/>
      <c r="K73" s="367"/>
      <c r="L73" s="331"/>
    </row>
    <row r="74" spans="1:12" x14ac:dyDescent="0.25">
      <c r="A74" s="368"/>
      <c r="B74" s="331"/>
      <c r="C74" s="331"/>
      <c r="D74" s="331"/>
      <c r="E74" s="331"/>
      <c r="F74" s="331"/>
      <c r="G74" s="331"/>
      <c r="H74" s="331"/>
      <c r="I74" s="331"/>
      <c r="J74" s="367"/>
      <c r="K74" s="367"/>
      <c r="L74" s="331"/>
    </row>
    <row r="75" spans="1:12" x14ac:dyDescent="0.25">
      <c r="A75" s="368"/>
      <c r="B75" s="331"/>
      <c r="C75" s="331"/>
      <c r="D75" s="331"/>
      <c r="E75" s="331"/>
      <c r="F75" s="331"/>
      <c r="G75" s="331"/>
      <c r="H75" s="331"/>
      <c r="I75" s="331"/>
      <c r="J75" s="367"/>
      <c r="K75" s="367"/>
      <c r="L75" s="331"/>
    </row>
    <row r="76" spans="1:12" x14ac:dyDescent="0.25">
      <c r="A76" s="368"/>
      <c r="B76" s="331"/>
      <c r="C76" s="331"/>
      <c r="D76" s="331"/>
      <c r="E76" s="331"/>
      <c r="F76" s="331"/>
      <c r="G76" s="331"/>
      <c r="H76" s="331"/>
      <c r="I76" s="331"/>
      <c r="J76" s="369"/>
      <c r="K76" s="367"/>
      <c r="L76" s="331"/>
    </row>
    <row r="77" spans="1:12" x14ac:dyDescent="0.25">
      <c r="A77" s="368"/>
      <c r="B77" s="331"/>
      <c r="C77" s="331"/>
      <c r="D77" s="331"/>
      <c r="E77" s="331"/>
      <c r="F77" s="331"/>
      <c r="G77" s="331"/>
      <c r="H77" s="331"/>
      <c r="I77" s="331"/>
      <c r="J77" s="370" t="s">
        <v>415</v>
      </c>
      <c r="K77" s="513"/>
      <c r="L77" s="331"/>
    </row>
    <row r="78" spans="1:12" ht="24" customHeight="1" x14ac:dyDescent="0.25">
      <c r="A78" s="368"/>
      <c r="B78" s="331"/>
      <c r="C78" s="331"/>
      <c r="D78" s="331"/>
      <c r="E78" s="331"/>
      <c r="F78" s="331"/>
      <c r="G78" s="331"/>
      <c r="H78" s="331"/>
      <c r="I78" s="331"/>
      <c r="J78" s="514" t="s">
        <v>246</v>
      </c>
      <c r="K78" s="513"/>
      <c r="L78" s="331"/>
    </row>
    <row r="79" spans="1:12" x14ac:dyDescent="0.25">
      <c r="A79" s="368"/>
      <c r="B79" s="331"/>
      <c r="C79" s="331"/>
      <c r="D79" s="331"/>
      <c r="E79" s="331"/>
      <c r="F79" s="331"/>
      <c r="G79" s="331"/>
      <c r="H79" s="331"/>
      <c r="I79" s="331"/>
      <c r="J79" s="331"/>
      <c r="K79" s="331"/>
      <c r="L79" s="331"/>
    </row>
    <row r="80" spans="1:12" hidden="1" x14ac:dyDescent="0.25">
      <c r="A80" s="368"/>
      <c r="B80" s="331"/>
      <c r="C80" s="331"/>
      <c r="D80" s="331"/>
      <c r="E80" s="331"/>
      <c r="F80" s="331"/>
      <c r="G80" s="331"/>
      <c r="H80" s="331"/>
      <c r="I80" s="331"/>
      <c r="J80" s="331"/>
      <c r="K80" s="331"/>
      <c r="L80" s="331"/>
    </row>
    <row r="81" spans="1:12" ht="14.25" customHeight="1" x14ac:dyDescent="0.25">
      <c r="A81" s="376" t="s">
        <v>231</v>
      </c>
      <c r="B81" s="331"/>
      <c r="C81" s="331"/>
      <c r="D81" s="331"/>
      <c r="E81" s="331"/>
      <c r="F81" s="331"/>
      <c r="G81" s="331"/>
      <c r="H81" s="331"/>
      <c r="I81" s="331"/>
      <c r="J81" s="331"/>
      <c r="K81" s="331"/>
      <c r="L81" s="375" t="s">
        <v>94</v>
      </c>
    </row>
    <row r="201" spans="1:6" x14ac:dyDescent="0.25">
      <c r="A201" s="325"/>
      <c r="F201" s="327"/>
    </row>
  </sheetData>
  <sheetProtection algorithmName="SHA-512" hashValue="rWpODxE0S1m9PUHUDynzMNxH+3HmBK38ohprEhgVxQ3TxYciNlZltwb8UmCQ3RtwGeEeJ57XxtBT71aEF6H9SA==" saltValue="HhYaIV+QD1FHzfwXbKg0qg==" spinCount="100000" sheet="1" formatCells="0" formatColumns="0" formatRows="0" insertRows="0" deleteRows="0"/>
  <mergeCells count="39">
    <mergeCell ref="A52:G52"/>
    <mergeCell ref="B60:G60"/>
    <mergeCell ref="B65:L65"/>
    <mergeCell ref="B40:B42"/>
    <mergeCell ref="F40:G40"/>
    <mergeCell ref="H40:I40"/>
    <mergeCell ref="K40:L40"/>
    <mergeCell ref="J40:J42"/>
    <mergeCell ref="C40:E42"/>
    <mergeCell ref="I33:I34"/>
    <mergeCell ref="C34:E34"/>
    <mergeCell ref="C35:E35"/>
    <mergeCell ref="C36:E36"/>
    <mergeCell ref="H36:H38"/>
    <mergeCell ref="C37:E37"/>
    <mergeCell ref="C38:E38"/>
    <mergeCell ref="I28:I29"/>
    <mergeCell ref="B30:E30"/>
    <mergeCell ref="F30:H30"/>
    <mergeCell ref="B31:E31"/>
    <mergeCell ref="F31:H31"/>
    <mergeCell ref="B33:B35"/>
    <mergeCell ref="C33:E33"/>
    <mergeCell ref="F33:F34"/>
    <mergeCell ref="G33:G34"/>
    <mergeCell ref="H33:H34"/>
    <mergeCell ref="B25:E25"/>
    <mergeCell ref="F25:H25"/>
    <mergeCell ref="B26:E26"/>
    <mergeCell ref="F26:H26"/>
    <mergeCell ref="B28:E29"/>
    <mergeCell ref="F28:H29"/>
    <mergeCell ref="A1:L1"/>
    <mergeCell ref="A2:L2"/>
    <mergeCell ref="B16:C16"/>
    <mergeCell ref="B17:C17"/>
    <mergeCell ref="B23:E24"/>
    <mergeCell ref="F23:H24"/>
    <mergeCell ref="I23:I24"/>
  </mergeCells>
  <printOptions horizontalCentered="1"/>
  <pageMargins left="0.511811023622047" right="0.23622047244094499" top="0.55118110236220497" bottom="0.39370078740157499" header="0.23622047244094499" footer="0.23622047244094499"/>
  <pageSetup paperSize="9" scale="71" orientation="portrait" r:id="rId1"/>
  <headerFooter>
    <oddHeader>&amp;R&amp;8T.042-18</oddHeader>
    <oddFooter>&amp;C&amp;8Dilarang keras mengutip/memperbanyak dan atau mempublikasikan sebagian isi sertifikat ini tanpa seijin LPFK Banjarbaru
Sertifikat ini sah apabila dibubuhi cap LPFK Banjarbaru dan ditandatangani oleh pejabat yang berwenang</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C9E37-9087-466B-92C0-6B4D83982E31}">
  <sheetPr>
    <tabColor rgb="FF00B050"/>
  </sheetPr>
  <dimension ref="A1:O61"/>
  <sheetViews>
    <sheetView zoomScaleNormal="100" zoomScaleSheetLayoutView="90" workbookViewId="0">
      <selection activeCell="D23" sqref="D23:F23"/>
    </sheetView>
  </sheetViews>
  <sheetFormatPr defaultRowHeight="12.75" x14ac:dyDescent="0.2"/>
  <cols>
    <col min="1" max="1" width="18.140625" style="1001" customWidth="1"/>
    <col min="2" max="2" width="26.140625" style="1001" customWidth="1"/>
    <col min="3" max="3" width="3.140625" style="1001" customWidth="1"/>
    <col min="4" max="4" width="11.5703125" style="1001" customWidth="1"/>
    <col min="5" max="5" width="9.42578125" style="1001" customWidth="1"/>
    <col min="6" max="6" width="22.5703125" style="1001" customWidth="1"/>
    <col min="7" max="7" width="9.140625" style="1001"/>
    <col min="8" max="8" width="18.85546875" style="1001" customWidth="1"/>
    <col min="9" max="9" width="12.140625" style="1001" customWidth="1"/>
    <col min="10" max="16384" width="9.140625" style="1001"/>
  </cols>
  <sheetData>
    <row r="1" spans="1:15" x14ac:dyDescent="0.2">
      <c r="H1" s="1002"/>
      <c r="I1" s="1003"/>
      <c r="J1" s="1003"/>
    </row>
    <row r="2" spans="1:15" ht="30" x14ac:dyDescent="0.2">
      <c r="A2" s="1411" t="str">
        <f>B46</f>
        <v>SERTIFIKAT KALIBRASI</v>
      </c>
      <c r="B2" s="1411"/>
      <c r="C2" s="1411"/>
      <c r="D2" s="1411"/>
      <c r="E2" s="1411"/>
      <c r="F2" s="1411"/>
      <c r="H2" s="1004"/>
      <c r="I2" s="1412"/>
      <c r="J2" s="1413"/>
    </row>
    <row r="3" spans="1:15" ht="14.25" x14ac:dyDescent="0.2">
      <c r="A3" s="1414" t="str">
        <f>"Nomor : 44 /"&amp;" "&amp;ID!I2</f>
        <v>Nomor : 44 / 11 / II - 21 / E - 035.66 DL</v>
      </c>
      <c r="B3" s="1414"/>
      <c r="C3" s="1414"/>
      <c r="D3" s="1414"/>
      <c r="E3" s="1414"/>
      <c r="F3" s="1414"/>
    </row>
    <row r="4" spans="1:15" x14ac:dyDescent="0.2">
      <c r="C4" s="1001" t="s">
        <v>470</v>
      </c>
      <c r="D4" s="1415" t="s">
        <v>783</v>
      </c>
      <c r="E4" s="1415"/>
      <c r="F4" s="1415"/>
      <c r="H4" s="1005"/>
      <c r="I4" s="1005"/>
      <c r="J4" s="1005"/>
    </row>
    <row r="5" spans="1:15" ht="15" x14ac:dyDescent="0.25">
      <c r="H5" s="1416"/>
      <c r="I5" s="1416"/>
      <c r="J5" s="1416"/>
    </row>
    <row r="6" spans="1:15" ht="28.5" x14ac:dyDescent="0.2">
      <c r="A6" s="1076" t="s">
        <v>467</v>
      </c>
      <c r="B6" s="1006" t="s">
        <v>555</v>
      </c>
      <c r="C6" s="1007"/>
      <c r="D6" s="1409" t="s">
        <v>466</v>
      </c>
      <c r="E6" s="1410"/>
      <c r="F6" s="1008" t="str">
        <f>MID(A3,SEARCH("E - ",A3),LEN(A3))</f>
        <v>E - 035.66 DL</v>
      </c>
    </row>
    <row r="7" spans="1:15" ht="14.25" x14ac:dyDescent="0.2">
      <c r="A7" s="1009"/>
      <c r="B7" s="1009"/>
      <c r="C7" s="1009"/>
    </row>
    <row r="8" spans="1:15" ht="14.25" x14ac:dyDescent="0.2">
      <c r="A8" s="1418" t="s">
        <v>465</v>
      </c>
      <c r="B8" s="1418"/>
      <c r="C8" s="1010" t="s">
        <v>0</v>
      </c>
      <c r="D8" s="1418" t="str">
        <f>LH!F5</f>
        <v>COSMO Med</v>
      </c>
      <c r="E8" s="1418"/>
      <c r="F8" s="1418"/>
      <c r="I8" s="1419"/>
      <c r="J8" s="1419"/>
    </row>
    <row r="9" spans="1:15" ht="14.25" x14ac:dyDescent="0.2">
      <c r="A9" s="1418" t="s">
        <v>464</v>
      </c>
      <c r="B9" s="1418"/>
      <c r="C9" s="1010" t="s">
        <v>0</v>
      </c>
      <c r="D9" s="1418" t="str">
        <f>LH!F6</f>
        <v>-</v>
      </c>
      <c r="E9" s="1418"/>
      <c r="F9" s="1418"/>
      <c r="I9" s="1419"/>
      <c r="J9" s="1419"/>
    </row>
    <row r="10" spans="1:15" ht="15" x14ac:dyDescent="0.25">
      <c r="A10" s="1418" t="s">
        <v>463</v>
      </c>
      <c r="B10" s="1418"/>
      <c r="C10" s="1010" t="s">
        <v>0</v>
      </c>
      <c r="D10" s="1418" t="str">
        <f>LH!F7</f>
        <v>-</v>
      </c>
      <c r="E10" s="1418"/>
      <c r="F10" s="1418"/>
      <c r="I10" s="1420"/>
      <c r="J10" s="1421"/>
      <c r="O10" s="1011"/>
    </row>
    <row r="11" spans="1:15" s="1003" customFormat="1" ht="15" hidden="1" x14ac:dyDescent="0.25">
      <c r="A11" s="1422" t="s">
        <v>462</v>
      </c>
      <c r="B11" s="1422"/>
      <c r="C11" s="1012" t="s">
        <v>0</v>
      </c>
      <c r="D11" s="1013" t="str">
        <f>I11&amp;"    "&amp;J11&amp;""</f>
        <v xml:space="preserve">    </v>
      </c>
      <c r="E11" s="1013"/>
      <c r="F11" s="1014">
        <f>J11</f>
        <v>0</v>
      </c>
      <c r="I11" s="1015"/>
      <c r="J11" s="1016"/>
      <c r="O11" s="1016"/>
    </row>
    <row r="12" spans="1:15" s="1003" customFormat="1" ht="15" x14ac:dyDescent="0.25">
      <c r="A12" s="1422" t="s">
        <v>76</v>
      </c>
      <c r="B12" s="1422"/>
      <c r="C12" s="1012" t="s">
        <v>0</v>
      </c>
      <c r="D12" s="1045">
        <f>LH!F8</f>
        <v>2</v>
      </c>
      <c r="E12" s="1017"/>
      <c r="F12" s="1014"/>
      <c r="I12" s="1018"/>
      <c r="J12" s="1016"/>
      <c r="O12" s="1016"/>
    </row>
    <row r="13" spans="1:15" ht="15" x14ac:dyDescent="0.25">
      <c r="A13" s="1019"/>
      <c r="B13" s="1019"/>
      <c r="C13" s="1009"/>
      <c r="I13" s="1417"/>
      <c r="J13" s="1417"/>
      <c r="O13" s="1011"/>
    </row>
    <row r="14" spans="1:15" ht="28.5" customHeight="1" x14ac:dyDescent="0.25">
      <c r="A14" s="1020" t="s">
        <v>461</v>
      </c>
      <c r="B14" s="1021"/>
      <c r="C14" s="1009"/>
      <c r="D14" s="1409" t="s">
        <v>459</v>
      </c>
      <c r="E14" s="1410"/>
      <c r="F14" s="1022"/>
      <c r="I14" s="1421"/>
      <c r="J14" s="1421"/>
      <c r="O14" s="1011"/>
    </row>
    <row r="15" spans="1:15" ht="15" x14ac:dyDescent="0.2">
      <c r="A15" s="1023"/>
      <c r="B15" s="1009"/>
      <c r="C15" s="1009"/>
      <c r="D15" s="1009"/>
      <c r="E15" s="1009"/>
      <c r="I15" s="1424"/>
      <c r="J15" s="1424"/>
    </row>
    <row r="16" spans="1:15" s="1003" customFormat="1" ht="42.75" customHeight="1" x14ac:dyDescent="0.2">
      <c r="A16" s="1425" t="s">
        <v>457</v>
      </c>
      <c r="B16" s="1425"/>
      <c r="C16" s="1024" t="s">
        <v>0</v>
      </c>
      <c r="D16" s="1426" t="s">
        <v>710</v>
      </c>
      <c r="E16" s="1426"/>
      <c r="F16" s="1426"/>
      <c r="H16" s="1025"/>
      <c r="I16" s="1427"/>
      <c r="J16" s="1428"/>
    </row>
    <row r="17" spans="1:10" ht="15" x14ac:dyDescent="0.25">
      <c r="A17" s="1418" t="str">
        <f>"Nama Ruang "&amp;B50</f>
        <v>Nama Ruang Kalibrasi</v>
      </c>
      <c r="B17" s="1418"/>
      <c r="C17" s="1010" t="s">
        <v>0</v>
      </c>
      <c r="D17" s="1429" t="str">
        <f>LH!F12</f>
        <v>VK</v>
      </c>
      <c r="E17" s="1429"/>
      <c r="F17" s="1429"/>
      <c r="H17" s="1430"/>
      <c r="I17" s="1430"/>
      <c r="J17" s="1430"/>
    </row>
    <row r="18" spans="1:10" ht="15" x14ac:dyDescent="0.25">
      <c r="A18" s="1418" t="s">
        <v>137</v>
      </c>
      <c r="B18" s="1418"/>
      <c r="C18" s="1010" t="s">
        <v>0</v>
      </c>
      <c r="D18" s="1423">
        <f>LH!F9</f>
        <v>44641</v>
      </c>
      <c r="E18" s="1423"/>
      <c r="F18" s="1423"/>
      <c r="H18" s="1077"/>
      <c r="I18" s="1077"/>
      <c r="J18" s="1077"/>
    </row>
    <row r="19" spans="1:10" ht="14.25" customHeight="1" x14ac:dyDescent="0.2">
      <c r="A19" s="1418" t="str">
        <f>"Tanggal "&amp;B50</f>
        <v>Tanggal Kalibrasi</v>
      </c>
      <c r="B19" s="1418"/>
      <c r="C19" s="1010" t="s">
        <v>0</v>
      </c>
      <c r="D19" s="1423">
        <f>LH!F10</f>
        <v>44641</v>
      </c>
      <c r="E19" s="1423"/>
      <c r="F19" s="1423"/>
    </row>
    <row r="20" spans="1:10" ht="14.25" x14ac:dyDescent="0.2">
      <c r="A20" s="1418" t="str">
        <f>"Penanggungjawab "&amp;B50</f>
        <v>Penanggungjawab Kalibrasi</v>
      </c>
      <c r="B20" s="1418"/>
      <c r="C20" s="1010" t="s">
        <v>0</v>
      </c>
      <c r="D20" s="1418" t="str">
        <f>LH!B67</f>
        <v>Sholihatussa'diah</v>
      </c>
      <c r="E20" s="1418"/>
      <c r="F20" s="1418"/>
    </row>
    <row r="21" spans="1:10" ht="15" x14ac:dyDescent="0.25">
      <c r="A21" s="1418" t="str">
        <f>"Lokasi "&amp;B50</f>
        <v>Lokasi Kalibrasi</v>
      </c>
      <c r="B21" s="1418"/>
      <c r="C21" s="1010" t="s">
        <v>0</v>
      </c>
      <c r="D21" s="1429" t="str">
        <f>LH!F11</f>
        <v>ICU</v>
      </c>
      <c r="E21" s="1429"/>
      <c r="F21" s="1429"/>
      <c r="H21" s="1026"/>
    </row>
    <row r="22" spans="1:10" ht="31.5" customHeight="1" x14ac:dyDescent="0.2">
      <c r="A22" s="1429" t="str">
        <f>"Hasil "&amp;B50</f>
        <v>Hasil Kalibrasi</v>
      </c>
      <c r="B22" s="1429"/>
      <c r="C22" s="1027" t="s">
        <v>0</v>
      </c>
      <c r="D22" s="1431" t="str">
        <f>IF(B46="SERTIFIKAT KALIBRASI",B58,B59)</f>
        <v>Laik Pakai, disarankan untuk dikalibrasi ulang pada tanggal 21 March 2023</v>
      </c>
      <c r="E22" s="1431"/>
      <c r="F22" s="1431"/>
    </row>
    <row r="23" spans="1:10" ht="14.25" x14ac:dyDescent="0.2">
      <c r="A23" s="1418" t="s">
        <v>180</v>
      </c>
      <c r="B23" s="1418"/>
      <c r="C23" s="1010" t="s">
        <v>0</v>
      </c>
      <c r="D23" s="1418" t="str">
        <f>LH!F13</f>
        <v>MK 042-18</v>
      </c>
      <c r="E23" s="1418"/>
      <c r="F23" s="1418"/>
    </row>
    <row r="26" spans="1:10" ht="26.25" customHeight="1" x14ac:dyDescent="0.2">
      <c r="D26" s="1028" t="s">
        <v>453</v>
      </c>
      <c r="E26" s="1433">
        <f ca="1">TODAY()</f>
        <v>44663</v>
      </c>
      <c r="F26" s="1433"/>
    </row>
    <row r="27" spans="1:10" ht="14.25" x14ac:dyDescent="0.2">
      <c r="D27" s="1418" t="s">
        <v>452</v>
      </c>
      <c r="E27" s="1418"/>
      <c r="F27" s="1418"/>
    </row>
    <row r="28" spans="1:10" ht="14.25" x14ac:dyDescent="0.2">
      <c r="D28" s="1418" t="s">
        <v>451</v>
      </c>
      <c r="E28" s="1418"/>
      <c r="F28" s="1418"/>
    </row>
    <row r="29" spans="1:10" ht="14.25" x14ac:dyDescent="0.2">
      <c r="D29" s="1029"/>
      <c r="E29" s="1029"/>
    </row>
    <row r="30" spans="1:10" ht="14.25" x14ac:dyDescent="0.2">
      <c r="D30" s="1029"/>
      <c r="E30" s="1029"/>
    </row>
    <row r="31" spans="1:10" ht="14.25" x14ac:dyDescent="0.2">
      <c r="D31" s="1029"/>
      <c r="E31" s="1029"/>
    </row>
    <row r="32" spans="1:10" ht="14.25" x14ac:dyDescent="0.2">
      <c r="D32" s="1418" t="s">
        <v>450</v>
      </c>
      <c r="E32" s="1418"/>
      <c r="F32" s="1418"/>
    </row>
    <row r="33" spans="1:6" ht="15" x14ac:dyDescent="0.2">
      <c r="D33" s="1432" t="s">
        <v>449</v>
      </c>
      <c r="E33" s="1432"/>
      <c r="F33" s="1432"/>
    </row>
    <row r="36" spans="1:6" x14ac:dyDescent="0.2">
      <c r="A36" s="1030"/>
      <c r="B36" s="1030"/>
      <c r="C36" s="1030"/>
      <c r="D36" s="1030"/>
      <c r="E36" s="1030"/>
      <c r="F36" s="1030"/>
    </row>
    <row r="42" spans="1:6" ht="13.5" thickBot="1" x14ac:dyDescent="0.25"/>
    <row r="43" spans="1:6" ht="31.5" customHeight="1" x14ac:dyDescent="0.2">
      <c r="A43" s="1031" t="s">
        <v>711</v>
      </c>
      <c r="B43" s="1124" t="str">
        <f>MID(ID!I2,SEARCH("E - ",ID!I2),LEN(ID!I2))</f>
        <v>E - 035.66 DL</v>
      </c>
    </row>
    <row r="44" spans="1:6" x14ac:dyDescent="0.2">
      <c r="A44" s="1032"/>
      <c r="B44" s="1033"/>
    </row>
    <row r="45" spans="1:6" ht="24" customHeight="1" x14ac:dyDescent="0.2">
      <c r="A45" s="1034" t="s">
        <v>712</v>
      </c>
      <c r="B45" s="1035" t="str">
        <f>ID!A1</f>
        <v>INPUT DATA KALIBRASI SPHYGMOMANOMETER</v>
      </c>
    </row>
    <row r="46" spans="1:6" ht="39" customHeight="1" x14ac:dyDescent="0.2">
      <c r="A46" s="1034" t="s">
        <v>713</v>
      </c>
      <c r="B46" s="1125" t="str">
        <f>IF(B45="INPUT DATA KALIBRASI SPHYGMOMANOMETER",B47,B48)</f>
        <v>SERTIFIKAT KALIBRASI</v>
      </c>
    </row>
    <row r="47" spans="1:6" ht="22.5" customHeight="1" x14ac:dyDescent="0.2">
      <c r="A47" s="1034" t="s">
        <v>714</v>
      </c>
      <c r="B47" s="1033" t="s">
        <v>474</v>
      </c>
    </row>
    <row r="48" spans="1:6" x14ac:dyDescent="0.2">
      <c r="A48" s="1032"/>
      <c r="B48" s="1033" t="s">
        <v>715</v>
      </c>
    </row>
    <row r="49" spans="1:2" x14ac:dyDescent="0.2">
      <c r="A49" s="1032"/>
      <c r="B49" s="1033"/>
    </row>
    <row r="50" spans="1:2" ht="48" customHeight="1" x14ac:dyDescent="0.2">
      <c r="A50" s="1034" t="s">
        <v>716</v>
      </c>
      <c r="B50" s="1033" t="str">
        <f>IF(RIGHT(A2,10)=" KALIBRASI","Kalibrasi","Pengujian")</f>
        <v>Kalibrasi</v>
      </c>
    </row>
    <row r="51" spans="1:2" x14ac:dyDescent="0.2">
      <c r="A51" s="1032"/>
      <c r="B51" s="1033"/>
    </row>
    <row r="52" spans="1:2" s="1037" customFormat="1" ht="34.5" customHeight="1" x14ac:dyDescent="0.25">
      <c r="A52" s="1034" t="s">
        <v>717</v>
      </c>
      <c r="B52" s="1036" t="s">
        <v>454</v>
      </c>
    </row>
    <row r="53" spans="1:2" x14ac:dyDescent="0.2">
      <c r="A53" s="1032"/>
      <c r="B53" s="1033"/>
    </row>
    <row r="54" spans="1:2" ht="50.25" customHeight="1" x14ac:dyDescent="0.25">
      <c r="A54" s="1038" t="s">
        <v>718</v>
      </c>
      <c r="B54" s="1039">
        <f>DATE(YEAR(D19)+1,MONTH(D19),DAY(D19))</f>
        <v>45006</v>
      </c>
    </row>
    <row r="55" spans="1:2" ht="27" customHeight="1" x14ac:dyDescent="0.2">
      <c r="A55" s="1034" t="s">
        <v>719</v>
      </c>
      <c r="B55" s="1040" t="str">
        <f>TEXT(B54,"d mmmm yyyy")</f>
        <v>21 March 2023</v>
      </c>
    </row>
    <row r="56" spans="1:2" x14ac:dyDescent="0.2">
      <c r="A56" s="1032"/>
      <c r="B56" s="1033"/>
    </row>
    <row r="57" spans="1:2" ht="30" customHeight="1" x14ac:dyDescent="0.25">
      <c r="A57" s="1038" t="s">
        <v>720</v>
      </c>
      <c r="B57" s="1126" t="str">
        <f>IF(B46=B47,B58,B59)</f>
        <v>Laik Pakai, disarankan untuk dikalibrasi ulang pada tanggal 21 March 2023</v>
      </c>
    </row>
    <row r="58" spans="1:2" ht="45" x14ac:dyDescent="0.25">
      <c r="A58" s="1032" t="s">
        <v>721</v>
      </c>
      <c r="B58" s="1041" t="str">
        <f>CONCATENATE(B60,B55)</f>
        <v>Laik Pakai, disarankan untuk dikalibrasi ulang pada tanggal 21 March 2023</v>
      </c>
    </row>
    <row r="59" spans="1:2" ht="45" x14ac:dyDescent="0.25">
      <c r="A59" s="1032"/>
      <c r="B59" s="1041" t="str">
        <f>CONCATENATE(B61,B55)</f>
        <v>Laik Pakai, disarankan untuk diuji ulang pada tanggal 21 March 2023</v>
      </c>
    </row>
    <row r="60" spans="1:2" ht="42" customHeight="1" x14ac:dyDescent="0.25">
      <c r="A60" s="1042" t="s">
        <v>714</v>
      </c>
      <c r="B60" s="1041" t="s">
        <v>722</v>
      </c>
    </row>
    <row r="61" spans="1:2" ht="39.75" customHeight="1" thickBot="1" x14ac:dyDescent="0.3">
      <c r="A61" s="1043"/>
      <c r="B61" s="1044" t="s">
        <v>723</v>
      </c>
    </row>
  </sheetData>
  <sheetProtection formatRows="0"/>
  <mergeCells count="44">
    <mergeCell ref="D33:F33"/>
    <mergeCell ref="A23:B23"/>
    <mergeCell ref="D23:F23"/>
    <mergeCell ref="E26:F26"/>
    <mergeCell ref="D27:F27"/>
    <mergeCell ref="D28:F28"/>
    <mergeCell ref="D32:F32"/>
    <mergeCell ref="A20:B20"/>
    <mergeCell ref="D20:F20"/>
    <mergeCell ref="A21:B21"/>
    <mergeCell ref="D21:F21"/>
    <mergeCell ref="A22:B22"/>
    <mergeCell ref="D22:F22"/>
    <mergeCell ref="A19:B19"/>
    <mergeCell ref="D19:F19"/>
    <mergeCell ref="D14:E14"/>
    <mergeCell ref="I14:J14"/>
    <mergeCell ref="I15:J15"/>
    <mergeCell ref="A16:B16"/>
    <mergeCell ref="D16:F16"/>
    <mergeCell ref="I16:J16"/>
    <mergeCell ref="A17:B17"/>
    <mergeCell ref="D17:F17"/>
    <mergeCell ref="H17:J17"/>
    <mergeCell ref="A18:B18"/>
    <mergeCell ref="D18:F18"/>
    <mergeCell ref="I13:J13"/>
    <mergeCell ref="A8:B8"/>
    <mergeCell ref="D8:F8"/>
    <mergeCell ref="I8:J8"/>
    <mergeCell ref="A9:B9"/>
    <mergeCell ref="D9:F9"/>
    <mergeCell ref="I9:J9"/>
    <mergeCell ref="A10:B10"/>
    <mergeCell ref="D10:F10"/>
    <mergeCell ref="I10:J10"/>
    <mergeCell ref="A11:B11"/>
    <mergeCell ref="A12:B12"/>
    <mergeCell ref="D6:E6"/>
    <mergeCell ref="A2:F2"/>
    <mergeCell ref="I2:J2"/>
    <mergeCell ref="A3:F3"/>
    <mergeCell ref="D4:F4"/>
    <mergeCell ref="H5:J5"/>
  </mergeCells>
  <dataValidations count="3">
    <dataValidation type="list" allowBlank="1" showInputMessage="1" showErrorMessage="1" sqref="A2:F2" xr:uid="{4BA8880D-7477-471B-8FE4-CC66EC945544}">
      <formula1>"SERTIFIKAT KALIBRASI,SERTIFIKAT PENGUJIAN"</formula1>
    </dataValidation>
    <dataValidation type="list" allowBlank="1" showInputMessage="1" showErrorMessage="1" sqref="J11" xr:uid="{CCEE6F23-B34B-4904-9686-57A5C6700ADB}">
      <formula1>$M$2:$M$22</formula1>
    </dataValidation>
    <dataValidation type="list" allowBlank="1" showInputMessage="1" showErrorMessage="1" sqref="J12" xr:uid="{423F3DE0-4F12-4136-B083-D746EDFBA713}">
      <formula1>$O$9:$O$14</formula1>
    </dataValidation>
  </dataValidations>
  <pageMargins left="0.6" right="0.3" top="1.57" bottom="0" header="0.5" footer="0.6"/>
  <pageSetup paperSize="9" orientation="portrait" horizontalDpi="0" verticalDpi="0" r:id="rId1"/>
  <headerFooter>
    <oddFooter>&amp;L&amp;"Times New Roman,Bold"Sertifikat ini terdiri dari 2 halaman</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F5F2B-8CB2-4F55-92AC-CAAD867ED4BB}">
  <sheetPr>
    <tabColor rgb="FF00B050"/>
  </sheetPr>
  <dimension ref="A1:P36"/>
  <sheetViews>
    <sheetView view="pageBreakPreview" zoomScaleNormal="100" zoomScaleSheetLayoutView="100" workbookViewId="0">
      <selection activeCell="I15" sqref="I15"/>
    </sheetView>
  </sheetViews>
  <sheetFormatPr defaultColWidth="9.140625" defaultRowHeight="12.75" x14ac:dyDescent="0.2"/>
  <cols>
    <col min="1" max="1" width="18.140625" style="911" customWidth="1"/>
    <col min="2" max="2" width="26.140625" style="911" customWidth="1"/>
    <col min="3" max="3" width="3.140625" style="911" customWidth="1"/>
    <col min="4" max="4" width="10.28515625" style="911" customWidth="1"/>
    <col min="5" max="5" width="1.5703125" style="911" customWidth="1"/>
    <col min="6" max="6" width="9.140625" style="911" customWidth="1"/>
    <col min="7" max="7" width="31.28515625" style="911" customWidth="1"/>
    <col min="8" max="8" width="9.140625" style="911"/>
    <col min="9" max="9" width="21.5703125" style="911" customWidth="1"/>
    <col min="10" max="10" width="12.140625" style="911" customWidth="1"/>
    <col min="11" max="16384" width="9.140625" style="911"/>
  </cols>
  <sheetData>
    <row r="1" spans="1:16" x14ac:dyDescent="0.2">
      <c r="I1" s="942">
        <f>IF(RIGHT(A3,2)="Dt",10,13)</f>
        <v>13</v>
      </c>
    </row>
    <row r="2" spans="1:16" ht="30.75" thickBot="1" x14ac:dyDescent="0.25">
      <c r="A2" s="1436" t="s">
        <v>474</v>
      </c>
      <c r="B2" s="1436"/>
      <c r="C2" s="1436"/>
      <c r="D2" s="1436"/>
      <c r="E2" s="1436"/>
      <c r="F2" s="1436"/>
      <c r="G2" s="1436"/>
      <c r="I2" s="941"/>
      <c r="J2" s="1437"/>
      <c r="K2" s="1438"/>
    </row>
    <row r="3" spans="1:16" ht="14.25" x14ac:dyDescent="0.2">
      <c r="A3" s="1439" t="str">
        <f>"Nomor : 44 /"&amp;" "&amp;ID!I2</f>
        <v>Nomor : 44 / 11 / II - 21 / E - 035.66 DL</v>
      </c>
      <c r="B3" s="1439"/>
      <c r="C3" s="1439"/>
      <c r="D3" s="1439"/>
      <c r="E3" s="1439"/>
      <c r="F3" s="1439"/>
      <c r="G3" s="1439"/>
      <c r="I3" s="940" t="s">
        <v>473</v>
      </c>
      <c r="J3" s="939" t="s">
        <v>472</v>
      </c>
      <c r="K3" s="938" t="s">
        <v>471</v>
      </c>
    </row>
    <row r="4" spans="1:16" ht="15.75" customHeight="1" x14ac:dyDescent="0.2">
      <c r="C4" s="911" t="s">
        <v>470</v>
      </c>
      <c r="D4" s="1440" t="str">
        <f>VLOOKUP(B6,'DB SERTIFIKAT NA'!$B$2:$C$73,2,FALSE)</f>
        <v>T.S - 042 - 18 / REV : 1</v>
      </c>
      <c r="E4" s="1440"/>
      <c r="F4" s="1440"/>
      <c r="G4" s="1440"/>
      <c r="I4" s="937">
        <v>5</v>
      </c>
      <c r="J4" s="936" t="s">
        <v>469</v>
      </c>
      <c r="K4" s="935">
        <v>2022</v>
      </c>
    </row>
    <row r="5" spans="1:16" ht="15.75" thickBot="1" x14ac:dyDescent="0.3">
      <c r="I5" s="1441" t="s">
        <v>468</v>
      </c>
      <c r="J5" s="1442"/>
      <c r="K5" s="1443"/>
    </row>
    <row r="6" spans="1:16" ht="34.5" customHeight="1" x14ac:dyDescent="0.2">
      <c r="A6" s="934" t="s">
        <v>467</v>
      </c>
      <c r="B6" s="933" t="s">
        <v>555</v>
      </c>
      <c r="C6" s="932"/>
      <c r="D6" s="1444" t="s">
        <v>466</v>
      </c>
      <c r="E6" s="1445"/>
      <c r="F6" s="1445"/>
      <c r="G6" s="931" t="str">
        <f>RIGHT(A3,I1)</f>
        <v>E - 035.66 DL</v>
      </c>
    </row>
    <row r="7" spans="1:16" ht="14.25" x14ac:dyDescent="0.2">
      <c r="A7" s="920"/>
      <c r="B7" s="920"/>
      <c r="C7" s="920"/>
    </row>
    <row r="8" spans="1:16" ht="14.25" x14ac:dyDescent="0.2">
      <c r="A8" s="1434" t="s">
        <v>465</v>
      </c>
      <c r="B8" s="1434"/>
      <c r="C8" s="914" t="s">
        <v>0</v>
      </c>
      <c r="D8" s="1434" t="str">
        <f>LH!F5</f>
        <v>COSMO Med</v>
      </c>
      <c r="E8" s="1434"/>
      <c r="F8" s="1434"/>
      <c r="G8" s="1434"/>
      <c r="J8" s="1435"/>
      <c r="K8" s="1435"/>
    </row>
    <row r="9" spans="1:16" ht="14.25" x14ac:dyDescent="0.2">
      <c r="A9" s="1434" t="s">
        <v>464</v>
      </c>
      <c r="B9" s="1434"/>
      <c r="C9" s="914" t="s">
        <v>0</v>
      </c>
      <c r="D9" s="1434" t="str">
        <f>LH!F6</f>
        <v>-</v>
      </c>
      <c r="E9" s="1434"/>
      <c r="F9" s="1434"/>
      <c r="G9" s="1434"/>
      <c r="J9" s="1435"/>
      <c r="K9" s="1435"/>
    </row>
    <row r="10" spans="1:16" ht="15" x14ac:dyDescent="0.25">
      <c r="A10" s="1434" t="s">
        <v>463</v>
      </c>
      <c r="B10" s="1434"/>
      <c r="C10" s="914" t="s">
        <v>0</v>
      </c>
      <c r="D10" s="1434" t="str">
        <f>LH!F7</f>
        <v>-</v>
      </c>
      <c r="E10" s="1434"/>
      <c r="F10" s="1434"/>
      <c r="G10" s="1434"/>
      <c r="J10" s="1446"/>
      <c r="K10" s="1447"/>
      <c r="P10" s="922"/>
    </row>
    <row r="11" spans="1:16" ht="15" hidden="1" x14ac:dyDescent="0.25">
      <c r="A11" s="1434" t="s">
        <v>462</v>
      </c>
      <c r="B11" s="1434"/>
      <c r="C11" s="914" t="s">
        <v>0</v>
      </c>
      <c r="D11" s="930" t="str">
        <f>J11&amp;"    "&amp;K11&amp;""</f>
        <v xml:space="preserve">    </v>
      </c>
      <c r="E11" s="930"/>
      <c r="F11" s="930"/>
      <c r="G11" s="928">
        <f>K11</f>
        <v>0</v>
      </c>
      <c r="J11" s="927"/>
      <c r="K11" s="922"/>
      <c r="P11" s="922"/>
    </row>
    <row r="12" spans="1:16" ht="15" x14ac:dyDescent="0.25">
      <c r="A12" s="1434" t="s">
        <v>76</v>
      </c>
      <c r="B12" s="1434"/>
      <c r="C12" s="914" t="s">
        <v>0</v>
      </c>
      <c r="D12" s="975">
        <f>LH!F8</f>
        <v>2</v>
      </c>
      <c r="E12" s="929"/>
      <c r="G12" s="928"/>
      <c r="J12" s="927"/>
      <c r="K12" s="922"/>
      <c r="P12" s="922"/>
    </row>
    <row r="13" spans="1:16" ht="15" x14ac:dyDescent="0.25">
      <c r="A13" s="926"/>
      <c r="B13" s="926"/>
      <c r="C13" s="920"/>
      <c r="J13" s="1449"/>
      <c r="K13" s="1449"/>
      <c r="P13" s="922"/>
    </row>
    <row r="14" spans="1:16" ht="30" customHeight="1" x14ac:dyDescent="0.25">
      <c r="A14" s="925" t="s">
        <v>461</v>
      </c>
      <c r="B14" s="924" t="s">
        <v>460</v>
      </c>
      <c r="C14" s="920"/>
      <c r="D14" s="1444" t="s">
        <v>459</v>
      </c>
      <c r="E14" s="1445"/>
      <c r="F14" s="1445"/>
      <c r="G14" s="923" t="s">
        <v>458</v>
      </c>
      <c r="J14" s="1447"/>
      <c r="K14" s="1447"/>
      <c r="P14" s="922"/>
    </row>
    <row r="15" spans="1:16" ht="15" x14ac:dyDescent="0.2">
      <c r="A15" s="921"/>
      <c r="B15" s="920"/>
      <c r="C15" s="920"/>
      <c r="D15" s="920"/>
      <c r="E15" s="920"/>
      <c r="F15" s="920"/>
      <c r="J15" s="1450"/>
      <c r="K15" s="1450"/>
    </row>
    <row r="16" spans="1:16" ht="35.25" customHeight="1" x14ac:dyDescent="0.2">
      <c r="A16" s="1448" t="s">
        <v>457</v>
      </c>
      <c r="B16" s="1448"/>
      <c r="C16" s="915" t="s">
        <v>0</v>
      </c>
      <c r="D16" s="1451" t="s">
        <v>456</v>
      </c>
      <c r="E16" s="1451"/>
      <c r="F16" s="1451"/>
      <c r="G16" s="1451"/>
      <c r="I16" s="919"/>
      <c r="J16" s="1452"/>
      <c r="K16" s="1453"/>
    </row>
    <row r="17" spans="1:11" ht="15" x14ac:dyDescent="0.25">
      <c r="A17" s="1434" t="str">
        <f>"Nama Ruang "&amp;I20</f>
        <v>Nama Ruang Kalibrasi</v>
      </c>
      <c r="B17" s="1434"/>
      <c r="C17" s="914" t="s">
        <v>0</v>
      </c>
      <c r="D17" s="1448" t="str">
        <f>LH!F12</f>
        <v>VK</v>
      </c>
      <c r="E17" s="1448"/>
      <c r="F17" s="1448"/>
      <c r="G17" s="1448"/>
      <c r="I17" s="1455"/>
      <c r="J17" s="1455"/>
      <c r="K17" s="1455"/>
    </row>
    <row r="18" spans="1:11" ht="15" customHeight="1" x14ac:dyDescent="0.25">
      <c r="A18" s="1434" t="s">
        <v>137</v>
      </c>
      <c r="B18" s="1434"/>
      <c r="C18" s="914" t="s">
        <v>455</v>
      </c>
      <c r="D18" s="1448">
        <f>LH!F9</f>
        <v>44641</v>
      </c>
      <c r="E18" s="1448"/>
      <c r="F18" s="1448"/>
      <c r="G18" s="918"/>
      <c r="I18" s="917"/>
      <c r="J18" s="917"/>
      <c r="K18" s="917"/>
    </row>
    <row r="19" spans="1:11" ht="14.25" x14ac:dyDescent="0.2">
      <c r="A19" s="1434" t="str">
        <f>"Tanggal "&amp;I20</f>
        <v>Tanggal Kalibrasi</v>
      </c>
      <c r="B19" s="1434"/>
      <c r="C19" s="914" t="s">
        <v>0</v>
      </c>
      <c r="D19" s="1457">
        <f>LH!F10</f>
        <v>44641</v>
      </c>
      <c r="E19" s="1457"/>
      <c r="F19" s="1457"/>
      <c r="G19" s="1457"/>
    </row>
    <row r="20" spans="1:11" ht="14.25" x14ac:dyDescent="0.2">
      <c r="A20" s="1434" t="str">
        <f>"Penanggungjawab "&amp;I20</f>
        <v>Penanggungjawab Kalibrasi</v>
      </c>
      <c r="B20" s="1434"/>
      <c r="C20" s="914" t="s">
        <v>0</v>
      </c>
      <c r="D20" s="1434" t="str">
        <f>LH!B67</f>
        <v>Sholihatussa'diah</v>
      </c>
      <c r="E20" s="1434"/>
      <c r="F20" s="1434"/>
      <c r="G20" s="1434"/>
      <c r="I20" s="911" t="str">
        <f>IF(RIGHT(A2,10)=" KALIBRASI","Kalibrasi","Pengujian")</f>
        <v>Kalibrasi</v>
      </c>
    </row>
    <row r="21" spans="1:11" ht="15" x14ac:dyDescent="0.25">
      <c r="A21" s="1434" t="str">
        <f>"Lokasi "&amp;I20</f>
        <v>Lokasi Kalibrasi</v>
      </c>
      <c r="B21" s="1434"/>
      <c r="C21" s="914" t="s">
        <v>0</v>
      </c>
      <c r="D21" s="1448" t="str">
        <f>LH!F11</f>
        <v>ICU</v>
      </c>
      <c r="E21" s="1448"/>
      <c r="F21" s="1448"/>
      <c r="G21" s="1448"/>
      <c r="I21" s="916" t="s">
        <v>454</v>
      </c>
    </row>
    <row r="22" spans="1:11" ht="30.75" customHeight="1" x14ac:dyDescent="0.2">
      <c r="A22" s="1448" t="str">
        <f>"Hasil "&amp;I20</f>
        <v>Hasil Kalibrasi</v>
      </c>
      <c r="B22" s="1448"/>
      <c r="C22" s="915" t="s">
        <v>0</v>
      </c>
      <c r="D22" s="1456" t="str">
        <f>IF(RIGHT(I20,10)="Kalibrasi",I22,I23)</f>
        <v>Laik Pakai, disarankan untuk dikalibrasi ulang pada tanggal 5 Agustus 2023</v>
      </c>
      <c r="E22" s="1456"/>
      <c r="F22" s="1456"/>
      <c r="G22" s="1456"/>
      <c r="I22" s="911" t="str">
        <f>"Laik Pakai, disarankan untuk dikalibrasi ulang pada tanggal "&amp;I4&amp;" "&amp;J4&amp;" "&amp;K4+1</f>
        <v>Laik Pakai, disarankan untuk dikalibrasi ulang pada tanggal 5 Agustus 2023</v>
      </c>
    </row>
    <row r="23" spans="1:11" ht="14.25" x14ac:dyDescent="0.2">
      <c r="A23" s="1434" t="s">
        <v>180</v>
      </c>
      <c r="B23" s="1434"/>
      <c r="C23" s="914" t="s">
        <v>0</v>
      </c>
      <c r="D23" s="1434" t="str">
        <f>LH!F13</f>
        <v>MK 042-18</v>
      </c>
      <c r="E23" s="1434"/>
      <c r="F23" s="1434"/>
      <c r="G23" s="1434"/>
      <c r="I23" s="911" t="str">
        <f>"Laik Pakai, disarankan untuk diuji ulang pada tanggal "&amp;I4&amp;" "&amp;J4&amp;K4+1</f>
        <v>Laik Pakai, disarankan untuk diuji ulang pada tanggal 5 Agustus2023</v>
      </c>
    </row>
    <row r="26" spans="1:11" ht="27" customHeight="1" x14ac:dyDescent="0.2">
      <c r="D26" s="1459" t="s">
        <v>453</v>
      </c>
      <c r="E26" s="1459"/>
      <c r="F26" s="1458">
        <f ca="1">TODAY()</f>
        <v>44663</v>
      </c>
      <c r="G26" s="1458"/>
    </row>
    <row r="27" spans="1:11" ht="14.25" x14ac:dyDescent="0.2">
      <c r="D27" s="1434" t="s">
        <v>452</v>
      </c>
      <c r="E27" s="1434"/>
      <c r="F27" s="1434"/>
      <c r="G27" s="1434"/>
    </row>
    <row r="28" spans="1:11" ht="14.25" x14ac:dyDescent="0.2">
      <c r="D28" s="1434" t="s">
        <v>451</v>
      </c>
      <c r="E28" s="1434"/>
      <c r="F28" s="1434"/>
      <c r="G28" s="1434"/>
    </row>
    <row r="29" spans="1:11" ht="14.25" x14ac:dyDescent="0.2">
      <c r="D29" s="913"/>
      <c r="E29" s="913"/>
      <c r="F29" s="913"/>
    </row>
    <row r="30" spans="1:11" ht="14.25" x14ac:dyDescent="0.2">
      <c r="D30" s="913"/>
      <c r="E30" s="913"/>
      <c r="F30" s="913"/>
    </row>
    <row r="31" spans="1:11" ht="14.25" x14ac:dyDescent="0.2">
      <c r="D31" s="913"/>
      <c r="E31" s="913"/>
      <c r="F31" s="913"/>
    </row>
    <row r="32" spans="1:11" ht="14.25" x14ac:dyDescent="0.2">
      <c r="D32" s="1434" t="s">
        <v>450</v>
      </c>
      <c r="E32" s="1434"/>
      <c r="F32" s="1434"/>
      <c r="G32" s="1434"/>
    </row>
    <row r="33" spans="1:7" ht="15" x14ac:dyDescent="0.2">
      <c r="D33" s="1454" t="s">
        <v>449</v>
      </c>
      <c r="E33" s="1454"/>
      <c r="F33" s="1454"/>
      <c r="G33" s="1454"/>
    </row>
    <row r="36" spans="1:7" x14ac:dyDescent="0.2">
      <c r="A36" s="912"/>
      <c r="B36" s="912"/>
      <c r="C36" s="912"/>
      <c r="D36" s="912"/>
      <c r="E36" s="912"/>
      <c r="F36" s="912"/>
      <c r="G36" s="912"/>
    </row>
  </sheetData>
  <mergeCells count="45">
    <mergeCell ref="A20:B20"/>
    <mergeCell ref="D20:G20"/>
    <mergeCell ref="A18:B18"/>
    <mergeCell ref="A22:B22"/>
    <mergeCell ref="A23:B23"/>
    <mergeCell ref="A19:B19"/>
    <mergeCell ref="A21:B21"/>
    <mergeCell ref="D27:G27"/>
    <mergeCell ref="D28:G28"/>
    <mergeCell ref="D32:G32"/>
    <mergeCell ref="D33:G33"/>
    <mergeCell ref="I17:K17"/>
    <mergeCell ref="D22:G22"/>
    <mergeCell ref="D23:G23"/>
    <mergeCell ref="D19:G19"/>
    <mergeCell ref="D21:G21"/>
    <mergeCell ref="F26:G26"/>
    <mergeCell ref="D26:E26"/>
    <mergeCell ref="D18:F18"/>
    <mergeCell ref="A11:B11"/>
    <mergeCell ref="A12:B12"/>
    <mergeCell ref="A17:B17"/>
    <mergeCell ref="D17:G17"/>
    <mergeCell ref="J13:K13"/>
    <mergeCell ref="J14:K14"/>
    <mergeCell ref="J15:K15"/>
    <mergeCell ref="A16:B16"/>
    <mergeCell ref="D16:G16"/>
    <mergeCell ref="J16:K16"/>
    <mergeCell ref="D14:F14"/>
    <mergeCell ref="A9:B9"/>
    <mergeCell ref="D9:G9"/>
    <mergeCell ref="J9:K9"/>
    <mergeCell ref="A10:B10"/>
    <mergeCell ref="D10:G10"/>
    <mergeCell ref="J10:K10"/>
    <mergeCell ref="A8:B8"/>
    <mergeCell ref="D8:G8"/>
    <mergeCell ref="J8:K8"/>
    <mergeCell ref="A2:G2"/>
    <mergeCell ref="J2:K2"/>
    <mergeCell ref="A3:G3"/>
    <mergeCell ref="D4:G4"/>
    <mergeCell ref="I5:K5"/>
    <mergeCell ref="D6:F6"/>
  </mergeCells>
  <dataValidations count="3">
    <dataValidation type="list" allowBlank="1" showInputMessage="1" showErrorMessage="1" sqref="K11:K12" xr:uid="{00000000-0002-0000-0700-000002000000}">
      <formula1>$N$2:$N$22</formula1>
    </dataValidation>
    <dataValidation type="list" allowBlank="1" showInputMessage="1" showErrorMessage="1" sqref="G14" xr:uid="{00000000-0002-0000-0700-000001000000}">
      <formula1>"Negeri,Swasta"</formula1>
    </dataValidation>
    <dataValidation type="list" allowBlank="1" showInputMessage="1" showErrorMessage="1" sqref="A2:G2" xr:uid="{00000000-0002-0000-0700-000000000000}">
      <formula1>"SERTIFIKAT KALIBRASI,SERTIFIKAT PENGUJIAN"</formula1>
    </dataValidation>
  </dataValidations>
  <pageMargins left="0.6" right="0.3" top="1.57" bottom="0" header="0.5" footer="0.6"/>
  <pageSetup paperSize="9" scale="89" orientation="portrait" r:id="rId1"/>
  <headerFooter>
    <oddFooter>&amp;L&amp;"Times New Roman,Bold"Sertifikat ini terdiri dari 2 halaman</oddFooter>
  </headerFooter>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'DB SERTIFIKAT NA'!$F$2:$F$13</xm:f>
          </x14:formula1>
          <xm:sqref>J4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4E7B2-A745-4D72-9E2B-E20938FE427D}">
  <sheetPr>
    <tabColor rgb="FFFF0000"/>
  </sheetPr>
  <dimension ref="A2:K33"/>
  <sheetViews>
    <sheetView view="pageBreakPreview" zoomScaleNormal="100" zoomScaleSheetLayoutView="100" workbookViewId="0">
      <selection activeCell="I5" sqref="I5"/>
    </sheetView>
  </sheetViews>
  <sheetFormatPr defaultColWidth="9.140625" defaultRowHeight="12.75" x14ac:dyDescent="0.2"/>
  <cols>
    <col min="1" max="1" width="4.85546875" style="911" customWidth="1"/>
    <col min="2" max="2" width="19.42578125" style="911" customWidth="1"/>
    <col min="3" max="3" width="1.42578125" style="911" customWidth="1"/>
    <col min="4" max="4" width="12" style="911" customWidth="1"/>
    <col min="5" max="5" width="19" style="911" customWidth="1"/>
    <col min="6" max="7" width="18.7109375" style="911" customWidth="1"/>
    <col min="8" max="8" width="9.140625" style="911"/>
    <col min="9" max="9" width="23" style="911" bestFit="1" customWidth="1"/>
    <col min="10" max="10" width="9.7109375" style="911" bestFit="1" customWidth="1"/>
    <col min="11" max="11" width="8.85546875" style="911" customWidth="1"/>
    <col min="12" max="16384" width="9.140625" style="911"/>
  </cols>
  <sheetData>
    <row r="2" spans="1:11" x14ac:dyDescent="0.2">
      <c r="G2" s="963" t="str">
        <f>VLOOKUP(B18,'DB SERTIFIKAT NA'!$B$2:$C$73,2,FALSE)</f>
        <v>T.S - 042 - 18 / REV : 1</v>
      </c>
      <c r="I2" s="962"/>
      <c r="J2" s="1462"/>
      <c r="K2" s="1462"/>
    </row>
    <row r="3" spans="1:11" ht="22.5" x14ac:dyDescent="0.2">
      <c r="A3" s="1463" t="s">
        <v>487</v>
      </c>
      <c r="B3" s="1463"/>
      <c r="C3" s="1463"/>
      <c r="D3" s="1463"/>
      <c r="E3" s="1463"/>
      <c r="F3" s="1463"/>
      <c r="G3" s="1463"/>
      <c r="I3" s="941"/>
      <c r="J3" s="1464"/>
      <c r="K3" s="1465"/>
    </row>
    <row r="4" spans="1:11" ht="15.75" x14ac:dyDescent="0.2">
      <c r="A4" s="1466" t="str">
        <f>"Nomor : 9 /"&amp;" M - "&amp;ID!I2</f>
        <v>Nomor : 9 / M - 11 / II - 21 / E - 035.66 DL</v>
      </c>
      <c r="B4" s="1466"/>
      <c r="C4" s="1466"/>
      <c r="D4" s="1466"/>
      <c r="E4" s="1466"/>
      <c r="F4" s="1466"/>
      <c r="G4" s="1466"/>
      <c r="I4" s="960"/>
      <c r="J4" s="961"/>
      <c r="K4" s="957"/>
    </row>
    <row r="5" spans="1:11" x14ac:dyDescent="0.2">
      <c r="I5" s="960"/>
      <c r="J5" s="957"/>
      <c r="K5" s="957"/>
    </row>
    <row r="6" spans="1:11" x14ac:dyDescent="0.2">
      <c r="I6" s="954"/>
      <c r="J6" s="957"/>
      <c r="K6" s="957"/>
    </row>
    <row r="7" spans="1:11" ht="32.25" customHeight="1" x14ac:dyDescent="0.2">
      <c r="A7" s="1460" t="s">
        <v>486</v>
      </c>
      <c r="B7" s="1460"/>
      <c r="C7" s="1460"/>
      <c r="D7" s="1460"/>
      <c r="E7" s="1460"/>
      <c r="F7" s="1460"/>
      <c r="G7" s="1460"/>
      <c r="I7" s="954"/>
      <c r="J7" s="959"/>
      <c r="K7" s="957"/>
    </row>
    <row r="8" spans="1:11" ht="15.75" x14ac:dyDescent="0.2">
      <c r="A8" s="958"/>
      <c r="B8" s="958"/>
      <c r="C8" s="958"/>
      <c r="D8" s="958"/>
      <c r="E8" s="958"/>
      <c r="F8" s="958"/>
      <c r="G8" s="958"/>
      <c r="I8" s="954"/>
      <c r="J8" s="957"/>
      <c r="K8" s="957"/>
    </row>
    <row r="9" spans="1:11" x14ac:dyDescent="0.2">
      <c r="I9" s="954"/>
      <c r="J9" s="957"/>
      <c r="K9" s="957"/>
    </row>
    <row r="10" spans="1:11" ht="15.75" x14ac:dyDescent="0.25">
      <c r="A10" s="955" t="s">
        <v>485</v>
      </c>
      <c r="C10" s="955" t="s">
        <v>0</v>
      </c>
      <c r="D10" s="1460" t="str">
        <f>'SERTIFIKAT NA'!B14</f>
        <v>RSUD Datu Sanggul</v>
      </c>
      <c r="E10" s="1460"/>
      <c r="F10" s="1460"/>
      <c r="G10" s="1460"/>
      <c r="I10" s="954"/>
      <c r="J10" s="1461"/>
      <c r="K10" s="1461"/>
    </row>
    <row r="11" spans="1:11" ht="30" customHeight="1" x14ac:dyDescent="0.2">
      <c r="A11" s="956" t="s">
        <v>484</v>
      </c>
      <c r="C11" s="956" t="s">
        <v>0</v>
      </c>
      <c r="D11" s="1460" t="str">
        <f>'SERTIFIKAT NA'!D16</f>
        <v>Jalan Brigjend Hasan Basri</v>
      </c>
      <c r="E11" s="1460"/>
      <c r="F11" s="1460"/>
      <c r="G11" s="1460"/>
      <c r="I11" s="954"/>
      <c r="J11" s="1461"/>
      <c r="K11" s="1461"/>
    </row>
    <row r="12" spans="1:11" ht="15.75" x14ac:dyDescent="0.25">
      <c r="A12" s="955" t="s">
        <v>483</v>
      </c>
      <c r="C12" s="955" t="s">
        <v>0</v>
      </c>
      <c r="D12" s="955" t="str">
        <f>'SERTIFIKAT NA'!G6</f>
        <v>E - 035.66 DL</v>
      </c>
      <c r="I12" s="954"/>
      <c r="J12" s="1469"/>
      <c r="K12" s="1470"/>
    </row>
    <row r="15" spans="1:11" ht="15.75" x14ac:dyDescent="0.2">
      <c r="A15" s="953" t="s">
        <v>482</v>
      </c>
      <c r="F15" s="946"/>
    </row>
    <row r="17" spans="1:7" ht="22.5" customHeight="1" x14ac:dyDescent="0.2">
      <c r="A17" s="948" t="s">
        <v>3</v>
      </c>
      <c r="B17" s="948" t="s">
        <v>481</v>
      </c>
      <c r="C17" s="1471" t="s">
        <v>480</v>
      </c>
      <c r="D17" s="1472"/>
      <c r="E17" s="948" t="s">
        <v>138</v>
      </c>
      <c r="F17" s="948" t="s">
        <v>479</v>
      </c>
      <c r="G17" s="948" t="s">
        <v>1</v>
      </c>
    </row>
    <row r="18" spans="1:7" ht="30.75" customHeight="1" x14ac:dyDescent="0.2">
      <c r="A18" s="952" t="s">
        <v>5</v>
      </c>
      <c r="B18" s="951" t="str">
        <f>'SERTIFIKAT NA'!B6</f>
        <v>Sphygmomanometer</v>
      </c>
      <c r="C18" s="1473" t="str">
        <f>'SERTIFIKAT NA'!D8</f>
        <v>COSMO Med</v>
      </c>
      <c r="D18" s="1474"/>
      <c r="E18" s="950" t="str">
        <f>'SERTIFIKAT NA'!D9</f>
        <v>-</v>
      </c>
      <c r="F18" s="949" t="str">
        <f>'SERTIFIKAT NA'!D10</f>
        <v>-</v>
      </c>
      <c r="G18" s="948">
        <f>'SERTIFIKAT NA'!D19</f>
        <v>44641</v>
      </c>
    </row>
    <row r="19" spans="1:7" ht="15.75" x14ac:dyDescent="0.2">
      <c r="A19" s="947"/>
      <c r="C19" s="946"/>
      <c r="D19" s="946"/>
    </row>
    <row r="21" spans="1:7" ht="30.75" customHeight="1" x14ac:dyDescent="0.2">
      <c r="A21" s="1460" t="s">
        <v>478</v>
      </c>
      <c r="B21" s="1460"/>
      <c r="C21" s="1460"/>
      <c r="D21" s="1460"/>
      <c r="E21" s="1460"/>
      <c r="F21" s="1460"/>
      <c r="G21" s="1460"/>
    </row>
    <row r="23" spans="1:7" ht="15.75" x14ac:dyDescent="0.2">
      <c r="A23" s="1475" t="s">
        <v>477</v>
      </c>
      <c r="B23" s="1475"/>
      <c r="C23" s="1475"/>
      <c r="D23" s="1475"/>
      <c r="E23" s="1475"/>
      <c r="F23" s="1475"/>
      <c r="G23" s="1475"/>
    </row>
    <row r="24" spans="1:7" ht="15.75" x14ac:dyDescent="0.2">
      <c r="A24" s="945"/>
      <c r="B24" s="945"/>
      <c r="C24" s="945"/>
      <c r="D24" s="945"/>
      <c r="E24" s="945"/>
      <c r="F24" s="945"/>
      <c r="G24" s="945"/>
    </row>
    <row r="26" spans="1:7" ht="15.75" x14ac:dyDescent="0.2">
      <c r="F26" s="944" t="s">
        <v>476</v>
      </c>
      <c r="G26" s="943">
        <f ca="1">TODAY()</f>
        <v>44663</v>
      </c>
    </row>
    <row r="27" spans="1:7" ht="15.75" x14ac:dyDescent="0.25">
      <c r="F27" s="1468" t="s">
        <v>475</v>
      </c>
      <c r="G27" s="1468"/>
    </row>
    <row r="32" spans="1:7" ht="15.75" x14ac:dyDescent="0.25">
      <c r="F32" s="1467" t="s">
        <v>450</v>
      </c>
      <c r="G32" s="1467"/>
    </row>
    <row r="33" spans="6:7" ht="15.75" x14ac:dyDescent="0.25">
      <c r="F33" s="1468" t="s">
        <v>449</v>
      </c>
      <c r="G33" s="1468"/>
    </row>
  </sheetData>
  <sheetProtection algorithmName="SHA-512" hashValue="ID5VYnpKXhCv4yQGN1QeNLfQIu1lrKfyPFUmU04r003GmReNhE+r7nPPSYk9VvU1L9JX3gtoQJ9E/PgigWa5UQ==" saltValue="HQmQy/nr1jnFYj5v8Z/l9Q==" spinCount="100000" sheet="1" objects="1" scenarios="1"/>
  <mergeCells count="17">
    <mergeCell ref="F32:G32"/>
    <mergeCell ref="F33:G33"/>
    <mergeCell ref="J12:K12"/>
    <mergeCell ref="C17:D17"/>
    <mergeCell ref="C18:D18"/>
    <mergeCell ref="A23:G23"/>
    <mergeCell ref="F27:G27"/>
    <mergeCell ref="A21:G21"/>
    <mergeCell ref="D10:G10"/>
    <mergeCell ref="J10:K10"/>
    <mergeCell ref="D11:G11"/>
    <mergeCell ref="J11:K11"/>
    <mergeCell ref="J2:K2"/>
    <mergeCell ref="A3:G3"/>
    <mergeCell ref="J3:K3"/>
    <mergeCell ref="A4:G4"/>
    <mergeCell ref="A7:G7"/>
  </mergeCells>
  <pageMargins left="0.6" right="0.3" top="1.5" bottom="0.75" header="0.3" footer="0.3"/>
  <pageSetup paperSize="9" scale="99" orientation="portrait" r:id="rId1"/>
  <colBreaks count="1" manualBreakCount="1">
    <brk id="7"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5230-87E0-4359-B27B-8A532331467F}">
  <dimension ref="A1:O73"/>
  <sheetViews>
    <sheetView topLeftCell="C1" workbookViewId="0">
      <selection activeCell="G18" sqref="G18"/>
    </sheetView>
  </sheetViews>
  <sheetFormatPr defaultColWidth="9.140625" defaultRowHeight="12.75" x14ac:dyDescent="0.2"/>
  <cols>
    <col min="1" max="1" width="9.140625" style="911"/>
    <col min="2" max="2" width="30.28515625" style="911" bestFit="1" customWidth="1"/>
    <col min="3" max="3" width="24.5703125" style="911" bestFit="1" customWidth="1"/>
    <col min="4" max="4" width="32.5703125" style="911" bestFit="1" customWidth="1"/>
    <col min="5" max="5" width="9.85546875" style="911" customWidth="1"/>
    <col min="6" max="6" width="30.140625" style="911" bestFit="1" customWidth="1"/>
    <col min="7" max="7" width="9.140625" style="911"/>
    <col min="8" max="8" width="15.42578125" style="911" bestFit="1" customWidth="1"/>
    <col min="9" max="9" width="9.140625" style="911"/>
    <col min="10" max="10" width="11.7109375" style="911" bestFit="1" customWidth="1"/>
    <col min="11" max="16384" width="9.140625" style="911"/>
  </cols>
  <sheetData>
    <row r="1" spans="1:15" ht="15" x14ac:dyDescent="0.25">
      <c r="A1" s="974" t="s">
        <v>687</v>
      </c>
      <c r="B1" s="974" t="s">
        <v>481</v>
      </c>
      <c r="C1" s="974" t="s">
        <v>686</v>
      </c>
      <c r="D1" s="973" t="s">
        <v>685</v>
      </c>
      <c r="E1" s="971"/>
      <c r="F1" s="972" t="s">
        <v>472</v>
      </c>
      <c r="H1" s="971"/>
      <c r="J1" s="971"/>
    </row>
    <row r="2" spans="1:15" ht="15" x14ac:dyDescent="0.25">
      <c r="A2" s="964">
        <v>1</v>
      </c>
      <c r="B2" s="964" t="s">
        <v>684</v>
      </c>
      <c r="C2" s="964" t="s">
        <v>683</v>
      </c>
      <c r="D2" s="965" t="s">
        <v>682</v>
      </c>
      <c r="F2" s="968" t="s">
        <v>681</v>
      </c>
    </row>
    <row r="3" spans="1:15" ht="15" x14ac:dyDescent="0.25">
      <c r="A3" s="964">
        <v>2</v>
      </c>
      <c r="B3" s="964" t="s">
        <v>680</v>
      </c>
      <c r="C3" s="964" t="s">
        <v>679</v>
      </c>
      <c r="D3" s="964" t="s">
        <v>678</v>
      </c>
      <c r="F3" s="968" t="s">
        <v>677</v>
      </c>
    </row>
    <row r="4" spans="1:15" ht="15" x14ac:dyDescent="0.25">
      <c r="A4" s="964">
        <v>3</v>
      </c>
      <c r="B4" s="964" t="s">
        <v>676</v>
      </c>
      <c r="C4" s="964" t="s">
        <v>675</v>
      </c>
      <c r="D4" s="964" t="s">
        <v>674</v>
      </c>
      <c r="F4" s="968" t="s">
        <v>673</v>
      </c>
    </row>
    <row r="5" spans="1:15" ht="15" x14ac:dyDescent="0.25">
      <c r="A5" s="964">
        <v>4</v>
      </c>
      <c r="B5" s="964" t="s">
        <v>672</v>
      </c>
      <c r="C5" s="964" t="s">
        <v>671</v>
      </c>
      <c r="D5" s="965" t="s">
        <v>670</v>
      </c>
      <c r="F5" s="968" t="s">
        <v>669</v>
      </c>
      <c r="H5" s="970"/>
    </row>
    <row r="6" spans="1:15" ht="15" x14ac:dyDescent="0.25">
      <c r="A6" s="964">
        <v>5</v>
      </c>
      <c r="B6" s="964" t="s">
        <v>668</v>
      </c>
      <c r="C6" s="964" t="s">
        <v>667</v>
      </c>
      <c r="D6" s="965" t="s">
        <v>666</v>
      </c>
      <c r="F6" s="968" t="s">
        <v>665</v>
      </c>
    </row>
    <row r="7" spans="1:15" ht="15" x14ac:dyDescent="0.25">
      <c r="A7" s="964">
        <v>6</v>
      </c>
      <c r="B7" s="964" t="s">
        <v>664</v>
      </c>
      <c r="C7" s="964" t="s">
        <v>663</v>
      </c>
      <c r="D7" s="965" t="s">
        <v>662</v>
      </c>
      <c r="F7" s="968" t="s">
        <v>661</v>
      </c>
    </row>
    <row r="8" spans="1:15" ht="15" x14ac:dyDescent="0.25">
      <c r="A8" s="964">
        <v>7</v>
      </c>
      <c r="B8" s="964" t="s">
        <v>660</v>
      </c>
      <c r="C8" s="964" t="s">
        <v>659</v>
      </c>
      <c r="D8" s="965" t="s">
        <v>658</v>
      </c>
      <c r="F8" s="968" t="s">
        <v>657</v>
      </c>
    </row>
    <row r="9" spans="1:15" ht="15" x14ac:dyDescent="0.25">
      <c r="A9" s="964">
        <v>8</v>
      </c>
      <c r="B9" s="964" t="s">
        <v>656</v>
      </c>
      <c r="C9" s="964" t="s">
        <v>655</v>
      </c>
      <c r="D9" s="964" t="s">
        <v>654</v>
      </c>
      <c r="F9" s="968" t="s">
        <v>469</v>
      </c>
    </row>
    <row r="10" spans="1:15" ht="15" x14ac:dyDescent="0.25">
      <c r="A10" s="964">
        <v>9</v>
      </c>
      <c r="B10" s="964" t="s">
        <v>653</v>
      </c>
      <c r="C10" s="964" t="s">
        <v>652</v>
      </c>
      <c r="D10" s="965" t="s">
        <v>651</v>
      </c>
      <c r="F10" s="968" t="s">
        <v>650</v>
      </c>
      <c r="H10" s="970"/>
    </row>
    <row r="11" spans="1:15" ht="15" x14ac:dyDescent="0.25">
      <c r="A11" s="964">
        <v>10</v>
      </c>
      <c r="B11" s="964" t="s">
        <v>649</v>
      </c>
      <c r="C11" s="964" t="s">
        <v>646</v>
      </c>
      <c r="D11" s="964" t="s">
        <v>645</v>
      </c>
      <c r="F11" s="968" t="s">
        <v>648</v>
      </c>
      <c r="L11" s="967"/>
      <c r="M11" s="966"/>
      <c r="N11" s="967"/>
      <c r="O11" s="966"/>
    </row>
    <row r="12" spans="1:15" ht="15" x14ac:dyDescent="0.25">
      <c r="A12" s="964">
        <v>11</v>
      </c>
      <c r="B12" s="964" t="s">
        <v>647</v>
      </c>
      <c r="C12" s="964" t="s">
        <v>646</v>
      </c>
      <c r="D12" s="964" t="s">
        <v>645</v>
      </c>
      <c r="F12" s="968" t="s">
        <v>644</v>
      </c>
      <c r="H12" s="969"/>
    </row>
    <row r="13" spans="1:15" ht="15" x14ac:dyDescent="0.25">
      <c r="A13" s="964">
        <v>12</v>
      </c>
      <c r="B13" s="964" t="s">
        <v>643</v>
      </c>
      <c r="C13" s="964" t="s">
        <v>642</v>
      </c>
      <c r="D13" s="965" t="s">
        <v>641</v>
      </c>
      <c r="F13" s="968" t="s">
        <v>640</v>
      </c>
    </row>
    <row r="14" spans="1:15" ht="15" x14ac:dyDescent="0.25">
      <c r="A14" s="964">
        <v>13</v>
      </c>
      <c r="B14" s="964" t="s">
        <v>639</v>
      </c>
      <c r="C14" s="964" t="s">
        <v>638</v>
      </c>
      <c r="D14" s="965" t="s">
        <v>637</v>
      </c>
    </row>
    <row r="15" spans="1:15" ht="15" x14ac:dyDescent="0.25">
      <c r="A15" s="964">
        <v>14</v>
      </c>
      <c r="B15" s="964" t="s">
        <v>636</v>
      </c>
      <c r="C15" s="964" t="s">
        <v>633</v>
      </c>
      <c r="D15" s="965" t="s">
        <v>632</v>
      </c>
      <c r="L15" s="967"/>
      <c r="M15" s="967"/>
      <c r="N15" s="967"/>
      <c r="O15" s="966"/>
    </row>
    <row r="16" spans="1:15" ht="15" x14ac:dyDescent="0.25">
      <c r="A16" s="964">
        <v>15</v>
      </c>
      <c r="B16" s="964" t="s">
        <v>635</v>
      </c>
      <c r="C16" s="964" t="s">
        <v>496</v>
      </c>
      <c r="D16" s="965" t="s">
        <v>493</v>
      </c>
      <c r="L16" s="967"/>
      <c r="M16" s="967"/>
    </row>
    <row r="17" spans="1:14" ht="15" x14ac:dyDescent="0.25">
      <c r="A17" s="964">
        <v>16</v>
      </c>
      <c r="B17" s="964" t="s">
        <v>634</v>
      </c>
      <c r="C17" s="964" t="s">
        <v>633</v>
      </c>
      <c r="D17" s="965" t="s">
        <v>632</v>
      </c>
    </row>
    <row r="18" spans="1:14" ht="15" x14ac:dyDescent="0.25">
      <c r="A18" s="964">
        <v>17</v>
      </c>
      <c r="B18" s="964" t="s">
        <v>631</v>
      </c>
      <c r="C18" s="964" t="s">
        <v>630</v>
      </c>
      <c r="D18" s="964" t="s">
        <v>629</v>
      </c>
    </row>
    <row r="19" spans="1:14" ht="15" x14ac:dyDescent="0.25">
      <c r="A19" s="964">
        <v>18</v>
      </c>
      <c r="B19" s="964" t="s">
        <v>628</v>
      </c>
      <c r="C19" s="964" t="s">
        <v>627</v>
      </c>
      <c r="D19" s="965" t="s">
        <v>626</v>
      </c>
    </row>
    <row r="20" spans="1:14" ht="15" x14ac:dyDescent="0.25">
      <c r="A20" s="964">
        <v>19</v>
      </c>
      <c r="B20" s="964" t="s">
        <v>625</v>
      </c>
      <c r="C20" s="964" t="s">
        <v>624</v>
      </c>
      <c r="D20" s="965" t="s">
        <v>623</v>
      </c>
    </row>
    <row r="21" spans="1:14" ht="15" x14ac:dyDescent="0.25">
      <c r="A21" s="964">
        <v>20</v>
      </c>
      <c r="B21" s="964" t="s">
        <v>622</v>
      </c>
      <c r="C21" s="964" t="s">
        <v>621</v>
      </c>
      <c r="D21" s="964" t="s">
        <v>620</v>
      </c>
    </row>
    <row r="22" spans="1:14" ht="15" x14ac:dyDescent="0.25">
      <c r="A22" s="964">
        <v>21</v>
      </c>
      <c r="B22" s="964" t="s">
        <v>619</v>
      </c>
      <c r="C22" s="964" t="s">
        <v>526</v>
      </c>
      <c r="D22" s="964" t="s">
        <v>618</v>
      </c>
    </row>
    <row r="23" spans="1:14" ht="15" x14ac:dyDescent="0.25">
      <c r="A23" s="964">
        <v>22</v>
      </c>
      <c r="B23" s="964" t="s">
        <v>617</v>
      </c>
      <c r="C23" s="964" t="s">
        <v>616</v>
      </c>
      <c r="D23" s="965" t="s">
        <v>615</v>
      </c>
    </row>
    <row r="24" spans="1:14" ht="15" x14ac:dyDescent="0.25">
      <c r="A24" s="964">
        <v>23</v>
      </c>
      <c r="B24" s="964" t="s">
        <v>614</v>
      </c>
      <c r="C24" s="964" t="s">
        <v>613</v>
      </c>
      <c r="D24" s="965" t="s">
        <v>612</v>
      </c>
    </row>
    <row r="25" spans="1:14" ht="15" x14ac:dyDescent="0.25">
      <c r="A25" s="964">
        <v>24</v>
      </c>
      <c r="B25" s="964" t="s">
        <v>611</v>
      </c>
      <c r="C25" s="964" t="s">
        <v>610</v>
      </c>
      <c r="D25" s="965" t="s">
        <v>609</v>
      </c>
      <c r="G25" s="966"/>
      <c r="K25" s="967"/>
      <c r="L25" s="966"/>
      <c r="M25" s="967"/>
      <c r="N25" s="966"/>
    </row>
    <row r="26" spans="1:14" ht="15" x14ac:dyDescent="0.25">
      <c r="A26" s="964">
        <v>25</v>
      </c>
      <c r="B26" s="964" t="s">
        <v>608</v>
      </c>
      <c r="C26" s="964" t="s">
        <v>607</v>
      </c>
      <c r="D26" s="964" t="s">
        <v>606</v>
      </c>
    </row>
    <row r="27" spans="1:14" ht="15" x14ac:dyDescent="0.25">
      <c r="A27" s="964">
        <v>26</v>
      </c>
      <c r="B27" s="964" t="s">
        <v>605</v>
      </c>
      <c r="C27" s="964" t="s">
        <v>604</v>
      </c>
      <c r="D27" s="964" t="s">
        <v>603</v>
      </c>
      <c r="F27" s="967"/>
      <c r="G27" s="966"/>
    </row>
    <row r="28" spans="1:14" ht="15" x14ac:dyDescent="0.25">
      <c r="A28" s="964">
        <v>27</v>
      </c>
      <c r="B28" s="964" t="s">
        <v>602</v>
      </c>
      <c r="C28" s="964"/>
      <c r="D28" s="964"/>
    </row>
    <row r="29" spans="1:14" ht="15" x14ac:dyDescent="0.25">
      <c r="A29" s="964">
        <v>28</v>
      </c>
      <c r="B29" s="964" t="s">
        <v>601</v>
      </c>
      <c r="C29" s="964" t="s">
        <v>600</v>
      </c>
      <c r="D29" s="965" t="s">
        <v>599</v>
      </c>
    </row>
    <row r="30" spans="1:14" ht="15" x14ac:dyDescent="0.25">
      <c r="A30" s="964">
        <v>29</v>
      </c>
      <c r="B30" s="964" t="s">
        <v>598</v>
      </c>
      <c r="C30" s="964" t="s">
        <v>597</v>
      </c>
      <c r="D30" s="965" t="s">
        <v>596</v>
      </c>
      <c r="F30" s="967"/>
      <c r="G30" s="966"/>
    </row>
    <row r="31" spans="1:14" ht="15" x14ac:dyDescent="0.25">
      <c r="A31" s="964">
        <v>30</v>
      </c>
      <c r="B31" s="964" t="s">
        <v>595</v>
      </c>
      <c r="C31" s="964" t="s">
        <v>594</v>
      </c>
      <c r="D31" s="964" t="s">
        <v>593</v>
      </c>
      <c r="G31" s="967"/>
    </row>
    <row r="32" spans="1:14" ht="15" x14ac:dyDescent="0.25">
      <c r="A32" s="964">
        <v>31</v>
      </c>
      <c r="B32" s="964" t="s">
        <v>592</v>
      </c>
      <c r="C32" s="964" t="s">
        <v>591</v>
      </c>
      <c r="D32" s="964" t="s">
        <v>590</v>
      </c>
      <c r="G32" s="967"/>
    </row>
    <row r="33" spans="1:7" ht="15" x14ac:dyDescent="0.25">
      <c r="A33" s="964">
        <v>32</v>
      </c>
      <c r="B33" s="964" t="s">
        <v>589</v>
      </c>
      <c r="C33" s="964" t="s">
        <v>588</v>
      </c>
      <c r="D33" s="964" t="s">
        <v>587</v>
      </c>
      <c r="F33" s="967"/>
      <c r="G33" s="967"/>
    </row>
    <row r="34" spans="1:7" ht="15" x14ac:dyDescent="0.25">
      <c r="A34" s="964">
        <v>33</v>
      </c>
      <c r="B34" s="964" t="s">
        <v>586</v>
      </c>
      <c r="C34" s="964" t="s">
        <v>585</v>
      </c>
      <c r="D34" s="965" t="s">
        <v>584</v>
      </c>
      <c r="F34" s="967"/>
      <c r="G34" s="967"/>
    </row>
    <row r="35" spans="1:7" ht="15" x14ac:dyDescent="0.25">
      <c r="A35" s="964">
        <v>34</v>
      </c>
      <c r="B35" s="964" t="s">
        <v>583</v>
      </c>
      <c r="C35" s="964" t="s">
        <v>582</v>
      </c>
      <c r="D35" s="964" t="s">
        <v>581</v>
      </c>
      <c r="G35" s="967"/>
    </row>
    <row r="36" spans="1:7" ht="15" x14ac:dyDescent="0.25">
      <c r="A36" s="964">
        <v>35</v>
      </c>
      <c r="B36" s="964" t="s">
        <v>580</v>
      </c>
      <c r="C36" s="964" t="s">
        <v>579</v>
      </c>
      <c r="D36" s="965" t="s">
        <v>578</v>
      </c>
      <c r="G36" s="967"/>
    </row>
    <row r="37" spans="1:7" ht="15" x14ac:dyDescent="0.25">
      <c r="A37" s="964">
        <v>36</v>
      </c>
      <c r="B37" s="964" t="s">
        <v>577</v>
      </c>
      <c r="C37" s="964" t="s">
        <v>576</v>
      </c>
      <c r="D37" s="964" t="s">
        <v>575</v>
      </c>
      <c r="G37" s="967"/>
    </row>
    <row r="38" spans="1:7" ht="15" x14ac:dyDescent="0.25">
      <c r="A38" s="964">
        <v>37</v>
      </c>
      <c r="B38" s="964" t="s">
        <v>574</v>
      </c>
      <c r="C38" s="964" t="s">
        <v>573</v>
      </c>
      <c r="D38" s="964" t="s">
        <v>572</v>
      </c>
      <c r="G38" s="967"/>
    </row>
    <row r="39" spans="1:7" ht="15" x14ac:dyDescent="0.25">
      <c r="A39" s="964">
        <v>38</v>
      </c>
      <c r="B39" s="964" t="s">
        <v>571</v>
      </c>
      <c r="C39" s="964" t="s">
        <v>570</v>
      </c>
      <c r="D39" s="965" t="s">
        <v>569</v>
      </c>
      <c r="F39" s="967"/>
      <c r="G39" s="966"/>
    </row>
    <row r="40" spans="1:7" ht="15" x14ac:dyDescent="0.25">
      <c r="A40" s="964">
        <v>39</v>
      </c>
      <c r="B40" s="964" t="s">
        <v>568</v>
      </c>
      <c r="C40" s="964" t="s">
        <v>567</v>
      </c>
      <c r="D40" s="964" t="s">
        <v>566</v>
      </c>
    </row>
    <row r="41" spans="1:7" ht="15" x14ac:dyDescent="0.25">
      <c r="A41" s="964">
        <v>40</v>
      </c>
      <c r="B41" s="964" t="s">
        <v>565</v>
      </c>
      <c r="C41" s="964" t="s">
        <v>564</v>
      </c>
      <c r="D41" s="964" t="s">
        <v>563</v>
      </c>
    </row>
    <row r="42" spans="1:7" ht="15" x14ac:dyDescent="0.25">
      <c r="A42" s="964">
        <v>41</v>
      </c>
      <c r="B42" s="964" t="s">
        <v>562</v>
      </c>
      <c r="C42" s="964" t="s">
        <v>561</v>
      </c>
      <c r="D42" s="964" t="s">
        <v>560</v>
      </c>
    </row>
    <row r="43" spans="1:7" ht="15" x14ac:dyDescent="0.25">
      <c r="A43" s="964">
        <v>42</v>
      </c>
      <c r="B43" s="964" t="s">
        <v>559</v>
      </c>
      <c r="C43" s="964" t="s">
        <v>558</v>
      </c>
      <c r="D43" s="964" t="s">
        <v>557</v>
      </c>
    </row>
    <row r="44" spans="1:7" ht="15" x14ac:dyDescent="0.25">
      <c r="A44" s="964">
        <v>43</v>
      </c>
      <c r="B44" s="964" t="s">
        <v>556</v>
      </c>
      <c r="C44" s="964"/>
      <c r="D44" s="964"/>
    </row>
    <row r="45" spans="1:7" ht="15" x14ac:dyDescent="0.25">
      <c r="A45" s="964">
        <v>44</v>
      </c>
      <c r="B45" s="964" t="s">
        <v>555</v>
      </c>
      <c r="C45" s="964" t="s">
        <v>554</v>
      </c>
      <c r="D45" s="965" t="s">
        <v>553</v>
      </c>
    </row>
    <row r="46" spans="1:7" ht="15" x14ac:dyDescent="0.25">
      <c r="A46" s="964">
        <v>45</v>
      </c>
      <c r="B46" s="964" t="s">
        <v>552</v>
      </c>
      <c r="C46" s="964" t="s">
        <v>551</v>
      </c>
      <c r="D46" s="965" t="s">
        <v>550</v>
      </c>
    </row>
    <row r="47" spans="1:7" ht="15" x14ac:dyDescent="0.25">
      <c r="A47" s="964">
        <v>46</v>
      </c>
      <c r="B47" s="964" t="s">
        <v>549</v>
      </c>
      <c r="C47" s="964" t="s">
        <v>548</v>
      </c>
      <c r="D47" s="964" t="s">
        <v>547</v>
      </c>
    </row>
    <row r="48" spans="1:7" ht="15" x14ac:dyDescent="0.25">
      <c r="A48" s="964">
        <v>47</v>
      </c>
      <c r="B48" s="964" t="s">
        <v>546</v>
      </c>
      <c r="C48" s="964" t="s">
        <v>545</v>
      </c>
      <c r="D48" s="965" t="s">
        <v>544</v>
      </c>
    </row>
    <row r="49" spans="1:7" ht="15" x14ac:dyDescent="0.25">
      <c r="A49" s="964">
        <v>48</v>
      </c>
      <c r="B49" s="964" t="s">
        <v>543</v>
      </c>
      <c r="C49" s="964"/>
      <c r="D49" s="964"/>
    </row>
    <row r="50" spans="1:7" ht="15" x14ac:dyDescent="0.25">
      <c r="A50" s="964">
        <v>49</v>
      </c>
      <c r="B50" s="964" t="s">
        <v>542</v>
      </c>
      <c r="C50" s="964" t="s">
        <v>541</v>
      </c>
      <c r="D50" s="965" t="s">
        <v>540</v>
      </c>
      <c r="F50" s="967"/>
      <c r="G50" s="966"/>
    </row>
    <row r="51" spans="1:7" ht="15" x14ac:dyDescent="0.25">
      <c r="A51" s="964">
        <v>50</v>
      </c>
      <c r="B51" s="964" t="s">
        <v>539</v>
      </c>
      <c r="C51" s="964" t="s">
        <v>538</v>
      </c>
      <c r="D51" s="964" t="s">
        <v>537</v>
      </c>
    </row>
    <row r="52" spans="1:7" ht="15" x14ac:dyDescent="0.25">
      <c r="A52" s="964">
        <v>51</v>
      </c>
      <c r="B52" s="964" t="s">
        <v>536</v>
      </c>
      <c r="C52" s="964" t="s">
        <v>535</v>
      </c>
      <c r="D52" s="965" t="s">
        <v>448</v>
      </c>
      <c r="F52" s="967"/>
      <c r="G52" s="966"/>
    </row>
    <row r="53" spans="1:7" ht="15" x14ac:dyDescent="0.25">
      <c r="A53" s="964">
        <v>52</v>
      </c>
      <c r="B53" s="964" t="s">
        <v>534</v>
      </c>
      <c r="C53" s="964" t="s">
        <v>533</v>
      </c>
      <c r="D53" s="965" t="s">
        <v>532</v>
      </c>
    </row>
    <row r="54" spans="1:7" ht="15" x14ac:dyDescent="0.25">
      <c r="A54" s="964">
        <v>53</v>
      </c>
      <c r="B54" s="964" t="s">
        <v>531</v>
      </c>
      <c r="C54" s="964" t="s">
        <v>529</v>
      </c>
      <c r="D54" s="964" t="s">
        <v>528</v>
      </c>
    </row>
    <row r="55" spans="1:7" ht="15" x14ac:dyDescent="0.25">
      <c r="A55" s="964">
        <v>54</v>
      </c>
      <c r="B55" s="964" t="s">
        <v>530</v>
      </c>
      <c r="C55" s="964" t="s">
        <v>529</v>
      </c>
      <c r="D55" s="964" t="s">
        <v>528</v>
      </c>
    </row>
    <row r="56" spans="1:7" ht="15" x14ac:dyDescent="0.25">
      <c r="A56" s="964">
        <v>55</v>
      </c>
      <c r="B56" s="964" t="s">
        <v>527</v>
      </c>
      <c r="C56" s="964" t="s">
        <v>526</v>
      </c>
      <c r="D56" s="964" t="s">
        <v>525</v>
      </c>
    </row>
    <row r="57" spans="1:7" ht="15" x14ac:dyDescent="0.25">
      <c r="A57" s="964">
        <v>56</v>
      </c>
      <c r="B57" s="964" t="s">
        <v>524</v>
      </c>
      <c r="C57" s="964" t="s">
        <v>523</v>
      </c>
      <c r="D57" s="965" t="s">
        <v>522</v>
      </c>
      <c r="F57" s="967"/>
      <c r="G57" s="966"/>
    </row>
    <row r="58" spans="1:7" ht="15" x14ac:dyDescent="0.25">
      <c r="A58" s="964">
        <v>57</v>
      </c>
      <c r="B58" s="964" t="s">
        <v>521</v>
      </c>
      <c r="C58" s="964"/>
      <c r="D58" s="964"/>
    </row>
    <row r="59" spans="1:7" ht="15" x14ac:dyDescent="0.25">
      <c r="A59" s="964">
        <v>58</v>
      </c>
      <c r="B59" s="964" t="s">
        <v>520</v>
      </c>
      <c r="C59" s="964" t="s">
        <v>519</v>
      </c>
      <c r="D59" s="964" t="s">
        <v>518</v>
      </c>
    </row>
    <row r="60" spans="1:7" ht="15" x14ac:dyDescent="0.25">
      <c r="A60" s="964">
        <v>59</v>
      </c>
      <c r="B60" s="964" t="s">
        <v>517</v>
      </c>
      <c r="C60" s="964"/>
      <c r="D60" s="964"/>
    </row>
    <row r="61" spans="1:7" ht="15" x14ac:dyDescent="0.25">
      <c r="A61" s="964">
        <v>60</v>
      </c>
      <c r="B61" s="964" t="s">
        <v>516</v>
      </c>
      <c r="C61" s="964" t="s">
        <v>515</v>
      </c>
      <c r="D61" s="965" t="s">
        <v>514</v>
      </c>
    </row>
    <row r="62" spans="1:7" ht="15" x14ac:dyDescent="0.25">
      <c r="A62" s="964">
        <v>61</v>
      </c>
      <c r="B62" s="964" t="s">
        <v>513</v>
      </c>
      <c r="C62" s="964" t="s">
        <v>512</v>
      </c>
      <c r="D62" s="964" t="s">
        <v>511</v>
      </c>
    </row>
    <row r="63" spans="1:7" ht="15" x14ac:dyDescent="0.25">
      <c r="A63" s="964">
        <v>62</v>
      </c>
      <c r="B63" s="964" t="s">
        <v>510</v>
      </c>
      <c r="C63" s="964" t="s">
        <v>509</v>
      </c>
      <c r="D63" s="965" t="s">
        <v>508</v>
      </c>
    </row>
    <row r="64" spans="1:7" ht="15" x14ac:dyDescent="0.25">
      <c r="A64" s="964">
        <v>63</v>
      </c>
      <c r="B64" s="964" t="s">
        <v>507</v>
      </c>
      <c r="C64" s="964" t="s">
        <v>506</v>
      </c>
      <c r="D64" s="964" t="s">
        <v>505</v>
      </c>
    </row>
    <row r="65" spans="1:4" ht="15" x14ac:dyDescent="0.25">
      <c r="A65" s="964">
        <v>64</v>
      </c>
      <c r="B65" s="964" t="s">
        <v>504</v>
      </c>
      <c r="C65" s="964"/>
      <c r="D65" s="964"/>
    </row>
    <row r="66" spans="1:4" ht="15" x14ac:dyDescent="0.25">
      <c r="A66" s="964">
        <v>65</v>
      </c>
      <c r="B66" s="964" t="s">
        <v>503</v>
      </c>
      <c r="C66" s="964"/>
      <c r="D66" s="964"/>
    </row>
    <row r="67" spans="1:4" ht="15" x14ac:dyDescent="0.25">
      <c r="A67" s="964">
        <v>66</v>
      </c>
      <c r="B67" s="964" t="s">
        <v>502</v>
      </c>
      <c r="C67" s="964"/>
      <c r="D67" s="964"/>
    </row>
    <row r="68" spans="1:4" ht="15" x14ac:dyDescent="0.25">
      <c r="A68" s="964">
        <v>67</v>
      </c>
      <c r="B68" s="964" t="s">
        <v>501</v>
      </c>
      <c r="C68" s="964"/>
      <c r="D68" s="964"/>
    </row>
    <row r="69" spans="1:4" ht="15" x14ac:dyDescent="0.25">
      <c r="A69" s="964">
        <v>68</v>
      </c>
      <c r="B69" s="964" t="s">
        <v>500</v>
      </c>
      <c r="C69" s="964" t="s">
        <v>499</v>
      </c>
      <c r="D69" s="964" t="s">
        <v>498</v>
      </c>
    </row>
    <row r="70" spans="1:4" ht="15" x14ac:dyDescent="0.25">
      <c r="A70" s="964">
        <v>71</v>
      </c>
      <c r="B70" s="964" t="s">
        <v>497</v>
      </c>
      <c r="C70" s="964" t="s">
        <v>496</v>
      </c>
      <c r="D70" s="965" t="s">
        <v>493</v>
      </c>
    </row>
    <row r="71" spans="1:4" ht="15" x14ac:dyDescent="0.25">
      <c r="A71" s="964">
        <v>70</v>
      </c>
      <c r="B71" s="964" t="s">
        <v>495</v>
      </c>
      <c r="C71" s="964" t="s">
        <v>494</v>
      </c>
      <c r="D71" s="964" t="s">
        <v>493</v>
      </c>
    </row>
    <row r="72" spans="1:4" ht="15" x14ac:dyDescent="0.25">
      <c r="A72" s="964">
        <v>76</v>
      </c>
      <c r="B72" s="964" t="s">
        <v>492</v>
      </c>
      <c r="C72" s="964" t="s">
        <v>491</v>
      </c>
      <c r="D72" s="965" t="s">
        <v>490</v>
      </c>
    </row>
    <row r="73" spans="1:4" ht="15" x14ac:dyDescent="0.25">
      <c r="A73" s="964">
        <v>78</v>
      </c>
      <c r="B73" s="964" t="s">
        <v>447</v>
      </c>
      <c r="C73" s="964" t="s">
        <v>489</v>
      </c>
      <c r="D73" s="964" t="s">
        <v>488</v>
      </c>
    </row>
  </sheetData>
  <sheetProtection algorithmName="SHA-512" hashValue="wetwAUMwdMCrHP/a7eONzwTjWpMSy092+hCcJWGecgr6piTf6MIBwkyVf9DpkuZ2MK7T9wHq4c3dcPnH5GR/EA==" saltValue="p0bU38W9TrzglC77hSfQVA==" spinCount="100000"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9D5AA-7282-4CEE-A35D-E38DBF9CB8AE}">
  <dimension ref="D4:K30"/>
  <sheetViews>
    <sheetView workbookViewId="0">
      <selection activeCell="E23" sqref="E23"/>
    </sheetView>
  </sheetViews>
  <sheetFormatPr defaultRowHeight="12.75" x14ac:dyDescent="0.2"/>
  <cols>
    <col min="4" max="4" width="11.85546875" style="715" customWidth="1"/>
    <col min="5" max="5" width="66.85546875" style="716" customWidth="1"/>
  </cols>
  <sheetData>
    <row r="4" spans="4:11" x14ac:dyDescent="0.2">
      <c r="D4" s="712"/>
      <c r="I4" s="2"/>
      <c r="J4" s="2"/>
      <c r="K4" s="2"/>
    </row>
    <row r="5" spans="4:11" x14ac:dyDescent="0.2">
      <c r="D5" s="712"/>
      <c r="E5" s="717"/>
      <c r="I5" s="2"/>
      <c r="J5" s="2"/>
      <c r="K5" s="2"/>
    </row>
    <row r="6" spans="4:11" x14ac:dyDescent="0.2">
      <c r="D6" s="713" t="s">
        <v>394</v>
      </c>
      <c r="E6" s="718" t="s">
        <v>55</v>
      </c>
      <c r="F6" s="6" t="s">
        <v>100</v>
      </c>
      <c r="G6" s="6" t="s">
        <v>101</v>
      </c>
      <c r="H6" s="6" t="s">
        <v>102</v>
      </c>
      <c r="I6" s="2"/>
      <c r="J6" s="2"/>
      <c r="K6" s="2"/>
    </row>
    <row r="7" spans="4:11" x14ac:dyDescent="0.2">
      <c r="D7" s="714">
        <v>0.1</v>
      </c>
      <c r="E7" s="719" t="s">
        <v>291</v>
      </c>
      <c r="F7" s="158">
        <f>ROWS(E$10:$E10)</f>
        <v>1</v>
      </c>
      <c r="G7" s="158">
        <f>IF(ID!$A$83=E7,F7,"")</f>
        <v>1</v>
      </c>
      <c r="H7" s="158">
        <f>IFERROR(SMALL($G$7:$G$30,ROWS($G$7:G7)),"")</f>
        <v>1</v>
      </c>
      <c r="I7" s="2"/>
      <c r="J7" s="2"/>
      <c r="K7" s="711">
        <f>IFERROR(INDEX($D$7:$D$30,$H7,COLUMNS(J$7:$J7)),"")</f>
        <v>0.1</v>
      </c>
    </row>
    <row r="8" spans="4:11" x14ac:dyDescent="0.2">
      <c r="D8" s="714">
        <v>0.1</v>
      </c>
      <c r="E8" s="719" t="s">
        <v>704</v>
      </c>
      <c r="F8" s="158">
        <f>ROWS(E$10:$E11)</f>
        <v>2</v>
      </c>
      <c r="G8" s="158" t="str">
        <f>IF(ID!$A$83=E8,F8,"")</f>
        <v/>
      </c>
      <c r="H8" s="158" t="str">
        <f>IFERROR(SMALL($G$7:$G$30,ROWS($G$7:G8)),"")</f>
        <v/>
      </c>
      <c r="I8" s="2"/>
      <c r="J8" s="2"/>
      <c r="K8" s="2"/>
    </row>
    <row r="9" spans="4:11" x14ac:dyDescent="0.2">
      <c r="D9" s="714">
        <v>0.1</v>
      </c>
      <c r="E9" s="719" t="s">
        <v>705</v>
      </c>
      <c r="F9" s="158">
        <f>ROWS(E$10:$E12)</f>
        <v>3</v>
      </c>
      <c r="G9" s="158" t="str">
        <f>IF(ID!$A$83=E9,F9,"")</f>
        <v/>
      </c>
      <c r="H9" s="158" t="str">
        <f>IFERROR(SMALL($G$7:$G$30,ROWS($G$7:G9)),"")</f>
        <v/>
      </c>
      <c r="I9" s="2"/>
      <c r="J9" s="2"/>
      <c r="K9" s="2"/>
    </row>
    <row r="10" spans="4:11" x14ac:dyDescent="0.2">
      <c r="D10" s="714">
        <v>0.1</v>
      </c>
      <c r="E10" s="719" t="s">
        <v>706</v>
      </c>
      <c r="F10" s="158">
        <f>ROWS(E$10:$E13)</f>
        <v>4</v>
      </c>
      <c r="G10" s="158" t="str">
        <f>IF(ID!$A$83=E10,F10,"")</f>
        <v/>
      </c>
      <c r="H10" s="158" t="str">
        <f>IFERROR(SMALL($G$7:$G$30,ROWS($G$7:G10)),"")</f>
        <v/>
      </c>
      <c r="I10" s="2"/>
      <c r="J10" s="2"/>
      <c r="K10" s="2"/>
    </row>
    <row r="11" spans="4:11" x14ac:dyDescent="0.2">
      <c r="D11" s="714">
        <v>0.1</v>
      </c>
      <c r="E11" s="720" t="s">
        <v>707</v>
      </c>
      <c r="F11" s="158">
        <f>ROWS(E$10:$E14)</f>
        <v>5</v>
      </c>
      <c r="G11" s="158" t="str">
        <f>IF(ID!$A$83=E11,F11,"")</f>
        <v/>
      </c>
      <c r="H11" s="158" t="str">
        <f>IFERROR(SMALL($G$7:$G$30,ROWS($G$7:G11)),"")</f>
        <v/>
      </c>
      <c r="I11" s="2"/>
      <c r="J11" s="2"/>
      <c r="K11" s="2"/>
    </row>
    <row r="12" spans="4:11" x14ac:dyDescent="0.2">
      <c r="D12" s="714">
        <v>0.1</v>
      </c>
      <c r="E12" s="719" t="s">
        <v>708</v>
      </c>
      <c r="F12" s="158">
        <f>ROWS(E$10:$E15)</f>
        <v>6</v>
      </c>
      <c r="G12" s="158" t="str">
        <f>IF(ID!$A$83=E12,F12,"")</f>
        <v/>
      </c>
      <c r="H12" s="158" t="str">
        <f>IFERROR(SMALL($G$7:$G$30,ROWS($G$7:G12)),"")</f>
        <v/>
      </c>
      <c r="I12" s="2"/>
      <c r="J12" s="2"/>
      <c r="K12" s="2"/>
    </row>
    <row r="13" spans="4:11" x14ac:dyDescent="0.2">
      <c r="D13" s="714">
        <v>0.5</v>
      </c>
      <c r="F13" s="158">
        <f>ROWS(E$10:$E16)</f>
        <v>7</v>
      </c>
      <c r="G13" s="158" t="str">
        <f>IF(ID!$A$83=I13,F13,"")</f>
        <v/>
      </c>
      <c r="H13" s="158" t="str">
        <f>IFERROR(SMALL($G$7:$G$30,ROWS($G$7:G13)),"")</f>
        <v/>
      </c>
      <c r="I13" s="719" t="s">
        <v>315</v>
      </c>
      <c r="J13" s="2"/>
      <c r="K13" s="2"/>
    </row>
    <row r="14" spans="4:11" x14ac:dyDescent="0.2">
      <c r="D14" s="714">
        <v>0.5</v>
      </c>
      <c r="F14" s="158">
        <f>ROWS(E$10:$E17)</f>
        <v>8</v>
      </c>
      <c r="G14" s="158" t="str">
        <f>IF(ID!$A$83=I14,F14,"")</f>
        <v/>
      </c>
      <c r="H14" s="158" t="str">
        <f>IFERROR(SMALL($G$7:$G$30,ROWS($G$7:G14)),"")</f>
        <v/>
      </c>
      <c r="I14" s="719" t="s">
        <v>316</v>
      </c>
      <c r="J14" s="2"/>
      <c r="K14" s="2"/>
    </row>
    <row r="15" spans="4:11" x14ac:dyDescent="0.2">
      <c r="D15" s="714">
        <v>0.5</v>
      </c>
      <c r="F15" s="158">
        <f>ROWS(E$10:$E18)</f>
        <v>9</v>
      </c>
      <c r="G15" s="158" t="str">
        <f>IF(ID!$A$83=I15,F15,"")</f>
        <v/>
      </c>
      <c r="H15" s="158" t="str">
        <f>IFERROR(SMALL($G$7:$G$30,ROWS($G$7:G15)),"")</f>
        <v/>
      </c>
      <c r="I15" s="719" t="s">
        <v>317</v>
      </c>
      <c r="J15" s="2"/>
      <c r="K15" s="2"/>
    </row>
    <row r="16" spans="4:11" x14ac:dyDescent="0.2">
      <c r="D16" s="714">
        <v>0.5</v>
      </c>
      <c r="F16" s="158">
        <f>ROWS(E$10:$E19)</f>
        <v>10</v>
      </c>
      <c r="G16" s="158" t="str">
        <f>IF(ID!$A$83=I16,F16,"")</f>
        <v/>
      </c>
      <c r="H16" s="158" t="str">
        <f>IFERROR(SMALL($G$7:$G$30,ROWS($G$7:G16)),"")</f>
        <v/>
      </c>
      <c r="I16" s="719" t="s">
        <v>318</v>
      </c>
      <c r="J16" s="2"/>
      <c r="K16" s="2"/>
    </row>
    <row r="17" spans="4:11" x14ac:dyDescent="0.2">
      <c r="D17" s="714">
        <v>0.5</v>
      </c>
      <c r="F17" s="158">
        <f>ROWS(E$10:$E20)</f>
        <v>11</v>
      </c>
      <c r="G17" s="158" t="str">
        <f>IF(ID!$A$83=I17,F17,"")</f>
        <v/>
      </c>
      <c r="H17" s="158" t="str">
        <f>IFERROR(SMALL($G$7:$G$30,ROWS($G$7:G17)),"")</f>
        <v/>
      </c>
      <c r="I17" s="719" t="s">
        <v>256</v>
      </c>
      <c r="J17" s="2"/>
      <c r="K17" s="2"/>
    </row>
    <row r="18" spans="4:11" x14ac:dyDescent="0.2">
      <c r="D18" s="714">
        <v>0.5</v>
      </c>
      <c r="F18" s="158">
        <f>ROWS(E$10:$E21)</f>
        <v>12</v>
      </c>
      <c r="G18" s="158" t="str">
        <f>IF(ID!$A$83=I18,F18,"")</f>
        <v/>
      </c>
      <c r="H18" s="158" t="str">
        <f>IFERROR(SMALL($G$7:$G$30,ROWS($G$7:G18)),"")</f>
        <v/>
      </c>
      <c r="I18" s="719" t="s">
        <v>257</v>
      </c>
      <c r="J18" s="2"/>
      <c r="K18" s="2"/>
    </row>
    <row r="19" spans="4:11" x14ac:dyDescent="0.2">
      <c r="D19" s="714">
        <v>0.5</v>
      </c>
      <c r="F19" s="158">
        <f>ROWS(E$10:$E22)</f>
        <v>13</v>
      </c>
      <c r="G19" s="158" t="str">
        <f>IF(ID!$A$83=I19,F19,"")</f>
        <v/>
      </c>
      <c r="H19" s="158" t="str">
        <f>IFERROR(SMALL($G$7:$G$30,ROWS($G$7:G19)),"")</f>
        <v/>
      </c>
      <c r="I19" s="719" t="s">
        <v>260</v>
      </c>
      <c r="J19" s="726"/>
      <c r="K19" s="726"/>
    </row>
    <row r="20" spans="4:11" x14ac:dyDescent="0.2">
      <c r="D20" s="714">
        <v>0.5</v>
      </c>
      <c r="F20" s="158">
        <f>ROWS(E$10:$E23)</f>
        <v>14</v>
      </c>
      <c r="G20" s="158" t="str">
        <f>IF(ID!$A$83=I20,F20,"")</f>
        <v/>
      </c>
      <c r="H20" s="158" t="str">
        <f>IFERROR(SMALL($G$7:$G$30,ROWS($G$7:G20)),"")</f>
        <v/>
      </c>
      <c r="I20" s="719" t="s">
        <v>261</v>
      </c>
      <c r="J20" s="726"/>
      <c r="K20" s="726"/>
    </row>
    <row r="21" spans="4:11" x14ac:dyDescent="0.2">
      <c r="D21" s="714">
        <v>0.5</v>
      </c>
      <c r="F21" s="158">
        <f>ROWS(E$10:$E24)</f>
        <v>15</v>
      </c>
      <c r="G21" s="158" t="str">
        <f>IF(ID!$A$83=I21,F21,"")</f>
        <v/>
      </c>
      <c r="H21" s="158" t="str">
        <f>IFERROR(SMALL($G$7:$G$30,ROWS($G$7:G21)),"")</f>
        <v/>
      </c>
      <c r="I21" s="721" t="s">
        <v>344</v>
      </c>
      <c r="J21" s="726"/>
      <c r="K21" s="726"/>
    </row>
    <row r="22" spans="4:11" x14ac:dyDescent="0.2">
      <c r="D22" s="714">
        <v>0.5</v>
      </c>
      <c r="F22" s="158">
        <f>ROWS(E$10:$E25)</f>
        <v>16</v>
      </c>
      <c r="G22" s="158" t="str">
        <f>IF(ID!$A$83=I22,F22,"")</f>
        <v/>
      </c>
      <c r="H22" s="158" t="str">
        <f>IFERROR(SMALL($G$7:$G$30,ROWS($G$7:G22)),"")</f>
        <v/>
      </c>
      <c r="I22" s="721" t="s">
        <v>346</v>
      </c>
      <c r="J22" s="726"/>
      <c r="K22" s="726"/>
    </row>
    <row r="23" spans="4:11" x14ac:dyDescent="0.2">
      <c r="D23" s="714">
        <v>0.1</v>
      </c>
      <c r="F23" s="158">
        <f>ROWS(E$10:$E26)</f>
        <v>17</v>
      </c>
      <c r="G23" s="158" t="str">
        <f>IF(ID!$A$83=I23,F23,"")</f>
        <v/>
      </c>
      <c r="H23" s="158" t="str">
        <f>IFERROR(SMALL($G$7:$G$30,ROWS($G$7:G23)),"")</f>
        <v/>
      </c>
      <c r="I23" s="719" t="s">
        <v>265</v>
      </c>
      <c r="J23" s="726"/>
      <c r="K23" s="726"/>
    </row>
    <row r="24" spans="4:11" x14ac:dyDescent="0.2">
      <c r="D24" s="714">
        <v>0.1</v>
      </c>
      <c r="F24" s="158">
        <f>ROWS(E$10:$E27)</f>
        <v>18</v>
      </c>
      <c r="G24" s="158" t="str">
        <f>IF(ID!$A$83=I24,F24,"")</f>
        <v/>
      </c>
      <c r="H24" s="158" t="str">
        <f>IFERROR(SMALL($G$7:$G$30,ROWS($G$7:G24)),"")</f>
        <v/>
      </c>
      <c r="I24" s="719" t="s">
        <v>252</v>
      </c>
      <c r="J24" s="2"/>
      <c r="K24" s="2"/>
    </row>
    <row r="25" spans="4:11" x14ac:dyDescent="0.2">
      <c r="D25" s="714">
        <v>0.1</v>
      </c>
      <c r="F25" s="158">
        <f>ROWS(E$10:$E28)</f>
        <v>19</v>
      </c>
      <c r="G25" s="158" t="str">
        <f>IF(ID!$A$83=I25,F25,"")</f>
        <v/>
      </c>
      <c r="H25" s="158" t="str">
        <f>IFERROR(SMALL($G$7:$G$30,ROWS($G$7:G25)),"")</f>
        <v/>
      </c>
      <c r="I25" s="719" t="s">
        <v>253</v>
      </c>
      <c r="J25" s="2"/>
      <c r="K25" s="2"/>
    </row>
    <row r="26" spans="4:11" x14ac:dyDescent="0.2">
      <c r="D26" s="714">
        <v>0.1</v>
      </c>
      <c r="F26" s="158">
        <f>ROWS(E$10:$E29)</f>
        <v>20</v>
      </c>
      <c r="G26" s="158" t="str">
        <f>IF(ID!$A$83=I26,F26,"")</f>
        <v/>
      </c>
      <c r="H26" s="158" t="str">
        <f>IFERROR(SMALL($G$7:$G$30,ROWS($G$7:G26)),"")</f>
        <v/>
      </c>
      <c r="I26" s="719" t="s">
        <v>254</v>
      </c>
      <c r="J26" s="2"/>
      <c r="K26" s="2"/>
    </row>
    <row r="27" spans="4:11" x14ac:dyDescent="0.2">
      <c r="D27" s="714">
        <v>0.1</v>
      </c>
      <c r="F27" s="158">
        <f>ROWS(E$10:$E30)</f>
        <v>21</v>
      </c>
      <c r="G27" s="158" t="str">
        <f>IF(ID!$A$83=I27,F27,"")</f>
        <v/>
      </c>
      <c r="H27" s="158" t="str">
        <f>IFERROR(SMALL($G$7:$G$30,ROWS($G$7:G27)),"")</f>
        <v/>
      </c>
      <c r="I27" s="719" t="s">
        <v>255</v>
      </c>
      <c r="J27" s="2"/>
      <c r="K27" s="2"/>
    </row>
    <row r="28" spans="4:11" x14ac:dyDescent="0.2">
      <c r="D28" s="714">
        <v>0.1</v>
      </c>
      <c r="F28" s="158">
        <f>ROWS(E$10:$E31)</f>
        <v>22</v>
      </c>
      <c r="G28" s="158" t="str">
        <f>IF(ID!$A$83=I28,F28,"")</f>
        <v/>
      </c>
      <c r="H28" s="158" t="str">
        <f>IFERROR(SMALL($G$7:$G$30,ROWS($G$7:G28)),"")</f>
        <v/>
      </c>
      <c r="I28" s="719" t="s">
        <v>263</v>
      </c>
      <c r="J28" s="2"/>
      <c r="K28" s="2"/>
    </row>
    <row r="29" spans="4:11" x14ac:dyDescent="0.2">
      <c r="D29" s="714">
        <v>0.1</v>
      </c>
      <c r="F29" s="158">
        <f>ROWS(E$10:$E32)</f>
        <v>23</v>
      </c>
      <c r="G29" s="158" t="str">
        <f>IF(ID!$A$83=I29,F29,"")</f>
        <v/>
      </c>
      <c r="H29" s="158" t="str">
        <f>IFERROR(SMALL($G$7:$G$30,ROWS($G$7:G29)),"")</f>
        <v/>
      </c>
      <c r="I29" s="721" t="s">
        <v>352</v>
      </c>
      <c r="J29" s="2"/>
      <c r="K29" s="2"/>
    </row>
    <row r="30" spans="4:11" x14ac:dyDescent="0.2">
      <c r="D30" s="714">
        <v>0.1</v>
      </c>
      <c r="F30" s="158">
        <f>ROWS(E$10:$E33)</f>
        <v>24</v>
      </c>
      <c r="G30" s="158" t="str">
        <f>IF(ID!$A$83=I30,F30,"")</f>
        <v/>
      </c>
      <c r="H30" s="158" t="str">
        <f>IFERROR(SMALL($G$7:$G$30,ROWS($G$7:G30)),"")</f>
        <v/>
      </c>
      <c r="I30" s="721" t="s">
        <v>351</v>
      </c>
      <c r="J30" s="2"/>
      <c r="K30" s="2"/>
    </row>
  </sheetData>
  <sheetProtection algorithmName="SHA-512" hashValue="3LmD3iuzbgglcR/U4oQWx3jWvJWyaHWC+kVAsGXwQQbQf6BpYNWA7gIDiXICZdA2sIw3IZ6c85hNvVGDLvnSwA==" saltValue="hsmeQOk2TEpf9Ly/TgaGCg==" spinCount="100000" sheet="1" objects="1" scenarios="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5:K44"/>
  <sheetViews>
    <sheetView topLeftCell="F13" workbookViewId="0">
      <selection activeCell="F26" sqref="F26"/>
    </sheetView>
  </sheetViews>
  <sheetFormatPr defaultColWidth="9.140625" defaultRowHeight="12.75" x14ac:dyDescent="0.2"/>
  <cols>
    <col min="1" max="1" width="16.5703125" style="79" hidden="1" customWidth="1"/>
    <col min="2" max="2" width="9.140625" style="79" hidden="1" customWidth="1"/>
    <col min="3" max="3" width="25" style="79" hidden="1" customWidth="1"/>
    <col min="4" max="5" width="9.140625" style="79" hidden="1" customWidth="1"/>
    <col min="6" max="6" width="61.85546875" style="79" customWidth="1"/>
    <col min="7" max="7" width="109.42578125" style="79" customWidth="1"/>
    <col min="8" max="28" width="9.140625" style="79" customWidth="1"/>
    <col min="29" max="16384" width="9.140625" style="79"/>
  </cols>
  <sheetData>
    <row r="5" spans="1:11" x14ac:dyDescent="0.2">
      <c r="F5" s="84" t="s">
        <v>184</v>
      </c>
    </row>
    <row r="7" spans="1:11" x14ac:dyDescent="0.2">
      <c r="F7" s="87" t="s">
        <v>99</v>
      </c>
      <c r="G7" s="87" t="s">
        <v>56</v>
      </c>
    </row>
    <row r="8" spans="1:11" ht="15.75" x14ac:dyDescent="0.2">
      <c r="F8" s="692" t="s">
        <v>97</v>
      </c>
      <c r="G8" s="597" t="s">
        <v>313</v>
      </c>
    </row>
    <row r="9" spans="1:11" ht="15.75" x14ac:dyDescent="0.2">
      <c r="F9" s="693" t="s">
        <v>98</v>
      </c>
      <c r="G9" s="597" t="s">
        <v>314</v>
      </c>
    </row>
    <row r="11" spans="1:11" x14ac:dyDescent="0.2">
      <c r="A11" s="88" t="s">
        <v>133</v>
      </c>
      <c r="C11" s="88" t="s">
        <v>134</v>
      </c>
    </row>
    <row r="12" spans="1:11" x14ac:dyDescent="0.2">
      <c r="A12" s="92" t="s">
        <v>125</v>
      </c>
      <c r="B12" s="92"/>
      <c r="C12" s="92" t="s">
        <v>126</v>
      </c>
    </row>
    <row r="13" spans="1:11" s="80" customFormat="1" x14ac:dyDescent="0.2">
      <c r="A13" s="88">
        <v>200</v>
      </c>
      <c r="B13" s="88" t="s">
        <v>107</v>
      </c>
      <c r="C13" s="93" t="s">
        <v>127</v>
      </c>
      <c r="D13" s="93" t="s">
        <v>130</v>
      </c>
      <c r="E13" s="88"/>
      <c r="H13" s="81" t="str">
        <f>IFERROR(SMALL($F$13:$F$21,ROWS($D$13:D13)),"")</f>
        <v/>
      </c>
      <c r="K13" s="81" t="str">
        <f>IFERROR(INDEX($A$13:$C$21,$H13,COLUMNS(J$13:$J13)),"")</f>
        <v/>
      </c>
    </row>
    <row r="14" spans="1:11" s="80" customFormat="1" x14ac:dyDescent="0.2">
      <c r="A14" s="88">
        <v>120</v>
      </c>
      <c r="B14" s="88" t="s">
        <v>107</v>
      </c>
      <c r="C14" s="93" t="s">
        <v>128</v>
      </c>
      <c r="D14" s="93" t="s">
        <v>131</v>
      </c>
      <c r="E14" s="88"/>
      <c r="H14" s="81" t="str">
        <f>IFERROR(SMALL($F$13:$F$21,ROWS($D$13:D14)),"")</f>
        <v/>
      </c>
      <c r="K14" s="81" t="str">
        <f>IFERROR(INDEX($A$13:$C$21,$H14,COLUMNS(J$13:$J14)),"")</f>
        <v/>
      </c>
    </row>
    <row r="15" spans="1:11" s="80" customFormat="1" x14ac:dyDescent="0.2">
      <c r="A15" s="88">
        <v>60</v>
      </c>
      <c r="B15" s="88" t="s">
        <v>107</v>
      </c>
      <c r="C15" s="93" t="s">
        <v>129</v>
      </c>
      <c r="D15" s="93" t="s">
        <v>132</v>
      </c>
      <c r="E15" s="88"/>
      <c r="H15" s="81" t="str">
        <f>IFERROR(SMALL($F$13:$F$21,ROWS($D$13:D15)),"")</f>
        <v/>
      </c>
      <c r="K15" s="81" t="str">
        <f>IFERROR(INDEX($A$13:$C$21,$H15,COLUMNS(J$13:$J15)),"")</f>
        <v/>
      </c>
    </row>
    <row r="16" spans="1:11" s="80" customFormat="1" x14ac:dyDescent="0.2">
      <c r="A16" s="88">
        <v>150</v>
      </c>
      <c r="B16" s="88" t="s">
        <v>108</v>
      </c>
      <c r="E16" s="81"/>
      <c r="F16" s="81" t="str">
        <f>IF(ID!$C$96=B16,E16,"")</f>
        <v/>
      </c>
      <c r="H16" s="81" t="str">
        <f>IFERROR(SMALL($F$13:$F$21,ROWS($F$13:F16)),"")</f>
        <v/>
      </c>
    </row>
    <row r="17" spans="1:8" s="80" customFormat="1" x14ac:dyDescent="0.2">
      <c r="A17" s="88">
        <v>120</v>
      </c>
      <c r="B17" s="88" t="s">
        <v>108</v>
      </c>
      <c r="E17" s="81"/>
      <c r="F17" s="81" t="str">
        <f>IF(ID!$C$96=B17,E17,"")</f>
        <v/>
      </c>
      <c r="H17" s="81" t="str">
        <f>IFERROR(SMALL($F$13:$F$21,ROWS($F$13:F17)),"")</f>
        <v/>
      </c>
    </row>
    <row r="18" spans="1:8" s="80" customFormat="1" x14ac:dyDescent="0.2">
      <c r="A18" s="88">
        <v>60</v>
      </c>
      <c r="B18" s="88" t="s">
        <v>108</v>
      </c>
      <c r="E18" s="81"/>
      <c r="F18" s="81" t="str">
        <f>IF(ID!$C$96=B18,E18,"")</f>
        <v/>
      </c>
      <c r="H18" s="81" t="str">
        <f>IFERROR(SMALL($F$13:$F$21,ROWS($F$13:F18)),"")</f>
        <v/>
      </c>
    </row>
    <row r="19" spans="1:8" s="80" customFormat="1" x14ac:dyDescent="0.2">
      <c r="A19" s="88">
        <v>80</v>
      </c>
      <c r="B19" s="88" t="s">
        <v>109</v>
      </c>
      <c r="E19" s="81"/>
      <c r="F19" s="81" t="str">
        <f>IF(ID!$C$96=B19,E19,"")</f>
        <v/>
      </c>
      <c r="H19" s="81" t="str">
        <f>IFERROR(SMALL($F$13:$F$21,ROWS($F$13:F19)),"")</f>
        <v/>
      </c>
    </row>
    <row r="20" spans="1:8" s="80" customFormat="1" x14ac:dyDescent="0.2">
      <c r="A20" s="88">
        <v>60</v>
      </c>
      <c r="B20" s="88" t="s">
        <v>109</v>
      </c>
      <c r="E20" s="81"/>
      <c r="F20" s="81" t="str">
        <f>IF(ID!$C$96=B20,E20,"")</f>
        <v/>
      </c>
      <c r="H20" s="81" t="str">
        <f>IFERROR(SMALL($F$13:$F$21,ROWS($F$13:F20)),"")</f>
        <v/>
      </c>
    </row>
    <row r="21" spans="1:8" s="80" customFormat="1" x14ac:dyDescent="0.2">
      <c r="A21" s="88">
        <v>50</v>
      </c>
      <c r="B21" s="88" t="s">
        <v>109</v>
      </c>
      <c r="E21" s="81"/>
      <c r="F21" s="81" t="str">
        <f>IF(ID!$C$96=B21,E21,"")</f>
        <v/>
      </c>
      <c r="H21" s="81" t="str">
        <f>IFERROR(SMALL($F$13:$F$21,ROWS($F$13:F21)),"")</f>
        <v/>
      </c>
    </row>
    <row r="25" spans="1:8" x14ac:dyDescent="0.2">
      <c r="F25" s="89" t="s">
        <v>124</v>
      </c>
      <c r="G25" s="90"/>
    </row>
    <row r="26" spans="1:8" ht="15.75" x14ac:dyDescent="0.2">
      <c r="B26" s="82"/>
      <c r="C26" s="83"/>
      <c r="F26" s="91" t="s">
        <v>407</v>
      </c>
      <c r="G26" s="91" t="s">
        <v>407</v>
      </c>
    </row>
    <row r="27" spans="1:8" ht="15.75" x14ac:dyDescent="0.2">
      <c r="F27" s="91" t="s">
        <v>732</v>
      </c>
      <c r="G27" s="91" t="s">
        <v>732</v>
      </c>
    </row>
    <row r="28" spans="1:8" ht="15.75" x14ac:dyDescent="0.2">
      <c r="F28" s="91" t="s">
        <v>731</v>
      </c>
      <c r="G28" s="91" t="s">
        <v>731</v>
      </c>
    </row>
    <row r="29" spans="1:8" ht="15.75" x14ac:dyDescent="0.2">
      <c r="F29" s="91" t="s">
        <v>408</v>
      </c>
      <c r="G29" s="91" t="s">
        <v>408</v>
      </c>
    </row>
    <row r="30" spans="1:8" ht="15.75" x14ac:dyDescent="0.2">
      <c r="F30" s="91" t="s">
        <v>733</v>
      </c>
      <c r="G30" s="91" t="s">
        <v>735</v>
      </c>
    </row>
    <row r="31" spans="1:8" ht="15.75" x14ac:dyDescent="0.2">
      <c r="F31" s="91" t="s">
        <v>734</v>
      </c>
      <c r="G31" s="91" t="s">
        <v>734</v>
      </c>
    </row>
    <row r="32" spans="1:8" ht="15.75" x14ac:dyDescent="0.2">
      <c r="F32" s="91" t="s">
        <v>409</v>
      </c>
      <c r="G32" s="91" t="s">
        <v>409</v>
      </c>
    </row>
    <row r="33" spans="2:8" x14ac:dyDescent="0.2">
      <c r="F33" s="95" t="s">
        <v>136</v>
      </c>
      <c r="G33" s="95" t="s">
        <v>136</v>
      </c>
    </row>
    <row r="36" spans="2:8" ht="15.75" x14ac:dyDescent="0.2">
      <c r="B36" s="82"/>
    </row>
    <row r="37" spans="2:8" ht="15.75" x14ac:dyDescent="0.2">
      <c r="B37" s="82"/>
    </row>
    <row r="38" spans="2:8" ht="15.75" customHeight="1" x14ac:dyDescent="0.2">
      <c r="B38" s="82"/>
      <c r="F38" s="588" t="s">
        <v>354</v>
      </c>
      <c r="G38" s="589" t="s">
        <v>356</v>
      </c>
      <c r="H38" s="590"/>
    </row>
    <row r="39" spans="2:8" ht="15.75" x14ac:dyDescent="0.2">
      <c r="B39" s="82"/>
      <c r="F39" s="588" t="s">
        <v>355</v>
      </c>
      <c r="G39" s="589" t="s">
        <v>357</v>
      </c>
      <c r="H39" s="591"/>
    </row>
    <row r="40" spans="2:8" ht="15.75" x14ac:dyDescent="0.2">
      <c r="B40" s="82"/>
    </row>
    <row r="41" spans="2:8" ht="15.75" x14ac:dyDescent="0.2">
      <c r="B41" s="82"/>
      <c r="F41" s="79" t="s">
        <v>141</v>
      </c>
      <c r="G41" s="79" t="s">
        <v>142</v>
      </c>
    </row>
    <row r="42" spans="2:8" ht="15.75" x14ac:dyDescent="0.2">
      <c r="B42" s="82"/>
      <c r="F42" s="79" t="s">
        <v>298</v>
      </c>
      <c r="G42" s="79" t="s">
        <v>299</v>
      </c>
    </row>
    <row r="43" spans="2:8" ht="15.75" x14ac:dyDescent="0.2">
      <c r="B43" s="82"/>
    </row>
    <row r="44" spans="2:8" ht="15.75" x14ac:dyDescent="0.2">
      <c r="B44" s="82"/>
    </row>
  </sheetData>
  <sheetProtection algorithmName="SHA-512" hashValue="R7OP1bH5sqavS3Mloxd8VSF0YnCgbLvwy7MU71dI6v2yWvh3G6h3g1DJtl6StpNEXICx9HXAwh02yknQq4LTVg==" saltValue="rVKCU5SD5EiPGU/HXFv6nw==" spinCount="100000" sheet="1" objects="1" scenarios="1"/>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2:X224"/>
  <sheetViews>
    <sheetView topLeftCell="A211" zoomScale="106" zoomScaleNormal="106" workbookViewId="0">
      <selection activeCell="I231" sqref="I231"/>
    </sheetView>
  </sheetViews>
  <sheetFormatPr defaultColWidth="9.140625" defaultRowHeight="10.5" x14ac:dyDescent="0.15"/>
  <cols>
    <col min="1" max="1" width="9.140625" style="20"/>
    <col min="2" max="2" width="9.28515625" style="20" bestFit="1" customWidth="1"/>
    <col min="3" max="3" width="11.5703125" style="20" customWidth="1"/>
    <col min="4" max="5" width="9.28515625" style="20" bestFit="1" customWidth="1"/>
    <col min="6" max="6" width="13.28515625" style="20" customWidth="1"/>
    <col min="7" max="7" width="9.28515625" style="20" bestFit="1" customWidth="1"/>
    <col min="8" max="8" width="10.42578125" style="20" bestFit="1" customWidth="1"/>
    <col min="9" max="9" width="68.85546875" style="20" customWidth="1"/>
    <col min="10" max="14" width="9.140625" style="20" customWidth="1"/>
    <col min="15" max="21" width="12.28515625" style="20" customWidth="1"/>
    <col min="22" max="22" width="10.42578125" style="20" customWidth="1"/>
    <col min="23" max="23" width="70" style="20" customWidth="1"/>
    <col min="24" max="24" width="9.140625" style="20" customWidth="1"/>
    <col min="25" max="16384" width="9.140625" style="20"/>
  </cols>
  <sheetData>
    <row r="2" spans="2:24" x14ac:dyDescent="0.15">
      <c r="W2" s="21" t="s">
        <v>55</v>
      </c>
    </row>
    <row r="3" spans="2:24" x14ac:dyDescent="0.15">
      <c r="W3" s="561" t="s">
        <v>293</v>
      </c>
    </row>
    <row r="4" spans="2:24" x14ac:dyDescent="0.15">
      <c r="W4" s="561" t="s">
        <v>294</v>
      </c>
    </row>
    <row r="5" spans="2:24" x14ac:dyDescent="0.15">
      <c r="W5" s="561" t="s">
        <v>295</v>
      </c>
    </row>
    <row r="6" spans="2:24" x14ac:dyDescent="0.15">
      <c r="W6" s="561" t="s">
        <v>269</v>
      </c>
    </row>
    <row r="7" spans="2:24" x14ac:dyDescent="0.15">
      <c r="B7" s="555" t="s">
        <v>57</v>
      </c>
      <c r="C7" s="555" t="s">
        <v>59</v>
      </c>
      <c r="D7" s="555" t="s">
        <v>61</v>
      </c>
      <c r="E7" s="555" t="s">
        <v>58</v>
      </c>
      <c r="F7" s="555" t="s">
        <v>60</v>
      </c>
      <c r="G7" s="555" t="s">
        <v>62</v>
      </c>
      <c r="H7" s="556" t="s">
        <v>63</v>
      </c>
      <c r="I7" s="557" t="s">
        <v>55</v>
      </c>
      <c r="J7" s="23" t="s">
        <v>100</v>
      </c>
      <c r="K7" s="23" t="s">
        <v>101</v>
      </c>
      <c r="L7" s="23" t="s">
        <v>102</v>
      </c>
      <c r="O7" s="22" t="s">
        <v>57</v>
      </c>
      <c r="P7" s="22" t="s">
        <v>59</v>
      </c>
      <c r="Q7" s="22" t="s">
        <v>61</v>
      </c>
      <c r="R7" s="22" t="s">
        <v>58</v>
      </c>
      <c r="S7" s="22" t="s">
        <v>60</v>
      </c>
      <c r="T7" s="22" t="s">
        <v>62</v>
      </c>
      <c r="U7" s="24" t="s">
        <v>63</v>
      </c>
      <c r="W7" s="561" t="s">
        <v>727</v>
      </c>
    </row>
    <row r="8" spans="2:24" x14ac:dyDescent="0.15">
      <c r="B8" s="892">
        <v>15</v>
      </c>
      <c r="C8" s="893">
        <v>-0.1</v>
      </c>
      <c r="D8" s="894">
        <v>0.3</v>
      </c>
      <c r="E8" s="892">
        <v>30</v>
      </c>
      <c r="F8" s="893">
        <v>-9.6999999999999993</v>
      </c>
      <c r="G8" s="894">
        <v>3.1</v>
      </c>
      <c r="H8" s="895" t="s">
        <v>439</v>
      </c>
      <c r="I8" s="722" t="s">
        <v>293</v>
      </c>
      <c r="J8" s="25">
        <f>ROWS($H$8:I8)</f>
        <v>1</v>
      </c>
      <c r="K8" s="25" t="str">
        <f>IF(ID!$A$84=I8,J8,"")</f>
        <v/>
      </c>
      <c r="L8" s="25">
        <f>IFERROR(SMALL($K$8:$K$224,ROWS($K$8:K8)),"")</f>
        <v>71</v>
      </c>
      <c r="O8" s="25">
        <f>IFERROR(INDEX($B$8:$H$224,$L8,COLUMNS($N$8:N8)),"")</f>
        <v>15</v>
      </c>
      <c r="P8" s="25">
        <f>IFERROR(INDEX($B$8:$H$224,$L8,COLUMNS($N$8:O8)),"")</f>
        <v>0.4</v>
      </c>
      <c r="Q8" s="25">
        <f>IFERROR(INDEX($B$8:$H$224,$L8,COLUMNS($N$8:P8)),"")</f>
        <v>0.8</v>
      </c>
      <c r="R8" s="25">
        <f>IFERROR(INDEX($B$8:$H$224,$L8,COLUMNS($N$8:Q8)),"")</f>
        <v>30</v>
      </c>
      <c r="S8" s="26">
        <f>IFERROR(INDEX($B$8:$H$224,$L8,COLUMNS($N$8:R8)),"")</f>
        <v>-1.5</v>
      </c>
      <c r="T8" s="25">
        <f>IFERROR(INDEX($B$8:$H$224,$L8,COLUMNS($N$8:S8)),"")</f>
        <v>2.6</v>
      </c>
      <c r="U8" s="25" t="str">
        <f>IFERROR(INDEX($B$8:$H$224,$L8,COLUMNS($N$8:T8)),"")</f>
        <v>9.9.2019</v>
      </c>
      <c r="W8" s="561" t="s">
        <v>726</v>
      </c>
    </row>
    <row r="9" spans="2:24" x14ac:dyDescent="0.15">
      <c r="B9" s="892">
        <v>20</v>
      </c>
      <c r="C9" s="896">
        <v>0.1</v>
      </c>
      <c r="D9" s="894">
        <v>0.3</v>
      </c>
      <c r="E9" s="892">
        <v>40</v>
      </c>
      <c r="F9" s="896">
        <v>-9.6999999999999993</v>
      </c>
      <c r="G9" s="894">
        <v>3.1</v>
      </c>
      <c r="H9" s="895" t="s">
        <v>439</v>
      </c>
      <c r="I9" s="722" t="s">
        <v>293</v>
      </c>
      <c r="J9" s="25">
        <f>ROWS($H$8:I9)</f>
        <v>2</v>
      </c>
      <c r="K9" s="25" t="str">
        <f>IF(ID!$A$84=I9,J9,"")</f>
        <v/>
      </c>
      <c r="L9" s="25">
        <f>IFERROR(SMALL($K$8:$K$224,ROWS($K$8:K9)),"")</f>
        <v>72</v>
      </c>
      <c r="O9" s="25">
        <f>IFERROR(INDEX($B$8:$H$224,$L9,COLUMNS($N$8:N9)),"")</f>
        <v>20</v>
      </c>
      <c r="P9" s="25">
        <f>IFERROR(INDEX($B$8:$H$224,$L9,COLUMNS($N$8:O9)),"")</f>
        <v>0.3</v>
      </c>
      <c r="Q9" s="25">
        <f>IFERROR(INDEX($B$8:$H$224,$L9,COLUMNS($N$8:P9)),"")</f>
        <v>0.8</v>
      </c>
      <c r="R9" s="25">
        <f>IFERROR(INDEX($B$8:$H$224,$L9,COLUMNS($N$8:Q9)),"")</f>
        <v>40</v>
      </c>
      <c r="S9" s="26">
        <f>IFERROR(INDEX($B$8:$H$224,$L9,COLUMNS($N$8:R9)),"")</f>
        <v>-3.8</v>
      </c>
      <c r="T9" s="25">
        <f>IFERROR(INDEX($B$8:$H$224,$L9,COLUMNS($N$8:S9)),"")</f>
        <v>2.6</v>
      </c>
      <c r="U9" s="25">
        <f>IFERROR(INDEX($B$8:$H$224,$L9,COLUMNS($N$8:T9)),"")</f>
        <v>0</v>
      </c>
      <c r="W9" s="561" t="s">
        <v>271</v>
      </c>
    </row>
    <row r="10" spans="2:24" x14ac:dyDescent="0.15">
      <c r="B10" s="892">
        <v>25</v>
      </c>
      <c r="C10" s="896">
        <v>0.2</v>
      </c>
      <c r="D10" s="894">
        <v>0.3</v>
      </c>
      <c r="E10" s="892">
        <v>50</v>
      </c>
      <c r="F10" s="896">
        <v>-9.1</v>
      </c>
      <c r="G10" s="894">
        <v>3.1</v>
      </c>
      <c r="H10" s="895" t="s">
        <v>439</v>
      </c>
      <c r="I10" s="722" t="s">
        <v>293</v>
      </c>
      <c r="J10" s="25">
        <f>ROWS($H$8:I10)</f>
        <v>3</v>
      </c>
      <c r="K10" s="25" t="str">
        <f>IF(ID!$A$84=I10,J10,"")</f>
        <v/>
      </c>
      <c r="L10" s="25">
        <f>IFERROR(SMALL($K$8:$K$224,ROWS($K$8:K10)),"")</f>
        <v>73</v>
      </c>
      <c r="O10" s="25">
        <f>IFERROR(INDEX($B$8:$H$224,$L10,COLUMNS($N$8:N10)),"")</f>
        <v>25</v>
      </c>
      <c r="P10" s="25">
        <f>IFERROR(INDEX($B$8:$H$224,$L10,COLUMNS($N$8:O10)),"")</f>
        <v>0.2</v>
      </c>
      <c r="Q10" s="25">
        <f>IFERROR(INDEX($B$8:$H$224,$L10,COLUMNS($N$8:P10)),"")</f>
        <v>0.8</v>
      </c>
      <c r="R10" s="25">
        <f>IFERROR(INDEX($B$8:$H$224,$L10,COLUMNS($N$8:Q10)),"")</f>
        <v>50</v>
      </c>
      <c r="S10" s="26">
        <f>IFERROR(INDEX($B$8:$H$224,$L10,COLUMNS($N$8:R10)),"")</f>
        <v>-5.4</v>
      </c>
      <c r="T10" s="25">
        <f>IFERROR(INDEX($B$8:$H$224,$L10,COLUMNS($N$8:S10)),"")</f>
        <v>2.6</v>
      </c>
      <c r="U10" s="25">
        <f>IFERROR(INDEX($B$8:$H$224,$L10,COLUMNS($N$8:T10)),"")</f>
        <v>0</v>
      </c>
      <c r="W10" s="561" t="s">
        <v>729</v>
      </c>
    </row>
    <row r="11" spans="2:24" x14ac:dyDescent="0.15">
      <c r="B11" s="892">
        <v>30</v>
      </c>
      <c r="C11" s="896">
        <v>0.1</v>
      </c>
      <c r="D11" s="894">
        <v>0.3</v>
      </c>
      <c r="E11" s="892">
        <v>60</v>
      </c>
      <c r="F11" s="896">
        <v>-7.9</v>
      </c>
      <c r="G11" s="894">
        <v>3.1</v>
      </c>
      <c r="H11" s="895" t="s">
        <v>439</v>
      </c>
      <c r="I11" s="722" t="s">
        <v>293</v>
      </c>
      <c r="J11" s="25">
        <f>ROWS($H$8:I11)</f>
        <v>4</v>
      </c>
      <c r="K11" s="25" t="str">
        <f>IF(ID!$A$84=I11,J11,"")</f>
        <v/>
      </c>
      <c r="L11" s="25">
        <f>IFERROR(SMALL($K$8:$K$224,ROWS($K$8:K11)),"")</f>
        <v>74</v>
      </c>
      <c r="O11" s="25">
        <f>IFERROR(INDEX($B$8:$H$224,$L11,COLUMNS($N$8:N11)),"")</f>
        <v>30</v>
      </c>
      <c r="P11" s="25">
        <f>IFERROR(INDEX($B$8:$H$224,$L11,COLUMNS($N$8:O11)),"")</f>
        <v>0.1</v>
      </c>
      <c r="Q11" s="25">
        <f>IFERROR(INDEX($B$8:$H$224,$L11,COLUMNS($N$8:P11)),"")</f>
        <v>0.8</v>
      </c>
      <c r="R11" s="25">
        <f>IFERROR(INDEX($B$8:$H$224,$L11,COLUMNS($N$8:Q11)),"")</f>
        <v>60</v>
      </c>
      <c r="S11" s="26">
        <f>IFERROR(INDEX($B$8:$H$224,$L11,COLUMNS($N$8:R11)),"")</f>
        <v>-6.4</v>
      </c>
      <c r="T11" s="25">
        <f>IFERROR(INDEX($B$8:$H$224,$L11,COLUMNS($N$8:S11)),"")</f>
        <v>2.6</v>
      </c>
      <c r="U11" s="25">
        <f>IFERROR(INDEX($B$8:$H$224,$L11,COLUMNS($N$8:T11)),"")</f>
        <v>0</v>
      </c>
      <c r="W11" s="561" t="s">
        <v>728</v>
      </c>
    </row>
    <row r="12" spans="2:24" x14ac:dyDescent="0.15">
      <c r="B12" s="892">
        <v>35</v>
      </c>
      <c r="C12" s="896">
        <v>0.1</v>
      </c>
      <c r="D12" s="894">
        <v>0.3</v>
      </c>
      <c r="E12" s="892">
        <v>70</v>
      </c>
      <c r="F12" s="25">
        <v>-6.1</v>
      </c>
      <c r="G12" s="894">
        <v>3.1</v>
      </c>
      <c r="H12" s="895" t="s">
        <v>439</v>
      </c>
      <c r="I12" s="722" t="s">
        <v>293</v>
      </c>
      <c r="J12" s="25">
        <f>ROWS($H$8:I12)</f>
        <v>5</v>
      </c>
      <c r="K12" s="25" t="str">
        <f>IF(ID!$A$84=I12,J12,"")</f>
        <v/>
      </c>
      <c r="L12" s="25">
        <f>IFERROR(SMALL($K$8:$K$224,ROWS($K$8:K12)),"")</f>
        <v>75</v>
      </c>
      <c r="O12" s="25">
        <f>IFERROR(INDEX($B$8:$H$224,$L12,COLUMNS($N$8:N12)),"")</f>
        <v>35</v>
      </c>
      <c r="P12" s="25">
        <f>IFERROR(INDEX($B$8:$H$224,$L12,COLUMNS($N$8:O12)),"")</f>
        <v>0.1</v>
      </c>
      <c r="Q12" s="25">
        <f>IFERROR(INDEX($B$8:$H$224,$L12,COLUMNS($N$8:P12)),"")</f>
        <v>0.8</v>
      </c>
      <c r="R12" s="25">
        <f>IFERROR(INDEX($B$8:$H$224,$L12,COLUMNS($N$8:Q12)),"")</f>
        <v>70</v>
      </c>
      <c r="S12" s="26">
        <f>IFERROR(INDEX($B$8:$H$224,$L12,COLUMNS($N$8:R12)),"")</f>
        <v>-6.7</v>
      </c>
      <c r="T12" s="25">
        <f>IFERROR(INDEX($B$8:$H$224,$L12,COLUMNS($N$8:S12)),"")</f>
        <v>2.6</v>
      </c>
      <c r="U12" s="25">
        <f>IFERROR(INDEX($B$8:$H$224,$L12,COLUMNS($N$8:T12)),"")</f>
        <v>0</v>
      </c>
      <c r="W12" s="561" t="s">
        <v>276</v>
      </c>
    </row>
    <row r="13" spans="2:24" x14ac:dyDescent="0.15">
      <c r="B13" s="897">
        <v>37</v>
      </c>
      <c r="C13" s="896">
        <v>0.1</v>
      </c>
      <c r="D13" s="894">
        <v>0.3</v>
      </c>
      <c r="E13" s="897">
        <v>80</v>
      </c>
      <c r="F13" s="26">
        <v>-3.8</v>
      </c>
      <c r="G13" s="894">
        <v>3.1</v>
      </c>
      <c r="H13" s="895" t="s">
        <v>439</v>
      </c>
      <c r="I13" s="722" t="s">
        <v>293</v>
      </c>
      <c r="J13" s="25">
        <f>ROWS($H$8:I13)</f>
        <v>6</v>
      </c>
      <c r="K13" s="25" t="str">
        <f>IF(ID!$A$84=I13,J13,"")</f>
        <v/>
      </c>
      <c r="L13" s="25">
        <f>IFERROR(SMALL($K$8:$K$224,ROWS($K$8:K13)),"")</f>
        <v>76</v>
      </c>
      <c r="O13" s="25">
        <f>IFERROR(INDEX($B$8:$H$224,$L13,COLUMNS($N$8:N13)),"")</f>
        <v>37</v>
      </c>
      <c r="P13" s="25">
        <f>IFERROR(INDEX($B$8:$H$224,$L13,COLUMNS($N$8:O13)),"")</f>
        <v>0.1</v>
      </c>
      <c r="Q13" s="25">
        <f>IFERROR(INDEX($B$8:$H$224,$L13,COLUMNS($N$8:P13)),"")</f>
        <v>0.8</v>
      </c>
      <c r="R13" s="25">
        <f>IFERROR(INDEX($B$8:$H$224,$L13,COLUMNS($N$8:Q13)),"")</f>
        <v>80</v>
      </c>
      <c r="S13" s="26">
        <f>IFERROR(INDEX($B$8:$H$224,$L13,COLUMNS($N$8:R13)),"")</f>
        <v>-6.3</v>
      </c>
      <c r="T13" s="25">
        <f>IFERROR(INDEX($B$8:$H$224,$L13,COLUMNS($N$8:S13)),"")</f>
        <v>2.6</v>
      </c>
      <c r="U13" s="25">
        <f>IFERROR(INDEX($B$8:$H$224,$L13,COLUMNS($N$8:T13)),"")</f>
        <v>0</v>
      </c>
      <c r="W13" s="561" t="s">
        <v>277</v>
      </c>
    </row>
    <row r="14" spans="2:24" x14ac:dyDescent="0.15">
      <c r="B14" s="897">
        <v>40</v>
      </c>
      <c r="C14" s="896">
        <v>0.2</v>
      </c>
      <c r="D14" s="894">
        <v>0.3</v>
      </c>
      <c r="E14" s="897">
        <v>90</v>
      </c>
      <c r="F14" s="20">
        <v>-0.8</v>
      </c>
      <c r="G14" s="894">
        <v>3.1</v>
      </c>
      <c r="H14" s="895" t="s">
        <v>439</v>
      </c>
      <c r="I14" s="722" t="s">
        <v>293</v>
      </c>
      <c r="J14" s="25">
        <f>ROWS($H$8:I14)</f>
        <v>7</v>
      </c>
      <c r="K14" s="25" t="str">
        <f>IF(ID!$A$84=I14,J14,"")</f>
        <v/>
      </c>
      <c r="L14" s="25">
        <f>IFERROR(SMALL($K$8:$K$224,ROWS($K$8:K14)),"")</f>
        <v>77</v>
      </c>
      <c r="O14" s="25">
        <f>IFERROR(INDEX($B$8:$H$224,$L14,COLUMNS($N$8:N14)),"")</f>
        <v>40</v>
      </c>
      <c r="P14" s="25">
        <f>IFERROR(INDEX($B$8:$H$224,$L14,COLUMNS($N$8:O14)),"")</f>
        <v>0.1</v>
      </c>
      <c r="Q14" s="25">
        <f>IFERROR(INDEX($B$8:$H$224,$L14,COLUMNS($N$8:P14)),"")</f>
        <v>0.8</v>
      </c>
      <c r="R14" s="25">
        <f>IFERROR(INDEX($B$8:$H$224,$L14,COLUMNS($N$8:Q14)),"")</f>
        <v>90</v>
      </c>
      <c r="S14" s="26">
        <f>IFERROR(INDEX($B$8:$H$224,$L14,COLUMNS($N$8:R14)),"")</f>
        <v>-5.2</v>
      </c>
      <c r="T14" s="25">
        <f>IFERROR(INDEX($B$8:$H$224,$L14,COLUMNS($N$8:S14)),"")</f>
        <v>2.6</v>
      </c>
      <c r="U14" s="25">
        <f>IFERROR(INDEX($B$8:$H$224,$L14,COLUMNS($N$8:T14)),"")</f>
        <v>0</v>
      </c>
      <c r="W14" s="561" t="s">
        <v>724</v>
      </c>
    </row>
    <row r="15" spans="2:24" x14ac:dyDescent="0.15">
      <c r="B15" s="566"/>
      <c r="C15" s="566"/>
      <c r="D15" s="566"/>
      <c r="E15" s="566"/>
      <c r="F15" s="566"/>
      <c r="G15" s="566"/>
      <c r="H15" s="566"/>
      <c r="I15" s="566"/>
      <c r="J15" s="25">
        <f>ROWS($H$8:I15)</f>
        <v>8</v>
      </c>
      <c r="K15" s="25" t="str">
        <f>IF(ID!$A$84=I15,J15,"")</f>
        <v/>
      </c>
      <c r="L15" s="25" t="str">
        <f>IFERROR(SMALL($K$8:$K$224,ROWS($K$8:K15)),"")</f>
        <v/>
      </c>
      <c r="P15" s="27" t="s">
        <v>103</v>
      </c>
      <c r="Q15" s="20">
        <f>MAX(Q8:Q14)</f>
        <v>0.8</v>
      </c>
      <c r="S15" s="27" t="s">
        <v>103</v>
      </c>
      <c r="T15" s="20">
        <f>MAX(T8:T14)</f>
        <v>2.6</v>
      </c>
      <c r="W15" s="561" t="s">
        <v>725</v>
      </c>
    </row>
    <row r="16" spans="2:24" s="28" customFormat="1" x14ac:dyDescent="0.15">
      <c r="B16" s="567"/>
      <c r="C16" s="567"/>
      <c r="D16" s="567"/>
      <c r="E16" s="567"/>
      <c r="F16" s="567"/>
      <c r="G16" s="567"/>
      <c r="H16" s="567"/>
      <c r="I16" s="567"/>
      <c r="J16" s="25">
        <f>ROWS($H$8:I16)</f>
        <v>9</v>
      </c>
      <c r="K16" s="25" t="str">
        <f>IF(ID!$A$84=I16,J16,"")</f>
        <v/>
      </c>
      <c r="L16" s="25" t="str">
        <f>IFERROR(SMALL($K$8:$K$224,ROWS($K$8:K16)),"")</f>
        <v/>
      </c>
      <c r="X16" s="561" t="s">
        <v>296</v>
      </c>
    </row>
    <row r="17" spans="2:23" x14ac:dyDescent="0.15">
      <c r="B17" s="566"/>
      <c r="C17" s="566"/>
      <c r="D17" s="566"/>
      <c r="E17" s="566"/>
      <c r="F17" s="566"/>
      <c r="G17" s="566"/>
      <c r="H17" s="566"/>
      <c r="I17" s="566"/>
      <c r="J17" s="25">
        <f>ROWS($H$8:I17)</f>
        <v>10</v>
      </c>
      <c r="K17" s="25" t="str">
        <f>IF(ID!$A$84=I17,J17,"")</f>
        <v/>
      </c>
      <c r="L17" s="25" t="str">
        <f>IFERROR(SMALL($K$8:$K$224,ROWS($K$8:K17)),"")</f>
        <v/>
      </c>
      <c r="W17" s="561" t="s">
        <v>272</v>
      </c>
    </row>
    <row r="18" spans="2:23" ht="12.75" x14ac:dyDescent="0.15">
      <c r="B18" s="892">
        <v>15</v>
      </c>
      <c r="C18" s="893">
        <v>0.4</v>
      </c>
      <c r="D18" s="894">
        <v>0.8</v>
      </c>
      <c r="E18" s="892">
        <v>30</v>
      </c>
      <c r="F18" s="893">
        <v>-6.9</v>
      </c>
      <c r="G18" s="894">
        <v>2.2000000000000002</v>
      </c>
      <c r="H18" s="898" t="s">
        <v>385</v>
      </c>
      <c r="I18" s="722" t="s">
        <v>294</v>
      </c>
      <c r="J18" s="25">
        <f>ROWS($H$8:I18)</f>
        <v>11</v>
      </c>
      <c r="K18" s="25" t="str">
        <f>IF(ID!$A$84=I18,J18,"")</f>
        <v/>
      </c>
      <c r="L18" s="25" t="str">
        <f>IFERROR(SMALL($K$8:$K$224,ROWS($K$8:K18)),"")</f>
        <v/>
      </c>
      <c r="W18" s="561" t="s">
        <v>273</v>
      </c>
    </row>
    <row r="19" spans="2:23" ht="12.75" x14ac:dyDescent="0.15">
      <c r="B19" s="892">
        <v>20</v>
      </c>
      <c r="C19" s="896">
        <v>0.7</v>
      </c>
      <c r="D19" s="894">
        <v>0.8</v>
      </c>
      <c r="E19" s="892">
        <v>40</v>
      </c>
      <c r="F19" s="896">
        <v>-6.2</v>
      </c>
      <c r="G19" s="894">
        <v>2.2000000000000002</v>
      </c>
      <c r="H19" s="898"/>
      <c r="I19" s="722" t="s">
        <v>294</v>
      </c>
      <c r="J19" s="25">
        <f>ROWS($H$8:I19)</f>
        <v>12</v>
      </c>
      <c r="K19" s="25" t="str">
        <f>IF(ID!$A$84=I19,J19,"")</f>
        <v/>
      </c>
      <c r="L19" s="25" t="str">
        <f>IFERROR(SMALL($K$8:$K$224,ROWS($K$8:K19)),"")</f>
        <v/>
      </c>
      <c r="W19" s="561" t="s">
        <v>274</v>
      </c>
    </row>
    <row r="20" spans="2:23" ht="13.5" customHeight="1" x14ac:dyDescent="0.15">
      <c r="B20" s="892">
        <v>25</v>
      </c>
      <c r="C20" s="896">
        <v>0.5</v>
      </c>
      <c r="D20" s="894">
        <v>0.8</v>
      </c>
      <c r="E20" s="892">
        <v>50</v>
      </c>
      <c r="F20" s="896">
        <v>-5.3</v>
      </c>
      <c r="G20" s="894">
        <v>2.2000000000000002</v>
      </c>
      <c r="H20" s="898"/>
      <c r="I20" s="722" t="s">
        <v>294</v>
      </c>
      <c r="J20" s="25">
        <f>ROWS($H$8:I20)</f>
        <v>13</v>
      </c>
      <c r="K20" s="25" t="str">
        <f>IF(ID!$A$84=I20,J20,"")</f>
        <v/>
      </c>
      <c r="L20" s="25" t="str">
        <f>IFERROR(SMALL($K$8:$K$224,ROWS($K$8:K20)),"")</f>
        <v/>
      </c>
      <c r="W20" s="561" t="s">
        <v>319</v>
      </c>
    </row>
    <row r="21" spans="2:23" ht="12.75" x14ac:dyDescent="0.15">
      <c r="B21" s="892">
        <v>30</v>
      </c>
      <c r="C21" s="896">
        <v>0.2</v>
      </c>
      <c r="D21" s="894">
        <v>0.8</v>
      </c>
      <c r="E21" s="892">
        <v>60</v>
      </c>
      <c r="F21" s="896">
        <v>-4</v>
      </c>
      <c r="G21" s="894">
        <v>2.2000000000000002</v>
      </c>
      <c r="H21" s="898"/>
      <c r="I21" s="722" t="s">
        <v>294</v>
      </c>
      <c r="J21" s="25">
        <f>ROWS($H$8:I21)</f>
        <v>14</v>
      </c>
      <c r="K21" s="25" t="str">
        <f>IF(ID!$A$84=I21,J21,"")</f>
        <v/>
      </c>
      <c r="L21" s="25" t="str">
        <f>IFERROR(SMALL($K$8:$K$224,ROWS($K$8:K21)),"")</f>
        <v/>
      </c>
      <c r="W21" s="561" t="s">
        <v>320</v>
      </c>
    </row>
    <row r="22" spans="2:23" ht="12.75" x14ac:dyDescent="0.15">
      <c r="B22" s="892">
        <v>35</v>
      </c>
      <c r="C22" s="896">
        <v>-0.1</v>
      </c>
      <c r="D22" s="894">
        <v>0.8</v>
      </c>
      <c r="E22" s="892">
        <v>70</v>
      </c>
      <c r="F22" s="896">
        <v>-2.4</v>
      </c>
      <c r="G22" s="894">
        <v>2.2000000000000002</v>
      </c>
      <c r="H22" s="898"/>
      <c r="I22" s="722" t="s">
        <v>294</v>
      </c>
      <c r="J22" s="25">
        <f>ROWS($H$8:I22)</f>
        <v>15</v>
      </c>
      <c r="K22" s="25" t="str">
        <f>IF(ID!$A$84=I22,J22,"")</f>
        <v/>
      </c>
      <c r="L22" s="25" t="str">
        <f>IFERROR(SMALL($K$8:$K$224,ROWS($K$8:K22)),"")</f>
        <v/>
      </c>
      <c r="W22" s="561" t="s">
        <v>321</v>
      </c>
    </row>
    <row r="23" spans="2:23" ht="12.75" x14ac:dyDescent="0.15">
      <c r="B23" s="897">
        <v>37</v>
      </c>
      <c r="C23" s="25">
        <v>-0.2</v>
      </c>
      <c r="D23" s="894">
        <v>0.8</v>
      </c>
      <c r="E23" s="897">
        <v>80</v>
      </c>
      <c r="F23" s="25">
        <v>-0.5</v>
      </c>
      <c r="G23" s="894">
        <v>2.2000000000000002</v>
      </c>
      <c r="H23" s="898"/>
      <c r="I23" s="722" t="s">
        <v>294</v>
      </c>
      <c r="J23" s="25">
        <f>ROWS($H$8:I23)</f>
        <v>16</v>
      </c>
      <c r="K23" s="25" t="str">
        <f>IF(ID!$A$84=I23,J23,"")</f>
        <v/>
      </c>
      <c r="L23" s="25" t="str">
        <f>IFERROR(SMALL($K$8:$K$224,ROWS($K$8:K23)),"")</f>
        <v/>
      </c>
      <c r="W23" s="561" t="s">
        <v>322</v>
      </c>
    </row>
    <row r="24" spans="2:23" ht="12.75" x14ac:dyDescent="0.15">
      <c r="B24" s="897">
        <v>40</v>
      </c>
      <c r="C24" s="25">
        <v>-0.1</v>
      </c>
      <c r="D24" s="894">
        <v>0.8</v>
      </c>
      <c r="E24" s="897">
        <v>90</v>
      </c>
      <c r="F24" s="25">
        <v>1.7</v>
      </c>
      <c r="G24" s="894">
        <v>2.2000000000000002</v>
      </c>
      <c r="H24" s="898"/>
      <c r="I24" s="722" t="s">
        <v>294</v>
      </c>
      <c r="J24" s="25">
        <f>ROWS($H$8:I24)</f>
        <v>17</v>
      </c>
      <c r="K24" s="25" t="str">
        <f>IF(ID!$A$84=I24,J24,"")</f>
        <v/>
      </c>
      <c r="L24" s="25" t="str">
        <f>IFERROR(SMALL($K$8:$K$224,ROWS($K$8:K24)),"")</f>
        <v/>
      </c>
      <c r="W24" s="704" t="s">
        <v>391</v>
      </c>
    </row>
    <row r="25" spans="2:23" x14ac:dyDescent="0.15">
      <c r="B25" s="566"/>
      <c r="C25" s="566"/>
      <c r="D25" s="566"/>
      <c r="E25" s="566"/>
      <c r="F25" s="566"/>
      <c r="G25" s="566"/>
      <c r="H25" s="566"/>
      <c r="I25" s="566"/>
      <c r="J25" s="25">
        <f>ROWS($H$8:I25)</f>
        <v>18</v>
      </c>
      <c r="K25" s="25" t="str">
        <f>IF(ID!$A$84=I25,J25,"")</f>
        <v/>
      </c>
      <c r="L25" s="25" t="str">
        <f>IFERROR(SMALL($K$8:$K$224,ROWS($K$8:K25)),"")</f>
        <v/>
      </c>
      <c r="W25" s="581"/>
    </row>
    <row r="26" spans="2:23" s="28" customFormat="1" x14ac:dyDescent="0.15">
      <c r="B26" s="567"/>
      <c r="C26" s="567"/>
      <c r="D26" s="567"/>
      <c r="E26" s="567"/>
      <c r="F26" s="567"/>
      <c r="G26" s="567"/>
      <c r="H26" s="567"/>
      <c r="I26" s="567"/>
      <c r="J26" s="25">
        <f>ROWS($H$8:I26)</f>
        <v>19</v>
      </c>
      <c r="K26" s="25" t="str">
        <f>IF(ID!$A$84=I26,J26,"")</f>
        <v/>
      </c>
      <c r="L26" s="25" t="str">
        <f>IFERROR(SMALL($K$8:$K$224,ROWS($K$8:K26)),"")</f>
        <v/>
      </c>
      <c r="W26" s="581"/>
    </row>
    <row r="27" spans="2:23" x14ac:dyDescent="0.15">
      <c r="B27" s="566"/>
      <c r="C27" s="566"/>
      <c r="D27" s="566"/>
      <c r="E27" s="566"/>
      <c r="F27" s="566"/>
      <c r="G27" s="566"/>
      <c r="H27" s="566"/>
      <c r="I27" s="566"/>
      <c r="J27" s="25">
        <f>ROWS($H$8:I27)</f>
        <v>20</v>
      </c>
      <c r="K27" s="25" t="str">
        <f>IF(ID!$A$84=I27,J27,"")</f>
        <v/>
      </c>
      <c r="L27" s="25" t="str">
        <f>IFERROR(SMALL($K$8:$K$224,ROWS($K$8:K27)),"")</f>
        <v/>
      </c>
      <c r="W27" s="582"/>
    </row>
    <row r="28" spans="2:23" x14ac:dyDescent="0.15">
      <c r="B28" s="558">
        <v>15</v>
      </c>
      <c r="C28" s="559">
        <v>0.3</v>
      </c>
      <c r="D28" s="560">
        <v>0.3</v>
      </c>
      <c r="E28" s="558">
        <v>35</v>
      </c>
      <c r="F28" s="559">
        <v>-5.2</v>
      </c>
      <c r="G28" s="560">
        <v>1.8</v>
      </c>
      <c r="H28" s="899" t="s">
        <v>266</v>
      </c>
      <c r="I28" s="722" t="s">
        <v>724</v>
      </c>
      <c r="J28" s="25">
        <f>ROWS($H$8:I28)</f>
        <v>21</v>
      </c>
      <c r="K28" s="25" t="str">
        <f>IF(ID!$A$84=I28,J28,"")</f>
        <v/>
      </c>
      <c r="L28" s="25" t="str">
        <f>IFERROR(SMALL($K$8:$K$224,ROWS($K$8:K28)),"")</f>
        <v/>
      </c>
      <c r="W28" s="582"/>
    </row>
    <row r="29" spans="2:23" x14ac:dyDescent="0.15">
      <c r="B29" s="558">
        <v>20</v>
      </c>
      <c r="C29" s="562">
        <v>0.4</v>
      </c>
      <c r="D29" s="560">
        <v>0.3</v>
      </c>
      <c r="E29" s="558">
        <v>40</v>
      </c>
      <c r="F29" s="562">
        <v>-5.5</v>
      </c>
      <c r="G29" s="560">
        <v>1.8</v>
      </c>
      <c r="H29" s="899"/>
      <c r="I29" s="722" t="s">
        <v>724</v>
      </c>
      <c r="J29" s="25">
        <f>ROWS($H$8:I29)</f>
        <v>22</v>
      </c>
      <c r="K29" s="25" t="str">
        <f>IF(ID!$A$84=I29,J29,"")</f>
        <v/>
      </c>
      <c r="L29" s="25" t="str">
        <f>IFERROR(SMALL($K$8:$K$224,ROWS($K$8:K29)),"")</f>
        <v/>
      </c>
      <c r="W29" s="582"/>
    </row>
    <row r="30" spans="2:23" ht="13.5" customHeight="1" x14ac:dyDescent="0.15">
      <c r="B30" s="558">
        <v>25</v>
      </c>
      <c r="C30" s="562">
        <v>0.4</v>
      </c>
      <c r="D30" s="560">
        <v>0.3</v>
      </c>
      <c r="E30" s="558">
        <v>50</v>
      </c>
      <c r="F30" s="562">
        <v>-5.5</v>
      </c>
      <c r="G30" s="560">
        <v>1.8</v>
      </c>
      <c r="H30" s="899"/>
      <c r="I30" s="722" t="s">
        <v>724</v>
      </c>
      <c r="J30" s="25">
        <f>ROWS($H$8:I30)</f>
        <v>23</v>
      </c>
      <c r="K30" s="25" t="str">
        <f>IF(ID!$A$84=I30,J30,"")</f>
        <v/>
      </c>
      <c r="L30" s="25" t="str">
        <f>IFERROR(SMALL($K$8:$K$224,ROWS($K$8:K30)),"")</f>
        <v/>
      </c>
      <c r="W30" s="582"/>
    </row>
    <row r="31" spans="2:23" x14ac:dyDescent="0.15">
      <c r="B31" s="558">
        <v>30</v>
      </c>
      <c r="C31" s="562">
        <v>0.5</v>
      </c>
      <c r="D31" s="560">
        <v>0.3</v>
      </c>
      <c r="E31" s="558">
        <v>60</v>
      </c>
      <c r="F31" s="562">
        <v>-4.8</v>
      </c>
      <c r="G31" s="560">
        <v>1.8</v>
      </c>
      <c r="H31" s="899"/>
      <c r="I31" s="722" t="s">
        <v>724</v>
      </c>
      <c r="J31" s="25">
        <f>ROWS($H$8:I31)</f>
        <v>24</v>
      </c>
      <c r="K31" s="25" t="str">
        <f>IF(ID!$A$84=I31,J31,"")</f>
        <v/>
      </c>
      <c r="L31" s="25" t="str">
        <f>IFERROR(SMALL($K$8:$K$224,ROWS($K$8:K31)),"")</f>
        <v/>
      </c>
      <c r="W31" s="581"/>
    </row>
    <row r="32" spans="2:23" x14ac:dyDescent="0.15">
      <c r="B32" s="558">
        <v>35</v>
      </c>
      <c r="C32" s="562">
        <v>0.5</v>
      </c>
      <c r="D32" s="560">
        <v>0.3</v>
      </c>
      <c r="E32" s="558">
        <v>70</v>
      </c>
      <c r="F32" s="562">
        <v>-3.4</v>
      </c>
      <c r="G32" s="560">
        <v>1.8</v>
      </c>
      <c r="H32" s="899"/>
      <c r="I32" s="722" t="s">
        <v>724</v>
      </c>
      <c r="J32" s="25">
        <f>ROWS($H$8:I32)</f>
        <v>25</v>
      </c>
      <c r="K32" s="25" t="str">
        <f>IF(ID!$A$84=I32,J32,"")</f>
        <v/>
      </c>
      <c r="L32" s="25" t="str">
        <f>IFERROR(SMALL($K$8:$K$224,ROWS($K$8:K32)),"")</f>
        <v/>
      </c>
      <c r="W32" s="581"/>
    </row>
    <row r="33" spans="2:23" x14ac:dyDescent="0.15">
      <c r="B33" s="563">
        <v>37</v>
      </c>
      <c r="C33" s="565">
        <v>0.5</v>
      </c>
      <c r="D33" s="560">
        <v>0.3</v>
      </c>
      <c r="E33" s="563">
        <v>80</v>
      </c>
      <c r="F33" s="565">
        <v>-1.4</v>
      </c>
      <c r="G33" s="560">
        <v>1.8</v>
      </c>
      <c r="H33" s="899"/>
      <c r="I33" s="722" t="s">
        <v>724</v>
      </c>
      <c r="J33" s="25">
        <f>ROWS($H$8:I33)</f>
        <v>26</v>
      </c>
      <c r="K33" s="25" t="str">
        <f>IF(ID!$A$84=I33,J33,"")</f>
        <v/>
      </c>
      <c r="L33" s="25" t="str">
        <f>IFERROR(SMALL($K$8:$K$224,ROWS($K$8:K33)),"")</f>
        <v/>
      </c>
      <c r="W33" s="581"/>
    </row>
    <row r="34" spans="2:23" x14ac:dyDescent="0.15">
      <c r="B34" s="563">
        <v>40</v>
      </c>
      <c r="C34" s="565">
        <v>0.5</v>
      </c>
      <c r="D34" s="560">
        <v>0.3</v>
      </c>
      <c r="E34" s="563">
        <v>90</v>
      </c>
      <c r="F34" s="565">
        <v>1.3</v>
      </c>
      <c r="G34" s="560">
        <v>1.8</v>
      </c>
      <c r="H34" s="899"/>
      <c r="I34" s="722" t="s">
        <v>724</v>
      </c>
      <c r="J34" s="25">
        <f>ROWS($H$8:I34)</f>
        <v>27</v>
      </c>
      <c r="K34" s="25" t="str">
        <f>IF(ID!$A$84=I34,J34,"")</f>
        <v/>
      </c>
      <c r="L34" s="25" t="str">
        <f>IFERROR(SMALL($K$8:$K$224,ROWS($K$8:K34)),"")</f>
        <v/>
      </c>
      <c r="W34" s="582"/>
    </row>
    <row r="35" spans="2:23" x14ac:dyDescent="0.15">
      <c r="B35" s="566"/>
      <c r="C35" s="566"/>
      <c r="D35" s="566"/>
      <c r="E35" s="566"/>
      <c r="F35" s="566"/>
      <c r="G35" s="566"/>
      <c r="H35" s="566"/>
      <c r="I35" s="566"/>
      <c r="J35" s="25">
        <f>ROWS($H$8:I35)</f>
        <v>28</v>
      </c>
      <c r="K35" s="25" t="str">
        <f>IF(ID!$A$84=I35,J35,"")</f>
        <v/>
      </c>
      <c r="L35" s="25" t="str">
        <f>IFERROR(SMALL($K$8:$K$224,ROWS($K$8:K35)),"")</f>
        <v/>
      </c>
      <c r="W35" s="581"/>
    </row>
    <row r="36" spans="2:23" s="28" customFormat="1" x14ac:dyDescent="0.15">
      <c r="B36" s="567"/>
      <c r="C36" s="567"/>
      <c r="D36" s="567"/>
      <c r="E36" s="567"/>
      <c r="F36" s="567"/>
      <c r="G36" s="567"/>
      <c r="H36" s="567"/>
      <c r="I36" s="567"/>
      <c r="J36" s="25">
        <f>ROWS($H$8:I36)</f>
        <v>29</v>
      </c>
      <c r="K36" s="25" t="str">
        <f>IF(ID!$A$84=I36,J36,"")</f>
        <v/>
      </c>
      <c r="L36" s="25" t="str">
        <f>IFERROR(SMALL($K$8:$K$224,ROWS($K$8:K36)),"")</f>
        <v/>
      </c>
      <c r="W36" s="581"/>
    </row>
    <row r="37" spans="2:23" x14ac:dyDescent="0.15">
      <c r="B37" s="566"/>
      <c r="C37" s="566"/>
      <c r="D37" s="566"/>
      <c r="E37" s="566"/>
      <c r="F37" s="566"/>
      <c r="G37" s="566"/>
      <c r="H37" s="566"/>
      <c r="I37" s="566"/>
      <c r="J37" s="25">
        <f>ROWS($H$8:I37)</f>
        <v>30</v>
      </c>
      <c r="K37" s="25" t="str">
        <f>IF(ID!$A$84=I37,J37,"")</f>
        <v/>
      </c>
      <c r="L37" s="25" t="str">
        <f>IFERROR(SMALL($K$8:$K$224,ROWS($K$8:K37)),"")</f>
        <v/>
      </c>
      <c r="W37" s="582"/>
    </row>
    <row r="38" spans="2:23" ht="11.25" x14ac:dyDescent="0.15">
      <c r="B38" s="558">
        <v>15</v>
      </c>
      <c r="C38" s="559">
        <v>0.4</v>
      </c>
      <c r="D38" s="560">
        <v>0.5</v>
      </c>
      <c r="E38" s="558">
        <v>30</v>
      </c>
      <c r="F38" s="559">
        <v>-7.3</v>
      </c>
      <c r="G38" s="560">
        <v>3.1</v>
      </c>
      <c r="H38" s="900" t="s">
        <v>385</v>
      </c>
      <c r="I38" s="705" t="s">
        <v>295</v>
      </c>
      <c r="J38" s="25">
        <f>ROWS($H$8:I38)</f>
        <v>31</v>
      </c>
      <c r="K38" s="25" t="str">
        <f>IF(ID!$A$84=I38,J38,"")</f>
        <v/>
      </c>
      <c r="L38" s="25" t="str">
        <f>IFERROR(SMALL($K$8:$K$224,ROWS($K$8:K38)),"")</f>
        <v/>
      </c>
      <c r="W38" s="581"/>
    </row>
    <row r="39" spans="2:23" ht="12.75" x14ac:dyDescent="0.15">
      <c r="B39" s="558">
        <v>20</v>
      </c>
      <c r="C39" s="559">
        <v>1</v>
      </c>
      <c r="D39" s="560">
        <v>0.5</v>
      </c>
      <c r="E39" s="558">
        <v>40</v>
      </c>
      <c r="F39" s="562">
        <v>-5.9</v>
      </c>
      <c r="G39" s="560">
        <v>3.1</v>
      </c>
      <c r="H39" s="901"/>
      <c r="I39" s="705" t="s">
        <v>295</v>
      </c>
      <c r="J39" s="25">
        <f>ROWS($H$8:I39)</f>
        <v>32</v>
      </c>
      <c r="K39" s="25" t="str">
        <f>IF(ID!$A$84=I39,J39,"")</f>
        <v/>
      </c>
      <c r="L39" s="25" t="str">
        <f>IFERROR(SMALL($K$8:$K$224,ROWS($K$8:K39)),"")</f>
        <v/>
      </c>
      <c r="W39" s="581"/>
    </row>
    <row r="40" spans="2:23" ht="13.5" customHeight="1" x14ac:dyDescent="0.15">
      <c r="B40" s="558">
        <v>25</v>
      </c>
      <c r="C40" s="562">
        <v>0.7</v>
      </c>
      <c r="D40" s="560">
        <v>0.5</v>
      </c>
      <c r="E40" s="558">
        <v>50</v>
      </c>
      <c r="F40" s="562">
        <v>-4.5</v>
      </c>
      <c r="G40" s="560">
        <v>3.1</v>
      </c>
      <c r="H40" s="901"/>
      <c r="I40" s="705" t="s">
        <v>295</v>
      </c>
      <c r="J40" s="25">
        <f>ROWS($H$8:I40)</f>
        <v>33</v>
      </c>
      <c r="K40" s="25" t="str">
        <f>IF(ID!$A$84=I40,J40,"")</f>
        <v/>
      </c>
      <c r="L40" s="25" t="str">
        <f>IFERROR(SMALL($K$8:$K$224,ROWS($K$8:K40)),"")</f>
        <v/>
      </c>
    </row>
    <row r="41" spans="2:23" ht="12.75" x14ac:dyDescent="0.15">
      <c r="B41" s="558">
        <v>30</v>
      </c>
      <c r="C41" s="562">
        <v>0</v>
      </c>
      <c r="D41" s="560">
        <v>0.5</v>
      </c>
      <c r="E41" s="558">
        <v>60</v>
      </c>
      <c r="F41" s="562">
        <v>-3.2</v>
      </c>
      <c r="G41" s="560">
        <v>3.1</v>
      </c>
      <c r="H41" s="901"/>
      <c r="I41" s="705" t="s">
        <v>295</v>
      </c>
      <c r="J41" s="25">
        <f>ROWS($H$8:I41)</f>
        <v>34</v>
      </c>
      <c r="K41" s="25" t="str">
        <f>IF(ID!$A$84=I41,J41,"")</f>
        <v/>
      </c>
      <c r="L41" s="25" t="str">
        <f>IFERROR(SMALL($K$8:$K$224,ROWS($K$8:K41)),"")</f>
        <v/>
      </c>
    </row>
    <row r="42" spans="2:23" ht="12.75" x14ac:dyDescent="0.15">
      <c r="B42" s="558">
        <v>35</v>
      </c>
      <c r="C42" s="562">
        <v>-0.3</v>
      </c>
      <c r="D42" s="560">
        <v>0.5</v>
      </c>
      <c r="E42" s="558">
        <v>70</v>
      </c>
      <c r="F42" s="562">
        <v>-2</v>
      </c>
      <c r="G42" s="560">
        <v>3.1</v>
      </c>
      <c r="H42" s="901"/>
      <c r="I42" s="705" t="s">
        <v>295</v>
      </c>
      <c r="J42" s="25">
        <f>ROWS($H$8:I42)</f>
        <v>35</v>
      </c>
      <c r="K42" s="25" t="str">
        <f>IF(ID!$A$84=I42,J42,"")</f>
        <v/>
      </c>
      <c r="L42" s="25" t="str">
        <f>IFERROR(SMALL($K$8:$K$224,ROWS($K$8:K42)),"")</f>
        <v/>
      </c>
    </row>
    <row r="43" spans="2:23" ht="12.75" x14ac:dyDescent="0.15">
      <c r="B43" s="563">
        <v>37</v>
      </c>
      <c r="C43" s="562">
        <v>-0.2</v>
      </c>
      <c r="D43" s="560">
        <v>0.5</v>
      </c>
      <c r="E43" s="563">
        <v>80</v>
      </c>
      <c r="F43" s="565">
        <v>-0.8</v>
      </c>
      <c r="G43" s="560">
        <v>3.1</v>
      </c>
      <c r="H43" s="901"/>
      <c r="I43" s="705" t="s">
        <v>295</v>
      </c>
      <c r="J43" s="25">
        <f>ROWS($H$8:I43)</f>
        <v>36</v>
      </c>
      <c r="K43" s="25" t="str">
        <f>IF(ID!$A$84=I43,J43,"")</f>
        <v/>
      </c>
      <c r="L43" s="25" t="str">
        <f>IFERROR(SMALL($K$8:$K$224,ROWS($K$8:K43)),"")</f>
        <v/>
      </c>
    </row>
    <row r="44" spans="2:23" ht="12.75" x14ac:dyDescent="0.15">
      <c r="B44" s="563">
        <v>40</v>
      </c>
      <c r="C44" s="565">
        <v>0.2</v>
      </c>
      <c r="D44" s="560">
        <v>0.5</v>
      </c>
      <c r="E44" s="563">
        <v>90</v>
      </c>
      <c r="F44" s="564">
        <v>0.3</v>
      </c>
      <c r="G44" s="560">
        <v>3.1</v>
      </c>
      <c r="H44" s="901"/>
      <c r="I44" s="705" t="s">
        <v>295</v>
      </c>
      <c r="J44" s="25">
        <f>ROWS($H$8:I44)</f>
        <v>37</v>
      </c>
      <c r="K44" s="25" t="str">
        <f>IF(ID!$A$84=I44,J44,"")</f>
        <v/>
      </c>
      <c r="L44" s="25" t="str">
        <f>IFERROR(SMALL($K$8:$K$224,ROWS($K$8:K44)),"")</f>
        <v/>
      </c>
    </row>
    <row r="45" spans="2:23" x14ac:dyDescent="0.15">
      <c r="B45" s="566"/>
      <c r="C45" s="566"/>
      <c r="D45" s="566"/>
      <c r="E45" s="566"/>
      <c r="F45" s="566"/>
      <c r="G45" s="566"/>
      <c r="H45" s="566"/>
      <c r="I45" s="566"/>
      <c r="J45" s="25">
        <f>ROWS($H$8:I45)</f>
        <v>38</v>
      </c>
      <c r="K45" s="25" t="str">
        <f>IF(ID!$A$84=I45,J45,"")</f>
        <v/>
      </c>
      <c r="L45" s="25" t="str">
        <f>IFERROR(SMALL($K$8:$K$224,ROWS($K$8:K45)),"")</f>
        <v/>
      </c>
    </row>
    <row r="46" spans="2:23" s="28" customFormat="1" x14ac:dyDescent="0.15">
      <c r="B46" s="567"/>
      <c r="C46" s="567"/>
      <c r="D46" s="567"/>
      <c r="E46" s="567"/>
      <c r="F46" s="567"/>
      <c r="G46" s="567"/>
      <c r="H46" s="567"/>
      <c r="I46" s="567"/>
      <c r="J46" s="25">
        <f>ROWS($H$8:I46)</f>
        <v>39</v>
      </c>
      <c r="K46" s="25" t="str">
        <f>IF(ID!$A$84=I46,J46,"")</f>
        <v/>
      </c>
      <c r="L46" s="25" t="str">
        <f>IFERROR(SMALL($K$8:$K$224,ROWS($K$8:K46)),"")</f>
        <v/>
      </c>
      <c r="W46" s="20"/>
    </row>
    <row r="47" spans="2:23" x14ac:dyDescent="0.15">
      <c r="B47" s="566"/>
      <c r="C47" s="566"/>
      <c r="D47" s="566"/>
      <c r="E47" s="566"/>
      <c r="F47" s="566"/>
      <c r="G47" s="566"/>
      <c r="H47" s="566"/>
      <c r="I47" s="566"/>
      <c r="J47" s="25">
        <f>ROWS($H$8:I47)</f>
        <v>40</v>
      </c>
      <c r="K47" s="25" t="str">
        <f>IF(ID!$A$84=I47,J47,"")</f>
        <v/>
      </c>
      <c r="L47" s="25" t="str">
        <f>IFERROR(SMALL($K$8:$K$224,ROWS($K$8:K47)),"")</f>
        <v/>
      </c>
    </row>
    <row r="48" spans="2:23" x14ac:dyDescent="0.15">
      <c r="B48" s="558">
        <v>15</v>
      </c>
      <c r="C48" s="559">
        <v>0.2</v>
      </c>
      <c r="D48" s="559">
        <v>0.3</v>
      </c>
      <c r="E48" s="558">
        <v>30</v>
      </c>
      <c r="F48" s="559">
        <v>-2.9</v>
      </c>
      <c r="G48" s="559">
        <v>1.5</v>
      </c>
      <c r="H48" s="902" t="s">
        <v>267</v>
      </c>
      <c r="I48" s="705" t="s">
        <v>725</v>
      </c>
      <c r="J48" s="25">
        <f>ROWS($H$8:I48)</f>
        <v>41</v>
      </c>
      <c r="K48" s="25" t="str">
        <f>IF(ID!$A$84=I48,J48,"")</f>
        <v/>
      </c>
      <c r="L48" s="25" t="str">
        <f>IFERROR(SMALL($K$8:$K$224,ROWS($K$8:K48)),"")</f>
        <v/>
      </c>
    </row>
    <row r="49" spans="1:12" x14ac:dyDescent="0.15">
      <c r="B49" s="558">
        <v>20</v>
      </c>
      <c r="C49" s="559">
        <v>0.2</v>
      </c>
      <c r="D49" s="559">
        <v>0.3</v>
      </c>
      <c r="E49" s="558">
        <v>40</v>
      </c>
      <c r="F49" s="559">
        <v>-3.3</v>
      </c>
      <c r="G49" s="559">
        <v>1.5</v>
      </c>
      <c r="H49" s="902"/>
      <c r="I49" s="705" t="s">
        <v>725</v>
      </c>
      <c r="J49" s="25">
        <f>ROWS($H$8:I49)</f>
        <v>42</v>
      </c>
      <c r="K49" s="25" t="str">
        <f>IF(ID!$A$84=I49,J49,"")</f>
        <v/>
      </c>
      <c r="L49" s="25" t="str">
        <f>IFERROR(SMALL($K$8:$K$224,ROWS($K$8:K49)),"")</f>
        <v/>
      </c>
    </row>
    <row r="50" spans="1:12" ht="13.5" customHeight="1" x14ac:dyDescent="0.15">
      <c r="B50" s="558">
        <v>25</v>
      </c>
      <c r="C50" s="559">
        <v>0.1</v>
      </c>
      <c r="D50" s="559">
        <v>0.3</v>
      </c>
      <c r="E50" s="558">
        <v>50</v>
      </c>
      <c r="F50" s="559">
        <v>-3.1</v>
      </c>
      <c r="G50" s="559">
        <v>1.5</v>
      </c>
      <c r="H50" s="902"/>
      <c r="I50" s="705" t="s">
        <v>725</v>
      </c>
      <c r="J50" s="25">
        <f>ROWS($H$8:I50)</f>
        <v>43</v>
      </c>
      <c r="K50" s="25" t="str">
        <f>IF(ID!$A$84=I50,J50,"")</f>
        <v/>
      </c>
      <c r="L50" s="25" t="str">
        <f>IFERROR(SMALL($K$8:$K$224,ROWS($K$8:K50)),"")</f>
        <v/>
      </c>
    </row>
    <row r="51" spans="1:12" x14ac:dyDescent="0.15">
      <c r="B51" s="558">
        <v>30</v>
      </c>
      <c r="C51" s="559">
        <v>0.1</v>
      </c>
      <c r="D51" s="559">
        <v>0.3</v>
      </c>
      <c r="E51" s="558">
        <v>60</v>
      </c>
      <c r="F51" s="559">
        <v>-2.1</v>
      </c>
      <c r="G51" s="559">
        <v>1.5</v>
      </c>
      <c r="H51" s="902"/>
      <c r="I51" s="705" t="s">
        <v>725</v>
      </c>
      <c r="J51" s="25">
        <f>ROWS($H$8:I51)</f>
        <v>44</v>
      </c>
      <c r="K51" s="25" t="str">
        <f>IF(ID!$A$84=I51,J51,"")</f>
        <v/>
      </c>
      <c r="L51" s="25" t="str">
        <f>IFERROR(SMALL($K$8:$K$224,ROWS($K$8:K51)),"")</f>
        <v/>
      </c>
    </row>
    <row r="52" spans="1:12" x14ac:dyDescent="0.15">
      <c r="B52" s="558">
        <v>35</v>
      </c>
      <c r="C52" s="559">
        <v>0.2</v>
      </c>
      <c r="D52" s="559">
        <v>0.3</v>
      </c>
      <c r="E52" s="558">
        <v>70</v>
      </c>
      <c r="F52" s="559">
        <v>-0.3</v>
      </c>
      <c r="G52" s="559">
        <v>1.5</v>
      </c>
      <c r="H52" s="902"/>
      <c r="I52" s="705" t="s">
        <v>725</v>
      </c>
      <c r="J52" s="25">
        <f>ROWS($H$8:I52)</f>
        <v>45</v>
      </c>
      <c r="K52" s="25" t="str">
        <f>IF(ID!$A$84=I52,J52,"")</f>
        <v/>
      </c>
      <c r="L52" s="25" t="str">
        <f>IFERROR(SMALL($K$8:$K$224,ROWS($K$8:K52)),"")</f>
        <v/>
      </c>
    </row>
    <row r="53" spans="1:12" x14ac:dyDescent="0.15">
      <c r="B53" s="563">
        <v>37</v>
      </c>
      <c r="C53" s="559">
        <v>0.2</v>
      </c>
      <c r="D53" s="559">
        <v>0.3</v>
      </c>
      <c r="E53" s="563">
        <v>80</v>
      </c>
      <c r="F53" s="559">
        <v>2.2000000000000002</v>
      </c>
      <c r="G53" s="559">
        <v>1.5</v>
      </c>
      <c r="H53" s="902"/>
      <c r="I53" s="705" t="s">
        <v>725</v>
      </c>
      <c r="J53" s="25">
        <f>ROWS($H$8:I53)</f>
        <v>46</v>
      </c>
      <c r="K53" s="25" t="str">
        <f>IF(ID!$A$84=I53,J53,"")</f>
        <v/>
      </c>
      <c r="L53" s="25" t="str">
        <f>IFERROR(SMALL($K$8:$K$224,ROWS($K$8:K53)),"")</f>
        <v/>
      </c>
    </row>
    <row r="54" spans="1:12" ht="12.75" x14ac:dyDescent="0.2">
      <c r="A54" s="29"/>
      <c r="B54" s="563">
        <v>40</v>
      </c>
      <c r="C54" s="560">
        <v>0.2</v>
      </c>
      <c r="D54" s="559">
        <v>0.3</v>
      </c>
      <c r="E54" s="563">
        <v>90</v>
      </c>
      <c r="F54" s="568">
        <v>5.4</v>
      </c>
      <c r="G54" s="559">
        <v>1.5</v>
      </c>
      <c r="H54" s="902"/>
      <c r="I54" s="705" t="s">
        <v>725</v>
      </c>
      <c r="J54" s="25">
        <f>ROWS($H$8:I54)</f>
        <v>47</v>
      </c>
      <c r="K54" s="25" t="str">
        <f>IF(ID!$A$84=I54,J54,"")</f>
        <v/>
      </c>
      <c r="L54" s="25" t="str">
        <f>IFERROR(SMALL($K$8:$K$224,ROWS($K$8:K54)),"")</f>
        <v/>
      </c>
    </row>
    <row r="55" spans="1:12" x14ac:dyDescent="0.15">
      <c r="B55" s="566"/>
      <c r="C55" s="566"/>
      <c r="D55" s="566"/>
      <c r="E55" s="566"/>
      <c r="F55" s="566"/>
      <c r="G55" s="566"/>
      <c r="H55" s="566"/>
      <c r="I55" s="566"/>
      <c r="J55" s="25">
        <f>ROWS($H$8:I55)</f>
        <v>48</v>
      </c>
      <c r="K55" s="25" t="str">
        <f>IF(ID!$A$84=I55,J55,"")</f>
        <v/>
      </c>
      <c r="L55" s="25" t="str">
        <f>IFERROR(SMALL($K$8:$K$224,ROWS($K$8:K55)),"")</f>
        <v/>
      </c>
    </row>
    <row r="56" spans="1:12" s="28" customFormat="1" x14ac:dyDescent="0.15">
      <c r="B56" s="567"/>
      <c r="C56" s="567"/>
      <c r="D56" s="567"/>
      <c r="E56" s="567"/>
      <c r="F56" s="567"/>
      <c r="G56" s="567"/>
      <c r="H56" s="567"/>
      <c r="I56" s="567"/>
      <c r="J56" s="25">
        <f>ROWS($H$8:I56)</f>
        <v>49</v>
      </c>
      <c r="K56" s="25" t="str">
        <f>IF(ID!$A$84=I56,J56,"")</f>
        <v/>
      </c>
      <c r="L56" s="25" t="str">
        <f>IFERROR(SMALL($K$8:$K$224,ROWS($K$8:K56)),"")</f>
        <v/>
      </c>
    </row>
    <row r="57" spans="1:12" x14ac:dyDescent="0.15">
      <c r="B57" s="566"/>
      <c r="C57" s="566"/>
      <c r="D57" s="566"/>
      <c r="E57" s="566"/>
      <c r="F57" s="566"/>
      <c r="G57" s="566"/>
      <c r="H57" s="566"/>
      <c r="I57" s="566"/>
      <c r="J57" s="25">
        <f>ROWS($H$8:I57)</f>
        <v>50</v>
      </c>
      <c r="K57" s="25" t="str">
        <f>IF(ID!$A$84=I57,J57,"")</f>
        <v/>
      </c>
      <c r="L57" s="25" t="str">
        <f>IFERROR(SMALL($K$8:$K$224,ROWS($K$8:K57)),"")</f>
        <v/>
      </c>
    </row>
    <row r="58" spans="1:12" x14ac:dyDescent="0.15">
      <c r="B58" s="558">
        <v>15</v>
      </c>
      <c r="C58" s="559">
        <v>-0.2</v>
      </c>
      <c r="D58" s="559">
        <v>0.3</v>
      </c>
      <c r="E58" s="558">
        <v>30</v>
      </c>
      <c r="F58" s="559">
        <v>-4.5</v>
      </c>
      <c r="G58" s="559">
        <v>1.3</v>
      </c>
      <c r="H58" s="569" t="s">
        <v>268</v>
      </c>
      <c r="I58" s="705" t="s">
        <v>269</v>
      </c>
      <c r="J58" s="25">
        <f>ROWS($H$8:I58)</f>
        <v>51</v>
      </c>
      <c r="K58" s="25" t="str">
        <f>IF(ID!$A$84=I58,J58,"")</f>
        <v/>
      </c>
      <c r="L58" s="25" t="str">
        <f>IFERROR(SMALL($K$8:$K$224,ROWS($K$8:K58)),"")</f>
        <v/>
      </c>
    </row>
    <row r="59" spans="1:12" x14ac:dyDescent="0.15">
      <c r="B59" s="558">
        <v>20</v>
      </c>
      <c r="C59" s="559">
        <v>-0.1</v>
      </c>
      <c r="D59" s="559">
        <v>0.3</v>
      </c>
      <c r="E59" s="558">
        <v>40</v>
      </c>
      <c r="F59" s="559">
        <v>-4.4000000000000004</v>
      </c>
      <c r="G59" s="559">
        <v>1.3</v>
      </c>
      <c r="H59" s="569"/>
      <c r="I59" s="705" t="s">
        <v>269</v>
      </c>
      <c r="J59" s="25">
        <f>ROWS($H$8:I59)</f>
        <v>52</v>
      </c>
      <c r="K59" s="25" t="str">
        <f>IF(ID!$A$84=I59,J59,"")</f>
        <v/>
      </c>
      <c r="L59" s="25" t="str">
        <f>IFERROR(SMALL($K$8:$K$224,ROWS($K$8:K59)),"")</f>
        <v/>
      </c>
    </row>
    <row r="60" spans="1:12" x14ac:dyDescent="0.15">
      <c r="B60" s="558">
        <v>25</v>
      </c>
      <c r="C60" s="559">
        <v>-0.1</v>
      </c>
      <c r="D60" s="559">
        <v>0.3</v>
      </c>
      <c r="E60" s="558">
        <v>50</v>
      </c>
      <c r="F60" s="559">
        <v>-4.3</v>
      </c>
      <c r="G60" s="559">
        <v>1.3</v>
      </c>
      <c r="H60" s="569"/>
      <c r="I60" s="705" t="s">
        <v>269</v>
      </c>
      <c r="J60" s="25">
        <f>ROWS($H$8:I60)</f>
        <v>53</v>
      </c>
      <c r="K60" s="25" t="str">
        <f>IF(ID!$A$84=I60,J60,"")</f>
        <v/>
      </c>
      <c r="L60" s="25" t="str">
        <f>IFERROR(SMALL($K$8:$K$224,ROWS($K$8:K60)),"")</f>
        <v/>
      </c>
    </row>
    <row r="61" spans="1:12" x14ac:dyDescent="0.15">
      <c r="B61" s="558">
        <v>30</v>
      </c>
      <c r="C61" s="559">
        <v>-0.1</v>
      </c>
      <c r="D61" s="559">
        <v>0.3</v>
      </c>
      <c r="E61" s="558">
        <v>60</v>
      </c>
      <c r="F61" s="559">
        <v>-4.2</v>
      </c>
      <c r="G61" s="559">
        <v>1.3</v>
      </c>
      <c r="H61" s="569"/>
      <c r="I61" s="705" t="s">
        <v>269</v>
      </c>
      <c r="J61" s="25">
        <f>ROWS($H$8:I61)</f>
        <v>54</v>
      </c>
      <c r="K61" s="25" t="str">
        <f>IF(ID!$A$84=I61,J61,"")</f>
        <v/>
      </c>
      <c r="L61" s="25" t="str">
        <f>IFERROR(SMALL($K$8:$K$224,ROWS($K$8:K61)),"")</f>
        <v/>
      </c>
    </row>
    <row r="62" spans="1:12" x14ac:dyDescent="0.15">
      <c r="B62" s="558">
        <v>35</v>
      </c>
      <c r="C62" s="559">
        <v>-0.3</v>
      </c>
      <c r="D62" s="559">
        <v>0.3</v>
      </c>
      <c r="E62" s="558">
        <v>70</v>
      </c>
      <c r="F62" s="559">
        <v>-4</v>
      </c>
      <c r="G62" s="559">
        <v>1.3</v>
      </c>
      <c r="H62" s="569"/>
      <c r="I62" s="705" t="s">
        <v>269</v>
      </c>
      <c r="J62" s="25">
        <f>ROWS($H$8:I62)</f>
        <v>55</v>
      </c>
      <c r="K62" s="25" t="str">
        <f>IF(ID!$A$84=I62,J62,"")</f>
        <v/>
      </c>
      <c r="L62" s="25" t="str">
        <f>IFERROR(SMALL($K$8:$K$224,ROWS($K$8:K62)),"")</f>
        <v/>
      </c>
    </row>
    <row r="63" spans="1:12" x14ac:dyDescent="0.15">
      <c r="B63" s="563">
        <v>37</v>
      </c>
      <c r="C63" s="559">
        <v>-0.4</v>
      </c>
      <c r="D63" s="559">
        <v>0.3</v>
      </c>
      <c r="E63" s="563">
        <v>80</v>
      </c>
      <c r="F63" s="559">
        <v>-3.8</v>
      </c>
      <c r="G63" s="559">
        <v>1.3</v>
      </c>
      <c r="H63" s="569"/>
      <c r="I63" s="705" t="s">
        <v>269</v>
      </c>
      <c r="J63" s="25">
        <f>ROWS($H$8:I63)</f>
        <v>56</v>
      </c>
      <c r="K63" s="25" t="str">
        <f>IF(ID!$A$84=I63,J63,"")</f>
        <v/>
      </c>
      <c r="L63" s="25" t="str">
        <f>IFERROR(SMALL($K$8:$K$224,ROWS($K$8:K63)),"")</f>
        <v/>
      </c>
    </row>
    <row r="64" spans="1:12" x14ac:dyDescent="0.15">
      <c r="A64" s="30"/>
      <c r="B64" s="563">
        <v>40</v>
      </c>
      <c r="C64" s="560">
        <v>-0.5</v>
      </c>
      <c r="D64" s="559">
        <v>0.3</v>
      </c>
      <c r="E64" s="563">
        <v>90</v>
      </c>
      <c r="F64" s="560">
        <v>-3.5</v>
      </c>
      <c r="G64" s="559">
        <v>1.3</v>
      </c>
      <c r="H64" s="569"/>
      <c r="I64" s="705" t="s">
        <v>269</v>
      </c>
      <c r="J64" s="25">
        <f>ROWS($H$8:I64)</f>
        <v>57</v>
      </c>
      <c r="K64" s="25" t="str">
        <f>IF(ID!$A$84=I64,J64,"")</f>
        <v/>
      </c>
      <c r="L64" s="25" t="str">
        <f>IFERROR(SMALL($K$8:$K$224,ROWS($K$8:K64)),"")</f>
        <v/>
      </c>
    </row>
    <row r="65" spans="1:12" x14ac:dyDescent="0.15">
      <c r="B65" s="566"/>
      <c r="C65" s="566"/>
      <c r="D65" s="566"/>
      <c r="E65" s="566"/>
      <c r="F65" s="566"/>
      <c r="G65" s="566"/>
      <c r="H65" s="566"/>
      <c r="I65" s="566"/>
      <c r="J65" s="25">
        <f>ROWS($H$8:I65)</f>
        <v>58</v>
      </c>
      <c r="K65" s="25" t="str">
        <f>IF(ID!$A$84=I65,J65,"")</f>
        <v/>
      </c>
      <c r="L65" s="25" t="str">
        <f>IFERROR(SMALL($K$8:$K$224,ROWS($K$8:K65)),"")</f>
        <v/>
      </c>
    </row>
    <row r="66" spans="1:12" x14ac:dyDescent="0.15">
      <c r="A66" s="28"/>
      <c r="B66" s="567"/>
      <c r="C66" s="567"/>
      <c r="D66" s="567"/>
      <c r="E66" s="567"/>
      <c r="F66" s="567"/>
      <c r="G66" s="567"/>
      <c r="H66" s="567"/>
      <c r="I66" s="567"/>
      <c r="J66" s="25">
        <f>ROWS($H$8:I66)</f>
        <v>59</v>
      </c>
      <c r="K66" s="25" t="str">
        <f>IF(ID!$A$84=I66,J66,"")</f>
        <v/>
      </c>
      <c r="L66" s="25" t="str">
        <f>IFERROR(SMALL($K$8:$K$224,ROWS($K$8:K66)),"")</f>
        <v/>
      </c>
    </row>
    <row r="67" spans="1:12" x14ac:dyDescent="0.15">
      <c r="B67" s="566"/>
      <c r="C67" s="566"/>
      <c r="D67" s="566"/>
      <c r="E67" s="566"/>
      <c r="F67" s="566"/>
      <c r="G67" s="566"/>
      <c r="H67" s="566"/>
      <c r="I67" s="566"/>
      <c r="J67" s="25">
        <f>ROWS($H$8:I67)</f>
        <v>60</v>
      </c>
      <c r="K67" s="25" t="str">
        <f>IF(ID!$A$84=I67,J67,"")</f>
        <v/>
      </c>
      <c r="L67" s="25" t="str">
        <f>IFERROR(SMALL($K$8:$K$224,ROWS($K$8:K67)),"")</f>
        <v/>
      </c>
    </row>
    <row r="68" spans="1:12" x14ac:dyDescent="0.15">
      <c r="B68" s="892">
        <v>15</v>
      </c>
      <c r="C68" s="893">
        <v>0.1</v>
      </c>
      <c r="D68" s="893">
        <v>0.8</v>
      </c>
      <c r="E68" s="892">
        <v>30</v>
      </c>
      <c r="F68" s="893">
        <v>-14.4</v>
      </c>
      <c r="G68" s="893">
        <v>2.5</v>
      </c>
      <c r="H68" s="903" t="s">
        <v>440</v>
      </c>
      <c r="I68" s="705" t="s">
        <v>727</v>
      </c>
      <c r="J68" s="25">
        <f>ROWS($H$8:I68)</f>
        <v>61</v>
      </c>
      <c r="K68" s="25" t="str">
        <f>IF(ID!$A$84=I68,J68,"")</f>
        <v/>
      </c>
      <c r="L68" s="25" t="str">
        <f>IFERROR(SMALL($K$8:$K$224,ROWS($K$8:K68)),"")</f>
        <v/>
      </c>
    </row>
    <row r="69" spans="1:12" x14ac:dyDescent="0.15">
      <c r="B69" s="892">
        <v>20</v>
      </c>
      <c r="C69" s="893">
        <v>0.1</v>
      </c>
      <c r="D69" s="893">
        <v>0.8</v>
      </c>
      <c r="E69" s="892">
        <v>40</v>
      </c>
      <c r="F69" s="893">
        <v>-11.5</v>
      </c>
      <c r="G69" s="893">
        <v>2.5</v>
      </c>
      <c r="H69" s="903"/>
      <c r="I69" s="705" t="s">
        <v>727</v>
      </c>
      <c r="J69" s="25">
        <f>ROWS($H$8:I69)</f>
        <v>62</v>
      </c>
      <c r="K69" s="25" t="str">
        <f>IF(ID!$A$84=I69,J69,"")</f>
        <v/>
      </c>
      <c r="L69" s="25" t="str">
        <f>IFERROR(SMALL($K$8:$K$224,ROWS($K$8:K69)),"")</f>
        <v/>
      </c>
    </row>
    <row r="70" spans="1:12" x14ac:dyDescent="0.15">
      <c r="B70" s="892">
        <v>25</v>
      </c>
      <c r="C70" s="893">
        <v>0.1</v>
      </c>
      <c r="D70" s="893">
        <v>0.8</v>
      </c>
      <c r="E70" s="892">
        <v>50</v>
      </c>
      <c r="F70" s="893">
        <v>-9.1</v>
      </c>
      <c r="G70" s="893">
        <v>2.5</v>
      </c>
      <c r="H70" s="903"/>
      <c r="I70" s="705" t="s">
        <v>727</v>
      </c>
      <c r="J70" s="25">
        <f>ROWS($H$8:I70)</f>
        <v>63</v>
      </c>
      <c r="K70" s="25" t="str">
        <f>IF(ID!$A$84=I70,J70,"")</f>
        <v/>
      </c>
      <c r="L70" s="25" t="str">
        <f>IFERROR(SMALL($K$8:$K$224,ROWS($K$8:K70)),"")</f>
        <v/>
      </c>
    </row>
    <row r="71" spans="1:12" x14ac:dyDescent="0.15">
      <c r="B71" s="892">
        <v>30</v>
      </c>
      <c r="C71" s="893">
        <v>0</v>
      </c>
      <c r="D71" s="893">
        <v>0.8</v>
      </c>
      <c r="E71" s="892">
        <v>60</v>
      </c>
      <c r="F71" s="893">
        <v>-6.9</v>
      </c>
      <c r="G71" s="893">
        <v>2.5</v>
      </c>
      <c r="H71" s="903"/>
      <c r="I71" s="705" t="s">
        <v>727</v>
      </c>
      <c r="J71" s="25">
        <f>ROWS($H$8:I71)</f>
        <v>64</v>
      </c>
      <c r="K71" s="25" t="str">
        <f>IF(ID!$A$84=I71,J71,"")</f>
        <v/>
      </c>
      <c r="L71" s="25" t="str">
        <f>IFERROR(SMALL($K$8:$K$224,ROWS($K$8:K71)),"")</f>
        <v/>
      </c>
    </row>
    <row r="72" spans="1:12" x14ac:dyDescent="0.15">
      <c r="B72" s="892">
        <v>35</v>
      </c>
      <c r="C72" s="893">
        <v>-0.2</v>
      </c>
      <c r="D72" s="893">
        <v>0.8</v>
      </c>
      <c r="E72" s="892">
        <v>70</v>
      </c>
      <c r="F72" s="893">
        <v>-5.0999999999999996</v>
      </c>
      <c r="G72" s="893">
        <v>2.5</v>
      </c>
      <c r="H72" s="903"/>
      <c r="I72" s="705" t="s">
        <v>727</v>
      </c>
      <c r="J72" s="25">
        <f>ROWS($H$8:I72)</f>
        <v>65</v>
      </c>
      <c r="K72" s="25" t="str">
        <f>IF(ID!$A$84=I72,J72,"")</f>
        <v/>
      </c>
      <c r="L72" s="25" t="str">
        <f>IFERROR(SMALL($K$8:$K$224,ROWS($K$8:K72)),"")</f>
        <v/>
      </c>
    </row>
    <row r="73" spans="1:12" x14ac:dyDescent="0.15">
      <c r="B73" s="897">
        <v>37</v>
      </c>
      <c r="C73" s="893">
        <v>-0.3</v>
      </c>
      <c r="D73" s="893">
        <v>0.8</v>
      </c>
      <c r="E73" s="897">
        <v>80</v>
      </c>
      <c r="F73" s="893">
        <v>-3.7</v>
      </c>
      <c r="G73" s="893">
        <v>2.5</v>
      </c>
      <c r="H73" s="903"/>
      <c r="I73" s="705" t="s">
        <v>727</v>
      </c>
      <c r="J73" s="25">
        <f>ROWS($H$8:I73)</f>
        <v>66</v>
      </c>
      <c r="K73" s="25" t="str">
        <f>IF(ID!$A$84=I73,J73,"")</f>
        <v/>
      </c>
      <c r="L73" s="25" t="str">
        <f>IFERROR(SMALL($K$8:$K$224,ROWS($K$8:K73)),"")</f>
        <v/>
      </c>
    </row>
    <row r="74" spans="1:12" x14ac:dyDescent="0.15">
      <c r="A74" s="30"/>
      <c r="B74" s="897">
        <v>40</v>
      </c>
      <c r="C74" s="894">
        <v>-0.4</v>
      </c>
      <c r="D74" s="893">
        <v>0.8</v>
      </c>
      <c r="E74" s="897">
        <v>90</v>
      </c>
      <c r="F74" s="894">
        <v>-2.7</v>
      </c>
      <c r="G74" s="893">
        <v>2.5</v>
      </c>
      <c r="H74" s="903"/>
      <c r="I74" s="705" t="s">
        <v>727</v>
      </c>
      <c r="J74" s="25">
        <f>ROWS($H$8:I74)</f>
        <v>67</v>
      </c>
      <c r="K74" s="25" t="str">
        <f>IF(ID!$A$84=I74,J74,"")</f>
        <v/>
      </c>
      <c r="L74" s="25" t="str">
        <f>IFERROR(SMALL($K$8:$K$224,ROWS($K$8:K74)),"")</f>
        <v/>
      </c>
    </row>
    <row r="75" spans="1:12" x14ac:dyDescent="0.15">
      <c r="B75" s="566"/>
      <c r="C75" s="566"/>
      <c r="D75" s="566"/>
      <c r="E75" s="566"/>
      <c r="F75" s="566"/>
      <c r="G75" s="566"/>
      <c r="H75" s="566"/>
      <c r="I75" s="566"/>
      <c r="J75" s="25">
        <f>ROWS($H$8:I75)</f>
        <v>68</v>
      </c>
      <c r="K75" s="25" t="str">
        <f>IF(ID!$A$84=I75,J75,"")</f>
        <v/>
      </c>
      <c r="L75" s="25" t="str">
        <f>IFERROR(SMALL($K$8:$K$224,ROWS($K$8:K75)),"")</f>
        <v/>
      </c>
    </row>
    <row r="76" spans="1:12" x14ac:dyDescent="0.15">
      <c r="A76" s="28"/>
      <c r="B76" s="567"/>
      <c r="C76" s="567"/>
      <c r="D76" s="567"/>
      <c r="E76" s="567"/>
      <c r="F76" s="567"/>
      <c r="G76" s="567"/>
      <c r="H76" s="567"/>
      <c r="I76" s="567"/>
      <c r="J76" s="25">
        <f>ROWS($H$8:I76)</f>
        <v>69</v>
      </c>
      <c r="K76" s="25" t="str">
        <f>IF(ID!$A$84=I76,J76,"")</f>
        <v/>
      </c>
      <c r="L76" s="25" t="str">
        <f>IFERROR(SMALL($K$8:$K$224,ROWS($K$8:K76)),"")</f>
        <v/>
      </c>
    </row>
    <row r="77" spans="1:12" x14ac:dyDescent="0.15">
      <c r="B77" s="566"/>
      <c r="C77" s="566"/>
      <c r="D77" s="566"/>
      <c r="E77" s="566"/>
      <c r="F77" s="566"/>
      <c r="G77" s="566"/>
      <c r="H77" s="566"/>
      <c r="I77" s="566"/>
      <c r="J77" s="25">
        <f>ROWS($H$8:I77)</f>
        <v>70</v>
      </c>
      <c r="K77" s="25" t="str">
        <f>IF(ID!$A$84=I77,J77,"")</f>
        <v/>
      </c>
      <c r="L77" s="25" t="str">
        <f>IFERROR(SMALL($K$8:$K$224,ROWS($K$8:K77)),"")</f>
        <v/>
      </c>
    </row>
    <row r="78" spans="1:12" ht="12.75" x14ac:dyDescent="0.15">
      <c r="B78" s="558">
        <v>15</v>
      </c>
      <c r="C78" s="559">
        <v>0.4</v>
      </c>
      <c r="D78" s="559">
        <v>0.8</v>
      </c>
      <c r="E78" s="558">
        <v>30</v>
      </c>
      <c r="F78" s="559">
        <v>-1.5</v>
      </c>
      <c r="G78" s="559">
        <v>2.6</v>
      </c>
      <c r="H78" s="904" t="s">
        <v>268</v>
      </c>
      <c r="I78" s="905" t="s">
        <v>726</v>
      </c>
      <c r="J78" s="25">
        <f>ROWS($H$8:I78)</f>
        <v>71</v>
      </c>
      <c r="K78" s="25">
        <f>IF(ID!$A$84=I78,J78,"")</f>
        <v>71</v>
      </c>
      <c r="L78" s="25" t="str">
        <f>IFERROR(SMALL($K$8:$K$224,ROWS($K$8:K78)),"")</f>
        <v/>
      </c>
    </row>
    <row r="79" spans="1:12" ht="12.75" x14ac:dyDescent="0.15">
      <c r="B79" s="558">
        <v>20</v>
      </c>
      <c r="C79" s="559">
        <v>0.3</v>
      </c>
      <c r="D79" s="559">
        <v>0.8</v>
      </c>
      <c r="E79" s="558">
        <v>40</v>
      </c>
      <c r="F79" s="559">
        <v>-3.8</v>
      </c>
      <c r="G79" s="559">
        <v>2.6</v>
      </c>
      <c r="H79" s="904"/>
      <c r="I79" s="905" t="s">
        <v>726</v>
      </c>
      <c r="J79" s="25">
        <f>ROWS($H$8:I79)</f>
        <v>72</v>
      </c>
      <c r="K79" s="25">
        <f>IF(ID!$A$84=I79,J79,"")</f>
        <v>72</v>
      </c>
      <c r="L79" s="25" t="str">
        <f>IFERROR(SMALL($K$8:$K$224,ROWS($K$8:K79)),"")</f>
        <v/>
      </c>
    </row>
    <row r="80" spans="1:12" ht="12.75" x14ac:dyDescent="0.15">
      <c r="B80" s="558">
        <v>25</v>
      </c>
      <c r="C80" s="559">
        <v>0.2</v>
      </c>
      <c r="D80" s="559">
        <v>0.8</v>
      </c>
      <c r="E80" s="558">
        <v>50</v>
      </c>
      <c r="F80" s="559">
        <v>-5.4</v>
      </c>
      <c r="G80" s="559">
        <v>2.6</v>
      </c>
      <c r="H80" s="904"/>
      <c r="I80" s="905" t="s">
        <v>726</v>
      </c>
      <c r="J80" s="25">
        <f>ROWS($H$8:I80)</f>
        <v>73</v>
      </c>
      <c r="K80" s="25">
        <f>IF(ID!$A$84=I80,J80,"")</f>
        <v>73</v>
      </c>
      <c r="L80" s="25" t="str">
        <f>IFERROR(SMALL($K$8:$K$224,ROWS($K$8:K80)),"")</f>
        <v/>
      </c>
    </row>
    <row r="81" spans="1:12" ht="12.75" x14ac:dyDescent="0.15">
      <c r="B81" s="558">
        <v>30</v>
      </c>
      <c r="C81" s="559">
        <v>0.1</v>
      </c>
      <c r="D81" s="559">
        <v>0.8</v>
      </c>
      <c r="E81" s="558">
        <v>60</v>
      </c>
      <c r="F81" s="559">
        <v>-6.4</v>
      </c>
      <c r="G81" s="559">
        <v>2.6</v>
      </c>
      <c r="H81" s="904"/>
      <c r="I81" s="905" t="s">
        <v>726</v>
      </c>
      <c r="J81" s="25">
        <f>ROWS($H$8:I81)</f>
        <v>74</v>
      </c>
      <c r="K81" s="25">
        <f>IF(ID!$A$84=I81,J81,"")</f>
        <v>74</v>
      </c>
      <c r="L81" s="25" t="str">
        <f>IFERROR(SMALL($K$8:$K$224,ROWS($K$8:K81)),"")</f>
        <v/>
      </c>
    </row>
    <row r="82" spans="1:12" ht="12.75" x14ac:dyDescent="0.15">
      <c r="B82" s="558">
        <v>35</v>
      </c>
      <c r="C82" s="559">
        <v>0.1</v>
      </c>
      <c r="D82" s="559">
        <v>0.8</v>
      </c>
      <c r="E82" s="558">
        <v>70</v>
      </c>
      <c r="F82" s="559">
        <v>-6.7</v>
      </c>
      <c r="G82" s="559">
        <v>2.6</v>
      </c>
      <c r="H82" s="904"/>
      <c r="I82" s="905" t="s">
        <v>726</v>
      </c>
      <c r="J82" s="25">
        <f>ROWS($H$8:I82)</f>
        <v>75</v>
      </c>
      <c r="K82" s="25">
        <f>IF(ID!$A$84=I82,J82,"")</f>
        <v>75</v>
      </c>
      <c r="L82" s="25" t="str">
        <f>IFERROR(SMALL($K$8:$K$224,ROWS($K$8:K82)),"")</f>
        <v/>
      </c>
    </row>
    <row r="83" spans="1:12" ht="12.75" x14ac:dyDescent="0.15">
      <c r="B83" s="563">
        <v>37</v>
      </c>
      <c r="C83" s="559">
        <v>0.1</v>
      </c>
      <c r="D83" s="559">
        <v>0.8</v>
      </c>
      <c r="E83" s="563">
        <v>80</v>
      </c>
      <c r="F83" s="559">
        <v>-6.3</v>
      </c>
      <c r="G83" s="559">
        <v>2.6</v>
      </c>
      <c r="H83" s="904"/>
      <c r="I83" s="905" t="s">
        <v>726</v>
      </c>
      <c r="J83" s="25">
        <f>ROWS($H$8:I83)</f>
        <v>76</v>
      </c>
      <c r="K83" s="25">
        <f>IF(ID!$A$84=I83,J83,"")</f>
        <v>76</v>
      </c>
      <c r="L83" s="25" t="str">
        <f>IFERROR(SMALL($K$8:$K$224,ROWS($K$8:K83)),"")</f>
        <v/>
      </c>
    </row>
    <row r="84" spans="1:12" ht="12.75" x14ac:dyDescent="0.15">
      <c r="A84" s="30"/>
      <c r="B84" s="563">
        <v>40</v>
      </c>
      <c r="C84" s="560">
        <v>0.1</v>
      </c>
      <c r="D84" s="559">
        <v>0.8</v>
      </c>
      <c r="E84" s="563">
        <v>90</v>
      </c>
      <c r="F84" s="560">
        <v>-5.2</v>
      </c>
      <c r="G84" s="559">
        <v>2.6</v>
      </c>
      <c r="H84" s="904"/>
      <c r="I84" s="905" t="s">
        <v>726</v>
      </c>
      <c r="J84" s="25">
        <f>ROWS($H$8:I84)</f>
        <v>77</v>
      </c>
      <c r="K84" s="25">
        <f>IF(ID!$A$84=I84,J84,"")</f>
        <v>77</v>
      </c>
      <c r="L84" s="25" t="str">
        <f>IFERROR(SMALL($K$8:$K$224,ROWS($K$8:K84)),"")</f>
        <v/>
      </c>
    </row>
    <row r="85" spans="1:12" x14ac:dyDescent="0.15">
      <c r="B85" s="566"/>
      <c r="C85" s="566"/>
      <c r="D85" s="566"/>
      <c r="E85" s="566"/>
      <c r="F85" s="566"/>
      <c r="G85" s="566"/>
      <c r="H85" s="566"/>
      <c r="I85" s="566"/>
      <c r="J85" s="25">
        <f>ROWS($H$8:I85)</f>
        <v>78</v>
      </c>
      <c r="K85" s="25" t="str">
        <f>IF(ID!$A$84=I85,J85,"")</f>
        <v/>
      </c>
      <c r="L85" s="25" t="str">
        <f>IFERROR(SMALL($K$8:$K$224,ROWS($K$8:K85)),"")</f>
        <v/>
      </c>
    </row>
    <row r="86" spans="1:12" x14ac:dyDescent="0.15">
      <c r="A86" s="28"/>
      <c r="B86" s="567"/>
      <c r="C86" s="567"/>
      <c r="D86" s="567"/>
      <c r="E86" s="567"/>
      <c r="F86" s="567"/>
      <c r="G86" s="567"/>
      <c r="H86" s="567"/>
      <c r="I86" s="567"/>
      <c r="J86" s="25">
        <f>ROWS($H$8:I86)</f>
        <v>79</v>
      </c>
      <c r="K86" s="25" t="str">
        <f>IF(ID!$A$84=I86,J86,"")</f>
        <v/>
      </c>
      <c r="L86" s="25" t="str">
        <f>IFERROR(SMALL($K$8:$K$224,ROWS($K$8:K86)),"")</f>
        <v/>
      </c>
    </row>
    <row r="87" spans="1:12" x14ac:dyDescent="0.15">
      <c r="B87" s="566"/>
      <c r="C87" s="566"/>
      <c r="D87" s="566"/>
      <c r="E87" s="566"/>
      <c r="F87" s="566"/>
      <c r="G87" s="566"/>
      <c r="H87" s="566"/>
      <c r="I87" s="566"/>
      <c r="J87" s="25">
        <f>ROWS($H$8:I87)</f>
        <v>80</v>
      </c>
      <c r="K87" s="25" t="str">
        <f>IF(ID!$A$84=I87,J87,"")</f>
        <v/>
      </c>
      <c r="L87" s="25" t="str">
        <f>IFERROR(SMALL($K$8:$K$224,ROWS($K$8:K87)),"")</f>
        <v/>
      </c>
    </row>
    <row r="88" spans="1:12" x14ac:dyDescent="0.15">
      <c r="B88" s="558">
        <v>15</v>
      </c>
      <c r="C88" s="559">
        <v>0.1</v>
      </c>
      <c r="D88" s="559">
        <v>0.3</v>
      </c>
      <c r="E88" s="558">
        <v>30</v>
      </c>
      <c r="F88" s="559">
        <v>-4</v>
      </c>
      <c r="G88" s="559">
        <v>2.5</v>
      </c>
      <c r="H88" s="903" t="s">
        <v>383</v>
      </c>
      <c r="I88" s="905" t="s">
        <v>271</v>
      </c>
      <c r="J88" s="25">
        <f>ROWS($H$8:I88)</f>
        <v>81</v>
      </c>
      <c r="K88" s="25" t="str">
        <f>IF(ID!$A$84=I88,J88,"")</f>
        <v/>
      </c>
      <c r="L88" s="25" t="str">
        <f>IFERROR(SMALL($K$8:$K$224,ROWS($K$8:K88)),"")</f>
        <v/>
      </c>
    </row>
    <row r="89" spans="1:12" x14ac:dyDescent="0.15">
      <c r="B89" s="558">
        <v>20</v>
      </c>
      <c r="C89" s="559">
        <v>0</v>
      </c>
      <c r="D89" s="559">
        <v>0.3</v>
      </c>
      <c r="E89" s="558">
        <v>40</v>
      </c>
      <c r="F89" s="559">
        <v>-3.8</v>
      </c>
      <c r="G89" s="559">
        <v>2.5</v>
      </c>
      <c r="H89" s="903"/>
      <c r="I89" s="905" t="s">
        <v>271</v>
      </c>
      <c r="J89" s="25">
        <f>ROWS($H$8:I89)</f>
        <v>82</v>
      </c>
      <c r="K89" s="25" t="str">
        <f>IF(ID!$A$84=I89,J89,"")</f>
        <v/>
      </c>
      <c r="L89" s="25" t="str">
        <f>IFERROR(SMALL($K$8:$K$224,ROWS($K$8:K89)),"")</f>
        <v/>
      </c>
    </row>
    <row r="90" spans="1:12" x14ac:dyDescent="0.15">
      <c r="B90" s="558">
        <v>25</v>
      </c>
      <c r="C90" s="559">
        <v>-0.1</v>
      </c>
      <c r="D90" s="559">
        <v>0.3</v>
      </c>
      <c r="E90" s="558">
        <v>50</v>
      </c>
      <c r="F90" s="559">
        <v>-3.8</v>
      </c>
      <c r="G90" s="559">
        <v>2.5</v>
      </c>
      <c r="H90" s="903"/>
      <c r="I90" s="905" t="s">
        <v>271</v>
      </c>
      <c r="J90" s="25">
        <f>ROWS($H$8:I90)</f>
        <v>83</v>
      </c>
      <c r="K90" s="25" t="str">
        <f>IF(ID!$A$84=I90,J90,"")</f>
        <v/>
      </c>
      <c r="L90" s="25" t="str">
        <f>IFERROR(SMALL($K$8:$K$224,ROWS($K$8:K90)),"")</f>
        <v/>
      </c>
    </row>
    <row r="91" spans="1:12" x14ac:dyDescent="0.15">
      <c r="B91" s="558">
        <v>30</v>
      </c>
      <c r="C91" s="559">
        <v>-0.2</v>
      </c>
      <c r="D91" s="559">
        <v>0.3</v>
      </c>
      <c r="E91" s="558">
        <v>60</v>
      </c>
      <c r="F91" s="559">
        <v>-3.9</v>
      </c>
      <c r="G91" s="559">
        <v>2.5</v>
      </c>
      <c r="H91" s="903"/>
      <c r="I91" s="905" t="s">
        <v>271</v>
      </c>
      <c r="J91" s="25">
        <f>ROWS($H$8:I91)</f>
        <v>84</v>
      </c>
      <c r="K91" s="25" t="str">
        <f>IF(ID!$A$84=I91,J91,"")</f>
        <v/>
      </c>
      <c r="L91" s="25" t="str">
        <f>IFERROR(SMALL($K$8:$K$224,ROWS($K$8:K91)),"")</f>
        <v/>
      </c>
    </row>
    <row r="92" spans="1:12" x14ac:dyDescent="0.15">
      <c r="B92" s="558">
        <v>35</v>
      </c>
      <c r="C92" s="559">
        <v>-0.1</v>
      </c>
      <c r="D92" s="559">
        <v>0.3</v>
      </c>
      <c r="E92" s="558">
        <v>70</v>
      </c>
      <c r="F92" s="559">
        <v>-4.0999999999999996</v>
      </c>
      <c r="G92" s="559">
        <v>2.5</v>
      </c>
      <c r="H92" s="903"/>
      <c r="I92" s="905" t="s">
        <v>271</v>
      </c>
      <c r="J92" s="25">
        <f>ROWS($H$8:I92)</f>
        <v>85</v>
      </c>
      <c r="K92" s="25" t="str">
        <f>IF(ID!$A$84=I92,J92,"")</f>
        <v/>
      </c>
      <c r="L92" s="25" t="str">
        <f>IFERROR(SMALL($K$8:$K$224,ROWS($K$8:K92)),"")</f>
        <v/>
      </c>
    </row>
    <row r="93" spans="1:12" x14ac:dyDescent="0.15">
      <c r="B93" s="563">
        <v>37</v>
      </c>
      <c r="C93" s="559">
        <v>-0.1</v>
      </c>
      <c r="D93" s="559">
        <v>0.3</v>
      </c>
      <c r="E93" s="563">
        <v>80</v>
      </c>
      <c r="F93" s="559">
        <v>-4.5</v>
      </c>
      <c r="G93" s="559">
        <v>2.5</v>
      </c>
      <c r="H93" s="903"/>
      <c r="I93" s="905" t="s">
        <v>271</v>
      </c>
      <c r="J93" s="25">
        <f>ROWS($H$8:I93)</f>
        <v>86</v>
      </c>
      <c r="K93" s="25" t="str">
        <f>IF(ID!$A$84=I93,J93,"")</f>
        <v/>
      </c>
      <c r="L93" s="25" t="str">
        <f>IFERROR(SMALL($K$8:$K$224,ROWS($K$8:K93)),"")</f>
        <v/>
      </c>
    </row>
    <row r="94" spans="1:12" x14ac:dyDescent="0.15">
      <c r="A94" s="30"/>
      <c r="B94" s="563">
        <v>40</v>
      </c>
      <c r="C94" s="560">
        <v>0</v>
      </c>
      <c r="D94" s="559">
        <v>0.3</v>
      </c>
      <c r="E94" s="563">
        <v>90</v>
      </c>
      <c r="F94" s="560">
        <v>-4.9000000000000004</v>
      </c>
      <c r="G94" s="559">
        <v>2.5</v>
      </c>
      <c r="H94" s="903"/>
      <c r="I94" s="905" t="s">
        <v>271</v>
      </c>
      <c r="J94" s="25">
        <f>ROWS($H$8:I94)</f>
        <v>87</v>
      </c>
      <c r="K94" s="25" t="str">
        <f>IF(ID!$A$84=I94,J94,"")</f>
        <v/>
      </c>
      <c r="L94" s="25" t="str">
        <f>IFERROR(SMALL($K$8:$K$224,ROWS($K$8:K94)),"")</f>
        <v/>
      </c>
    </row>
    <row r="95" spans="1:12" x14ac:dyDescent="0.15">
      <c r="B95" s="566"/>
      <c r="C95" s="566"/>
      <c r="D95" s="566"/>
      <c r="E95" s="566"/>
      <c r="F95" s="566"/>
      <c r="G95" s="566"/>
      <c r="H95" s="566"/>
      <c r="I95" s="566"/>
      <c r="J95" s="25">
        <f>ROWS($H$8:I95)</f>
        <v>88</v>
      </c>
      <c r="K95" s="25" t="str">
        <f>IF(ID!$A$84=I95,J95,"")</f>
        <v/>
      </c>
      <c r="L95" s="25" t="str">
        <f>IFERROR(SMALL($K$8:$K$224,ROWS($K$8:K95)),"")</f>
        <v/>
      </c>
    </row>
    <row r="96" spans="1:12" x14ac:dyDescent="0.15">
      <c r="A96" s="28"/>
      <c r="B96" s="567"/>
      <c r="C96" s="567"/>
      <c r="D96" s="567"/>
      <c r="E96" s="567"/>
      <c r="F96" s="567"/>
      <c r="G96" s="567"/>
      <c r="H96" s="567"/>
      <c r="I96" s="567"/>
      <c r="J96" s="25">
        <f>ROWS($H$8:I96)</f>
        <v>89</v>
      </c>
      <c r="K96" s="25" t="str">
        <f>IF(ID!$A$84=I96,J96,"")</f>
        <v/>
      </c>
      <c r="L96" s="25" t="str">
        <f>IFERROR(SMALL($K$8:$K$224,ROWS($K$8:K96)),"")</f>
        <v/>
      </c>
    </row>
    <row r="97" spans="1:12" x14ac:dyDescent="0.15">
      <c r="B97" s="566"/>
      <c r="C97" s="566"/>
      <c r="D97" s="566"/>
      <c r="E97" s="566"/>
      <c r="F97" s="566"/>
      <c r="G97" s="566"/>
      <c r="H97" s="566"/>
      <c r="I97" s="566"/>
      <c r="J97" s="25">
        <f>ROWS($H$8:I97)</f>
        <v>90</v>
      </c>
      <c r="K97" s="25" t="str">
        <f>IF(ID!$A$84=I97,J97,"")</f>
        <v/>
      </c>
      <c r="L97" s="25" t="str">
        <f>IFERROR(SMALL($K$8:$K$224,ROWS($K$8:K97)),"")</f>
        <v/>
      </c>
    </row>
    <row r="98" spans="1:12" x14ac:dyDescent="0.15">
      <c r="B98" s="558">
        <v>15</v>
      </c>
      <c r="C98" s="559">
        <v>0.1</v>
      </c>
      <c r="D98" s="559">
        <v>0.2</v>
      </c>
      <c r="E98" s="558">
        <v>30</v>
      </c>
      <c r="F98" s="559">
        <v>-1.9</v>
      </c>
      <c r="G98" s="559">
        <v>2.4</v>
      </c>
      <c r="H98" s="906" t="s">
        <v>383</v>
      </c>
      <c r="I98" s="905" t="s">
        <v>390</v>
      </c>
      <c r="J98" s="25">
        <f>ROWS($H$8:I98)</f>
        <v>91</v>
      </c>
      <c r="K98" s="25" t="str">
        <f>IF(ID!$A$84=I98,J98,"")</f>
        <v/>
      </c>
      <c r="L98" s="25" t="str">
        <f>IFERROR(SMALL($K$8:$K$224,ROWS($K$8:K98)),"")</f>
        <v/>
      </c>
    </row>
    <row r="99" spans="1:12" ht="12.75" x14ac:dyDescent="0.15">
      <c r="B99" s="558">
        <v>20</v>
      </c>
      <c r="C99" s="559">
        <v>0</v>
      </c>
      <c r="D99" s="559">
        <v>0.2</v>
      </c>
      <c r="E99" s="558">
        <v>40</v>
      </c>
      <c r="F99" s="559">
        <v>-1.9</v>
      </c>
      <c r="G99" s="559">
        <v>2.4</v>
      </c>
      <c r="H99" s="901"/>
      <c r="I99" s="905" t="s">
        <v>390</v>
      </c>
      <c r="J99" s="25">
        <f>ROWS($H$8:I99)</f>
        <v>92</v>
      </c>
      <c r="K99" s="25" t="str">
        <f>IF(ID!$A$84=I99,J99,"")</f>
        <v/>
      </c>
      <c r="L99" s="25" t="str">
        <f>IFERROR(SMALL($K$8:$K$224,ROWS($K$8:K99)),"")</f>
        <v/>
      </c>
    </row>
    <row r="100" spans="1:12" ht="12.75" x14ac:dyDescent="0.15">
      <c r="B100" s="558">
        <v>25</v>
      </c>
      <c r="C100" s="559">
        <v>0</v>
      </c>
      <c r="D100" s="559">
        <v>0.2</v>
      </c>
      <c r="E100" s="558">
        <v>50</v>
      </c>
      <c r="F100" s="559">
        <v>-1.9</v>
      </c>
      <c r="G100" s="559">
        <v>2.4</v>
      </c>
      <c r="H100" s="901"/>
      <c r="I100" s="905" t="s">
        <v>390</v>
      </c>
      <c r="J100" s="25">
        <f>ROWS($H$8:I100)</f>
        <v>93</v>
      </c>
      <c r="K100" s="25" t="str">
        <f>IF(ID!$A$84=I100,J100,"")</f>
        <v/>
      </c>
      <c r="L100" s="25" t="str">
        <f>IFERROR(SMALL($K$8:$K$224,ROWS($K$8:K100)),"")</f>
        <v/>
      </c>
    </row>
    <row r="101" spans="1:12" ht="12.75" x14ac:dyDescent="0.15">
      <c r="B101" s="558">
        <v>30</v>
      </c>
      <c r="C101" s="559">
        <v>0</v>
      </c>
      <c r="D101" s="559">
        <v>0.2</v>
      </c>
      <c r="E101" s="558">
        <v>60</v>
      </c>
      <c r="F101" s="559">
        <v>-2.1</v>
      </c>
      <c r="G101" s="559">
        <v>2.4</v>
      </c>
      <c r="H101" s="901"/>
      <c r="I101" s="905" t="s">
        <v>390</v>
      </c>
      <c r="J101" s="25">
        <f>ROWS($H$8:I101)</f>
        <v>94</v>
      </c>
      <c r="K101" s="25" t="str">
        <f>IF(ID!$A$84=I101,J101,"")</f>
        <v/>
      </c>
      <c r="L101" s="25" t="str">
        <f>IFERROR(SMALL($K$8:$K$224,ROWS($K$8:K101)),"")</f>
        <v/>
      </c>
    </row>
    <row r="102" spans="1:12" ht="12.75" x14ac:dyDescent="0.15">
      <c r="B102" s="558">
        <v>35</v>
      </c>
      <c r="C102" s="559">
        <v>0</v>
      </c>
      <c r="D102" s="559">
        <v>0.2</v>
      </c>
      <c r="E102" s="558">
        <v>70</v>
      </c>
      <c r="F102" s="559">
        <v>-2.2999999999999998</v>
      </c>
      <c r="G102" s="559">
        <v>2.4</v>
      </c>
      <c r="H102" s="901"/>
      <c r="I102" s="905" t="s">
        <v>390</v>
      </c>
      <c r="J102" s="25">
        <f>ROWS($H$8:I102)</f>
        <v>95</v>
      </c>
      <c r="K102" s="25" t="str">
        <f>IF(ID!$A$84=I102,J102,"")</f>
        <v/>
      </c>
      <c r="L102" s="25" t="str">
        <f>IFERROR(SMALL($K$8:$K$224,ROWS($K$8:K102)),"")</f>
        <v/>
      </c>
    </row>
    <row r="103" spans="1:12" ht="12.75" x14ac:dyDescent="0.15">
      <c r="B103" s="563">
        <v>37</v>
      </c>
      <c r="C103" s="559">
        <v>0</v>
      </c>
      <c r="D103" s="559">
        <v>0.2</v>
      </c>
      <c r="E103" s="563">
        <v>80</v>
      </c>
      <c r="F103" s="559">
        <v>-2.6</v>
      </c>
      <c r="G103" s="559">
        <v>2.4</v>
      </c>
      <c r="H103" s="901"/>
      <c r="I103" s="905" t="s">
        <v>390</v>
      </c>
      <c r="J103" s="25">
        <f>ROWS($H$8:I103)</f>
        <v>96</v>
      </c>
      <c r="K103" s="25" t="str">
        <f>IF(ID!$A$84=I103,J103,"")</f>
        <v/>
      </c>
      <c r="L103" s="25" t="str">
        <f>IFERROR(SMALL($K$8:$K$224,ROWS($K$8:K103)),"")</f>
        <v/>
      </c>
    </row>
    <row r="104" spans="1:12" ht="12.75" x14ac:dyDescent="0.15">
      <c r="A104" s="30"/>
      <c r="B104" s="563">
        <v>40</v>
      </c>
      <c r="C104" s="559">
        <v>0.1</v>
      </c>
      <c r="D104" s="559">
        <v>0.2</v>
      </c>
      <c r="E104" s="563">
        <v>90</v>
      </c>
      <c r="F104" s="570">
        <v>-3</v>
      </c>
      <c r="G104" s="559">
        <v>2.4</v>
      </c>
      <c r="H104" s="901"/>
      <c r="I104" s="905" t="s">
        <v>390</v>
      </c>
      <c r="J104" s="25">
        <f>ROWS($H$8:I104)</f>
        <v>97</v>
      </c>
      <c r="K104" s="25" t="str">
        <f>IF(ID!$A$84=I104,J104,"")</f>
        <v/>
      </c>
      <c r="L104" s="25" t="str">
        <f>IFERROR(SMALL($K$8:$K$224,ROWS($K$8:K104)),"")</f>
        <v/>
      </c>
    </row>
    <row r="105" spans="1:12" x14ac:dyDescent="0.15">
      <c r="B105" s="566"/>
      <c r="C105" s="566"/>
      <c r="D105" s="566"/>
      <c r="E105" s="566"/>
      <c r="F105" s="566"/>
      <c r="G105" s="566"/>
      <c r="H105" s="566"/>
      <c r="I105" s="566"/>
      <c r="J105" s="25">
        <f>ROWS($H$8:I105)</f>
        <v>98</v>
      </c>
      <c r="K105" s="25" t="str">
        <f>IF(ID!$A$84=I105,J105,"")</f>
        <v/>
      </c>
      <c r="L105" s="25" t="str">
        <f>IFERROR(SMALL($K$8:$K$224,ROWS($K$8:K105)),"")</f>
        <v/>
      </c>
    </row>
    <row r="106" spans="1:12" x14ac:dyDescent="0.15">
      <c r="A106" s="28"/>
      <c r="B106" s="567"/>
      <c r="C106" s="567"/>
      <c r="D106" s="567"/>
      <c r="E106" s="567"/>
      <c r="F106" s="567"/>
      <c r="G106" s="567"/>
      <c r="H106" s="567"/>
      <c r="I106" s="567"/>
      <c r="J106" s="25">
        <f>ROWS($H$8:I106)</f>
        <v>99</v>
      </c>
      <c r="K106" s="25" t="str">
        <f>IF(ID!$A$84=I106,J106,"")</f>
        <v/>
      </c>
      <c r="L106" s="25" t="str">
        <f>IFERROR(SMALL($K$8:$K$224,ROWS($K$8:K106)),"")</f>
        <v/>
      </c>
    </row>
    <row r="107" spans="1:12" x14ac:dyDescent="0.15">
      <c r="B107" s="566"/>
      <c r="C107" s="566"/>
      <c r="D107" s="566"/>
      <c r="E107" s="566"/>
      <c r="F107" s="566"/>
      <c r="G107" s="566"/>
      <c r="H107" s="566"/>
      <c r="I107" s="566"/>
      <c r="J107" s="25">
        <f>ROWS($H$8:I107)</f>
        <v>100</v>
      </c>
      <c r="K107" s="25" t="str">
        <f>IF(ID!$A$84=I107,J107,"")</f>
        <v/>
      </c>
      <c r="L107" s="25" t="str">
        <f>IFERROR(SMALL($K$8:$K$224,ROWS($K$8:K107)),"")</f>
        <v/>
      </c>
    </row>
    <row r="108" spans="1:12" x14ac:dyDescent="0.15">
      <c r="B108" s="558">
        <v>15</v>
      </c>
      <c r="C108" s="559">
        <v>0</v>
      </c>
      <c r="D108" s="559">
        <v>0.3</v>
      </c>
      <c r="E108" s="558">
        <v>30</v>
      </c>
      <c r="F108" s="559">
        <v>-1.2</v>
      </c>
      <c r="G108" s="559">
        <v>2.4</v>
      </c>
      <c r="H108" s="569" t="s">
        <v>238</v>
      </c>
      <c r="I108" s="905" t="s">
        <v>728</v>
      </c>
      <c r="J108" s="25">
        <f>ROWS($H$8:I108)</f>
        <v>101</v>
      </c>
      <c r="K108" s="25" t="str">
        <f>IF(ID!$A$84=I108,J108,"")</f>
        <v/>
      </c>
      <c r="L108" s="25" t="str">
        <f>IFERROR(SMALL($K$8:$K$224,ROWS($K$8:K108)),"")</f>
        <v/>
      </c>
    </row>
    <row r="109" spans="1:12" x14ac:dyDescent="0.15">
      <c r="B109" s="558">
        <v>20</v>
      </c>
      <c r="C109" s="559">
        <v>-0.2</v>
      </c>
      <c r="D109" s="559">
        <v>0.3</v>
      </c>
      <c r="E109" s="558">
        <v>40</v>
      </c>
      <c r="F109" s="559">
        <v>-1</v>
      </c>
      <c r="G109" s="559">
        <v>2.4</v>
      </c>
      <c r="H109" s="569"/>
      <c r="I109" s="905" t="s">
        <v>728</v>
      </c>
      <c r="J109" s="25">
        <f>ROWS($H$8:I109)</f>
        <v>102</v>
      </c>
      <c r="K109" s="25" t="str">
        <f>IF(ID!$A$84=I109,J109,"")</f>
        <v/>
      </c>
      <c r="L109" s="25" t="str">
        <f>IFERROR(SMALL($K$8:$K$224,ROWS($K$8:K109)),"")</f>
        <v/>
      </c>
    </row>
    <row r="110" spans="1:12" x14ac:dyDescent="0.15">
      <c r="B110" s="558">
        <v>25</v>
      </c>
      <c r="C110" s="559">
        <v>-0.4</v>
      </c>
      <c r="D110" s="559">
        <v>0.3</v>
      </c>
      <c r="E110" s="558">
        <v>50</v>
      </c>
      <c r="F110" s="559">
        <v>-0.9</v>
      </c>
      <c r="G110" s="559">
        <v>2.4</v>
      </c>
      <c r="H110" s="569"/>
      <c r="I110" s="905" t="s">
        <v>728</v>
      </c>
      <c r="J110" s="25">
        <f>ROWS($H$8:I110)</f>
        <v>103</v>
      </c>
      <c r="K110" s="25" t="str">
        <f>IF(ID!$A$84=I110,J110,"")</f>
        <v/>
      </c>
      <c r="L110" s="25" t="str">
        <f>IFERROR(SMALL($K$8:$K$224,ROWS($K$8:K110)),"")</f>
        <v/>
      </c>
    </row>
    <row r="111" spans="1:12" x14ac:dyDescent="0.15">
      <c r="B111" s="558">
        <v>30</v>
      </c>
      <c r="C111" s="559">
        <v>-0.5</v>
      </c>
      <c r="D111" s="559">
        <v>0.3</v>
      </c>
      <c r="E111" s="558">
        <v>60</v>
      </c>
      <c r="F111" s="559">
        <v>-0.8</v>
      </c>
      <c r="G111" s="559">
        <v>2.4</v>
      </c>
      <c r="H111" s="569"/>
      <c r="I111" s="905" t="s">
        <v>728</v>
      </c>
      <c r="J111" s="25">
        <f>ROWS($H$8:I111)</f>
        <v>104</v>
      </c>
      <c r="K111" s="25" t="str">
        <f>IF(ID!$A$84=I111,J111,"")</f>
        <v/>
      </c>
      <c r="L111" s="25" t="str">
        <f>IFERROR(SMALL($K$8:$K$224,ROWS($K$8:K111)),"")</f>
        <v/>
      </c>
    </row>
    <row r="112" spans="1:12" x14ac:dyDescent="0.15">
      <c r="B112" s="558">
        <v>35</v>
      </c>
      <c r="C112" s="559">
        <v>-0.5</v>
      </c>
      <c r="D112" s="559">
        <v>0.3</v>
      </c>
      <c r="E112" s="558">
        <v>70</v>
      </c>
      <c r="F112" s="559">
        <v>-0.6</v>
      </c>
      <c r="G112" s="559">
        <v>2.4</v>
      </c>
      <c r="H112" s="569"/>
      <c r="I112" s="905" t="s">
        <v>728</v>
      </c>
      <c r="J112" s="25">
        <f>ROWS($H$8:I112)</f>
        <v>105</v>
      </c>
      <c r="K112" s="25" t="str">
        <f>IF(ID!$A$84=I112,J112,"")</f>
        <v/>
      </c>
      <c r="L112" s="25" t="str">
        <f>IFERROR(SMALL($K$8:$K$224,ROWS($K$8:K112)),"")</f>
        <v/>
      </c>
    </row>
    <row r="113" spans="2:12" x14ac:dyDescent="0.15">
      <c r="B113" s="563">
        <v>37</v>
      </c>
      <c r="C113" s="559">
        <v>-0.5</v>
      </c>
      <c r="D113" s="559">
        <v>0.3</v>
      </c>
      <c r="E113" s="563">
        <v>80</v>
      </c>
      <c r="F113" s="559">
        <v>-0.5</v>
      </c>
      <c r="G113" s="559">
        <v>2.4</v>
      </c>
      <c r="H113" s="569"/>
      <c r="I113" s="905" t="s">
        <v>728</v>
      </c>
      <c r="J113" s="25">
        <f>ROWS($H$8:I113)</f>
        <v>106</v>
      </c>
      <c r="K113" s="25" t="str">
        <f>IF(ID!$A$84=I113,J113,"")</f>
        <v/>
      </c>
      <c r="L113" s="25" t="str">
        <f>IFERROR(SMALL($K$8:$K$224,ROWS($K$8:K113)),"")</f>
        <v/>
      </c>
    </row>
    <row r="114" spans="2:12" x14ac:dyDescent="0.15">
      <c r="B114" s="563">
        <v>40</v>
      </c>
      <c r="C114" s="560">
        <v>-0.4</v>
      </c>
      <c r="D114" s="559">
        <v>0.3</v>
      </c>
      <c r="E114" s="563">
        <v>90</v>
      </c>
      <c r="F114" s="560">
        <v>-0.2</v>
      </c>
      <c r="G114" s="559">
        <v>2.4</v>
      </c>
      <c r="H114" s="569"/>
      <c r="I114" s="905" t="s">
        <v>728</v>
      </c>
      <c r="J114" s="25">
        <f>ROWS($H$8:I114)</f>
        <v>107</v>
      </c>
      <c r="K114" s="25" t="str">
        <f>IF(ID!$A$84=I114,J114,"")</f>
        <v/>
      </c>
      <c r="L114" s="25" t="str">
        <f>IFERROR(SMALL($K$8:$K$224,ROWS($K$8:K114)),"")</f>
        <v/>
      </c>
    </row>
    <row r="115" spans="2:12" x14ac:dyDescent="0.15">
      <c r="B115" s="566"/>
      <c r="C115" s="566"/>
      <c r="D115" s="566"/>
      <c r="E115" s="566"/>
      <c r="F115" s="566"/>
      <c r="G115" s="566"/>
      <c r="H115" s="566"/>
      <c r="I115" s="566"/>
      <c r="J115" s="25">
        <f>ROWS($H$8:I115)</f>
        <v>108</v>
      </c>
      <c r="K115" s="25" t="str">
        <f>IF(ID!$A$84=I115,J115,"")</f>
        <v/>
      </c>
      <c r="L115" s="25" t="str">
        <f>IFERROR(SMALL($K$8:$K$224,ROWS($K$8:K115)),"")</f>
        <v/>
      </c>
    </row>
    <row r="116" spans="2:12" s="28" customFormat="1" x14ac:dyDescent="0.15">
      <c r="B116" s="567"/>
      <c r="C116" s="567"/>
      <c r="D116" s="567"/>
      <c r="E116" s="567"/>
      <c r="F116" s="567"/>
      <c r="G116" s="567"/>
      <c r="H116" s="567"/>
      <c r="I116" s="567"/>
      <c r="J116" s="25">
        <f>ROWS($H$8:I116)</f>
        <v>109</v>
      </c>
      <c r="K116" s="25" t="str">
        <f>IF(ID!$A$84=I116,J116,"")</f>
        <v/>
      </c>
      <c r="L116" s="25" t="str">
        <f>IFERROR(SMALL($K$8:$K$224,ROWS($K$8:K116)),"")</f>
        <v/>
      </c>
    </row>
    <row r="117" spans="2:12" x14ac:dyDescent="0.15">
      <c r="B117" s="566"/>
      <c r="C117" s="566"/>
      <c r="D117" s="566"/>
      <c r="E117" s="566"/>
      <c r="F117" s="566"/>
      <c r="G117" s="566"/>
      <c r="H117" s="566"/>
      <c r="I117" s="566"/>
      <c r="J117" s="25">
        <f>ROWS($H$8:I117)</f>
        <v>110</v>
      </c>
      <c r="K117" s="25" t="str">
        <f>IF(ID!$A$84=I117,J117,"")</f>
        <v/>
      </c>
      <c r="L117" s="25" t="str">
        <f>IFERROR(SMALL($K$8:$K$224,ROWS($K$8:K117)),"")</f>
        <v/>
      </c>
    </row>
    <row r="118" spans="2:12" x14ac:dyDescent="0.15">
      <c r="B118" s="558">
        <v>15</v>
      </c>
      <c r="C118" s="559">
        <v>0.5</v>
      </c>
      <c r="D118" s="559">
        <v>0.5</v>
      </c>
      <c r="E118" s="558">
        <v>30</v>
      </c>
      <c r="F118" s="559">
        <v>-0.8</v>
      </c>
      <c r="G118" s="559">
        <v>2.7</v>
      </c>
      <c r="H118" s="907" t="s">
        <v>703</v>
      </c>
      <c r="I118" s="905" t="s">
        <v>272</v>
      </c>
      <c r="J118" s="25">
        <f>ROWS($H$8:I118)</f>
        <v>111</v>
      </c>
      <c r="K118" s="25" t="str">
        <f>IF(ID!$A$84=I118,J118,"")</f>
        <v/>
      </c>
      <c r="L118" s="25" t="str">
        <f>IFERROR(SMALL($K$8:$K$224,ROWS($K$8:K118)),"")</f>
        <v/>
      </c>
    </row>
    <row r="119" spans="2:12" x14ac:dyDescent="0.15">
      <c r="B119" s="558">
        <v>20</v>
      </c>
      <c r="C119" s="559">
        <v>0.2</v>
      </c>
      <c r="D119" s="559">
        <v>0.5</v>
      </c>
      <c r="E119" s="558">
        <v>40</v>
      </c>
      <c r="F119" s="559">
        <v>-0.4</v>
      </c>
      <c r="G119" s="559">
        <v>2.7</v>
      </c>
      <c r="H119" s="907"/>
      <c r="I119" s="905" t="s">
        <v>272</v>
      </c>
      <c r="J119" s="25">
        <f>ROWS($H$8:I119)</f>
        <v>112</v>
      </c>
      <c r="K119" s="25" t="str">
        <f>IF(ID!$A$84=I119,J119,"")</f>
        <v/>
      </c>
      <c r="L119" s="25" t="str">
        <f>IFERROR(SMALL($K$8:$K$224,ROWS($K$8:K119)),"")</f>
        <v/>
      </c>
    </row>
    <row r="120" spans="2:12" x14ac:dyDescent="0.15">
      <c r="B120" s="558">
        <v>25</v>
      </c>
      <c r="C120" s="559">
        <v>-0.1</v>
      </c>
      <c r="D120" s="559">
        <v>0.5</v>
      </c>
      <c r="E120" s="558">
        <v>50</v>
      </c>
      <c r="F120" s="559">
        <v>0</v>
      </c>
      <c r="G120" s="559">
        <v>2.7</v>
      </c>
      <c r="H120" s="907"/>
      <c r="I120" s="905" t="s">
        <v>272</v>
      </c>
      <c r="J120" s="25">
        <f>ROWS($H$8:I120)</f>
        <v>113</v>
      </c>
      <c r="K120" s="25" t="str">
        <f>IF(ID!$A$84=I120,J120,"")</f>
        <v/>
      </c>
      <c r="L120" s="25" t="str">
        <f>IFERROR(SMALL($K$8:$K$224,ROWS($K$8:K120)),"")</f>
        <v/>
      </c>
    </row>
    <row r="121" spans="2:12" x14ac:dyDescent="0.15">
      <c r="B121" s="558">
        <v>30</v>
      </c>
      <c r="C121" s="559">
        <v>-0.4</v>
      </c>
      <c r="D121" s="559">
        <v>0.5</v>
      </c>
      <c r="E121" s="558">
        <v>60</v>
      </c>
      <c r="F121" s="559">
        <v>0.3</v>
      </c>
      <c r="G121" s="559">
        <v>2.7</v>
      </c>
      <c r="H121" s="907"/>
      <c r="I121" s="905" t="s">
        <v>272</v>
      </c>
      <c r="J121" s="25">
        <f>ROWS($H$8:I121)</f>
        <v>114</v>
      </c>
      <c r="K121" s="25" t="str">
        <f>IF(ID!$A$84=I121,J121,"")</f>
        <v/>
      </c>
      <c r="L121" s="25" t="str">
        <f>IFERROR(SMALL($K$8:$K$224,ROWS($K$8:K121)),"")</f>
        <v/>
      </c>
    </row>
    <row r="122" spans="2:12" x14ac:dyDescent="0.15">
      <c r="B122" s="558">
        <v>35</v>
      </c>
      <c r="C122" s="559">
        <v>-0.6</v>
      </c>
      <c r="D122" s="559">
        <v>0.5</v>
      </c>
      <c r="E122" s="558">
        <v>70</v>
      </c>
      <c r="F122" s="559">
        <v>0.7</v>
      </c>
      <c r="G122" s="559">
        <v>2.7</v>
      </c>
      <c r="H122" s="907"/>
      <c r="I122" s="905" t="s">
        <v>272</v>
      </c>
      <c r="J122" s="25">
        <f>ROWS($H$8:I122)</f>
        <v>115</v>
      </c>
      <c r="K122" s="25" t="str">
        <f>IF(ID!$A$84=I122,J122,"")</f>
        <v/>
      </c>
      <c r="L122" s="25" t="str">
        <f>IFERROR(SMALL($K$8:$K$224,ROWS($K$8:K122)),"")</f>
        <v/>
      </c>
    </row>
    <row r="123" spans="2:12" x14ac:dyDescent="0.15">
      <c r="B123" s="563">
        <v>37</v>
      </c>
      <c r="C123" s="559">
        <v>-0.7</v>
      </c>
      <c r="D123" s="559">
        <v>0.5</v>
      </c>
      <c r="E123" s="563">
        <v>80</v>
      </c>
      <c r="F123" s="559">
        <v>1.1000000000000001</v>
      </c>
      <c r="G123" s="559">
        <v>2.7</v>
      </c>
      <c r="H123" s="907"/>
      <c r="I123" s="905" t="s">
        <v>272</v>
      </c>
      <c r="J123" s="25">
        <f>ROWS($H$8:I123)</f>
        <v>116</v>
      </c>
      <c r="K123" s="25" t="str">
        <f>IF(ID!$A$84=I123,J123,"")</f>
        <v/>
      </c>
      <c r="L123" s="25" t="str">
        <f>IFERROR(SMALL($K$8:$K$224,ROWS($K$8:K123)),"")</f>
        <v/>
      </c>
    </row>
    <row r="124" spans="2:12" x14ac:dyDescent="0.15">
      <c r="B124" s="563">
        <v>40</v>
      </c>
      <c r="C124" s="560">
        <v>-0.8</v>
      </c>
      <c r="D124" s="559">
        <v>0.5</v>
      </c>
      <c r="E124" s="563">
        <v>90</v>
      </c>
      <c r="F124" s="560">
        <v>1.5</v>
      </c>
      <c r="G124" s="559">
        <v>2.7</v>
      </c>
      <c r="H124" s="907"/>
      <c r="I124" s="905" t="s">
        <v>272</v>
      </c>
      <c r="J124" s="25">
        <f>ROWS($H$8:I124)</f>
        <v>117</v>
      </c>
      <c r="K124" s="25" t="str">
        <f>IF(ID!$A$84=I124,J124,"")</f>
        <v/>
      </c>
      <c r="L124" s="25" t="str">
        <f>IFERROR(SMALL($K$8:$K$224,ROWS($K$8:K124)),"")</f>
        <v/>
      </c>
    </row>
    <row r="125" spans="2:12" x14ac:dyDescent="0.15">
      <c r="B125" s="566"/>
      <c r="C125" s="566"/>
      <c r="D125" s="566"/>
      <c r="E125" s="566"/>
      <c r="F125" s="566"/>
      <c r="G125" s="566"/>
      <c r="H125" s="566"/>
      <c r="I125" s="566"/>
      <c r="J125" s="25">
        <f>ROWS($H$8:I125)</f>
        <v>118</v>
      </c>
      <c r="K125" s="25" t="str">
        <f>IF(ID!$A$84=I125,J125,"")</f>
        <v/>
      </c>
      <c r="L125" s="25" t="str">
        <f>IFERROR(SMALL($K$8:$K$224,ROWS($K$8:K125)),"")</f>
        <v/>
      </c>
    </row>
    <row r="126" spans="2:12" x14ac:dyDescent="0.15">
      <c r="B126" s="566"/>
      <c r="C126" s="566"/>
      <c r="D126" s="566"/>
      <c r="E126" s="566"/>
      <c r="F126" s="566"/>
      <c r="G126" s="566"/>
      <c r="H126" s="566"/>
      <c r="I126" s="566"/>
      <c r="J126" s="25">
        <f>ROWS($H$8:I126)</f>
        <v>119</v>
      </c>
      <c r="K126" s="25" t="str">
        <f>IF(ID!$A$84=I126,J126,"")</f>
        <v/>
      </c>
      <c r="L126" s="25" t="str">
        <f>IFERROR(SMALL($K$8:$K$224,ROWS($K$8:K126)),"")</f>
        <v/>
      </c>
    </row>
    <row r="127" spans="2:12" x14ac:dyDescent="0.15">
      <c r="B127" s="566"/>
      <c r="C127" s="566"/>
      <c r="D127" s="566"/>
      <c r="E127" s="566"/>
      <c r="F127" s="566"/>
      <c r="G127" s="566"/>
      <c r="H127" s="566"/>
      <c r="I127" s="566"/>
      <c r="J127" s="25">
        <f>ROWS($H$8:I127)</f>
        <v>120</v>
      </c>
      <c r="K127" s="25" t="str">
        <f>IF(ID!$A$84=I127,J127,"")</f>
        <v/>
      </c>
      <c r="L127" s="25" t="str">
        <f>IFERROR(SMALL($K$8:$K$224,ROWS($K$8:K127)),"")</f>
        <v/>
      </c>
    </row>
    <row r="128" spans="2:12" x14ac:dyDescent="0.15">
      <c r="B128" s="558">
        <v>15</v>
      </c>
      <c r="C128" s="559">
        <v>0.6</v>
      </c>
      <c r="D128" s="559">
        <v>0.5</v>
      </c>
      <c r="E128" s="558">
        <v>30</v>
      </c>
      <c r="F128" s="559">
        <v>-2</v>
      </c>
      <c r="G128" s="559">
        <v>2.6</v>
      </c>
      <c r="H128" s="907" t="s">
        <v>703</v>
      </c>
      <c r="I128" s="905" t="s">
        <v>273</v>
      </c>
      <c r="J128" s="25">
        <f>ROWS($H$8:I128)</f>
        <v>121</v>
      </c>
      <c r="K128" s="25" t="str">
        <f>IF(ID!$A$84=I128,J128,"")</f>
        <v/>
      </c>
      <c r="L128" s="25" t="str">
        <f>IFERROR(SMALL($K$8:$K$224,ROWS($K$8:K128)),"")</f>
        <v/>
      </c>
    </row>
    <row r="129" spans="2:12" x14ac:dyDescent="0.15">
      <c r="B129" s="558">
        <v>20</v>
      </c>
      <c r="C129" s="559">
        <v>0.3</v>
      </c>
      <c r="D129" s="559">
        <v>0.5</v>
      </c>
      <c r="E129" s="558">
        <v>40</v>
      </c>
      <c r="F129" s="559">
        <v>-1.7</v>
      </c>
      <c r="G129" s="559">
        <v>2.6</v>
      </c>
      <c r="H129" s="907"/>
      <c r="I129" s="905" t="s">
        <v>273</v>
      </c>
      <c r="J129" s="25">
        <f>ROWS($H$8:I129)</f>
        <v>122</v>
      </c>
      <c r="K129" s="25" t="str">
        <f>IF(ID!$A$84=I129,J129,"")</f>
        <v/>
      </c>
      <c r="L129" s="25" t="str">
        <f>IFERROR(SMALL($K$8:$K$224,ROWS($K$8:K129)),"")</f>
        <v/>
      </c>
    </row>
    <row r="130" spans="2:12" x14ac:dyDescent="0.15">
      <c r="B130" s="558">
        <v>25</v>
      </c>
      <c r="C130" s="559">
        <v>0.2</v>
      </c>
      <c r="D130" s="559">
        <v>0.5</v>
      </c>
      <c r="E130" s="558">
        <v>50</v>
      </c>
      <c r="F130" s="559">
        <v>-1.4</v>
      </c>
      <c r="G130" s="559">
        <v>2.6</v>
      </c>
      <c r="H130" s="907"/>
      <c r="I130" s="905" t="s">
        <v>273</v>
      </c>
      <c r="J130" s="25">
        <f>ROWS($H$8:I130)</f>
        <v>123</v>
      </c>
      <c r="K130" s="25" t="str">
        <f>IF(ID!$A$84=I130,J130,"")</f>
        <v/>
      </c>
      <c r="L130" s="25" t="str">
        <f>IFERROR(SMALL($K$8:$K$224,ROWS($K$8:K130)),"")</f>
        <v/>
      </c>
    </row>
    <row r="131" spans="2:12" x14ac:dyDescent="0.15">
      <c r="B131" s="558">
        <v>30</v>
      </c>
      <c r="C131" s="559">
        <v>0.4</v>
      </c>
      <c r="D131" s="559">
        <v>0.5</v>
      </c>
      <c r="E131" s="558">
        <v>60</v>
      </c>
      <c r="F131" s="559">
        <v>-1.1000000000000001</v>
      </c>
      <c r="G131" s="559">
        <v>2.6</v>
      </c>
      <c r="H131" s="907"/>
      <c r="I131" s="905" t="s">
        <v>273</v>
      </c>
      <c r="J131" s="25">
        <f>ROWS($H$8:I131)</f>
        <v>124</v>
      </c>
      <c r="K131" s="25" t="str">
        <f>IF(ID!$A$84=I131,J131,"")</f>
        <v/>
      </c>
      <c r="L131" s="25" t="str">
        <f>IFERROR(SMALL($K$8:$K$224,ROWS($K$8:K131)),"")</f>
        <v/>
      </c>
    </row>
    <row r="132" spans="2:12" x14ac:dyDescent="0.15">
      <c r="B132" s="558">
        <v>35</v>
      </c>
      <c r="C132" s="559">
        <v>0.8</v>
      </c>
      <c r="D132" s="559">
        <v>0.5</v>
      </c>
      <c r="E132" s="558">
        <v>70</v>
      </c>
      <c r="F132" s="559">
        <v>-0.7</v>
      </c>
      <c r="G132" s="559">
        <v>2.6</v>
      </c>
      <c r="H132" s="907"/>
      <c r="I132" s="905" t="s">
        <v>273</v>
      </c>
      <c r="J132" s="25">
        <f>ROWS($H$8:I132)</f>
        <v>125</v>
      </c>
      <c r="K132" s="25" t="str">
        <f>IF(ID!$A$84=I132,J132,"")</f>
        <v/>
      </c>
      <c r="L132" s="25" t="str">
        <f>IFERROR(SMALL($K$8:$K$224,ROWS($K$8:K132)),"")</f>
        <v/>
      </c>
    </row>
    <row r="133" spans="2:12" x14ac:dyDescent="0.15">
      <c r="B133" s="563">
        <v>37</v>
      </c>
      <c r="C133" s="559">
        <v>1</v>
      </c>
      <c r="D133" s="559">
        <v>0.5</v>
      </c>
      <c r="E133" s="563">
        <v>80</v>
      </c>
      <c r="F133" s="559">
        <v>-0.4</v>
      </c>
      <c r="G133" s="559">
        <v>2.6</v>
      </c>
      <c r="H133" s="907"/>
      <c r="I133" s="905" t="s">
        <v>273</v>
      </c>
      <c r="J133" s="25">
        <f>ROWS($H$8:I133)</f>
        <v>126</v>
      </c>
      <c r="K133" s="25" t="str">
        <f>IF(ID!$A$84=I133,J133,"")</f>
        <v/>
      </c>
      <c r="L133" s="25" t="str">
        <f>IFERROR(SMALL($K$8:$K$224,ROWS($K$8:K133)),"")</f>
        <v/>
      </c>
    </row>
    <row r="134" spans="2:12" x14ac:dyDescent="0.15">
      <c r="B134" s="563">
        <v>40</v>
      </c>
      <c r="C134" s="570">
        <v>1.4</v>
      </c>
      <c r="D134" s="559">
        <v>0.5</v>
      </c>
      <c r="E134" s="563">
        <v>90</v>
      </c>
      <c r="F134" s="560">
        <v>-0.1</v>
      </c>
      <c r="G134" s="559">
        <v>2.6</v>
      </c>
      <c r="H134" s="907"/>
      <c r="I134" s="905" t="s">
        <v>273</v>
      </c>
      <c r="J134" s="25">
        <f>ROWS($H$8:I134)</f>
        <v>127</v>
      </c>
      <c r="K134" s="25" t="str">
        <f>IF(ID!$A$84=I134,J134,"")</f>
        <v/>
      </c>
      <c r="L134" s="25" t="str">
        <f>IFERROR(SMALL($K$8:$K$224,ROWS($K$8:K134)),"")</f>
        <v/>
      </c>
    </row>
    <row r="135" spans="2:12" x14ac:dyDescent="0.15">
      <c r="B135" s="566"/>
      <c r="C135" s="566"/>
      <c r="D135" s="566"/>
      <c r="E135" s="566"/>
      <c r="F135" s="566"/>
      <c r="G135" s="566"/>
      <c r="H135" s="566"/>
      <c r="I135" s="566"/>
      <c r="J135" s="25">
        <f>ROWS($H$8:I135)</f>
        <v>128</v>
      </c>
      <c r="K135" s="25" t="str">
        <f>IF(ID!$A$84=I135,J135,"")</f>
        <v/>
      </c>
      <c r="L135" s="25" t="str">
        <f>IFERROR(SMALL($K$8:$K$224,ROWS($K$8:K135)),"")</f>
        <v/>
      </c>
    </row>
    <row r="136" spans="2:12" x14ac:dyDescent="0.15">
      <c r="B136" s="566"/>
      <c r="C136" s="566"/>
      <c r="D136" s="566"/>
      <c r="E136" s="566"/>
      <c r="F136" s="566"/>
      <c r="G136" s="566"/>
      <c r="H136" s="566"/>
      <c r="I136" s="566"/>
      <c r="J136" s="25">
        <f>ROWS($H$8:I136)</f>
        <v>129</v>
      </c>
      <c r="K136" s="25" t="str">
        <f>IF(ID!$A$84=I136,J136,"")</f>
        <v/>
      </c>
      <c r="L136" s="25" t="str">
        <f>IFERROR(SMALL($K$8:$K$224,ROWS($K$8:K136)),"")</f>
        <v/>
      </c>
    </row>
    <row r="137" spans="2:12" x14ac:dyDescent="0.15">
      <c r="B137" s="566"/>
      <c r="C137" s="566"/>
      <c r="D137" s="566"/>
      <c r="E137" s="566"/>
      <c r="F137" s="566"/>
      <c r="G137" s="566"/>
      <c r="H137" s="566"/>
      <c r="I137" s="566"/>
      <c r="J137" s="25">
        <f>ROWS($H$8:I137)</f>
        <v>130</v>
      </c>
      <c r="K137" s="25" t="str">
        <f>IF(ID!$A$84=I137,J137,"")</f>
        <v/>
      </c>
      <c r="L137" s="25" t="str">
        <f>IFERROR(SMALL($K$8:$K$224,ROWS($K$8:K137)),"")</f>
        <v/>
      </c>
    </row>
    <row r="138" spans="2:12" x14ac:dyDescent="0.15">
      <c r="B138" s="558">
        <v>15</v>
      </c>
      <c r="C138" s="559">
        <v>0.5</v>
      </c>
      <c r="D138" s="559">
        <v>0.5</v>
      </c>
      <c r="E138" s="558">
        <v>30</v>
      </c>
      <c r="F138" s="559">
        <v>-2.2000000000000002</v>
      </c>
      <c r="G138" s="559">
        <v>2.2999999999999998</v>
      </c>
      <c r="H138" s="907" t="s">
        <v>693</v>
      </c>
      <c r="I138" s="905" t="s">
        <v>274</v>
      </c>
      <c r="J138" s="25">
        <f>ROWS($H$8:I138)</f>
        <v>131</v>
      </c>
      <c r="K138" s="25" t="str">
        <f>IF(ID!$A$84=I138,J138,"")</f>
        <v/>
      </c>
      <c r="L138" s="25" t="str">
        <f>IFERROR(SMALL($K$8:$K$224,ROWS($K$8:K138)),"")</f>
        <v/>
      </c>
    </row>
    <row r="139" spans="2:12" x14ac:dyDescent="0.15">
      <c r="B139" s="558">
        <v>20</v>
      </c>
      <c r="C139" s="559">
        <v>0.2</v>
      </c>
      <c r="D139" s="559">
        <v>0.5</v>
      </c>
      <c r="E139" s="558">
        <v>40</v>
      </c>
      <c r="F139" s="559">
        <v>-2</v>
      </c>
      <c r="G139" s="559">
        <v>2.2999999999999998</v>
      </c>
      <c r="H139" s="907"/>
      <c r="I139" s="905" t="s">
        <v>274</v>
      </c>
      <c r="J139" s="25">
        <f>ROWS($H$8:I139)</f>
        <v>132</v>
      </c>
      <c r="K139" s="25" t="str">
        <f>IF(ID!$A$84=I139,J139,"")</f>
        <v/>
      </c>
      <c r="L139" s="25" t="str">
        <f>IFERROR(SMALL($K$8:$K$224,ROWS($K$8:K139)),"")</f>
        <v/>
      </c>
    </row>
    <row r="140" spans="2:12" x14ac:dyDescent="0.15">
      <c r="B140" s="558">
        <v>25</v>
      </c>
      <c r="C140" s="559">
        <v>0.1</v>
      </c>
      <c r="D140" s="559">
        <v>0.5</v>
      </c>
      <c r="E140" s="558">
        <v>50</v>
      </c>
      <c r="F140" s="559">
        <v>-1.8</v>
      </c>
      <c r="G140" s="559">
        <v>2.2999999999999998</v>
      </c>
      <c r="H140" s="907"/>
      <c r="I140" s="905" t="s">
        <v>274</v>
      </c>
      <c r="J140" s="25">
        <f>ROWS($H$8:I140)</f>
        <v>133</v>
      </c>
      <c r="K140" s="25" t="str">
        <f>IF(ID!$A$84=I140,J140,"")</f>
        <v/>
      </c>
      <c r="L140" s="25" t="str">
        <f>IFERROR(SMALL($K$8:$K$224,ROWS($K$8:K140)),"")</f>
        <v/>
      </c>
    </row>
    <row r="141" spans="2:12" x14ac:dyDescent="0.15">
      <c r="B141" s="558">
        <v>30</v>
      </c>
      <c r="C141" s="559">
        <v>-0.1</v>
      </c>
      <c r="D141" s="559">
        <v>0.5</v>
      </c>
      <c r="E141" s="558">
        <v>60</v>
      </c>
      <c r="F141" s="559">
        <v>-1.6</v>
      </c>
      <c r="G141" s="559">
        <v>2.2999999999999998</v>
      </c>
      <c r="H141" s="907"/>
      <c r="I141" s="905" t="s">
        <v>274</v>
      </c>
      <c r="J141" s="25">
        <f>ROWS($H$8:I141)</f>
        <v>134</v>
      </c>
      <c r="K141" s="25" t="str">
        <f>IF(ID!$A$84=I141,J141,"")</f>
        <v/>
      </c>
      <c r="L141" s="25" t="str">
        <f>IFERROR(SMALL($K$8:$K$224,ROWS($K$8:K141)),"")</f>
        <v/>
      </c>
    </row>
    <row r="142" spans="2:12" x14ac:dyDescent="0.15">
      <c r="B142" s="558">
        <v>35</v>
      </c>
      <c r="C142" s="559">
        <v>-0.2</v>
      </c>
      <c r="D142" s="559">
        <v>0.5</v>
      </c>
      <c r="E142" s="558">
        <v>70</v>
      </c>
      <c r="F142" s="559">
        <v>-1.4</v>
      </c>
      <c r="G142" s="559">
        <v>2.2999999999999998</v>
      </c>
      <c r="H142" s="907"/>
      <c r="I142" s="905" t="s">
        <v>274</v>
      </c>
      <c r="J142" s="25">
        <f>ROWS($H$8:I142)</f>
        <v>135</v>
      </c>
      <c r="K142" s="25" t="str">
        <f>IF(ID!$A$84=I142,J142,"")</f>
        <v/>
      </c>
      <c r="L142" s="25" t="str">
        <f>IFERROR(SMALL($K$8:$K$224,ROWS($K$8:K142)),"")</f>
        <v/>
      </c>
    </row>
    <row r="143" spans="2:12" x14ac:dyDescent="0.15">
      <c r="B143" s="563">
        <v>37</v>
      </c>
      <c r="C143" s="559">
        <v>-0.2</v>
      </c>
      <c r="D143" s="559">
        <v>0.5</v>
      </c>
      <c r="E143" s="563">
        <v>80</v>
      </c>
      <c r="F143" s="559">
        <v>-1.2</v>
      </c>
      <c r="G143" s="559">
        <v>2.2999999999999998</v>
      </c>
      <c r="H143" s="907"/>
      <c r="I143" s="905" t="s">
        <v>274</v>
      </c>
      <c r="J143" s="25">
        <f>ROWS($H$8:I143)</f>
        <v>136</v>
      </c>
      <c r="K143" s="25" t="str">
        <f>IF(ID!$A$84=I143,J143,"")</f>
        <v/>
      </c>
      <c r="L143" s="25" t="str">
        <f>IFERROR(SMALL($K$8:$K$224,ROWS($K$8:K143)),"")</f>
        <v/>
      </c>
    </row>
    <row r="144" spans="2:12" x14ac:dyDescent="0.15">
      <c r="B144" s="563">
        <v>40</v>
      </c>
      <c r="C144" s="570">
        <v>-0.2</v>
      </c>
      <c r="D144" s="559">
        <v>0.5</v>
      </c>
      <c r="E144" s="563">
        <v>90</v>
      </c>
      <c r="F144" s="570">
        <v>-1</v>
      </c>
      <c r="G144" s="559">
        <v>2.2999999999999998</v>
      </c>
      <c r="H144" s="907"/>
      <c r="I144" s="905" t="s">
        <v>274</v>
      </c>
      <c r="J144" s="25">
        <f>ROWS($H$8:I144)</f>
        <v>137</v>
      </c>
      <c r="K144" s="25" t="str">
        <f>IF(ID!$A$84=I144,J144,"")</f>
        <v/>
      </c>
      <c r="L144" s="25" t="str">
        <f>IFERROR(SMALL($K$8:$K$224,ROWS($K$8:K144)),"")</f>
        <v/>
      </c>
    </row>
    <row r="145" spans="2:12" x14ac:dyDescent="0.15">
      <c r="B145" s="566"/>
      <c r="C145" s="566"/>
      <c r="D145" s="566"/>
      <c r="E145" s="566"/>
      <c r="F145" s="566"/>
      <c r="G145" s="566"/>
      <c r="H145" s="566"/>
      <c r="I145" s="566"/>
      <c r="J145" s="25">
        <f>ROWS($H$8:I145)</f>
        <v>138</v>
      </c>
      <c r="K145" s="25" t="str">
        <f>IF(ID!$A$84=I145,J145,"")</f>
        <v/>
      </c>
      <c r="L145" s="25" t="str">
        <f>IFERROR(SMALL($K$8:$K$224,ROWS($K$8:K145)),"")</f>
        <v/>
      </c>
    </row>
    <row r="146" spans="2:12" x14ac:dyDescent="0.15">
      <c r="B146" s="566"/>
      <c r="C146" s="566"/>
      <c r="D146" s="566"/>
      <c r="E146" s="566"/>
      <c r="F146" s="566"/>
      <c r="G146" s="566"/>
      <c r="H146" s="566"/>
      <c r="I146" s="566"/>
      <c r="J146" s="25">
        <f>ROWS($H$8:I146)</f>
        <v>139</v>
      </c>
      <c r="K146" s="25" t="str">
        <f>IF(ID!$A$84=I146,J146,"")</f>
        <v/>
      </c>
      <c r="L146" s="25" t="str">
        <f>IFERROR(SMALL($K$8:$K$224,ROWS($K$8:K146)),"")</f>
        <v/>
      </c>
    </row>
    <row r="147" spans="2:12" x14ac:dyDescent="0.15">
      <c r="B147" s="566"/>
      <c r="C147" s="566"/>
      <c r="D147" s="566"/>
      <c r="E147" s="566"/>
      <c r="F147" s="566"/>
      <c r="G147" s="566"/>
      <c r="H147" s="566"/>
      <c r="I147" s="566"/>
      <c r="J147" s="25">
        <f>ROWS($H$8:I147)</f>
        <v>140</v>
      </c>
      <c r="K147" s="25" t="str">
        <f>IF(ID!$A$84=I147,J147,"")</f>
        <v/>
      </c>
      <c r="L147" s="25" t="str">
        <f>IFERROR(SMALL($K$8:$K$224,ROWS($K$8:K147)),"")</f>
        <v/>
      </c>
    </row>
    <row r="148" spans="2:12" x14ac:dyDescent="0.15">
      <c r="B148" s="558">
        <v>15</v>
      </c>
      <c r="C148" s="559">
        <v>0.4</v>
      </c>
      <c r="D148" s="559">
        <v>0.5</v>
      </c>
      <c r="E148" s="558">
        <v>30</v>
      </c>
      <c r="F148" s="559">
        <v>-6.6</v>
      </c>
      <c r="G148" s="559">
        <v>2.9</v>
      </c>
      <c r="H148" s="907" t="s">
        <v>275</v>
      </c>
      <c r="I148" s="705" t="s">
        <v>296</v>
      </c>
      <c r="J148" s="25">
        <f>ROWS($H$8:I148)</f>
        <v>141</v>
      </c>
      <c r="K148" s="25" t="str">
        <f>IF(ID!$A$84=I148,J148,"")</f>
        <v/>
      </c>
      <c r="L148" s="25" t="str">
        <f>IFERROR(SMALL($K$8:$K$224,ROWS($K$8:K148)),"")</f>
        <v/>
      </c>
    </row>
    <row r="149" spans="2:12" x14ac:dyDescent="0.15">
      <c r="B149" s="558">
        <v>20</v>
      </c>
      <c r="C149" s="559">
        <v>0.4</v>
      </c>
      <c r="D149" s="559">
        <v>0.5</v>
      </c>
      <c r="E149" s="558">
        <v>40</v>
      </c>
      <c r="F149" s="559">
        <v>-5.8</v>
      </c>
      <c r="G149" s="559">
        <v>2.9</v>
      </c>
      <c r="H149" s="907"/>
      <c r="I149" s="705" t="s">
        <v>296</v>
      </c>
      <c r="J149" s="25">
        <f>ROWS($H$8:I149)</f>
        <v>142</v>
      </c>
      <c r="K149" s="25" t="str">
        <f>IF(ID!$A$84=I149,J149,"")</f>
        <v/>
      </c>
      <c r="L149" s="25" t="str">
        <f>IFERROR(SMALL($K$8:$K$224,ROWS($K$8:K149)),"")</f>
        <v/>
      </c>
    </row>
    <row r="150" spans="2:12" x14ac:dyDescent="0.15">
      <c r="B150" s="558">
        <v>25</v>
      </c>
      <c r="C150" s="559">
        <v>0.4</v>
      </c>
      <c r="D150" s="559">
        <v>0.5</v>
      </c>
      <c r="E150" s="558">
        <v>50</v>
      </c>
      <c r="F150" s="559">
        <v>-5.0999999999999996</v>
      </c>
      <c r="G150" s="559">
        <v>2.9</v>
      </c>
      <c r="H150" s="907"/>
      <c r="I150" s="705" t="s">
        <v>296</v>
      </c>
      <c r="J150" s="25">
        <f>ROWS($H$8:I150)</f>
        <v>143</v>
      </c>
      <c r="K150" s="25" t="str">
        <f>IF(ID!$A$84=I150,J150,"")</f>
        <v/>
      </c>
      <c r="L150" s="25" t="str">
        <f>IFERROR(SMALL($K$8:$K$224,ROWS($K$8:K150)),"")</f>
        <v/>
      </c>
    </row>
    <row r="151" spans="2:12" x14ac:dyDescent="0.15">
      <c r="B151" s="558">
        <v>30</v>
      </c>
      <c r="C151" s="559">
        <v>0.3</v>
      </c>
      <c r="D151" s="559">
        <v>0.5</v>
      </c>
      <c r="E151" s="558">
        <v>60</v>
      </c>
      <c r="F151" s="559">
        <v>-4.4000000000000004</v>
      </c>
      <c r="G151" s="559">
        <v>2.9</v>
      </c>
      <c r="H151" s="907"/>
      <c r="I151" s="705" t="s">
        <v>296</v>
      </c>
      <c r="J151" s="25">
        <f>ROWS($H$8:I151)</f>
        <v>144</v>
      </c>
      <c r="K151" s="25" t="str">
        <f>IF(ID!$A$84=I151,J151,"")</f>
        <v/>
      </c>
      <c r="L151" s="25" t="str">
        <f>IFERROR(SMALL($K$8:$K$224,ROWS($K$8:K151)),"")</f>
        <v/>
      </c>
    </row>
    <row r="152" spans="2:12" x14ac:dyDescent="0.15">
      <c r="B152" s="558">
        <v>35</v>
      </c>
      <c r="C152" s="559">
        <v>0.2</v>
      </c>
      <c r="D152" s="559">
        <v>0.5</v>
      </c>
      <c r="E152" s="558">
        <v>70</v>
      </c>
      <c r="F152" s="559">
        <v>-3.6</v>
      </c>
      <c r="G152" s="559">
        <v>2.9</v>
      </c>
      <c r="H152" s="907"/>
      <c r="I152" s="705" t="s">
        <v>296</v>
      </c>
      <c r="J152" s="25">
        <f>ROWS($H$8:I152)</f>
        <v>145</v>
      </c>
      <c r="K152" s="25" t="str">
        <f>IF(ID!$A$84=I152,J152,"")</f>
        <v/>
      </c>
      <c r="L152" s="25" t="str">
        <f>IFERROR(SMALL($K$8:$K$224,ROWS($K$8:K152)),"")</f>
        <v/>
      </c>
    </row>
    <row r="153" spans="2:12" x14ac:dyDescent="0.15">
      <c r="B153" s="563">
        <v>37</v>
      </c>
      <c r="C153" s="559">
        <v>0.2</v>
      </c>
      <c r="D153" s="559">
        <v>0.5</v>
      </c>
      <c r="E153" s="563">
        <v>80</v>
      </c>
      <c r="F153" s="559">
        <v>-2.9</v>
      </c>
      <c r="G153" s="559">
        <v>2.9</v>
      </c>
      <c r="H153" s="907"/>
      <c r="I153" s="705" t="s">
        <v>296</v>
      </c>
      <c r="J153" s="25">
        <f>ROWS($H$8:I153)</f>
        <v>146</v>
      </c>
      <c r="K153" s="25" t="str">
        <f>IF(ID!$A$84=I153,J153,"")</f>
        <v/>
      </c>
      <c r="L153" s="25" t="str">
        <f>IFERROR(SMALL($K$8:$K$224,ROWS($K$8:K153)),"")</f>
        <v/>
      </c>
    </row>
    <row r="154" spans="2:12" x14ac:dyDescent="0.15">
      <c r="B154" s="563">
        <v>40</v>
      </c>
      <c r="C154" s="570">
        <v>0.1</v>
      </c>
      <c r="D154" s="559">
        <v>0.5</v>
      </c>
      <c r="E154" s="563">
        <v>90</v>
      </c>
      <c r="F154" s="560">
        <v>-2.2999999999999998</v>
      </c>
      <c r="G154" s="559">
        <v>2.9</v>
      </c>
      <c r="H154" s="908"/>
      <c r="I154" s="705" t="s">
        <v>296</v>
      </c>
      <c r="J154" s="25">
        <f>ROWS($H$8:I154)</f>
        <v>147</v>
      </c>
      <c r="K154" s="25" t="str">
        <f>IF(ID!$A$84=I154,J154,"")</f>
        <v/>
      </c>
      <c r="L154" s="25" t="str">
        <f>IFERROR(SMALL($K$8:$K$224,ROWS($K$8:K154)),"")</f>
        <v/>
      </c>
    </row>
    <row r="155" spans="2:12" x14ac:dyDescent="0.15">
      <c r="B155" s="566"/>
      <c r="C155" s="566"/>
      <c r="D155" s="566"/>
      <c r="E155" s="566"/>
      <c r="F155" s="566"/>
      <c r="G155" s="566"/>
      <c r="H155" s="566"/>
      <c r="I155" s="566"/>
      <c r="J155" s="25">
        <f>ROWS($H$8:I155)</f>
        <v>148</v>
      </c>
      <c r="K155" s="25" t="str">
        <f>IF(ID!$A$84=I155,J155,"")</f>
        <v/>
      </c>
      <c r="L155" s="25" t="str">
        <f>IFERROR(SMALL($K$8:$K$224,ROWS($K$8:K155)),"")</f>
        <v/>
      </c>
    </row>
    <row r="156" spans="2:12" x14ac:dyDescent="0.15">
      <c r="B156" s="566"/>
      <c r="C156" s="566"/>
      <c r="D156" s="566"/>
      <c r="E156" s="566"/>
      <c r="F156" s="566"/>
      <c r="G156" s="566"/>
      <c r="H156" s="566"/>
      <c r="I156" s="566"/>
      <c r="J156" s="25">
        <f>ROWS($H$8:I156)</f>
        <v>149</v>
      </c>
      <c r="K156" s="25" t="str">
        <f>IF(ID!$A$84=I156,J156,"")</f>
        <v/>
      </c>
      <c r="L156" s="25" t="str">
        <f>IFERROR(SMALL($K$8:$K$224,ROWS($K$8:K156)),"")</f>
        <v/>
      </c>
    </row>
    <row r="157" spans="2:12" x14ac:dyDescent="0.15">
      <c r="B157" s="566"/>
      <c r="C157" s="566"/>
      <c r="D157" s="566"/>
      <c r="E157" s="566"/>
      <c r="F157" s="566"/>
      <c r="G157" s="566"/>
      <c r="H157" s="566"/>
      <c r="I157" s="566"/>
      <c r="J157" s="25">
        <f>ROWS($H$8:I157)</f>
        <v>150</v>
      </c>
      <c r="K157" s="25" t="str">
        <f>IF(ID!$A$84=I157,J157,"")</f>
        <v/>
      </c>
      <c r="L157" s="25" t="str">
        <f>IFERROR(SMALL($K$8:$K$224,ROWS($K$8:K157)),"")</f>
        <v/>
      </c>
    </row>
    <row r="158" spans="2:12" x14ac:dyDescent="0.15">
      <c r="B158" s="558">
        <v>15</v>
      </c>
      <c r="C158" s="559">
        <v>0.2</v>
      </c>
      <c r="D158" s="559">
        <v>0.7</v>
      </c>
      <c r="E158" s="558">
        <v>30</v>
      </c>
      <c r="F158" s="559">
        <v>-6.2</v>
      </c>
      <c r="G158" s="559">
        <v>2.7</v>
      </c>
      <c r="H158" s="907" t="s">
        <v>275</v>
      </c>
      <c r="I158" s="705" t="s">
        <v>276</v>
      </c>
      <c r="J158" s="25">
        <f>ROWS($H$8:I158)</f>
        <v>151</v>
      </c>
      <c r="K158" s="25" t="str">
        <f>IF(ID!$A$84=I158,J158,"")</f>
        <v/>
      </c>
      <c r="L158" s="25" t="str">
        <f>IFERROR(SMALL($K$8:$K$224,ROWS($K$8:K158)),"")</f>
        <v/>
      </c>
    </row>
    <row r="159" spans="2:12" x14ac:dyDescent="0.15">
      <c r="B159" s="558">
        <v>20</v>
      </c>
      <c r="C159" s="559">
        <v>0.2</v>
      </c>
      <c r="D159" s="559">
        <v>0.7</v>
      </c>
      <c r="E159" s="558">
        <v>40</v>
      </c>
      <c r="F159" s="559">
        <v>-5.7</v>
      </c>
      <c r="G159" s="559">
        <v>2.7</v>
      </c>
      <c r="H159" s="907"/>
      <c r="I159" s="705" t="s">
        <v>276</v>
      </c>
      <c r="J159" s="25">
        <f>ROWS($H$8:I159)</f>
        <v>152</v>
      </c>
      <c r="K159" s="25" t="str">
        <f>IF(ID!$A$84=I159,J159,"")</f>
        <v/>
      </c>
      <c r="L159" s="25" t="str">
        <f>IFERROR(SMALL($K$8:$K$224,ROWS($K$8:K159)),"")</f>
        <v/>
      </c>
    </row>
    <row r="160" spans="2:12" x14ac:dyDescent="0.15">
      <c r="B160" s="558">
        <v>25</v>
      </c>
      <c r="C160" s="559">
        <v>0.1</v>
      </c>
      <c r="D160" s="559">
        <v>0.7</v>
      </c>
      <c r="E160" s="558">
        <v>50</v>
      </c>
      <c r="F160" s="559">
        <v>-5.2</v>
      </c>
      <c r="G160" s="559">
        <v>2.7</v>
      </c>
      <c r="H160" s="907"/>
      <c r="I160" s="705" t="s">
        <v>276</v>
      </c>
      <c r="J160" s="25">
        <f>ROWS($H$8:I160)</f>
        <v>153</v>
      </c>
      <c r="K160" s="25" t="str">
        <f>IF(ID!$A$84=I160,J160,"")</f>
        <v/>
      </c>
      <c r="L160" s="25" t="str">
        <f>IFERROR(SMALL($K$8:$K$224,ROWS($K$8:K160)),"")</f>
        <v/>
      </c>
    </row>
    <row r="161" spans="2:12" x14ac:dyDescent="0.15">
      <c r="B161" s="558">
        <v>30</v>
      </c>
      <c r="C161" s="559">
        <v>0.2</v>
      </c>
      <c r="D161" s="559">
        <v>0.7</v>
      </c>
      <c r="E161" s="558">
        <v>60</v>
      </c>
      <c r="F161" s="559">
        <v>-4.5999999999999996</v>
      </c>
      <c r="G161" s="559">
        <v>2.7</v>
      </c>
      <c r="H161" s="907"/>
      <c r="I161" s="705" t="s">
        <v>276</v>
      </c>
      <c r="J161" s="25">
        <f>ROWS($H$8:I161)</f>
        <v>154</v>
      </c>
      <c r="K161" s="25" t="str">
        <f>IF(ID!$A$84=I161,J161,"")</f>
        <v/>
      </c>
      <c r="L161" s="25" t="str">
        <f>IFERROR(SMALL($K$8:$K$224,ROWS($K$8:K161)),"")</f>
        <v/>
      </c>
    </row>
    <row r="162" spans="2:12" x14ac:dyDescent="0.15">
      <c r="B162" s="558">
        <v>35</v>
      </c>
      <c r="C162" s="559">
        <v>0.3</v>
      </c>
      <c r="D162" s="559">
        <v>0.7</v>
      </c>
      <c r="E162" s="558">
        <v>70</v>
      </c>
      <c r="F162" s="559">
        <v>-3.9</v>
      </c>
      <c r="G162" s="559">
        <v>2.7</v>
      </c>
      <c r="H162" s="907"/>
      <c r="I162" s="705" t="s">
        <v>276</v>
      </c>
      <c r="J162" s="25">
        <f>ROWS($H$8:I162)</f>
        <v>155</v>
      </c>
      <c r="K162" s="25" t="str">
        <f>IF(ID!$A$84=I162,J162,"")</f>
        <v/>
      </c>
      <c r="L162" s="25" t="str">
        <f>IFERROR(SMALL($K$8:$K$224,ROWS($K$8:K162)),"")</f>
        <v/>
      </c>
    </row>
    <row r="163" spans="2:12" x14ac:dyDescent="0.15">
      <c r="B163" s="563">
        <v>37</v>
      </c>
      <c r="C163" s="559">
        <v>0.4</v>
      </c>
      <c r="D163" s="559">
        <v>0.7</v>
      </c>
      <c r="E163" s="563">
        <v>80</v>
      </c>
      <c r="F163" s="559">
        <v>-3.2</v>
      </c>
      <c r="G163" s="559">
        <v>2.7</v>
      </c>
      <c r="H163" s="907"/>
      <c r="I163" s="705" t="s">
        <v>276</v>
      </c>
      <c r="J163" s="25">
        <f>ROWS($H$8:I163)</f>
        <v>156</v>
      </c>
      <c r="K163" s="25" t="str">
        <f>IF(ID!$A$84=I163,J163,"")</f>
        <v/>
      </c>
      <c r="L163" s="25" t="str">
        <f>IFERROR(SMALL($K$8:$K$224,ROWS($K$8:K163)),"")</f>
        <v/>
      </c>
    </row>
    <row r="164" spans="2:12" x14ac:dyDescent="0.15">
      <c r="B164" s="563">
        <v>40</v>
      </c>
      <c r="C164" s="560">
        <v>0.5</v>
      </c>
      <c r="D164" s="559">
        <v>0.7</v>
      </c>
      <c r="E164" s="563">
        <v>90</v>
      </c>
      <c r="F164" s="560">
        <v>-2.4</v>
      </c>
      <c r="G164" s="559">
        <v>2.7</v>
      </c>
      <c r="H164" s="907"/>
      <c r="I164" s="705" t="s">
        <v>276</v>
      </c>
      <c r="J164" s="25">
        <f>ROWS($H$8:I164)</f>
        <v>157</v>
      </c>
      <c r="K164" s="25" t="str">
        <f>IF(ID!$A$84=I164,J164,"")</f>
        <v/>
      </c>
      <c r="L164" s="25" t="str">
        <f>IFERROR(SMALL($K$8:$K$224,ROWS($K$8:K164)),"")</f>
        <v/>
      </c>
    </row>
    <row r="165" spans="2:12" x14ac:dyDescent="0.15">
      <c r="B165" s="566"/>
      <c r="C165" s="566"/>
      <c r="D165" s="566"/>
      <c r="E165" s="566"/>
      <c r="F165" s="566"/>
      <c r="G165" s="566"/>
      <c r="H165" s="566"/>
      <c r="I165" s="566"/>
      <c r="J165" s="25">
        <f>ROWS($H$8:I165)</f>
        <v>158</v>
      </c>
      <c r="K165" s="25" t="str">
        <f>IF(ID!$A$84=I165,J165,"")</f>
        <v/>
      </c>
      <c r="L165" s="25" t="str">
        <f>IFERROR(SMALL($K$8:$K$224,ROWS($K$8:K165)),"")</f>
        <v/>
      </c>
    </row>
    <row r="166" spans="2:12" x14ac:dyDescent="0.15">
      <c r="B166" s="566"/>
      <c r="C166" s="566"/>
      <c r="D166" s="566"/>
      <c r="E166" s="566"/>
      <c r="F166" s="566"/>
      <c r="G166" s="566"/>
      <c r="H166" s="566"/>
      <c r="I166" s="566"/>
      <c r="J166" s="25">
        <f>ROWS($H$8:I166)</f>
        <v>159</v>
      </c>
      <c r="K166" s="25" t="str">
        <f>IF(ID!$A$84=I166,J166,"")</f>
        <v/>
      </c>
      <c r="L166" s="25" t="str">
        <f>IFERROR(SMALL($K$8:$K$224,ROWS($K$8:K166)),"")</f>
        <v/>
      </c>
    </row>
    <row r="167" spans="2:12" x14ac:dyDescent="0.15">
      <c r="B167" s="566"/>
      <c r="C167" s="566"/>
      <c r="D167" s="566"/>
      <c r="E167" s="566"/>
      <c r="F167" s="566"/>
      <c r="G167" s="566"/>
      <c r="H167" s="566"/>
      <c r="I167" s="566"/>
      <c r="J167" s="25">
        <f>ROWS($H$8:I167)</f>
        <v>160</v>
      </c>
      <c r="K167" s="25" t="str">
        <f>IF(ID!$A$84=I167,J167,"")</f>
        <v/>
      </c>
      <c r="L167" s="25" t="str">
        <f>IFERROR(SMALL($K$8:$K$224,ROWS($K$8:K167)),"")</f>
        <v/>
      </c>
    </row>
    <row r="168" spans="2:12" x14ac:dyDescent="0.15">
      <c r="B168" s="558">
        <v>15</v>
      </c>
      <c r="C168" s="559">
        <v>0.2</v>
      </c>
      <c r="D168" s="559">
        <v>0.5</v>
      </c>
      <c r="E168" s="558">
        <v>30</v>
      </c>
      <c r="F168" s="559">
        <v>-3.8</v>
      </c>
      <c r="G168" s="559">
        <v>2.2000000000000002</v>
      </c>
      <c r="H168" s="907" t="s">
        <v>275</v>
      </c>
      <c r="I168" s="705" t="s">
        <v>277</v>
      </c>
      <c r="J168" s="25">
        <f>ROWS($H$8:I168)</f>
        <v>161</v>
      </c>
      <c r="K168" s="25" t="str">
        <f>IF(ID!$A$84=I168,J168,"")</f>
        <v/>
      </c>
      <c r="L168" s="25" t="str">
        <f>IFERROR(SMALL($K$8:$K$224,ROWS($K$8:K168)),"")</f>
        <v/>
      </c>
    </row>
    <row r="169" spans="2:12" x14ac:dyDescent="0.15">
      <c r="B169" s="558">
        <v>20</v>
      </c>
      <c r="C169" s="559">
        <v>0.2</v>
      </c>
      <c r="D169" s="559">
        <v>0.5</v>
      </c>
      <c r="E169" s="558">
        <v>40</v>
      </c>
      <c r="F169" s="559">
        <v>-4</v>
      </c>
      <c r="G169" s="559">
        <v>2.2000000000000002</v>
      </c>
      <c r="H169" s="907"/>
      <c r="I169" s="705" t="s">
        <v>277</v>
      </c>
      <c r="J169" s="25">
        <f>ROWS($H$8:I169)</f>
        <v>162</v>
      </c>
      <c r="K169" s="25" t="str">
        <f>IF(ID!$A$84=I169,J169,"")</f>
        <v/>
      </c>
      <c r="L169" s="25" t="str">
        <f>IFERROR(SMALL($K$8:$K$224,ROWS($K$8:K169)),"")</f>
        <v/>
      </c>
    </row>
    <row r="170" spans="2:12" x14ac:dyDescent="0.15">
      <c r="B170" s="558">
        <v>25</v>
      </c>
      <c r="C170" s="559">
        <v>0.1</v>
      </c>
      <c r="D170" s="559">
        <v>0.5</v>
      </c>
      <c r="E170" s="558">
        <v>50</v>
      </c>
      <c r="F170" s="559">
        <v>-4.0999999999999996</v>
      </c>
      <c r="G170" s="559">
        <v>2.2000000000000002</v>
      </c>
      <c r="H170" s="907"/>
      <c r="I170" s="705" t="s">
        <v>277</v>
      </c>
      <c r="J170" s="25">
        <f>ROWS($H$8:I170)</f>
        <v>163</v>
      </c>
      <c r="K170" s="25" t="str">
        <f>IF(ID!$A$84=I170,J170,"")</f>
        <v/>
      </c>
      <c r="L170" s="25" t="str">
        <f>IFERROR(SMALL($K$8:$K$224,ROWS($K$8:K170)),"")</f>
        <v/>
      </c>
    </row>
    <row r="171" spans="2:12" x14ac:dyDescent="0.15">
      <c r="B171" s="558">
        <v>30</v>
      </c>
      <c r="C171" s="559">
        <v>-0.1</v>
      </c>
      <c r="D171" s="559">
        <v>0.5</v>
      </c>
      <c r="E171" s="558">
        <v>60</v>
      </c>
      <c r="F171" s="559">
        <v>-4.0999999999999996</v>
      </c>
      <c r="G171" s="559">
        <v>2.2000000000000002</v>
      </c>
      <c r="H171" s="907"/>
      <c r="I171" s="705" t="s">
        <v>277</v>
      </c>
      <c r="J171" s="25">
        <f>ROWS($H$8:I171)</f>
        <v>164</v>
      </c>
      <c r="K171" s="25" t="str">
        <f>IF(ID!$A$84=I171,J171,"")</f>
        <v/>
      </c>
      <c r="L171" s="25" t="str">
        <f>IFERROR(SMALL($K$8:$K$224,ROWS($K$8:K171)),"")</f>
        <v/>
      </c>
    </row>
    <row r="172" spans="2:12" x14ac:dyDescent="0.15">
      <c r="B172" s="558">
        <v>35</v>
      </c>
      <c r="C172" s="559">
        <v>-0.3</v>
      </c>
      <c r="D172" s="559">
        <v>0.5</v>
      </c>
      <c r="E172" s="558">
        <v>70</v>
      </c>
      <c r="F172" s="559">
        <v>-4</v>
      </c>
      <c r="G172" s="559">
        <v>2.2000000000000002</v>
      </c>
      <c r="H172" s="907"/>
      <c r="I172" s="705" t="s">
        <v>277</v>
      </c>
      <c r="J172" s="25">
        <f>ROWS($H$8:I172)</f>
        <v>165</v>
      </c>
      <c r="K172" s="25" t="str">
        <f>IF(ID!$A$84=I172,J172,"")</f>
        <v/>
      </c>
      <c r="L172" s="25" t="str">
        <f>IFERROR(SMALL($K$8:$K$224,ROWS($K$8:K172)),"")</f>
        <v/>
      </c>
    </row>
    <row r="173" spans="2:12" x14ac:dyDescent="0.15">
      <c r="B173" s="563">
        <v>37</v>
      </c>
      <c r="C173" s="559">
        <v>-0.4</v>
      </c>
      <c r="D173" s="559">
        <v>0.5</v>
      </c>
      <c r="E173" s="563">
        <v>80</v>
      </c>
      <c r="F173" s="559">
        <v>-3.9</v>
      </c>
      <c r="G173" s="559">
        <v>2.2000000000000002</v>
      </c>
      <c r="H173" s="907"/>
      <c r="I173" s="705" t="s">
        <v>277</v>
      </c>
      <c r="J173" s="25">
        <f>ROWS($H$8:I173)</f>
        <v>166</v>
      </c>
      <c r="K173" s="25" t="str">
        <f>IF(ID!$A$84=I173,J173,"")</f>
        <v/>
      </c>
      <c r="L173" s="25" t="str">
        <f>IFERROR(SMALL($K$8:$K$224,ROWS($K$8:K173)),"")</f>
        <v/>
      </c>
    </row>
    <row r="174" spans="2:12" x14ac:dyDescent="0.15">
      <c r="B174" s="563">
        <v>40</v>
      </c>
      <c r="C174" s="560">
        <v>-0.5</v>
      </c>
      <c r="D174" s="559">
        <v>0.5</v>
      </c>
      <c r="E174" s="563">
        <v>90</v>
      </c>
      <c r="F174" s="560">
        <v>-3.7</v>
      </c>
      <c r="G174" s="559">
        <v>2.2000000000000002</v>
      </c>
      <c r="H174" s="907"/>
      <c r="I174" s="705" t="s">
        <v>277</v>
      </c>
      <c r="J174" s="25">
        <f>ROWS($H$8:I174)</f>
        <v>167</v>
      </c>
      <c r="K174" s="25" t="str">
        <f>IF(ID!$A$84=I174,J174,"")</f>
        <v/>
      </c>
      <c r="L174" s="25" t="str">
        <f>IFERROR(SMALL($K$8:$K$224,ROWS($K$8:K174)),"")</f>
        <v/>
      </c>
    </row>
    <row r="175" spans="2:12" x14ac:dyDescent="0.15">
      <c r="B175" s="566"/>
      <c r="C175" s="566"/>
      <c r="D175" s="566"/>
      <c r="E175" s="566"/>
      <c r="F175" s="566"/>
      <c r="G175" s="566"/>
      <c r="H175" s="566"/>
      <c r="I175" s="566"/>
      <c r="J175" s="25">
        <f>ROWS($H$8:I175)</f>
        <v>168</v>
      </c>
      <c r="K175" s="25" t="str">
        <f>IF(ID!$A$84=I175,J175,"")</f>
        <v/>
      </c>
      <c r="L175" s="25" t="str">
        <f>IFERROR(SMALL($K$8:$K$224,ROWS($K$8:K175)),"")</f>
        <v/>
      </c>
    </row>
    <row r="176" spans="2:12" x14ac:dyDescent="0.15">
      <c r="B176" s="566"/>
      <c r="C176" s="566"/>
      <c r="D176" s="566"/>
      <c r="E176" s="566"/>
      <c r="F176" s="566"/>
      <c r="G176" s="566"/>
      <c r="H176" s="566"/>
      <c r="I176" s="566"/>
      <c r="J176" s="25">
        <f>ROWS($H$8:I176)</f>
        <v>169</v>
      </c>
      <c r="K176" s="25" t="str">
        <f>IF(ID!$A$84=I176,J176,"")</f>
        <v/>
      </c>
      <c r="L176" s="25" t="str">
        <f>IFERROR(SMALL($K$8:$K$224,ROWS($K$8:K176)),"")</f>
        <v/>
      </c>
    </row>
    <row r="177" spans="2:12" x14ac:dyDescent="0.15">
      <c r="B177" s="566"/>
      <c r="C177" s="566"/>
      <c r="D177" s="566"/>
      <c r="E177" s="566"/>
      <c r="F177" s="566"/>
      <c r="G177" s="566"/>
      <c r="H177" s="566"/>
      <c r="I177" s="566"/>
      <c r="J177" s="25">
        <f>ROWS($H$8:I177)</f>
        <v>170</v>
      </c>
      <c r="K177" s="25" t="str">
        <f>IF(ID!$A$84=I177,J177,"")</f>
        <v/>
      </c>
      <c r="L177" s="25" t="str">
        <f>IFERROR(SMALL($K$8:$K$224,ROWS($K$8:K177)),"")</f>
        <v/>
      </c>
    </row>
    <row r="178" spans="2:12" x14ac:dyDescent="0.15">
      <c r="B178" s="558">
        <v>15</v>
      </c>
      <c r="C178" s="559">
        <v>0</v>
      </c>
      <c r="D178" s="559">
        <v>0.3</v>
      </c>
      <c r="E178" s="558">
        <v>30</v>
      </c>
      <c r="F178" s="559">
        <v>-0.4</v>
      </c>
      <c r="G178" s="559">
        <v>2</v>
      </c>
      <c r="H178" s="723" t="s">
        <v>323</v>
      </c>
      <c r="I178" s="905" t="s">
        <v>319</v>
      </c>
      <c r="J178" s="25">
        <f>ROWS($H$8:I178)</f>
        <v>171</v>
      </c>
      <c r="K178" s="25" t="str">
        <f>IF(ID!$A$84=I178,J178,"")</f>
        <v/>
      </c>
      <c r="L178" s="25" t="str">
        <f>IFERROR(SMALL($K$8:$K$224,ROWS($K$8:K178)),"")</f>
        <v/>
      </c>
    </row>
    <row r="179" spans="2:12" x14ac:dyDescent="0.15">
      <c r="B179" s="558">
        <v>20</v>
      </c>
      <c r="C179" s="559">
        <v>0</v>
      </c>
      <c r="D179" s="559">
        <v>0.3</v>
      </c>
      <c r="E179" s="558">
        <v>40</v>
      </c>
      <c r="F179" s="559">
        <v>-0.1</v>
      </c>
      <c r="G179" s="559">
        <v>2</v>
      </c>
      <c r="H179" s="909"/>
      <c r="I179" s="905" t="s">
        <v>319</v>
      </c>
      <c r="J179" s="25">
        <f>ROWS($H$8:I179)</f>
        <v>172</v>
      </c>
      <c r="K179" s="25" t="str">
        <f>IF(ID!$A$84=I179,J179,"")</f>
        <v/>
      </c>
      <c r="L179" s="25" t="str">
        <f>IFERROR(SMALL($K$8:$K$224,ROWS($K$8:K179)),"")</f>
        <v/>
      </c>
    </row>
    <row r="180" spans="2:12" x14ac:dyDescent="0.15">
      <c r="B180" s="558">
        <v>25</v>
      </c>
      <c r="C180" s="559">
        <v>0</v>
      </c>
      <c r="D180" s="559">
        <v>0.3</v>
      </c>
      <c r="E180" s="558">
        <v>50</v>
      </c>
      <c r="F180" s="559">
        <v>0</v>
      </c>
      <c r="G180" s="559">
        <v>2</v>
      </c>
      <c r="H180" s="909"/>
      <c r="I180" s="905" t="s">
        <v>319</v>
      </c>
      <c r="J180" s="25">
        <f>ROWS($H$8:I180)</f>
        <v>173</v>
      </c>
      <c r="K180" s="25" t="str">
        <f>IF(ID!$A$84=I180,J180,"")</f>
        <v/>
      </c>
      <c r="L180" s="25" t="str">
        <f>IFERROR(SMALL($K$8:$K$224,ROWS($K$8:K180)),"")</f>
        <v/>
      </c>
    </row>
    <row r="181" spans="2:12" x14ac:dyDescent="0.15">
      <c r="B181" s="558">
        <v>30</v>
      </c>
      <c r="C181" s="559">
        <v>-0.1</v>
      </c>
      <c r="D181" s="559">
        <v>0.3</v>
      </c>
      <c r="E181" s="558">
        <v>60</v>
      </c>
      <c r="F181" s="559">
        <v>0</v>
      </c>
      <c r="G181" s="559">
        <v>2</v>
      </c>
      <c r="H181" s="909"/>
      <c r="I181" s="905" t="s">
        <v>319</v>
      </c>
      <c r="J181" s="25">
        <f>ROWS($H$8:I181)</f>
        <v>174</v>
      </c>
      <c r="K181" s="25" t="str">
        <f>IF(ID!$A$84=I181,J181,"")</f>
        <v/>
      </c>
      <c r="L181" s="25" t="str">
        <f>IFERROR(SMALL($K$8:$K$224,ROWS($K$8:K181)),"")</f>
        <v/>
      </c>
    </row>
    <row r="182" spans="2:12" x14ac:dyDescent="0.15">
      <c r="B182" s="558">
        <v>35</v>
      </c>
      <c r="C182" s="559">
        <v>-0.2</v>
      </c>
      <c r="D182" s="559">
        <v>0.3</v>
      </c>
      <c r="E182" s="558">
        <v>70</v>
      </c>
      <c r="F182" s="559">
        <v>-0.1</v>
      </c>
      <c r="G182" s="559">
        <v>2</v>
      </c>
      <c r="H182" s="909"/>
      <c r="I182" s="905" t="s">
        <v>319</v>
      </c>
      <c r="J182" s="25">
        <f>ROWS($H$8:I182)</f>
        <v>175</v>
      </c>
      <c r="K182" s="25" t="str">
        <f>IF(ID!$A$84=I182,J182,"")</f>
        <v/>
      </c>
      <c r="L182" s="25" t="str">
        <f>IFERROR(SMALL($K$8:$K$224,ROWS($K$8:K182)),"")</f>
        <v/>
      </c>
    </row>
    <row r="183" spans="2:12" x14ac:dyDescent="0.15">
      <c r="B183" s="563">
        <v>37</v>
      </c>
      <c r="C183" s="559">
        <v>-0.3</v>
      </c>
      <c r="D183" s="559">
        <v>0.3</v>
      </c>
      <c r="E183" s="563">
        <v>80</v>
      </c>
      <c r="F183" s="559">
        <v>-0.5</v>
      </c>
      <c r="G183" s="559">
        <v>2</v>
      </c>
      <c r="H183" s="909"/>
      <c r="I183" s="905" t="s">
        <v>319</v>
      </c>
      <c r="J183" s="25">
        <f>ROWS($H$8:I183)</f>
        <v>176</v>
      </c>
      <c r="K183" s="25" t="str">
        <f>IF(ID!$A$84=I183,J183,"")</f>
        <v/>
      </c>
      <c r="L183" s="25" t="str">
        <f>IFERROR(SMALL($K$8:$K$224,ROWS($K$8:K183)),"")</f>
        <v/>
      </c>
    </row>
    <row r="184" spans="2:12" x14ac:dyDescent="0.15">
      <c r="B184" s="563">
        <v>40</v>
      </c>
      <c r="C184" s="560">
        <v>-0.4</v>
      </c>
      <c r="D184" s="559">
        <v>0.3</v>
      </c>
      <c r="E184" s="563">
        <v>90</v>
      </c>
      <c r="F184" s="560">
        <v>-0.9</v>
      </c>
      <c r="G184" s="559">
        <v>2</v>
      </c>
      <c r="H184" s="909"/>
      <c r="I184" s="905" t="s">
        <v>319</v>
      </c>
      <c r="J184" s="25">
        <f>ROWS($H$8:I184)</f>
        <v>177</v>
      </c>
      <c r="K184" s="25" t="str">
        <f>IF(ID!$A$84=I184,J184,"")</f>
        <v/>
      </c>
      <c r="L184" s="25" t="str">
        <f>IFERROR(SMALL($K$8:$K$224,ROWS($K$8:K184)),"")</f>
        <v/>
      </c>
    </row>
    <row r="185" spans="2:12" x14ac:dyDescent="0.15">
      <c r="B185" s="566"/>
      <c r="C185" s="566"/>
      <c r="D185" s="566"/>
      <c r="E185" s="566"/>
      <c r="F185" s="566"/>
      <c r="G185" s="566"/>
      <c r="H185" s="566"/>
      <c r="I185" s="566"/>
      <c r="J185" s="25">
        <f>ROWS($H$8:I185)</f>
        <v>178</v>
      </c>
      <c r="K185" s="25" t="str">
        <f>IF(ID!$A$84=I185,J185,"")</f>
        <v/>
      </c>
      <c r="L185" s="25" t="str">
        <f>IFERROR(SMALL($K$8:$K$224,ROWS($K$8:K185)),"")</f>
        <v/>
      </c>
    </row>
    <row r="186" spans="2:12" x14ac:dyDescent="0.15">
      <c r="B186" s="566"/>
      <c r="C186" s="566"/>
      <c r="D186" s="566"/>
      <c r="E186" s="566"/>
      <c r="F186" s="566"/>
      <c r="G186" s="566"/>
      <c r="H186" s="566"/>
      <c r="I186" s="566"/>
      <c r="J186" s="25">
        <f>ROWS($H$8:I186)</f>
        <v>179</v>
      </c>
      <c r="K186" s="25" t="str">
        <f>IF(ID!$A$84=I186,J186,"")</f>
        <v/>
      </c>
      <c r="L186" s="25" t="str">
        <f>IFERROR(SMALL($K$8:$K$224,ROWS($K$8:K186)),"")</f>
        <v/>
      </c>
    </row>
    <row r="187" spans="2:12" x14ac:dyDescent="0.15">
      <c r="B187" s="566"/>
      <c r="C187" s="566"/>
      <c r="D187" s="566"/>
      <c r="E187" s="566"/>
      <c r="F187" s="566"/>
      <c r="G187" s="566"/>
      <c r="H187" s="566"/>
      <c r="I187" s="566"/>
      <c r="J187" s="25">
        <f>ROWS($H$8:I187)</f>
        <v>180</v>
      </c>
      <c r="K187" s="25" t="str">
        <f>IF(ID!$A$84=I187,J187,"")</f>
        <v/>
      </c>
      <c r="L187" s="25" t="str">
        <f>IFERROR(SMALL($K$8:$K$224,ROWS($K$8:K187)),"")</f>
        <v/>
      </c>
    </row>
    <row r="188" spans="2:12" x14ac:dyDescent="0.15">
      <c r="B188" s="558">
        <v>15</v>
      </c>
      <c r="C188" s="559">
        <v>0.1</v>
      </c>
      <c r="D188" s="559">
        <v>0.4</v>
      </c>
      <c r="E188" s="558">
        <v>30</v>
      </c>
      <c r="F188" s="559">
        <v>-1.6</v>
      </c>
      <c r="G188" s="559">
        <v>2.2000000000000002</v>
      </c>
      <c r="H188" s="723" t="s">
        <v>323</v>
      </c>
      <c r="I188" s="905" t="s">
        <v>320</v>
      </c>
      <c r="J188" s="25">
        <f>ROWS($H$8:I188)</f>
        <v>181</v>
      </c>
      <c r="K188" s="25" t="str">
        <f>IF(ID!$A$84=I188,J188,"")</f>
        <v/>
      </c>
      <c r="L188" s="25" t="str">
        <f>IFERROR(SMALL($K$8:$K$224,ROWS($K$8:K188)),"")</f>
        <v/>
      </c>
    </row>
    <row r="189" spans="2:12" x14ac:dyDescent="0.15">
      <c r="B189" s="558">
        <v>20</v>
      </c>
      <c r="C189" s="559">
        <v>0.2</v>
      </c>
      <c r="D189" s="559">
        <v>0.4</v>
      </c>
      <c r="E189" s="558">
        <v>40</v>
      </c>
      <c r="F189" s="559">
        <v>-1.4</v>
      </c>
      <c r="G189" s="559">
        <v>2.2000000000000002</v>
      </c>
      <c r="H189" s="909"/>
      <c r="I189" s="905" t="s">
        <v>320</v>
      </c>
      <c r="J189" s="25">
        <f>ROWS($H$8:I189)</f>
        <v>182</v>
      </c>
      <c r="K189" s="25" t="str">
        <f>IF(ID!$A$84=I189,J189,"")</f>
        <v/>
      </c>
      <c r="L189" s="25" t="str">
        <f>IFERROR(SMALL($K$8:$K$224,ROWS($K$8:K189)),"")</f>
        <v/>
      </c>
    </row>
    <row r="190" spans="2:12" x14ac:dyDescent="0.15">
      <c r="B190" s="558">
        <v>25</v>
      </c>
      <c r="C190" s="559">
        <v>0.2</v>
      </c>
      <c r="D190" s="559">
        <v>0.4</v>
      </c>
      <c r="E190" s="558">
        <v>50</v>
      </c>
      <c r="F190" s="559">
        <v>-1.4</v>
      </c>
      <c r="G190" s="559">
        <v>2.2000000000000002</v>
      </c>
      <c r="H190" s="909"/>
      <c r="I190" s="905" t="s">
        <v>320</v>
      </c>
      <c r="J190" s="25">
        <f>ROWS($H$8:I190)</f>
        <v>183</v>
      </c>
      <c r="K190" s="25" t="str">
        <f>IF(ID!$A$84=I190,J190,"")</f>
        <v/>
      </c>
      <c r="L190" s="25" t="str">
        <f>IFERROR(SMALL($K$8:$K$224,ROWS($K$8:K190)),"")</f>
        <v/>
      </c>
    </row>
    <row r="191" spans="2:12" x14ac:dyDescent="0.15">
      <c r="B191" s="558">
        <v>30</v>
      </c>
      <c r="C191" s="559">
        <v>0.2</v>
      </c>
      <c r="D191" s="559">
        <v>0.4</v>
      </c>
      <c r="E191" s="558">
        <v>60</v>
      </c>
      <c r="F191" s="559">
        <v>-1.5</v>
      </c>
      <c r="G191" s="559">
        <v>2.2000000000000002</v>
      </c>
      <c r="H191" s="909"/>
      <c r="I191" s="905" t="s">
        <v>320</v>
      </c>
      <c r="J191" s="25">
        <f>ROWS($H$8:I191)</f>
        <v>184</v>
      </c>
      <c r="K191" s="25" t="str">
        <f>IF(ID!$A$84=I191,J191,"")</f>
        <v/>
      </c>
      <c r="L191" s="25" t="str">
        <f>IFERROR(SMALL($K$8:$K$224,ROWS($K$8:K191)),"")</f>
        <v/>
      </c>
    </row>
    <row r="192" spans="2:12" x14ac:dyDescent="0.15">
      <c r="B192" s="558">
        <v>35</v>
      </c>
      <c r="C192" s="559">
        <v>0.1</v>
      </c>
      <c r="D192" s="559">
        <v>0.4</v>
      </c>
      <c r="E192" s="558">
        <v>70</v>
      </c>
      <c r="F192" s="559">
        <v>-1.8</v>
      </c>
      <c r="G192" s="559">
        <v>2.2000000000000002</v>
      </c>
      <c r="H192" s="909"/>
      <c r="I192" s="905" t="s">
        <v>320</v>
      </c>
      <c r="J192" s="25">
        <f>ROWS($H$8:I192)</f>
        <v>185</v>
      </c>
      <c r="K192" s="25" t="str">
        <f>IF(ID!$A$84=I192,J192,"")</f>
        <v/>
      </c>
      <c r="L192" s="25" t="str">
        <f>IFERROR(SMALL($K$8:$K$224,ROWS($K$8:K192)),"")</f>
        <v/>
      </c>
    </row>
    <row r="193" spans="2:12" x14ac:dyDescent="0.15">
      <c r="B193" s="563">
        <v>37</v>
      </c>
      <c r="C193" s="559">
        <v>0</v>
      </c>
      <c r="D193" s="559">
        <v>0.4</v>
      </c>
      <c r="E193" s="563">
        <v>80</v>
      </c>
      <c r="F193" s="559">
        <v>-2.2999999999999998</v>
      </c>
      <c r="G193" s="559">
        <v>2.2000000000000002</v>
      </c>
      <c r="H193" s="909"/>
      <c r="I193" s="905" t="s">
        <v>320</v>
      </c>
      <c r="J193" s="25">
        <f>ROWS($H$8:I193)</f>
        <v>186</v>
      </c>
      <c r="K193" s="25" t="str">
        <f>IF(ID!$A$84=I193,J193,"")</f>
        <v/>
      </c>
      <c r="L193" s="25" t="str">
        <f>IFERROR(SMALL($K$8:$K$224,ROWS($K$8:K193)),"")</f>
        <v/>
      </c>
    </row>
    <row r="194" spans="2:12" x14ac:dyDescent="0.15">
      <c r="B194" s="563">
        <v>40</v>
      </c>
      <c r="C194" s="570">
        <v>0</v>
      </c>
      <c r="D194" s="559">
        <v>0.4</v>
      </c>
      <c r="E194" s="563">
        <v>90</v>
      </c>
      <c r="F194" s="570">
        <v>-3</v>
      </c>
      <c r="G194" s="559">
        <v>2.2000000000000002</v>
      </c>
      <c r="H194" s="909"/>
      <c r="I194" s="905" t="s">
        <v>320</v>
      </c>
      <c r="J194" s="25">
        <f>ROWS($H$8:I194)</f>
        <v>187</v>
      </c>
      <c r="K194" s="25" t="str">
        <f>IF(ID!$A$84=I194,J194,"")</f>
        <v/>
      </c>
      <c r="L194" s="25" t="str">
        <f>IFERROR(SMALL($K$8:$K$224,ROWS($K$8:K194)),"")</f>
        <v/>
      </c>
    </row>
    <row r="195" spans="2:12" x14ac:dyDescent="0.15">
      <c r="J195" s="25">
        <f>ROWS($H$8:I195)</f>
        <v>188</v>
      </c>
      <c r="K195" s="25" t="str">
        <f>IF(ID!$A$84=I195,J195,"")</f>
        <v/>
      </c>
      <c r="L195" s="25" t="str">
        <f>IFERROR(SMALL($K$8:$K$224,ROWS($K$8:K195)),"")</f>
        <v/>
      </c>
    </row>
    <row r="196" spans="2:12" x14ac:dyDescent="0.15">
      <c r="J196" s="25">
        <f>ROWS($H$8:I196)</f>
        <v>189</v>
      </c>
      <c r="K196" s="25" t="str">
        <f>IF(ID!$A$84=I196,J196,"")</f>
        <v/>
      </c>
      <c r="L196" s="25" t="str">
        <f>IFERROR(SMALL($K$8:$K$224,ROWS($K$8:K196)),"")</f>
        <v/>
      </c>
    </row>
    <row r="197" spans="2:12" x14ac:dyDescent="0.15">
      <c r="J197" s="25">
        <f>ROWS($H$8:I197)</f>
        <v>190</v>
      </c>
      <c r="K197" s="25" t="str">
        <f>IF(ID!$A$84=I197,J197,"")</f>
        <v/>
      </c>
      <c r="L197" s="25" t="str">
        <f>IFERROR(SMALL($K$8:$K$224,ROWS($K$8:K197)),"")</f>
        <v/>
      </c>
    </row>
    <row r="198" spans="2:12" x14ac:dyDescent="0.15">
      <c r="B198" s="558">
        <v>15</v>
      </c>
      <c r="C198" s="559">
        <v>0</v>
      </c>
      <c r="D198" s="559">
        <v>0.3</v>
      </c>
      <c r="E198" s="558">
        <v>30</v>
      </c>
      <c r="F198" s="559">
        <v>-0.4</v>
      </c>
      <c r="G198" s="559">
        <v>1.6</v>
      </c>
      <c r="H198" s="723" t="s">
        <v>323</v>
      </c>
      <c r="I198" s="905" t="s">
        <v>321</v>
      </c>
      <c r="J198" s="25">
        <f>ROWS($H$8:I198)</f>
        <v>191</v>
      </c>
      <c r="K198" s="25" t="str">
        <f>IF(ID!$A$84=I198,J198,"")</f>
        <v/>
      </c>
      <c r="L198" s="25" t="str">
        <f>IFERROR(SMALL($K$8:$K$224,ROWS($K$8:K198)),"")</f>
        <v/>
      </c>
    </row>
    <row r="199" spans="2:12" x14ac:dyDescent="0.15">
      <c r="B199" s="558">
        <v>20</v>
      </c>
      <c r="C199" s="559">
        <v>-0.1</v>
      </c>
      <c r="D199" s="559">
        <v>0.3</v>
      </c>
      <c r="E199" s="558">
        <v>40</v>
      </c>
      <c r="F199" s="559">
        <v>-0.2</v>
      </c>
      <c r="G199" s="559">
        <v>1.6</v>
      </c>
      <c r="H199" s="909"/>
      <c r="I199" s="905" t="s">
        <v>321</v>
      </c>
      <c r="J199" s="25">
        <f>ROWS($H$8:I199)</f>
        <v>192</v>
      </c>
      <c r="K199" s="25" t="str">
        <f>IF(ID!$A$84=I199,J199,"")</f>
        <v/>
      </c>
      <c r="L199" s="25" t="str">
        <f>IFERROR(SMALL($K$8:$K$224,ROWS($K$8:K199)),"")</f>
        <v/>
      </c>
    </row>
    <row r="200" spans="2:12" x14ac:dyDescent="0.15">
      <c r="B200" s="558">
        <v>25</v>
      </c>
      <c r="C200" s="559">
        <v>-0.2</v>
      </c>
      <c r="D200" s="559">
        <v>0.3</v>
      </c>
      <c r="E200" s="558">
        <v>50</v>
      </c>
      <c r="F200" s="559">
        <v>-0.2</v>
      </c>
      <c r="G200" s="559">
        <v>1.6</v>
      </c>
      <c r="H200" s="909"/>
      <c r="I200" s="905" t="s">
        <v>321</v>
      </c>
      <c r="J200" s="25">
        <f>ROWS($H$8:I200)</f>
        <v>193</v>
      </c>
      <c r="K200" s="25" t="str">
        <f>IF(ID!$A$84=I200,J200,"")</f>
        <v/>
      </c>
      <c r="L200" s="25" t="str">
        <f>IFERROR(SMALL($K$8:$K$224,ROWS($K$8:K200)),"")</f>
        <v/>
      </c>
    </row>
    <row r="201" spans="2:12" x14ac:dyDescent="0.15">
      <c r="B201" s="558">
        <v>30</v>
      </c>
      <c r="C201" s="559">
        <v>-0.2</v>
      </c>
      <c r="D201" s="559">
        <v>0.3</v>
      </c>
      <c r="E201" s="558">
        <v>60</v>
      </c>
      <c r="F201" s="559">
        <v>-0.2</v>
      </c>
      <c r="G201" s="559">
        <v>1.6</v>
      </c>
      <c r="H201" s="909"/>
      <c r="I201" s="905" t="s">
        <v>321</v>
      </c>
      <c r="J201" s="25">
        <f>ROWS($H$8:I201)</f>
        <v>194</v>
      </c>
      <c r="K201" s="25" t="str">
        <f>IF(ID!$A$84=I201,J201,"")</f>
        <v/>
      </c>
      <c r="L201" s="25" t="str">
        <f>IFERROR(SMALL($K$8:$K$224,ROWS($K$8:K201)),"")</f>
        <v/>
      </c>
    </row>
    <row r="202" spans="2:12" x14ac:dyDescent="0.15">
      <c r="B202" s="558">
        <v>35</v>
      </c>
      <c r="C202" s="559">
        <v>-0.3</v>
      </c>
      <c r="D202" s="559">
        <v>0.3</v>
      </c>
      <c r="E202" s="558">
        <v>70</v>
      </c>
      <c r="F202" s="559">
        <v>-0.3</v>
      </c>
      <c r="G202" s="559">
        <v>1.6</v>
      </c>
      <c r="H202" s="909"/>
      <c r="I202" s="905" t="s">
        <v>321</v>
      </c>
      <c r="J202" s="25">
        <f>ROWS($H$8:I202)</f>
        <v>195</v>
      </c>
      <c r="K202" s="25" t="str">
        <f>IF(ID!$A$84=I202,J202,"")</f>
        <v/>
      </c>
      <c r="L202" s="25" t="str">
        <f>IFERROR(SMALL($K$8:$K$224,ROWS($K$8:K202)),"")</f>
        <v/>
      </c>
    </row>
    <row r="203" spans="2:12" x14ac:dyDescent="0.15">
      <c r="B203" s="563">
        <v>37</v>
      </c>
      <c r="C203" s="559">
        <v>-0.3</v>
      </c>
      <c r="D203" s="559">
        <v>0.3</v>
      </c>
      <c r="E203" s="563">
        <v>80</v>
      </c>
      <c r="F203" s="559">
        <v>-0.5</v>
      </c>
      <c r="G203" s="559">
        <v>1.6</v>
      </c>
      <c r="H203" s="909"/>
      <c r="I203" s="905" t="s">
        <v>321</v>
      </c>
      <c r="J203" s="25">
        <f>ROWS($H$8:I203)</f>
        <v>196</v>
      </c>
      <c r="K203" s="25" t="str">
        <f>IF(ID!$A$84=I203,J203,"")</f>
        <v/>
      </c>
      <c r="L203" s="25" t="str">
        <f>IFERROR(SMALL($K$8:$K$224,ROWS($K$8:K203)),"")</f>
        <v/>
      </c>
    </row>
    <row r="204" spans="2:12" x14ac:dyDescent="0.15">
      <c r="B204" s="563">
        <v>40</v>
      </c>
      <c r="C204" s="570">
        <v>-0.4</v>
      </c>
      <c r="D204" s="559">
        <v>0.3</v>
      </c>
      <c r="E204" s="563">
        <v>90</v>
      </c>
      <c r="F204" s="570">
        <v>-0.8</v>
      </c>
      <c r="G204" s="559">
        <v>1.6</v>
      </c>
      <c r="H204" s="909"/>
      <c r="I204" s="905" t="s">
        <v>321</v>
      </c>
      <c r="J204" s="25">
        <f>ROWS($H$8:I204)</f>
        <v>197</v>
      </c>
      <c r="K204" s="25" t="str">
        <f>IF(ID!$A$84=I204,J204,"")</f>
        <v/>
      </c>
      <c r="L204" s="25" t="str">
        <f>IFERROR(SMALL($K$8:$K$224,ROWS($K$8:K204)),"")</f>
        <v/>
      </c>
    </row>
    <row r="205" spans="2:12" x14ac:dyDescent="0.15">
      <c r="J205" s="25">
        <f>ROWS($H$8:I205)</f>
        <v>198</v>
      </c>
      <c r="K205" s="25" t="str">
        <f>IF(ID!$A$84=I205,J205,"")</f>
        <v/>
      </c>
      <c r="L205" s="25" t="str">
        <f>IFERROR(SMALL($K$8:$K$224,ROWS($K$8:K205)),"")</f>
        <v/>
      </c>
    </row>
    <row r="206" spans="2:12" x14ac:dyDescent="0.15">
      <c r="J206" s="25">
        <f>ROWS($H$8:I206)</f>
        <v>199</v>
      </c>
      <c r="K206" s="25" t="str">
        <f>IF(ID!$A$84=I206,J206,"")</f>
        <v/>
      </c>
      <c r="L206" s="25" t="str">
        <f>IFERROR(SMALL($K$8:$K$224,ROWS($K$8:K206)),"")</f>
        <v/>
      </c>
    </row>
    <row r="207" spans="2:12" x14ac:dyDescent="0.15">
      <c r="J207" s="25">
        <f>ROWS($H$8:I207)</f>
        <v>200</v>
      </c>
      <c r="K207" s="25" t="str">
        <f>IF(ID!$A$84=I207,J207,"")</f>
        <v/>
      </c>
      <c r="L207" s="25" t="str">
        <f>IFERROR(SMALL($K$8:$K$224,ROWS($K$8:K207)),"")</f>
        <v/>
      </c>
    </row>
    <row r="208" spans="2:12" x14ac:dyDescent="0.15">
      <c r="B208" s="558">
        <v>15</v>
      </c>
      <c r="C208" s="559">
        <v>0.1</v>
      </c>
      <c r="D208" s="559">
        <v>0.3</v>
      </c>
      <c r="E208" s="558">
        <v>30</v>
      </c>
      <c r="F208" s="559">
        <v>0.1</v>
      </c>
      <c r="G208" s="559">
        <v>2.8</v>
      </c>
      <c r="H208" s="909" t="s">
        <v>402</v>
      </c>
      <c r="I208" s="905" t="s">
        <v>322</v>
      </c>
      <c r="J208" s="25">
        <f>ROWS($H$8:I208)</f>
        <v>201</v>
      </c>
      <c r="K208" s="25" t="str">
        <f>IF(ID!$A$84=I208,J208,"")</f>
        <v/>
      </c>
      <c r="L208" s="25" t="str">
        <f>IFERROR(SMALL($K$8:$K$224,ROWS($K$8:K208)),"")</f>
        <v/>
      </c>
    </row>
    <row r="209" spans="2:12" x14ac:dyDescent="0.15">
      <c r="B209" s="558">
        <v>20</v>
      </c>
      <c r="C209" s="559">
        <v>0.1</v>
      </c>
      <c r="D209" s="559">
        <v>0.3</v>
      </c>
      <c r="E209" s="558">
        <v>40</v>
      </c>
      <c r="F209" s="559">
        <v>0.2</v>
      </c>
      <c r="G209" s="559">
        <v>2.8</v>
      </c>
      <c r="H209" s="909"/>
      <c r="I209" s="905" t="s">
        <v>322</v>
      </c>
      <c r="J209" s="25">
        <f>ROWS($H$8:I209)</f>
        <v>202</v>
      </c>
      <c r="K209" s="25" t="str">
        <f>IF(ID!$A$84=I209,J209,"")</f>
        <v/>
      </c>
      <c r="L209" s="25" t="str">
        <f>IFERROR(SMALL($K$8:$K$224,ROWS($K$8:K209)),"")</f>
        <v/>
      </c>
    </row>
    <row r="210" spans="2:12" x14ac:dyDescent="0.15">
      <c r="B210" s="558">
        <v>25</v>
      </c>
      <c r="C210" s="559">
        <v>0</v>
      </c>
      <c r="D210" s="559">
        <v>0.3</v>
      </c>
      <c r="E210" s="558">
        <v>50</v>
      </c>
      <c r="F210" s="559">
        <v>0.2</v>
      </c>
      <c r="G210" s="559">
        <v>2.8</v>
      </c>
      <c r="H210" s="909"/>
      <c r="I210" s="905" t="s">
        <v>322</v>
      </c>
      <c r="J210" s="25">
        <f>ROWS($H$8:I210)</f>
        <v>203</v>
      </c>
      <c r="K210" s="25" t="str">
        <f>IF(ID!$A$84=I210,J210,"")</f>
        <v/>
      </c>
      <c r="L210" s="25" t="str">
        <f>IFERROR(SMALL($K$8:$K$224,ROWS($K$8:K210)),"")</f>
        <v/>
      </c>
    </row>
    <row r="211" spans="2:12" x14ac:dyDescent="0.15">
      <c r="B211" s="558">
        <v>30</v>
      </c>
      <c r="C211" s="559">
        <v>-0.2</v>
      </c>
      <c r="D211" s="559">
        <v>0.3</v>
      </c>
      <c r="E211" s="558">
        <v>60</v>
      </c>
      <c r="F211" s="559">
        <v>0</v>
      </c>
      <c r="G211" s="559">
        <v>2.8</v>
      </c>
      <c r="H211" s="909"/>
      <c r="I211" s="905" t="s">
        <v>322</v>
      </c>
      <c r="J211" s="25">
        <f>ROWS($H$8:I211)</f>
        <v>204</v>
      </c>
      <c r="K211" s="25" t="str">
        <f>IF(ID!$A$84=I211,J211,"")</f>
        <v/>
      </c>
      <c r="L211" s="25" t="str">
        <f>IFERROR(SMALL($K$8:$K$224,ROWS($K$8:K211)),"")</f>
        <v/>
      </c>
    </row>
    <row r="212" spans="2:12" x14ac:dyDescent="0.15">
      <c r="B212" s="558">
        <v>35</v>
      </c>
      <c r="C212" s="559">
        <v>-0.5</v>
      </c>
      <c r="D212" s="559">
        <v>0.3</v>
      </c>
      <c r="E212" s="558">
        <v>70</v>
      </c>
      <c r="F212" s="559">
        <v>-0.3</v>
      </c>
      <c r="G212" s="559">
        <v>2.8</v>
      </c>
      <c r="H212" s="909"/>
      <c r="I212" s="905" t="s">
        <v>322</v>
      </c>
      <c r="J212" s="25">
        <f>ROWS($H$8:I212)</f>
        <v>205</v>
      </c>
      <c r="K212" s="25" t="str">
        <f>IF(ID!$A$84=I212,J212,"")</f>
        <v/>
      </c>
      <c r="L212" s="25" t="str">
        <f>IFERROR(SMALL($K$8:$K$224,ROWS($K$8:K212)),"")</f>
        <v/>
      </c>
    </row>
    <row r="213" spans="2:12" x14ac:dyDescent="0.15">
      <c r="B213" s="563">
        <v>37</v>
      </c>
      <c r="C213" s="559">
        <v>-0.6</v>
      </c>
      <c r="D213" s="559">
        <v>0.3</v>
      </c>
      <c r="E213" s="563">
        <v>80</v>
      </c>
      <c r="F213" s="559">
        <v>-0.8</v>
      </c>
      <c r="G213" s="559">
        <v>2.8</v>
      </c>
      <c r="H213" s="909"/>
      <c r="I213" s="905" t="s">
        <v>322</v>
      </c>
      <c r="J213" s="25">
        <f>ROWS($H$8:I213)</f>
        <v>206</v>
      </c>
      <c r="K213" s="25" t="str">
        <f>IF(ID!$A$84=I213,J213,"")</f>
        <v/>
      </c>
      <c r="L213" s="25" t="str">
        <f>IFERROR(SMALL($K$8:$K$224,ROWS($K$8:K213)),"")</f>
        <v/>
      </c>
    </row>
    <row r="214" spans="2:12" x14ac:dyDescent="0.15">
      <c r="B214" s="563">
        <v>40</v>
      </c>
      <c r="C214" s="570">
        <v>-0.8</v>
      </c>
      <c r="D214" s="559">
        <v>0.3</v>
      </c>
      <c r="E214" s="563">
        <v>90</v>
      </c>
      <c r="F214" s="570">
        <v>-1.4</v>
      </c>
      <c r="G214" s="559">
        <v>2.8</v>
      </c>
      <c r="H214" s="909"/>
      <c r="I214" s="905" t="s">
        <v>322</v>
      </c>
      <c r="J214" s="25">
        <f>ROWS($H$8:I214)</f>
        <v>207</v>
      </c>
      <c r="K214" s="25" t="str">
        <f>IF(ID!$A$84=I214,J214,"")</f>
        <v/>
      </c>
      <c r="L214" s="25" t="str">
        <f>IFERROR(SMALL($K$8:$K$224,ROWS($K$8:K214)),"")</f>
        <v/>
      </c>
    </row>
    <row r="215" spans="2:12" x14ac:dyDescent="0.15">
      <c r="J215" s="25">
        <f>ROWS($H$8:I215)</f>
        <v>208</v>
      </c>
      <c r="K215" s="25" t="str">
        <f>IF(ID!$A$84=I215,J215,"")</f>
        <v/>
      </c>
      <c r="L215" s="25" t="str">
        <f>IFERROR(SMALL($K$8:$K$224,ROWS($K$8:K215)),"")</f>
        <v/>
      </c>
    </row>
    <row r="216" spans="2:12" x14ac:dyDescent="0.15">
      <c r="J216" s="25">
        <f>ROWS($H$8:I216)</f>
        <v>209</v>
      </c>
      <c r="K216" s="25" t="str">
        <f>IF(ID!$A$84=I216,J216,"")</f>
        <v/>
      </c>
      <c r="L216" s="25" t="str">
        <f>IFERROR(SMALL($K$8:$K$224,ROWS($K$8:K216)),"")</f>
        <v/>
      </c>
    </row>
    <row r="217" spans="2:12" x14ac:dyDescent="0.15">
      <c r="J217" s="25">
        <f>ROWS($H$8:I217)</f>
        <v>210</v>
      </c>
      <c r="K217" s="25" t="str">
        <f>IF(ID!$A$84=I217,J217,"")</f>
        <v/>
      </c>
      <c r="L217" s="25" t="str">
        <f>IFERROR(SMALL($K$8:$K$224,ROWS($K$8:K217)),"")</f>
        <v/>
      </c>
    </row>
    <row r="218" spans="2:12" x14ac:dyDescent="0.15">
      <c r="B218" s="558">
        <v>15.1</v>
      </c>
      <c r="C218" s="559">
        <v>0</v>
      </c>
      <c r="D218" s="559">
        <v>0.1</v>
      </c>
      <c r="E218" s="558">
        <v>36.299999999999997</v>
      </c>
      <c r="F218" s="559">
        <v>-1.5</v>
      </c>
      <c r="G218" s="1054">
        <v>1.5</v>
      </c>
      <c r="H218" s="903" t="s">
        <v>392</v>
      </c>
      <c r="I218" s="905" t="s">
        <v>391</v>
      </c>
      <c r="J218" s="25">
        <f>ROWS($H$8:I218)</f>
        <v>211</v>
      </c>
      <c r="K218" s="25" t="str">
        <f>IF(ID!$A$84=I218,J218,"")</f>
        <v/>
      </c>
      <c r="L218" s="25" t="str">
        <f>IFERROR(SMALL($K$8:$K$224,ROWS($K$8:K218)),"")</f>
        <v/>
      </c>
    </row>
    <row r="219" spans="2:12" x14ac:dyDescent="0.15">
      <c r="B219" s="558">
        <v>20.2</v>
      </c>
      <c r="C219" s="559">
        <v>0.1</v>
      </c>
      <c r="D219" s="559">
        <v>0.1</v>
      </c>
      <c r="E219" s="558">
        <v>40.5</v>
      </c>
      <c r="F219" s="559">
        <v>-0.8</v>
      </c>
      <c r="G219" s="1054">
        <v>1.5</v>
      </c>
      <c r="H219" s="903"/>
      <c r="I219" s="905" t="s">
        <v>391</v>
      </c>
      <c r="J219" s="25">
        <f>ROWS($H$8:I219)</f>
        <v>212</v>
      </c>
      <c r="K219" s="25" t="str">
        <f>IF(ID!$A$84=I219,J219,"")</f>
        <v/>
      </c>
      <c r="L219" s="25" t="str">
        <f>IFERROR(SMALL($K$8:$K$224,ROWS($K$8:K219)),"")</f>
        <v/>
      </c>
    </row>
    <row r="220" spans="2:12" x14ac:dyDescent="0.15">
      <c r="B220" s="558">
        <v>25</v>
      </c>
      <c r="C220" s="559">
        <v>0</v>
      </c>
      <c r="D220" s="559">
        <v>0.1</v>
      </c>
      <c r="E220" s="558">
        <v>49.8</v>
      </c>
      <c r="F220" s="559">
        <v>-0.2</v>
      </c>
      <c r="G220" s="1054">
        <v>1.5</v>
      </c>
      <c r="H220" s="903"/>
      <c r="I220" s="905" t="s">
        <v>391</v>
      </c>
      <c r="J220" s="25">
        <f>ROWS($H$8:I220)</f>
        <v>213</v>
      </c>
      <c r="K220" s="25" t="str">
        <f>IF(ID!$A$84=I220,J220,"")</f>
        <v/>
      </c>
      <c r="L220" s="25" t="str">
        <f>IFERROR(SMALL($K$8:$K$224,ROWS($K$8:K220)),"")</f>
        <v/>
      </c>
    </row>
    <row r="221" spans="2:12" x14ac:dyDescent="0.15">
      <c r="B221" s="558">
        <v>30.5</v>
      </c>
      <c r="C221" s="559">
        <v>-0.1</v>
      </c>
      <c r="D221" s="559">
        <v>0.1</v>
      </c>
      <c r="E221" s="558">
        <v>59.2</v>
      </c>
      <c r="F221" s="559">
        <v>0.4</v>
      </c>
      <c r="G221" s="1054">
        <v>1.5</v>
      </c>
      <c r="H221" s="903"/>
      <c r="I221" s="905" t="s">
        <v>391</v>
      </c>
      <c r="J221" s="25">
        <f>ROWS($H$8:I221)</f>
        <v>214</v>
      </c>
      <c r="K221" s="25" t="str">
        <f>IF(ID!$A$84=I221,J221,"")</f>
        <v/>
      </c>
      <c r="L221" s="25" t="str">
        <f>IFERROR(SMALL($K$8:$K$224,ROWS($K$8:K221)),"")</f>
        <v/>
      </c>
    </row>
    <row r="222" spans="2:12" x14ac:dyDescent="0.15">
      <c r="B222" s="558">
        <v>35.5</v>
      </c>
      <c r="C222" s="559">
        <v>-0.1</v>
      </c>
      <c r="D222" s="559">
        <v>0.1</v>
      </c>
      <c r="E222" s="558">
        <v>70.599999999999994</v>
      </c>
      <c r="F222" s="559">
        <v>-0.7</v>
      </c>
      <c r="G222" s="1054">
        <v>1.5</v>
      </c>
      <c r="H222" s="903"/>
      <c r="I222" s="905" t="s">
        <v>391</v>
      </c>
      <c r="J222" s="25">
        <f>ROWS($H$8:I222)</f>
        <v>215</v>
      </c>
      <c r="K222" s="25" t="str">
        <f>IF(ID!$A$84=I222,J222,"")</f>
        <v/>
      </c>
      <c r="L222" s="25" t="str">
        <f>IFERROR(SMALL($K$8:$K$224,ROWS($K$8:K222)),"")</f>
        <v/>
      </c>
    </row>
    <row r="223" spans="2:12" x14ac:dyDescent="0.15">
      <c r="B223" s="563">
        <v>37.200000000000003</v>
      </c>
      <c r="C223" s="559">
        <v>0</v>
      </c>
      <c r="D223" s="559">
        <v>0.1</v>
      </c>
      <c r="E223" s="563">
        <v>80.900000000000006</v>
      </c>
      <c r="F223" s="559">
        <v>-0.9</v>
      </c>
      <c r="G223" s="1054">
        <v>1.5</v>
      </c>
      <c r="H223" s="903"/>
      <c r="I223" s="905" t="s">
        <v>391</v>
      </c>
      <c r="J223" s="25">
        <f>ROWS($H$8:I223)</f>
        <v>216</v>
      </c>
      <c r="K223" s="25" t="str">
        <f>IF(ID!$A$84=I223,J223,"")</f>
        <v/>
      </c>
      <c r="L223" s="25" t="str">
        <f>IFERROR(SMALL($K$8:$K$224,ROWS($K$8:K223)),"")</f>
        <v/>
      </c>
    </row>
    <row r="224" spans="2:12" x14ac:dyDescent="0.15">
      <c r="B224" s="563">
        <v>39.700000000000003</v>
      </c>
      <c r="C224" s="570">
        <v>0.2</v>
      </c>
      <c r="D224" s="559">
        <v>0.1</v>
      </c>
      <c r="E224" s="563">
        <v>90.4</v>
      </c>
      <c r="F224" s="560">
        <v>-0.6</v>
      </c>
      <c r="G224" s="1054">
        <v>1.5</v>
      </c>
      <c r="H224" s="903"/>
      <c r="I224" s="905" t="s">
        <v>391</v>
      </c>
      <c r="J224" s="25">
        <f>ROWS($H$8:I224)</f>
        <v>217</v>
      </c>
      <c r="K224" s="25" t="str">
        <f>IF(ID!$A$84=I224,J224,"")</f>
        <v/>
      </c>
      <c r="L224" s="25" t="str">
        <f>IFERROR(SMALL($K$8:$K$224,ROWS($K$8:K224)),"")</f>
        <v/>
      </c>
    </row>
  </sheetData>
  <sheetProtection algorithmName="SHA-512" hashValue="lNnjd/vwlssPM/gnSuleae8P+wpV4na9gwsmWvJu4k/rSQVADXSO9sRK6TJqpVTHWbOgsCIS9RTlxFbBChKNiQ==" saltValue="Mt6JHYC4IoXDpeHgNbqVFA==" spinCount="100000" sheet="1" objects="1" scenarios="1"/>
  <phoneticPr fontId="11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theme="8" tint="0.39997558519241921"/>
  </sheetPr>
  <dimension ref="A1:CN393"/>
  <sheetViews>
    <sheetView topLeftCell="AE370" zoomScale="110" zoomScaleNormal="110" workbookViewId="0">
      <selection activeCell="AE385" sqref="AE385"/>
    </sheetView>
  </sheetViews>
  <sheetFormatPr defaultColWidth="9.140625" defaultRowHeight="12.75" x14ac:dyDescent="0.2"/>
  <cols>
    <col min="1" max="2" width="9.140625" style="2"/>
    <col min="3" max="3" width="9.140625" style="213"/>
    <col min="4" max="4" width="9.140625" style="533"/>
    <col min="5" max="8" width="9.140625" style="2"/>
    <col min="9" max="9" width="9.140625" style="213"/>
    <col min="10" max="10" width="9.140625" style="533"/>
    <col min="11" max="18" width="9.140625" style="2"/>
    <col min="19" max="19" width="9.140625" style="227"/>
    <col min="20" max="20" width="9.140625" style="753"/>
    <col min="21" max="22" width="12.5703125" style="754" customWidth="1"/>
    <col min="23" max="23" width="16" style="540" customWidth="1"/>
    <col min="24" max="24" width="13.140625" style="10" customWidth="1"/>
    <col min="25" max="25" width="13.140625" style="775" customWidth="1"/>
    <col min="26" max="27" width="10.7109375" style="775" customWidth="1"/>
    <col min="28" max="28" width="12.7109375" style="540" customWidth="1"/>
    <col min="29" max="29" width="13.140625" style="10" customWidth="1"/>
    <col min="30" max="30" width="85" style="2" customWidth="1"/>
    <col min="31" max="31" width="74.85546875" style="2" customWidth="1"/>
    <col min="32" max="38" width="10.42578125" style="2" customWidth="1"/>
    <col min="39" max="40" width="13" style="2" customWidth="1"/>
    <col min="41" max="41" width="11.85546875" style="2" customWidth="1"/>
    <col min="42" max="43" width="13.28515625" style="2" customWidth="1"/>
    <col min="44" max="45" width="12.140625" style="2" customWidth="1"/>
    <col min="46" max="47" width="14" style="2" customWidth="1"/>
    <col min="48" max="48" width="85.85546875" style="2" customWidth="1"/>
    <col min="49" max="71" width="9.140625" style="2" customWidth="1"/>
    <col min="72" max="72" width="16.7109375" style="2" customWidth="1"/>
    <col min="73" max="87" width="9.140625" style="2" customWidth="1"/>
    <col min="88" max="91" width="9.140625" style="2"/>
    <col min="92" max="92" width="6.85546875" style="2" customWidth="1"/>
    <col min="93" max="16384" width="9.140625" style="2"/>
  </cols>
  <sheetData>
    <row r="1" spans="2:92" x14ac:dyDescent="0.2">
      <c r="B1" s="236"/>
      <c r="H1" s="236"/>
      <c r="X1" s="15"/>
      <c r="Y1" s="774"/>
      <c r="CN1" s="686" t="s">
        <v>28</v>
      </c>
    </row>
    <row r="2" spans="2:92" x14ac:dyDescent="0.2">
      <c r="X2" s="15"/>
      <c r="Y2" s="774"/>
      <c r="BW2" s="4"/>
      <c r="CN2" s="686" t="s">
        <v>304</v>
      </c>
    </row>
    <row r="3" spans="2:92" x14ac:dyDescent="0.2">
      <c r="X3" s="15"/>
      <c r="Y3" s="774"/>
      <c r="BN3" s="3" t="s">
        <v>55</v>
      </c>
      <c r="BW3" s="4"/>
      <c r="CN3" s="686" t="s">
        <v>135</v>
      </c>
    </row>
    <row r="4" spans="2:92" x14ac:dyDescent="0.2">
      <c r="BW4" s="4"/>
      <c r="CN4" s="686" t="s">
        <v>27</v>
      </c>
    </row>
    <row r="5" spans="2:92" x14ac:dyDescent="0.2">
      <c r="B5" s="7"/>
      <c r="C5" s="528"/>
      <c r="D5" s="534"/>
      <c r="E5" s="7"/>
      <c r="F5" s="7"/>
      <c r="H5" s="7"/>
      <c r="I5" s="528"/>
      <c r="J5" s="534"/>
      <c r="K5" s="7"/>
      <c r="L5" s="7"/>
      <c r="M5" s="7"/>
      <c r="N5" s="7"/>
      <c r="O5" s="7"/>
      <c r="P5" s="7"/>
      <c r="Q5" s="7"/>
      <c r="BU5" s="2">
        <f>IF(ID!A83='SERTIFIKAT DPM'!BN6,'SERTIFIKAT DPM'!BU6)</f>
        <v>0.1</v>
      </c>
      <c r="CN5" s="686" t="s">
        <v>306</v>
      </c>
    </row>
    <row r="6" spans="2:92" x14ac:dyDescent="0.2">
      <c r="B6" s="13"/>
      <c r="C6" s="529"/>
      <c r="D6" s="535"/>
      <c r="E6" s="13"/>
      <c r="F6" s="13"/>
      <c r="H6" s="13"/>
      <c r="I6" s="529"/>
      <c r="J6" s="535"/>
      <c r="K6" s="13"/>
      <c r="L6" s="13"/>
      <c r="M6" s="13"/>
      <c r="N6" s="13"/>
      <c r="O6" s="13"/>
      <c r="P6" s="13"/>
      <c r="Q6" s="13"/>
      <c r="S6" s="1145" t="s">
        <v>176</v>
      </c>
      <c r="T6" s="1145"/>
      <c r="U6" s="1145"/>
      <c r="V6" s="1145"/>
      <c r="W6" s="1145"/>
      <c r="X6" s="1145"/>
      <c r="Y6" s="1145"/>
      <c r="Z6" s="1145"/>
      <c r="AA6" s="1145"/>
      <c r="AB6" s="1145"/>
      <c r="AC6" s="1145"/>
      <c r="AD6" s="1145"/>
      <c r="AE6" s="1145"/>
      <c r="AF6" s="1145"/>
      <c r="AG6" s="1145"/>
      <c r="AH6" s="1145"/>
      <c r="BN6" s="607" t="s">
        <v>291</v>
      </c>
      <c r="BU6" s="14">
        <v>0.1</v>
      </c>
      <c r="BW6" s="4" t="s">
        <v>110</v>
      </c>
      <c r="CN6" s="686" t="s">
        <v>71</v>
      </c>
    </row>
    <row r="7" spans="2:92" x14ac:dyDescent="0.2">
      <c r="B7" s="1138" t="s">
        <v>416</v>
      </c>
      <c r="C7" s="1139"/>
      <c r="D7" s="1139"/>
      <c r="E7" s="1140"/>
      <c r="F7" s="236"/>
      <c r="H7" s="1138" t="s">
        <v>417</v>
      </c>
      <c r="I7" s="1139"/>
      <c r="J7" s="1139"/>
      <c r="K7" s="1140"/>
      <c r="L7" s="236"/>
      <c r="M7" s="1138" t="s">
        <v>198</v>
      </c>
      <c r="N7" s="1139"/>
      <c r="O7" s="1139"/>
      <c r="P7" s="1139"/>
      <c r="Q7" s="1140"/>
      <c r="S7" s="1145"/>
      <c r="T7" s="1145"/>
      <c r="U7" s="1145"/>
      <c r="V7" s="1145"/>
      <c r="W7" s="1145"/>
      <c r="X7" s="1145"/>
      <c r="Y7" s="1145"/>
      <c r="Z7" s="1145"/>
      <c r="AA7" s="1145"/>
      <c r="AB7" s="1145"/>
      <c r="AC7" s="1145"/>
      <c r="AD7" s="1145"/>
      <c r="AE7" s="1145"/>
      <c r="AF7" s="1145"/>
      <c r="AG7" s="1145"/>
      <c r="AH7" s="1145"/>
      <c r="BN7" s="607" t="s">
        <v>704</v>
      </c>
      <c r="BU7" s="14">
        <v>0.1</v>
      </c>
      <c r="CN7" s="686" t="s">
        <v>70</v>
      </c>
    </row>
    <row r="8" spans="2:92" x14ac:dyDescent="0.2">
      <c r="B8" s="237"/>
      <c r="C8" s="530"/>
      <c r="D8" s="536"/>
      <c r="E8" s="237"/>
      <c r="F8" s="237"/>
      <c r="H8" s="237"/>
      <c r="I8" s="530"/>
      <c r="J8" s="536"/>
      <c r="K8" s="237"/>
      <c r="L8" s="237"/>
      <c r="M8" s="237"/>
      <c r="N8" s="13"/>
      <c r="O8" s="13"/>
      <c r="P8" s="237"/>
      <c r="Q8" s="237"/>
      <c r="S8" s="1142" t="s">
        <v>152</v>
      </c>
      <c r="T8" s="1142"/>
      <c r="U8" s="1142"/>
      <c r="V8" s="1142"/>
      <c r="W8" s="1142"/>
      <c r="X8" s="1142"/>
      <c r="Y8" s="776"/>
      <c r="Z8" s="1143" t="s">
        <v>153</v>
      </c>
      <c r="AA8" s="1144"/>
      <c r="AB8" s="1144"/>
      <c r="AC8" s="1144"/>
      <c r="BN8" s="607" t="s">
        <v>705</v>
      </c>
      <c r="BU8" s="14">
        <v>0.1</v>
      </c>
      <c r="CN8" s="686" t="s">
        <v>331</v>
      </c>
    </row>
    <row r="9" spans="2:92" x14ac:dyDescent="0.2">
      <c r="B9" s="226" t="s">
        <v>48</v>
      </c>
      <c r="C9" s="531" t="s">
        <v>258</v>
      </c>
      <c r="D9" s="537" t="s">
        <v>259</v>
      </c>
      <c r="E9" s="1141" t="s">
        <v>174</v>
      </c>
      <c r="F9" s="1074"/>
      <c r="H9" s="226" t="s">
        <v>48</v>
      </c>
      <c r="I9" s="531" t="s">
        <v>258</v>
      </c>
      <c r="J9" s="537" t="s">
        <v>259</v>
      </c>
      <c r="K9" s="1141" t="s">
        <v>174</v>
      </c>
      <c r="L9" s="1074"/>
      <c r="M9" s="226" t="s">
        <v>48</v>
      </c>
      <c r="N9" s="226" t="s">
        <v>258</v>
      </c>
      <c r="O9" s="226" t="s">
        <v>259</v>
      </c>
      <c r="P9" s="226" t="s">
        <v>197</v>
      </c>
      <c r="Q9" s="1146" t="s">
        <v>370</v>
      </c>
      <c r="R9" s="239"/>
      <c r="S9" s="226" t="s">
        <v>48</v>
      </c>
      <c r="T9" s="755" t="s">
        <v>419</v>
      </c>
      <c r="U9" s="756" t="s">
        <v>418</v>
      </c>
      <c r="V9" s="756" t="s">
        <v>195</v>
      </c>
      <c r="W9" s="541" t="s">
        <v>175</v>
      </c>
      <c r="X9" s="198" t="s">
        <v>193</v>
      </c>
      <c r="Y9" s="777" t="s">
        <v>420</v>
      </c>
      <c r="Z9" s="778" t="s">
        <v>421</v>
      </c>
      <c r="AA9" s="778" t="s">
        <v>196</v>
      </c>
      <c r="AB9" s="541" t="s">
        <v>154</v>
      </c>
      <c r="AC9" s="198" t="s">
        <v>194</v>
      </c>
      <c r="AD9" s="5" t="s">
        <v>104</v>
      </c>
      <c r="AE9" s="3" t="s">
        <v>55</v>
      </c>
      <c r="AF9" s="6" t="s">
        <v>100</v>
      </c>
      <c r="AG9" s="6" t="s">
        <v>101</v>
      </c>
      <c r="AH9" s="6" t="s">
        <v>102</v>
      </c>
      <c r="AI9" s="7"/>
      <c r="AJ9" s="7"/>
      <c r="AK9" s="235" t="str">
        <f t="shared" ref="AK9:AQ9" si="0">S9</f>
        <v>PA</v>
      </c>
      <c r="AL9" s="235" t="str">
        <f t="shared" si="0"/>
        <v>Naik lama</v>
      </c>
      <c r="AM9" s="164" t="str">
        <f t="shared" si="0"/>
        <v>Naik Tengah</v>
      </c>
      <c r="AN9" s="164" t="str">
        <f t="shared" si="0"/>
        <v>Naik Terbaru</v>
      </c>
      <c r="AO9" s="164" t="str">
        <f t="shared" si="0"/>
        <v xml:space="preserve">DRIFT NAIK </v>
      </c>
      <c r="AP9" s="235" t="str">
        <f t="shared" si="0"/>
        <v>U95 Naik terbaru</v>
      </c>
      <c r="AQ9" s="163" t="str">
        <f t="shared" si="0"/>
        <v>Turun Lama</v>
      </c>
      <c r="AR9" s="163" t="str">
        <f t="shared" ref="AR9:AU9" si="1">Z9</f>
        <v>Turun Tengah</v>
      </c>
      <c r="AS9" s="163" t="str">
        <f t="shared" si="1"/>
        <v>Turun Terbaru</v>
      </c>
      <c r="AT9" s="163" t="str">
        <f t="shared" si="1"/>
        <v>DRIFT TURUN</v>
      </c>
      <c r="AU9" s="163" t="str">
        <f t="shared" si="1"/>
        <v>U95 Turun terbaru</v>
      </c>
      <c r="AV9" s="8" t="s">
        <v>104</v>
      </c>
      <c r="BN9" s="607" t="s">
        <v>706</v>
      </c>
      <c r="BU9" s="14">
        <v>0.1</v>
      </c>
      <c r="CN9" s="686" t="s">
        <v>307</v>
      </c>
    </row>
    <row r="10" spans="2:92" x14ac:dyDescent="0.2">
      <c r="B10" s="209">
        <v>0</v>
      </c>
      <c r="C10" s="194">
        <v>0.2</v>
      </c>
      <c r="D10" s="525">
        <v>0.2</v>
      </c>
      <c r="E10" s="1141"/>
      <c r="F10" s="238"/>
      <c r="H10" s="209">
        <v>0</v>
      </c>
      <c r="I10" s="194">
        <v>0.2</v>
      </c>
      <c r="J10" s="525">
        <v>0.2</v>
      </c>
      <c r="K10" s="1141"/>
      <c r="L10" s="238"/>
      <c r="M10" s="209">
        <v>0</v>
      </c>
      <c r="N10" s="194">
        <v>0</v>
      </c>
      <c r="O10" s="194">
        <v>0</v>
      </c>
      <c r="P10" s="200">
        <v>0.3</v>
      </c>
      <c r="Q10" s="1146"/>
      <c r="R10" s="240"/>
      <c r="S10" s="209">
        <v>0</v>
      </c>
      <c r="T10" s="757">
        <v>0.2</v>
      </c>
      <c r="U10" s="758">
        <v>0.2</v>
      </c>
      <c r="V10" s="758">
        <v>0</v>
      </c>
      <c r="W10" s="511">
        <v>0.1</v>
      </c>
      <c r="X10" s="200">
        <v>0.3</v>
      </c>
      <c r="Y10" s="779">
        <v>0.2</v>
      </c>
      <c r="Z10" s="780">
        <v>0.2</v>
      </c>
      <c r="AA10" s="780">
        <v>0</v>
      </c>
      <c r="AB10" s="511">
        <v>0.1</v>
      </c>
      <c r="AC10" s="199">
        <v>0.3</v>
      </c>
      <c r="AD10" s="9" t="s">
        <v>342</v>
      </c>
      <c r="AE10" s="4" t="s">
        <v>256</v>
      </c>
      <c r="AF10" s="158">
        <f>ROWS(AE$10:$AE10)</f>
        <v>1</v>
      </c>
      <c r="AG10" s="158" t="str">
        <f>IF(ID!$A$83=AE10,AF10,"")</f>
        <v/>
      </c>
      <c r="AH10" s="158">
        <f>IFERROR(SMALL($AG$10:$AG$393,ROWS($AG$10:AG10)),"")</f>
        <v>100</v>
      </c>
      <c r="AK10" s="158">
        <f>IFERROR(INDEX($S$10:$AD$393,$AH10,COLUMNS(AJ$10:$AJ10)),"")</f>
        <v>0</v>
      </c>
      <c r="AL10" s="736">
        <f>IFERROR(INDEX($S$10:$AD$393,$AH10,COLUMNS($AJ$10:AK10)),"")</f>
        <v>-0.1</v>
      </c>
      <c r="AM10" s="736">
        <f>IFERROR(INDEX($S$10:$AD$393,$AH10,COLUMNS($AJ$10:AL10)),"")</f>
        <v>0</v>
      </c>
      <c r="AN10" s="736">
        <f>IFERROR(INDEX($S$10:$AD$393,$AH10,COLUMNS($AJ$10:AM10)),"")</f>
        <v>0</v>
      </c>
      <c r="AO10" s="736">
        <f>IFERROR(INDEX($S$10:$AD$393,$AH10,COLUMNS($AJ$10:AN10)),"")</f>
        <v>0.05</v>
      </c>
      <c r="AP10" s="736">
        <f>IFERROR(INDEX($S$10:$AD$393,$AH10,COLUMNS($AK$10:AO10)),"")</f>
        <v>0.05</v>
      </c>
      <c r="AQ10" s="736">
        <f>IFERROR(INDEX($S$10:$AD$393,$AH10,COLUMNS($AJ$10:AP10)),"")</f>
        <v>-0.1</v>
      </c>
      <c r="AR10" s="736">
        <f>IFERROR(INDEX($S$10:$AD$393,$AH10,COLUMNS($AJ$10:AQ10)),"")</f>
        <v>-0.1</v>
      </c>
      <c r="AS10" s="736">
        <f>IFERROR(INDEX($S$10:$AD$393,$AH10,COLUMNS($AJ$10:AR10)),"")</f>
        <v>0</v>
      </c>
      <c r="AT10" s="736">
        <f>IFERROR(INDEX($S$10:$AD$393,$AH10,COLUMNS($AJ$10:AS10)),"")</f>
        <v>0.05</v>
      </c>
      <c r="AU10" s="736">
        <f>IFERROR(INDEX($S$10:$AD$393,$AH10,COLUMNS($AJ$10:AT10)),"")</f>
        <v>0.3</v>
      </c>
      <c r="AV10" s="736" t="str">
        <f>IFERROR(INDEX($S$10:$AD$393,$AH10,COLUMNS($AJ$10:AU10)),"")</f>
        <v>Hasil pengujian kebocoran dan kalibrasi akurasi tekanan tertelusur ke Satuan SI melalui PT. KALIMAN</v>
      </c>
      <c r="BN10" s="1060" t="s">
        <v>707</v>
      </c>
      <c r="BU10" s="14">
        <v>0.1</v>
      </c>
      <c r="CN10" s="686" t="s">
        <v>305</v>
      </c>
    </row>
    <row r="11" spans="2:92" x14ac:dyDescent="0.2">
      <c r="B11" s="209">
        <v>50</v>
      </c>
      <c r="C11" s="194">
        <v>0.5</v>
      </c>
      <c r="D11" s="525">
        <v>0.5</v>
      </c>
      <c r="E11" s="1141"/>
      <c r="F11" s="238"/>
      <c r="H11" s="209">
        <v>50</v>
      </c>
      <c r="I11" s="194">
        <v>0.5</v>
      </c>
      <c r="J11" s="525">
        <v>0.5</v>
      </c>
      <c r="K11" s="1141"/>
      <c r="L11" s="238"/>
      <c r="M11" s="209">
        <v>50</v>
      </c>
      <c r="N11" s="194">
        <v>-0.6</v>
      </c>
      <c r="O11" s="194">
        <v>-0.5</v>
      </c>
      <c r="P11" s="200">
        <v>0.3</v>
      </c>
      <c r="Q11" s="1146"/>
      <c r="R11" s="240"/>
      <c r="S11" s="209">
        <v>50</v>
      </c>
      <c r="T11" s="757">
        <v>0.5</v>
      </c>
      <c r="U11" s="758">
        <v>0.5</v>
      </c>
      <c r="V11" s="758">
        <v>-0.6</v>
      </c>
      <c r="W11" s="511">
        <v>0.55000000000000004</v>
      </c>
      <c r="X11" s="200">
        <v>0.3</v>
      </c>
      <c r="Y11" s="779">
        <v>0.5</v>
      </c>
      <c r="Z11" s="780">
        <v>0.5</v>
      </c>
      <c r="AA11" s="780">
        <v>-0.5</v>
      </c>
      <c r="AB11" s="511">
        <v>0.5</v>
      </c>
      <c r="AC11" s="199">
        <v>0.3</v>
      </c>
      <c r="AD11" s="9" t="s">
        <v>342</v>
      </c>
      <c r="AE11" s="4" t="s">
        <v>256</v>
      </c>
      <c r="AF11" s="158">
        <f>ROWS(AE$10:$AE11)</f>
        <v>2</v>
      </c>
      <c r="AG11" s="158" t="str">
        <f>IF(ID!$A$83=AE11,AF11,"")</f>
        <v/>
      </c>
      <c r="AH11" s="158">
        <f>IFERROR(SMALL($AG$10:$AG$393,ROWS($AG$10:AG11)),"")</f>
        <v>101</v>
      </c>
      <c r="AK11" s="158">
        <f>IFERROR(INDEX($S$10:$AD$393,$AH11,COLUMNS(AJ$10:$AJ11)),"")</f>
        <v>50</v>
      </c>
      <c r="AL11" s="736">
        <f>IFERROR(INDEX($S$10:$AD$393,$AH11,COLUMNS($AJ$10:AK11)),"")</f>
        <v>0</v>
      </c>
      <c r="AM11" s="736">
        <f>IFERROR(INDEX($S$10:$AD$393,$AH11,COLUMNS($AJ$10:AL11)),"")</f>
        <v>0.1</v>
      </c>
      <c r="AN11" s="736">
        <f>IFERROR(INDEX($S$10:$AD$393,$AH11,COLUMNS($AJ$10:AM11)),"")</f>
        <v>0.1</v>
      </c>
      <c r="AO11" s="736">
        <f>IFERROR(INDEX($S$10:$AD$393,$AH11,COLUMNS($AJ$10:AN11)),"")</f>
        <v>0.05</v>
      </c>
      <c r="AP11" s="736">
        <f>IFERROR(INDEX($S$10:$AD$393,$AH11,COLUMNS($AJ$10:AO11)),"")</f>
        <v>0.3</v>
      </c>
      <c r="AQ11" s="736">
        <f>IFERROR(INDEX($S$10:$AD$393,$AH11,COLUMNS($AJ$10:AP11)),"")</f>
        <v>0</v>
      </c>
      <c r="AR11" s="736">
        <f>IFERROR(INDEX($S$10:$AD$393,$AH11,COLUMNS($AJ$10:AQ11)),"")</f>
        <v>0</v>
      </c>
      <c r="AS11" s="736">
        <f>IFERROR(INDEX($S$10:$AD$393,$AH11,COLUMNS($AJ$10:AR11)),"")</f>
        <v>0.3</v>
      </c>
      <c r="AT11" s="736">
        <f>IFERROR(INDEX($S$10:$AD$393,$AH11,COLUMNS($AJ$10:AS11)),"")</f>
        <v>0.15</v>
      </c>
      <c r="AU11" s="736">
        <f>IFERROR(INDEX($S$10:$AD$393,$AH11,COLUMNS($AJ$10:AT11)),"")</f>
        <v>0.3</v>
      </c>
      <c r="AV11" s="736" t="str">
        <f>IFERROR(INDEX($S$10:$AD$393,$AH11,COLUMNS($AJ$10:AU11)),"")</f>
        <v>Hasil pengujian kebocoran dan kalibrasi akurasi tekanan tertelusur ke Satuan SI melalui PT. KALIMAN</v>
      </c>
      <c r="BN11" s="607" t="s">
        <v>708</v>
      </c>
      <c r="BU11" s="14">
        <v>0.1</v>
      </c>
      <c r="CN11" s="686" t="s">
        <v>308</v>
      </c>
    </row>
    <row r="12" spans="2:92" x14ac:dyDescent="0.2">
      <c r="B12" s="209">
        <v>100</v>
      </c>
      <c r="C12" s="194">
        <v>0.7</v>
      </c>
      <c r="D12" s="525">
        <v>0.7</v>
      </c>
      <c r="E12" s="1141"/>
      <c r="F12" s="238"/>
      <c r="H12" s="209">
        <v>100</v>
      </c>
      <c r="I12" s="194">
        <v>0.7</v>
      </c>
      <c r="J12" s="525">
        <v>0.7</v>
      </c>
      <c r="K12" s="1141"/>
      <c r="L12" s="238"/>
      <c r="M12" s="209">
        <v>100</v>
      </c>
      <c r="N12" s="194">
        <v>-0.5</v>
      </c>
      <c r="O12" s="194">
        <v>-0.4</v>
      </c>
      <c r="P12" s="200">
        <v>0.3</v>
      </c>
      <c r="Q12" s="1146"/>
      <c r="R12" s="240"/>
      <c r="S12" s="209">
        <v>100</v>
      </c>
      <c r="T12" s="757">
        <v>0.7</v>
      </c>
      <c r="U12" s="758">
        <v>0.7</v>
      </c>
      <c r="V12" s="758">
        <v>-0.5</v>
      </c>
      <c r="W12" s="511">
        <v>0.6</v>
      </c>
      <c r="X12" s="200">
        <v>0.3</v>
      </c>
      <c r="Y12" s="779">
        <v>0.7</v>
      </c>
      <c r="Z12" s="780">
        <v>0.7</v>
      </c>
      <c r="AA12" s="780">
        <v>-0.4</v>
      </c>
      <c r="AB12" s="511">
        <v>0.55000000000000004</v>
      </c>
      <c r="AC12" s="199">
        <v>0.3</v>
      </c>
      <c r="AD12" s="9" t="s">
        <v>342</v>
      </c>
      <c r="AE12" s="4" t="s">
        <v>256</v>
      </c>
      <c r="AF12" s="158">
        <f>ROWS(AE$10:$AE12)</f>
        <v>3</v>
      </c>
      <c r="AG12" s="158" t="str">
        <f>IF(ID!$A$83=AE12,AF12,"")</f>
        <v/>
      </c>
      <c r="AH12" s="158">
        <f>IFERROR(SMALL($AG$10:$AG$393,ROWS($AG$10:AG12)),"")</f>
        <v>102</v>
      </c>
      <c r="AK12" s="158">
        <f>IFERROR(INDEX($S$10:$AD$393,$AH12,COLUMNS(AJ$10:$AJ12)),"")</f>
        <v>100</v>
      </c>
      <c r="AL12" s="736">
        <f>IFERROR(INDEX($S$10:$AD$393,$AH12,COLUMNS($AJ$10:AK12)),"")</f>
        <v>0</v>
      </c>
      <c r="AM12" s="736">
        <f>IFERROR(INDEX($S$10:$AD$393,$AH12,COLUMNS($AJ$10:AL12)),"")</f>
        <v>-0.2</v>
      </c>
      <c r="AN12" s="736">
        <f>IFERROR(INDEX($S$10:$AD$393,$AH12,COLUMNS($AJ$10:AM12)),"")</f>
        <v>-0.1</v>
      </c>
      <c r="AO12" s="736">
        <f>IFERROR(INDEX($S$10:$AD$393,$AH12,COLUMNS($AJ$10:AN12)),"")</f>
        <v>0.1</v>
      </c>
      <c r="AP12" s="736">
        <f>IFERROR(INDEX($S$10:$AD$393,$AH12,COLUMNS($AJ$10:AO12)),"")</f>
        <v>0.3</v>
      </c>
      <c r="AQ12" s="736">
        <f>IFERROR(INDEX($S$10:$AD$393,$AH12,COLUMNS($AJ$10:AP12)),"")</f>
        <v>0</v>
      </c>
      <c r="AR12" s="736">
        <f>IFERROR(INDEX($S$10:$AD$393,$AH12,COLUMNS($AJ$10:AQ12)),"")</f>
        <v>0</v>
      </c>
      <c r="AS12" s="736">
        <f>IFERROR(INDEX($S$10:$AD$393,$AH12,COLUMNS($AJ$10:AR12)),"")</f>
        <v>0</v>
      </c>
      <c r="AT12" s="736">
        <f>IFERROR(INDEX($S$10:$AD$393,$AH12,COLUMNS($AJ$10:AS12)),"")</f>
        <v>0</v>
      </c>
      <c r="AU12" s="736">
        <f>IFERROR(INDEX($S$10:$AD$393,$AH12,COLUMNS($AJ$10:AT12)),"")</f>
        <v>0.3</v>
      </c>
      <c r="AV12" s="736" t="str">
        <f>IFERROR(INDEX($S$10:$AD$393,$AH12,COLUMNS($AJ$10:AU12)),"")</f>
        <v>Hasil pengujian kebocoran dan kalibrasi akurasi tekanan tertelusur ke Satuan SI melalui PT. KALIMAN</v>
      </c>
      <c r="BN12" s="607" t="s">
        <v>315</v>
      </c>
      <c r="BU12" s="14">
        <v>0.5</v>
      </c>
      <c r="CN12" s="686" t="s">
        <v>310</v>
      </c>
    </row>
    <row r="13" spans="2:92" x14ac:dyDescent="0.2">
      <c r="B13" s="209">
        <v>150</v>
      </c>
      <c r="C13" s="194">
        <v>0.7</v>
      </c>
      <c r="D13" s="525">
        <v>0.7</v>
      </c>
      <c r="E13" s="1141"/>
      <c r="F13" s="238"/>
      <c r="H13" s="209">
        <v>150</v>
      </c>
      <c r="I13" s="194">
        <v>0.7</v>
      </c>
      <c r="J13" s="525">
        <v>0.7</v>
      </c>
      <c r="K13" s="1141"/>
      <c r="L13" s="238"/>
      <c r="M13" s="209">
        <v>150</v>
      </c>
      <c r="N13" s="194">
        <v>-0.2</v>
      </c>
      <c r="O13" s="194">
        <v>-0.1</v>
      </c>
      <c r="P13" s="200">
        <v>0.3</v>
      </c>
      <c r="Q13" s="1146"/>
      <c r="R13" s="240"/>
      <c r="S13" s="209">
        <v>150</v>
      </c>
      <c r="T13" s="757">
        <v>0.7</v>
      </c>
      <c r="U13" s="758">
        <v>0.7</v>
      </c>
      <c r="V13" s="758">
        <v>-0.2</v>
      </c>
      <c r="W13" s="511">
        <v>0.44999999999999996</v>
      </c>
      <c r="X13" s="200">
        <v>0.3</v>
      </c>
      <c r="Y13" s="779">
        <v>0.7</v>
      </c>
      <c r="Z13" s="780">
        <v>0.7</v>
      </c>
      <c r="AA13" s="780">
        <v>-0.1</v>
      </c>
      <c r="AB13" s="511">
        <v>0.39999999999999997</v>
      </c>
      <c r="AC13" s="199">
        <v>0.3</v>
      </c>
      <c r="AD13" s="9" t="s">
        <v>342</v>
      </c>
      <c r="AE13" s="4" t="s">
        <v>256</v>
      </c>
      <c r="AF13" s="158">
        <f>ROWS(AE$10:$AE13)</f>
        <v>4</v>
      </c>
      <c r="AG13" s="158" t="str">
        <f>IF(ID!$A$83=AE13,AF13,"")</f>
        <v/>
      </c>
      <c r="AH13" s="158">
        <f>IFERROR(SMALL($AG$10:$AG$393,ROWS($AG$10:AG13)),"")</f>
        <v>103</v>
      </c>
      <c r="AK13" s="158">
        <f>IFERROR(INDEX($S$10:$AD$393,$AH13,COLUMNS(AJ$10:$AJ13)),"")</f>
        <v>150</v>
      </c>
      <c r="AL13" s="736">
        <f>IFERROR(INDEX($S$10:$AD$393,$AH13,COLUMNS($AJ$10:AK13)),"")</f>
        <v>0</v>
      </c>
      <c r="AM13" s="736">
        <f>IFERROR(INDEX($S$10:$AD$393,$AH13,COLUMNS($AJ$10:AL13)),"")</f>
        <v>-0.2</v>
      </c>
      <c r="AN13" s="736">
        <f>IFERROR(INDEX($S$10:$AD$393,$AH13,COLUMNS($AJ$10:AM13)),"")</f>
        <v>-0.1</v>
      </c>
      <c r="AO13" s="736">
        <f>IFERROR(INDEX($S$10:$AD$393,$AH13,COLUMNS($AJ$10:AN13)),"")</f>
        <v>0.1</v>
      </c>
      <c r="AP13" s="736">
        <f>IFERROR(INDEX($S$10:$AD$393,$AH13,COLUMNS($AJ$10:AO13)),"")</f>
        <v>0.3</v>
      </c>
      <c r="AQ13" s="736">
        <f>IFERROR(INDEX($S$10:$AD$393,$AH13,COLUMNS($AJ$10:AP13)),"")</f>
        <v>0</v>
      </c>
      <c r="AR13" s="736">
        <f>IFERROR(INDEX($S$10:$AD$393,$AH13,COLUMNS($AJ$10:AQ13)),"")</f>
        <v>0</v>
      </c>
      <c r="AS13" s="736">
        <f>IFERROR(INDEX($S$10:$AD$393,$AH13,COLUMNS($AJ$10:AR13)),"")</f>
        <v>0</v>
      </c>
      <c r="AT13" s="736">
        <f>IFERROR(INDEX($S$10:$AD$393,$AH13,COLUMNS($AJ$10:AS13)),"")</f>
        <v>0</v>
      </c>
      <c r="AU13" s="736">
        <f>IFERROR(INDEX($S$10:$AD$393,$AH13,COLUMNS($AJ$10:AT13)),"")</f>
        <v>0.3</v>
      </c>
      <c r="AV13" s="736" t="str">
        <f>IFERROR(INDEX($S$10:$AD$393,$AH13,COLUMNS($AJ$10:AU13)),"")</f>
        <v>Hasil pengujian kebocoran dan kalibrasi akurasi tekanan tertelusur ke Satuan SI melalui PT. KALIMAN</v>
      </c>
      <c r="BN13" s="607" t="s">
        <v>316</v>
      </c>
      <c r="BU13" s="14">
        <v>0.5</v>
      </c>
      <c r="CN13" s="686" t="s">
        <v>332</v>
      </c>
    </row>
    <row r="14" spans="2:92" x14ac:dyDescent="0.2">
      <c r="B14" s="209">
        <v>200</v>
      </c>
      <c r="C14" s="194">
        <v>0.6</v>
      </c>
      <c r="D14" s="525">
        <v>0.6</v>
      </c>
      <c r="E14" s="1141"/>
      <c r="F14" s="238"/>
      <c r="H14" s="209">
        <v>200</v>
      </c>
      <c r="I14" s="194">
        <v>0.6</v>
      </c>
      <c r="J14" s="525">
        <v>0.6</v>
      </c>
      <c r="K14" s="1141"/>
      <c r="L14" s="238"/>
      <c r="M14" s="209">
        <v>200</v>
      </c>
      <c r="N14" s="194">
        <v>-0.1</v>
      </c>
      <c r="O14" s="194">
        <v>-0.1</v>
      </c>
      <c r="P14" s="200">
        <v>0.3</v>
      </c>
      <c r="Q14" s="1146"/>
      <c r="R14" s="240"/>
      <c r="S14" s="209">
        <v>200</v>
      </c>
      <c r="T14" s="757">
        <v>0.6</v>
      </c>
      <c r="U14" s="758">
        <v>0.6</v>
      </c>
      <c r="V14" s="758">
        <v>-0.1</v>
      </c>
      <c r="W14" s="511">
        <v>0.35</v>
      </c>
      <c r="X14" s="200">
        <v>0.3</v>
      </c>
      <c r="Y14" s="779">
        <v>0.6</v>
      </c>
      <c r="Z14" s="780">
        <v>0.6</v>
      </c>
      <c r="AA14" s="780">
        <v>-0.1</v>
      </c>
      <c r="AB14" s="511">
        <v>0.35</v>
      </c>
      <c r="AC14" s="199">
        <v>0.3</v>
      </c>
      <c r="AD14" s="9" t="s">
        <v>342</v>
      </c>
      <c r="AE14" s="4" t="s">
        <v>256</v>
      </c>
      <c r="AF14" s="158">
        <f>ROWS(AE$10:$AE14)</f>
        <v>5</v>
      </c>
      <c r="AG14" s="158" t="str">
        <f>IF(ID!$A$83=AE14,AF14,"")</f>
        <v/>
      </c>
      <c r="AH14" s="158">
        <f>IFERROR(SMALL($AG$10:$AG$393,ROWS($AG$10:AG14)),"")</f>
        <v>104</v>
      </c>
      <c r="AK14" s="158">
        <f>IFERROR(INDEX($S$10:$AD$393,$AH14,COLUMNS(AJ$10:$AJ14)),"")</f>
        <v>200</v>
      </c>
      <c r="AL14" s="736">
        <f>IFERROR(INDEX($S$10:$AD$393,$AH14,COLUMNS($AJ$10:AK14)),"")</f>
        <v>0</v>
      </c>
      <c r="AM14" s="736">
        <f>IFERROR(INDEX($S$10:$AD$393,$AH14,COLUMNS($AJ$10:AL14)),"")</f>
        <v>-0.2</v>
      </c>
      <c r="AN14" s="736">
        <f>IFERROR(INDEX($S$10:$AD$393,$AH14,COLUMNS($AJ$10:AM14)),"")</f>
        <v>-0.2</v>
      </c>
      <c r="AO14" s="736">
        <f>IFERROR(INDEX($S$10:$AD$393,$AH14,COLUMNS($AJ$10:AN14)),"")</f>
        <v>0.1</v>
      </c>
      <c r="AP14" s="736">
        <f>IFERROR(INDEX($S$10:$AD$393,$AH14,COLUMNS($AJ$10:AO14)),"")</f>
        <v>0.3</v>
      </c>
      <c r="AQ14" s="736">
        <f>IFERROR(INDEX($S$10:$AD$393,$AH14,COLUMNS($AJ$10:AP14)),"")</f>
        <v>0</v>
      </c>
      <c r="AR14" s="736">
        <f>IFERROR(INDEX($S$10:$AD$393,$AH14,COLUMNS($AJ$10:AQ14)),"")</f>
        <v>0</v>
      </c>
      <c r="AS14" s="736">
        <f>IFERROR(INDEX($S$10:$AD$393,$AH14,COLUMNS($AJ$10:AR14)),"")</f>
        <v>-0.1</v>
      </c>
      <c r="AT14" s="736">
        <f>IFERROR(INDEX($S$10:$AD$393,$AH14,COLUMNS($AJ$10:AS14)),"")</f>
        <v>0.05</v>
      </c>
      <c r="AU14" s="736">
        <f>IFERROR(INDEX($S$10:$AD$393,$AH14,COLUMNS($AJ$10:AT14)),"")</f>
        <v>0.3</v>
      </c>
      <c r="AV14" s="736" t="str">
        <f>IFERROR(INDEX($S$10:$AD$393,$AH14,COLUMNS($AJ$10:AU14)),"")</f>
        <v>Hasil pengujian kebocoran dan kalibrasi akurasi tekanan tertelusur ke Satuan SI melalui PT. KALIMAN</v>
      </c>
      <c r="BN14" s="607" t="s">
        <v>317</v>
      </c>
      <c r="BU14" s="14">
        <v>0.5</v>
      </c>
      <c r="CN14" s="686" t="s">
        <v>333</v>
      </c>
    </row>
    <row r="15" spans="2:92" x14ac:dyDescent="0.2">
      <c r="B15" s="209">
        <v>250</v>
      </c>
      <c r="C15" s="194">
        <v>0.4</v>
      </c>
      <c r="D15" s="525">
        <v>0.4</v>
      </c>
      <c r="E15" s="1141"/>
      <c r="F15" s="238"/>
      <c r="H15" s="209">
        <v>250</v>
      </c>
      <c r="I15" s="194">
        <v>0.4</v>
      </c>
      <c r="J15" s="525">
        <v>0.4</v>
      </c>
      <c r="K15" s="1141"/>
      <c r="L15" s="238"/>
      <c r="M15" s="209">
        <v>250</v>
      </c>
      <c r="N15" s="194">
        <v>0.2</v>
      </c>
      <c r="O15" s="194">
        <v>0.2</v>
      </c>
      <c r="P15" s="200">
        <v>0.3</v>
      </c>
      <c r="Q15" s="1146"/>
      <c r="R15" s="240"/>
      <c r="S15" s="209">
        <v>250</v>
      </c>
      <c r="T15" s="757">
        <v>0.4</v>
      </c>
      <c r="U15" s="758">
        <v>0.4</v>
      </c>
      <c r="V15" s="758">
        <v>0.2</v>
      </c>
      <c r="W15" s="511">
        <v>0.1</v>
      </c>
      <c r="X15" s="200">
        <v>0.3</v>
      </c>
      <c r="Y15" s="779">
        <v>0.4</v>
      </c>
      <c r="Z15" s="780">
        <v>0.4</v>
      </c>
      <c r="AA15" s="780">
        <v>0.2</v>
      </c>
      <c r="AB15" s="511">
        <v>0.1</v>
      </c>
      <c r="AC15" s="199">
        <v>0.3</v>
      </c>
      <c r="AD15" s="9" t="s">
        <v>342</v>
      </c>
      <c r="AE15" s="4" t="s">
        <v>256</v>
      </c>
      <c r="AF15" s="158">
        <f>ROWS(AE$10:$AE15)</f>
        <v>6</v>
      </c>
      <c r="AG15" s="158" t="str">
        <f>IF(ID!$A$83=AE15,AF15,"")</f>
        <v/>
      </c>
      <c r="AH15" s="158">
        <f>IFERROR(SMALL($AG$10:$AG$393,ROWS($AG$10:AG15)),"")</f>
        <v>105</v>
      </c>
      <c r="AK15" s="158">
        <f>IFERROR(INDEX($S$10:$AD$393,$AH15,COLUMNS(AJ$10:$AJ15)),"")</f>
        <v>250</v>
      </c>
      <c r="AL15" s="736">
        <f>IFERROR(INDEX($S$10:$AD$393,$AH15,COLUMNS($AJ$10:AK15)),"")</f>
        <v>0</v>
      </c>
      <c r="AM15" s="736">
        <f>IFERROR(INDEX($S$10:$AD$393,$AH15,COLUMNS($AJ$10:AL15)),"")</f>
        <v>-0.1</v>
      </c>
      <c r="AN15" s="736">
        <f>IFERROR(INDEX($S$10:$AD$393,$AH15,COLUMNS($AJ$10:AM15)),"")</f>
        <v>-0.1</v>
      </c>
      <c r="AO15" s="736">
        <f>IFERROR(INDEX($S$10:$AD$393,$AH15,COLUMNS($AJ$10:AN15)),"")</f>
        <v>0.05</v>
      </c>
      <c r="AP15" s="736">
        <f>IFERROR(INDEX($S$10:$AD$393,$AH15,COLUMNS($AJ$10:AO15)),"")</f>
        <v>0.3</v>
      </c>
      <c r="AQ15" s="736">
        <f>IFERROR(INDEX($S$10:$AD$393,$AH15,COLUMNS($AJ$10:AP15)),"")</f>
        <v>0</v>
      </c>
      <c r="AR15" s="736">
        <f>IFERROR(INDEX($S$10:$AD$393,$AH15,COLUMNS($AJ$10:AQ15)),"")</f>
        <v>0</v>
      </c>
      <c r="AS15" s="736">
        <f>IFERROR(INDEX($S$10:$AD$393,$AH15,COLUMNS($AJ$10:AR15)),"")</f>
        <v>-0.1</v>
      </c>
      <c r="AT15" s="736">
        <f>IFERROR(INDEX($S$10:$AD$393,$AH15,COLUMNS($AJ$10:AS15)),"")</f>
        <v>0.05</v>
      </c>
      <c r="AU15" s="736">
        <f>IFERROR(INDEX($S$10:$AD$393,$AH15,COLUMNS($AJ$10:AT15)),"")</f>
        <v>0.3</v>
      </c>
      <c r="AV15" s="736" t="str">
        <f>IFERROR(INDEX($S$10:$AD$393,$AH15,COLUMNS($AJ$10:AU15)),"")</f>
        <v>Hasil pengujian kebocoran dan kalibrasi akurasi tekanan tertelusur ke Satuan SI melalui PT. KALIMAN</v>
      </c>
      <c r="BN15" s="607" t="s">
        <v>318</v>
      </c>
      <c r="BU15" s="14">
        <v>0.5</v>
      </c>
      <c r="CN15" s="686" t="s">
        <v>309</v>
      </c>
    </row>
    <row r="16" spans="2:92" x14ac:dyDescent="0.2">
      <c r="B16" s="209">
        <v>300</v>
      </c>
      <c r="C16" s="194">
        <v>0.1</v>
      </c>
      <c r="D16" s="525">
        <v>0.1</v>
      </c>
      <c r="E16" s="1141"/>
      <c r="F16" s="238"/>
      <c r="H16" s="209">
        <v>300</v>
      </c>
      <c r="I16" s="194">
        <v>0.1</v>
      </c>
      <c r="J16" s="525">
        <v>0.1</v>
      </c>
      <c r="K16" s="1141"/>
      <c r="L16" s="238"/>
      <c r="M16" s="209">
        <v>300</v>
      </c>
      <c r="N16" s="194">
        <v>0</v>
      </c>
      <c r="O16" s="194">
        <v>0.1</v>
      </c>
      <c r="P16" s="200">
        <v>0.3</v>
      </c>
      <c r="Q16" s="1146"/>
      <c r="R16" s="240"/>
      <c r="S16" s="209">
        <v>300</v>
      </c>
      <c r="T16" s="757">
        <v>0.1</v>
      </c>
      <c r="U16" s="758">
        <v>0.1</v>
      </c>
      <c r="V16" s="758">
        <v>0</v>
      </c>
      <c r="W16" s="511">
        <v>0.05</v>
      </c>
      <c r="X16" s="200">
        <v>0.3</v>
      </c>
      <c r="Y16" s="779">
        <v>0.1</v>
      </c>
      <c r="Z16" s="780">
        <v>0.1</v>
      </c>
      <c r="AA16" s="780">
        <v>0.1</v>
      </c>
      <c r="AB16" s="511">
        <v>0</v>
      </c>
      <c r="AC16" s="199">
        <v>0.3</v>
      </c>
      <c r="AD16" s="9" t="s">
        <v>342</v>
      </c>
      <c r="AE16" s="4" t="s">
        <v>256</v>
      </c>
      <c r="AF16" s="158">
        <f>ROWS(AE$10:$AE16)</f>
        <v>7</v>
      </c>
      <c r="AG16" s="158" t="str">
        <f>IF(ID!$A$83=AE16,AF16,"")</f>
        <v/>
      </c>
      <c r="AH16" s="158">
        <f>IFERROR(SMALL($AG$10:$AG$393,ROWS($AG$10:AG16)),"")</f>
        <v>106</v>
      </c>
      <c r="AK16" s="158">
        <f>IFERROR(INDEX($S$10:$AD$393,$AH16,COLUMNS(AJ$10:$AJ16)),"")</f>
        <v>300</v>
      </c>
      <c r="AL16" s="736">
        <f>IFERROR(INDEX($S$10:$AD$393,$AH16,COLUMNS($AJ$10:AK16)),"")</f>
        <v>0</v>
      </c>
      <c r="AM16" s="736">
        <f>IFERROR(INDEX($S$10:$AD$393,$AH16,COLUMNS($AJ$10:AL16)),"")</f>
        <v>-0.2</v>
      </c>
      <c r="AN16" s="736">
        <f>IFERROR(INDEX($S$10:$AD$393,$AH16,COLUMNS($AJ$10:AM16)),"")</f>
        <v>0</v>
      </c>
      <c r="AO16" s="736">
        <f>IFERROR(INDEX($S$10:$AD$393,$AH16,COLUMNS($AJ$10:AN16)),"")</f>
        <v>0.1</v>
      </c>
      <c r="AP16" s="736">
        <f>IFERROR(INDEX($S$10:$AD$393,$AH16,COLUMNS($AJ$10:AO16)),"")</f>
        <v>0.3</v>
      </c>
      <c r="AQ16" s="736">
        <f>IFERROR(INDEX($S$10:$AD$393,$AH16,COLUMNS($AJ$10:AP16)),"")</f>
        <v>0</v>
      </c>
      <c r="AR16" s="736">
        <f>IFERROR(INDEX($S$10:$AD$393,$AH16,COLUMNS($AJ$10:AQ16)),"")</f>
        <v>0</v>
      </c>
      <c r="AS16" s="736">
        <f>IFERROR(INDEX($S$10:$AD$393,$AH16,COLUMNS($AJ$10:AR16)),"")</f>
        <v>0.1</v>
      </c>
      <c r="AT16" s="736">
        <f>IFERROR(INDEX($S$10:$AD$393,$AH16,COLUMNS($AJ$10:AS16)),"")</f>
        <v>0.05</v>
      </c>
      <c r="AU16" s="736">
        <f>IFERROR(INDEX($S$10:$AD$393,$AH16,COLUMNS($AJ$10:AT16)),"")</f>
        <v>0.3</v>
      </c>
      <c r="AV16" s="736" t="str">
        <f>IFERROR(INDEX($S$10:$AD$393,$AH16,COLUMNS($AJ$10:AU16)),"")</f>
        <v>Hasil pengujian kebocoran dan kalibrasi akurasi tekanan tertelusur ke Satuan SI melalui PT. KALIMAN</v>
      </c>
      <c r="BN16" s="607" t="s">
        <v>744</v>
      </c>
      <c r="BU16" s="14">
        <v>0.5</v>
      </c>
      <c r="CN16" s="686" t="s">
        <v>334</v>
      </c>
    </row>
    <row r="17" spans="2:92" x14ac:dyDescent="0.2">
      <c r="W17" s="546"/>
      <c r="AB17" s="546"/>
      <c r="AF17" s="158">
        <f>ROWS(AE$10:$AE17)</f>
        <v>8</v>
      </c>
      <c r="AG17" s="158" t="str">
        <f>IF(ID!$A$83=AE17,AF17,"")</f>
        <v/>
      </c>
      <c r="AH17" s="158" t="str">
        <f>IFERROR(SMALL($AG$10:$AG$393,ROWS($AG$10:AG17)),"")</f>
        <v/>
      </c>
      <c r="AK17" s="158" t="str">
        <f>IFERROR(INDEX($S$10:$AD$393,$AH17,COLUMNS(AJ$10:$AJ17)),"")</f>
        <v/>
      </c>
      <c r="AL17" s="158"/>
      <c r="AM17" s="158" t="str">
        <f>IFERROR(INDEX($S$10:$AD$393,$AH17,COLUMNS($AJ$10:AK17)),"")</f>
        <v/>
      </c>
      <c r="AN17" s="158" t="str">
        <f>IFERROR(INDEX($S$10:$AD$393,$AH17,COLUMNS($AJ$10:AM17)),"")</f>
        <v/>
      </c>
      <c r="AO17" s="158" t="str">
        <f>IFERROR(INDEX($S$10:$AD$393,$AH17,COLUMNS($AJ$10:AN17)),"")</f>
        <v/>
      </c>
      <c r="AP17" s="158" t="str">
        <f>IFERROR(INDEX($S$10:$AD$393,$AH17,COLUMNS($AJ$10:AO17)),"")</f>
        <v/>
      </c>
      <c r="AQ17" s="158"/>
      <c r="AR17" s="158" t="str">
        <f>IFERROR(INDEX($S$10:$AD$393,$AH17,COLUMNS($AJ$10:AP17)),"")</f>
        <v/>
      </c>
      <c r="AS17" s="158" t="str">
        <f>IFERROR(INDEX($S$10:$AD$393,$AH17,COLUMNS($AJ$10:AR17)),"")</f>
        <v/>
      </c>
      <c r="AT17" s="158" t="str">
        <f>IFERROR(INDEX($S$10:$AD$393,$AH17,COLUMNS($AJ$10:AS17)),"")</f>
        <v/>
      </c>
      <c r="AU17" s="158" t="str">
        <f>IFERROR(INDEX($S$10:$AD$393,$AH17,COLUMNS($AJ$10:AT17)),"")</f>
        <v/>
      </c>
      <c r="AV17" s="158" t="str">
        <f>IFERROR(INDEX($S$10:$AD$393,$AH17,COLUMNS($AJ$10:AU17)),"")</f>
        <v/>
      </c>
      <c r="BN17" s="607" t="s">
        <v>257</v>
      </c>
      <c r="BU17" s="14">
        <v>0.5</v>
      </c>
      <c r="CN17" s="686" t="s">
        <v>311</v>
      </c>
    </row>
    <row r="18" spans="2:92" s="526" customFormat="1" x14ac:dyDescent="0.2">
      <c r="C18" s="532"/>
      <c r="D18" s="538"/>
      <c r="I18" s="532"/>
      <c r="J18" s="538"/>
      <c r="S18" s="527"/>
      <c r="T18" s="753"/>
      <c r="U18" s="754"/>
      <c r="V18" s="754"/>
      <c r="W18" s="543"/>
      <c r="Y18" s="775"/>
      <c r="Z18" s="775"/>
      <c r="AA18" s="775"/>
      <c r="AB18" s="543"/>
      <c r="AF18" s="158">
        <f>ROWS(AE$10:$AE18)</f>
        <v>9</v>
      </c>
      <c r="AG18" s="158" t="str">
        <f>IF(ID!$A$83=AE18,AF18,"")</f>
        <v/>
      </c>
      <c r="AH18" s="158" t="str">
        <f>IFERROR(SMALL($AG$10:$AG$393,ROWS($AG$10:AG18)),"")</f>
        <v/>
      </c>
      <c r="AK18" s="158" t="str">
        <f>IFERROR(INDEX($S$10:$AD$393,$AH18,COLUMNS(AJ$10:$AJ18)),"")</f>
        <v/>
      </c>
      <c r="AL18" s="158"/>
      <c r="AM18" s="158" t="str">
        <f>IFERROR(INDEX($S$10:$AD$393,$AH18,COLUMNS($AJ$10:AK18)),"")</f>
        <v/>
      </c>
      <c r="AN18" s="158" t="str">
        <f>IFERROR(INDEX($S$10:$AD$393,$AH18,COLUMNS($AJ$10:AM18)),"")</f>
        <v/>
      </c>
      <c r="AO18" s="158" t="str">
        <f>IFERROR(INDEX($S$10:$AD$393,$AH18,COLUMNS($AJ$10:AN18)),"")</f>
        <v/>
      </c>
      <c r="AP18" s="158" t="str">
        <f>IFERROR(INDEX($S$10:$AD$393,$AH18,COLUMNS($AJ$10:AO18)),"")</f>
        <v/>
      </c>
      <c r="AQ18" s="158"/>
      <c r="AR18" s="158" t="str">
        <f>IFERROR(INDEX($S$10:$AD$393,$AH18,COLUMNS($AJ$10:AP18)),"")</f>
        <v/>
      </c>
      <c r="AS18" s="158" t="str">
        <f>IFERROR(INDEX($S$10:$AD$393,$AH18,COLUMNS($AJ$10:AR18)),"")</f>
        <v/>
      </c>
      <c r="AT18" s="158" t="str">
        <f>IFERROR(INDEX($S$10:$AD$393,$AH18,COLUMNS($AJ$10:AS18)),"")</f>
        <v/>
      </c>
      <c r="AU18" s="158" t="str">
        <f>IFERROR(INDEX($S$10:$AD$393,$AH18,COLUMNS($AJ$10:AT18)),"")</f>
        <v/>
      </c>
      <c r="AV18" s="158" t="str">
        <f>IFERROR(INDEX($S$10:$AD$393,$AH18,COLUMNS($AJ$10:AU18)),"")</f>
        <v/>
      </c>
      <c r="BN18" s="607" t="s">
        <v>260</v>
      </c>
      <c r="BO18" s="606"/>
      <c r="BU18" s="14">
        <v>0.5</v>
      </c>
      <c r="CN18" s="686" t="s">
        <v>335</v>
      </c>
    </row>
    <row r="19" spans="2:92" s="526" customFormat="1" x14ac:dyDescent="0.2">
      <c r="C19" s="532"/>
      <c r="D19" s="538"/>
      <c r="I19" s="532"/>
      <c r="J19" s="538"/>
      <c r="S19" s="527"/>
      <c r="T19" s="753"/>
      <c r="U19" s="754"/>
      <c r="V19" s="754"/>
      <c r="W19" s="543"/>
      <c r="Y19" s="775"/>
      <c r="Z19" s="775"/>
      <c r="AA19" s="775"/>
      <c r="AB19" s="543"/>
      <c r="AF19" s="158">
        <f>ROWS(AE$10:$AE19)</f>
        <v>10</v>
      </c>
      <c r="AG19" s="158" t="str">
        <f>IF(ID!$A$83=AE19,AF19,"")</f>
        <v/>
      </c>
      <c r="AH19" s="158" t="str">
        <f>IFERROR(SMALL($AG$10:$AG$393,ROWS($AG$10:AG19)),"")</f>
        <v/>
      </c>
      <c r="AK19" s="158" t="str">
        <f>IFERROR(INDEX($S$10:$AD$393,$AH19,COLUMNS(AJ$10:$AJ19)),"")</f>
        <v/>
      </c>
      <c r="AL19" s="158"/>
      <c r="AM19" s="158" t="str">
        <f>IFERROR(INDEX($S$10:$AD$393,$AH19,COLUMNS($AJ$10:AK19)),"")</f>
        <v/>
      </c>
      <c r="AN19" s="158" t="str">
        <f>IFERROR(INDEX($S$10:$AD$393,$AH19,COLUMNS($AJ$10:AM19)),"")</f>
        <v/>
      </c>
      <c r="AO19" s="158" t="str">
        <f>IFERROR(INDEX($S$10:$AD$393,$AH19,COLUMNS($AJ$10:AN19)),"")</f>
        <v/>
      </c>
      <c r="AP19" s="158" t="str">
        <f>IFERROR(INDEX($S$10:$AD$393,$AH19,COLUMNS($AJ$10:AO19)),"")</f>
        <v/>
      </c>
      <c r="AQ19" s="158"/>
      <c r="AR19" s="158" t="str">
        <f>IFERROR(INDEX($S$10:$AD$393,$AH19,COLUMNS($AJ$10:AP19)),"")</f>
        <v/>
      </c>
      <c r="AS19" s="158" t="str">
        <f>IFERROR(INDEX($S$10:$AD$393,$AH19,COLUMNS($AJ$10:AR19)),"")</f>
        <v/>
      </c>
      <c r="AT19" s="158" t="str">
        <f>IFERROR(INDEX($S$10:$AD$393,$AH19,COLUMNS($AJ$10:AS19)),"")</f>
        <v/>
      </c>
      <c r="AU19" s="158" t="str">
        <f>IFERROR(INDEX($S$10:$AD$393,$AH19,COLUMNS($AJ$10:AT19)),"")</f>
        <v/>
      </c>
      <c r="AV19" s="158" t="str">
        <f>IFERROR(INDEX($S$10:$AD$393,$AH19,COLUMNS($AJ$10:AU19)),"")</f>
        <v/>
      </c>
      <c r="BN19" s="607" t="s">
        <v>743</v>
      </c>
      <c r="BO19" s="606"/>
      <c r="BU19" s="14">
        <v>0.5</v>
      </c>
      <c r="CN19" s="686" t="s">
        <v>336</v>
      </c>
    </row>
    <row r="20" spans="2:92" s="526" customFormat="1" x14ac:dyDescent="0.2">
      <c r="C20" s="532"/>
      <c r="D20" s="538"/>
      <c r="I20" s="532"/>
      <c r="J20" s="538"/>
      <c r="S20" s="527"/>
      <c r="T20" s="753"/>
      <c r="U20" s="754"/>
      <c r="V20" s="754"/>
      <c r="W20" s="543"/>
      <c r="Y20" s="775"/>
      <c r="Z20" s="775"/>
      <c r="AA20" s="775"/>
      <c r="AB20" s="543"/>
      <c r="AF20" s="158">
        <f>ROWS(AE$10:$AE20)</f>
        <v>11</v>
      </c>
      <c r="AG20" s="158" t="str">
        <f>IF(ID!$A$83=AE20,AF20,"")</f>
        <v/>
      </c>
      <c r="AH20" s="158" t="str">
        <f>IFERROR(SMALL($AG$10:$AG$393,ROWS($AG$10:AG20)),"")</f>
        <v/>
      </c>
      <c r="AK20" s="158" t="str">
        <f>IFERROR(INDEX($S$10:$AD$393,$AH20,COLUMNS(AJ$10:$AJ20)),"")</f>
        <v/>
      </c>
      <c r="AL20" s="158"/>
      <c r="AM20" s="158" t="str">
        <f>IFERROR(INDEX($S$10:$AD$393,$AH20,COLUMNS($AJ$10:AK20)),"")</f>
        <v/>
      </c>
      <c r="AN20" s="158" t="str">
        <f>IFERROR(INDEX($S$10:$AD$393,$AH20,COLUMNS($AJ$10:AM20)),"")</f>
        <v/>
      </c>
      <c r="AO20" s="158" t="str">
        <f>IFERROR(INDEX($S$10:$AD$393,$AH20,COLUMNS($AJ$10:AN20)),"")</f>
        <v/>
      </c>
      <c r="AP20" s="158" t="str">
        <f>IFERROR(INDEX($S$10:$AD$393,$AH20,COLUMNS($AJ$10:AO20)),"")</f>
        <v/>
      </c>
      <c r="AQ20" s="158"/>
      <c r="AR20" s="158" t="str">
        <f>IFERROR(INDEX($S$10:$AD$393,$AH20,COLUMNS($AJ$10:AP20)),"")</f>
        <v/>
      </c>
      <c r="AS20" s="158" t="str">
        <f>IFERROR(INDEX($S$10:$AD$393,$AH20,COLUMNS($AJ$10:AR20)),"")</f>
        <v/>
      </c>
      <c r="AT20" s="158" t="str">
        <f>IFERROR(INDEX($S$10:$AD$393,$AH20,COLUMNS($AJ$10:AS20)),"")</f>
        <v/>
      </c>
      <c r="AU20" s="158" t="str">
        <f>IFERROR(INDEX($S$10:$AD$393,$AH20,COLUMNS($AJ$10:AT20)),"")</f>
        <v/>
      </c>
      <c r="AV20" s="158" t="str">
        <f>IFERROR(INDEX($S$10:$AD$393,$AH20,COLUMNS($AJ$10:AU20)),"")</f>
        <v/>
      </c>
      <c r="BN20" s="4" t="s">
        <v>344</v>
      </c>
      <c r="BO20" s="606"/>
      <c r="BU20" s="14">
        <v>0.5</v>
      </c>
      <c r="CN20" s="686" t="s">
        <v>337</v>
      </c>
    </row>
    <row r="21" spans="2:92" s="526" customFormat="1" x14ac:dyDescent="0.2">
      <c r="C21" s="532"/>
      <c r="D21" s="538"/>
      <c r="I21" s="532"/>
      <c r="J21" s="538"/>
      <c r="S21" s="527"/>
      <c r="T21" s="753"/>
      <c r="U21" s="754"/>
      <c r="V21" s="754"/>
      <c r="W21" s="543"/>
      <c r="Y21" s="775"/>
      <c r="Z21" s="775"/>
      <c r="AA21" s="775"/>
      <c r="AB21" s="543"/>
      <c r="AF21" s="158">
        <f>ROWS(AE$10:$AE21)</f>
        <v>12</v>
      </c>
      <c r="AG21" s="158" t="str">
        <f>IF(ID!$A$83=AE21,AF21,"")</f>
        <v/>
      </c>
      <c r="AH21" s="158" t="str">
        <f>IFERROR(SMALL($AG$10:$AG$393,ROWS($AG$10:AG21)),"")</f>
        <v/>
      </c>
      <c r="AK21" s="158" t="str">
        <f>IFERROR(INDEX($S$10:$AD$393,$AH21,COLUMNS(AJ$10:$AJ21)),"")</f>
        <v/>
      </c>
      <c r="AL21" s="158"/>
      <c r="AM21" s="158" t="str">
        <f>IFERROR(INDEX($S$10:$AD$393,$AH21,COLUMNS($AJ$10:AK21)),"")</f>
        <v/>
      </c>
      <c r="AN21" s="158" t="str">
        <f>IFERROR(INDEX($S$10:$AD$393,$AH21,COLUMNS($AJ$10:AM21)),"")</f>
        <v/>
      </c>
      <c r="AO21" s="158" t="str">
        <f>IFERROR(INDEX($S$10:$AD$393,$AH21,COLUMNS($AJ$10:AN21)),"")</f>
        <v/>
      </c>
      <c r="AP21" s="158" t="str">
        <f>IFERROR(INDEX($S$10:$AD$393,$AH21,COLUMNS($AJ$10:AO21)),"")</f>
        <v/>
      </c>
      <c r="AQ21" s="158"/>
      <c r="AR21" s="158" t="str">
        <f>IFERROR(INDEX($S$10:$AD$393,$AH21,COLUMNS($AJ$10:AP21)),"")</f>
        <v/>
      </c>
      <c r="AS21" s="158" t="str">
        <f>IFERROR(INDEX($S$10:$AD$393,$AH21,COLUMNS($AJ$10:AR21)),"")</f>
        <v/>
      </c>
      <c r="AT21" s="158" t="str">
        <f>IFERROR(INDEX($S$10:$AD$393,$AH21,COLUMNS($AJ$10:AS21)),"")</f>
        <v/>
      </c>
      <c r="AU21" s="158" t="str">
        <f>IFERROR(INDEX($S$10:$AD$393,$AH21,COLUMNS($AJ$10:AT21)),"")</f>
        <v/>
      </c>
      <c r="AV21" s="158" t="str">
        <f>IFERROR(INDEX($S$10:$AD$393,$AH21,COLUMNS($AJ$10:AU21)),"")</f>
        <v/>
      </c>
      <c r="BN21" s="4" t="s">
        <v>346</v>
      </c>
      <c r="BO21" s="554"/>
      <c r="BU21" s="14">
        <v>0.5</v>
      </c>
      <c r="CN21" s="686" t="s">
        <v>338</v>
      </c>
    </row>
    <row r="22" spans="2:92" s="526" customFormat="1" x14ac:dyDescent="0.2">
      <c r="C22" s="532"/>
      <c r="D22" s="538"/>
      <c r="I22" s="532"/>
      <c r="J22" s="538"/>
      <c r="S22" s="527"/>
      <c r="T22" s="753"/>
      <c r="U22" s="754"/>
      <c r="V22" s="754"/>
      <c r="W22" s="543"/>
      <c r="Y22" s="775"/>
      <c r="Z22" s="775"/>
      <c r="AA22" s="775"/>
      <c r="AB22" s="543"/>
      <c r="AF22" s="158">
        <f>ROWS(AE$10:$AE22)</f>
        <v>13</v>
      </c>
      <c r="AG22" s="158" t="str">
        <f>IF(ID!$A$83=AE22,AF22,"")</f>
        <v/>
      </c>
      <c r="AH22" s="158" t="str">
        <f>IFERROR(SMALL($AG$10:$AG$393,ROWS($AG$10:AG22)),"")</f>
        <v/>
      </c>
      <c r="AK22" s="158" t="str">
        <f>IFERROR(INDEX($S$10:$AD$393,$AH22,COLUMNS(AJ$10:$AJ22)),"")</f>
        <v/>
      </c>
      <c r="AL22" s="158"/>
      <c r="AM22" s="158" t="str">
        <f>IFERROR(INDEX($S$10:$AD$393,$AH22,COLUMNS($AJ$10:AK22)),"")</f>
        <v/>
      </c>
      <c r="AN22" s="158" t="str">
        <f>IFERROR(INDEX($S$10:$AD$393,$AH22,COLUMNS($AJ$10:AM22)),"")</f>
        <v/>
      </c>
      <c r="AO22" s="158" t="str">
        <f>IFERROR(INDEX($S$10:$AD$393,$AH22,COLUMNS($AJ$10:AN22)),"")</f>
        <v/>
      </c>
      <c r="AP22" s="158" t="str">
        <f>IFERROR(INDEX($S$10:$AD$393,$AH22,COLUMNS($AJ$10:AO22)),"")</f>
        <v/>
      </c>
      <c r="AQ22" s="158"/>
      <c r="AR22" s="158" t="str">
        <f>IFERROR(INDEX($S$10:$AD$393,$AH22,COLUMNS($AJ$10:AP22)),"")</f>
        <v/>
      </c>
      <c r="AS22" s="158" t="str">
        <f>IFERROR(INDEX($S$10:$AD$393,$AH22,COLUMNS($AJ$10:AR22)),"")</f>
        <v/>
      </c>
      <c r="AT22" s="158" t="str">
        <f>IFERROR(INDEX($S$10:$AD$393,$AH22,COLUMNS($AJ$10:AS22)),"")</f>
        <v/>
      </c>
      <c r="AU22" s="158" t="str">
        <f>IFERROR(INDEX($S$10:$AD$393,$AH22,COLUMNS($AJ$10:AT22)),"")</f>
        <v/>
      </c>
      <c r="AV22" s="158" t="str">
        <f>IFERROR(INDEX($S$10:$AD$393,$AH22,COLUMNS($AJ$10:AU22)),"")</f>
        <v/>
      </c>
      <c r="BN22" s="554" t="s">
        <v>709</v>
      </c>
      <c r="BO22" s="554"/>
      <c r="BU22" s="14">
        <v>0.1</v>
      </c>
      <c r="CN22" s="686" t="s">
        <v>339</v>
      </c>
    </row>
    <row r="23" spans="2:92" x14ac:dyDescent="0.2">
      <c r="S23" s="228"/>
      <c r="T23" s="759"/>
      <c r="U23" s="760"/>
      <c r="V23" s="761"/>
      <c r="W23" s="546"/>
      <c r="AB23" s="546"/>
      <c r="AF23" s="158">
        <f>ROWS(AE$10:$AE23)</f>
        <v>14</v>
      </c>
      <c r="AG23" s="158" t="str">
        <f>IF(ID!$A$83=AE23,AF23,"")</f>
        <v/>
      </c>
      <c r="AH23" s="158" t="str">
        <f>IFERROR(SMALL($AG$10:$AG$393,ROWS($AG$10:AG23)),"")</f>
        <v/>
      </c>
      <c r="AK23" s="158" t="str">
        <f>IFERROR(INDEX($S$10:$AD$393,$AH23,COLUMNS(AJ$10:$AJ23)),"")</f>
        <v/>
      </c>
      <c r="AL23" s="158"/>
      <c r="AM23" s="158" t="str">
        <f>IFERROR(INDEX($S$10:$AD$393,$AH23,COLUMNS($AJ$10:AK23)),"")</f>
        <v/>
      </c>
      <c r="AN23" s="158" t="str">
        <f>IFERROR(INDEX($S$10:$AD$393,$AH23,COLUMNS($AJ$10:AM23)),"")</f>
        <v/>
      </c>
      <c r="AO23" s="158" t="str">
        <f>IFERROR(INDEX($S$10:$AD$393,$AH23,COLUMNS($AJ$10:AN23)),"")</f>
        <v/>
      </c>
      <c r="AP23" s="158" t="str">
        <f>IFERROR(INDEX($S$10:$AD$393,$AH23,COLUMNS($AJ$10:AO23)),"")</f>
        <v/>
      </c>
      <c r="AQ23" s="158"/>
      <c r="AR23" s="158" t="str">
        <f>IFERROR(INDEX($S$10:$AD$393,$AH23,COLUMNS($AJ$10:AP23)),"")</f>
        <v/>
      </c>
      <c r="AS23" s="158" t="str">
        <f>IFERROR(INDEX($S$10:$AD$393,$AH23,COLUMNS($AJ$10:AR23)),"")</f>
        <v/>
      </c>
      <c r="AT23" s="158" t="str">
        <f>IFERROR(INDEX($S$10:$AD$393,$AH23,COLUMNS($AJ$10:AS23)),"")</f>
        <v/>
      </c>
      <c r="AU23" s="158" t="str">
        <f>IFERROR(INDEX($S$10:$AD$393,$AH23,COLUMNS($AJ$10:AT23)),"")</f>
        <v/>
      </c>
      <c r="AV23" s="158" t="str">
        <f>IFERROR(INDEX($S$10:$AD$393,$AH23,COLUMNS($AJ$10:AU23)),"")</f>
        <v/>
      </c>
      <c r="BN23" s="554" t="s">
        <v>252</v>
      </c>
      <c r="BU23" s="14">
        <v>0.1</v>
      </c>
      <c r="CN23" s="686" t="s">
        <v>340</v>
      </c>
    </row>
    <row r="24" spans="2:92" x14ac:dyDescent="0.2">
      <c r="B24" s="209">
        <v>0</v>
      </c>
      <c r="C24" s="194">
        <v>0</v>
      </c>
      <c r="D24" s="525">
        <v>0</v>
      </c>
      <c r="E24" s="1129" t="s">
        <v>174</v>
      </c>
      <c r="F24" s="241"/>
      <c r="H24" s="209">
        <v>0</v>
      </c>
      <c r="I24" s="194">
        <v>0</v>
      </c>
      <c r="J24" s="525">
        <v>0</v>
      </c>
      <c r="K24" s="1129" t="s">
        <v>174</v>
      </c>
      <c r="L24" s="241"/>
      <c r="M24" s="209">
        <v>0</v>
      </c>
      <c r="N24" s="194">
        <v>0</v>
      </c>
      <c r="O24" s="525">
        <v>0</v>
      </c>
      <c r="P24" s="200">
        <v>0.3</v>
      </c>
      <c r="Q24" s="1147" t="s">
        <v>370</v>
      </c>
      <c r="R24" s="240"/>
      <c r="S24" s="209">
        <v>0</v>
      </c>
      <c r="T24" s="757">
        <v>0</v>
      </c>
      <c r="U24" s="758">
        <v>0</v>
      </c>
      <c r="V24" s="758">
        <v>0</v>
      </c>
      <c r="W24" s="511">
        <v>0</v>
      </c>
      <c r="X24" s="200">
        <v>0.3</v>
      </c>
      <c r="Y24" s="779">
        <v>0</v>
      </c>
      <c r="Z24" s="780">
        <v>0</v>
      </c>
      <c r="AA24" s="780">
        <v>0</v>
      </c>
      <c r="AB24" s="511">
        <v>0</v>
      </c>
      <c r="AC24" s="199">
        <v>0.3</v>
      </c>
      <c r="AD24" s="9" t="s">
        <v>342</v>
      </c>
      <c r="AE24" s="4" t="s">
        <v>257</v>
      </c>
      <c r="AF24" s="158">
        <f>ROWS(AE$10:$AE24)</f>
        <v>15</v>
      </c>
      <c r="AG24" s="158" t="str">
        <f>IF(ID!$A$83=AE24,AF24,"")</f>
        <v/>
      </c>
      <c r="AH24" s="158" t="str">
        <f>IFERROR(SMALL($AG$10:$AG$393,ROWS($AG$10:AG24)),"")</f>
        <v/>
      </c>
      <c r="AK24" s="158" t="str">
        <f>IFERROR(INDEX($S$10:$AD$393,$AH24,COLUMNS(AJ$10:$AJ24)),"")</f>
        <v/>
      </c>
      <c r="AL24" s="158"/>
      <c r="AM24" s="158" t="str">
        <f>IFERROR(INDEX($S$10:$AD$393,$AH24,COLUMNS($AJ$10:AK24)),"")</f>
        <v/>
      </c>
      <c r="AN24" s="158" t="str">
        <f>IFERROR(INDEX($S$10:$AD$393,$AH24,COLUMNS($AJ$10:AM24)),"")</f>
        <v/>
      </c>
      <c r="AO24" s="158" t="str">
        <f>IFERROR(INDEX($S$10:$AD$393,$AH24,COLUMNS($AJ$10:AN24)),"")</f>
        <v/>
      </c>
      <c r="AP24" s="158" t="str">
        <f>IFERROR(INDEX($S$10:$AD$393,$AH24,COLUMNS($AJ$10:AO24)),"")</f>
        <v/>
      </c>
      <c r="AQ24" s="158"/>
      <c r="AR24" s="158" t="str">
        <f>IFERROR(INDEX($S$10:$AD$393,$AH24,COLUMNS($AJ$10:AP24)),"")</f>
        <v/>
      </c>
      <c r="AS24" s="158" t="str">
        <f>IFERROR(INDEX($S$10:$AD$393,$AH24,COLUMNS($AJ$10:AR24)),"")</f>
        <v/>
      </c>
      <c r="AT24" s="158" t="str">
        <f>IFERROR(INDEX($S$10:$AD$393,$AH24,COLUMNS($AJ$10:AS24)),"")</f>
        <v/>
      </c>
      <c r="AU24" s="158" t="str">
        <f>IFERROR(INDEX($S$10:$AD$393,$AH24,COLUMNS($AJ$10:AT24)),"")</f>
        <v/>
      </c>
      <c r="AV24" s="158" t="str">
        <f>IFERROR(INDEX($S$10:$AD$393,$AH24,COLUMNS($AJ$10:AU24)),"")</f>
        <v/>
      </c>
      <c r="BN24" s="554" t="s">
        <v>253</v>
      </c>
      <c r="BU24" s="14">
        <v>0.1</v>
      </c>
      <c r="CN24" s="686" t="s">
        <v>341</v>
      </c>
    </row>
    <row r="25" spans="2:92" x14ac:dyDescent="0.2">
      <c r="B25" s="209">
        <v>50</v>
      </c>
      <c r="C25" s="194">
        <v>-0.1</v>
      </c>
      <c r="D25" s="525">
        <v>-0.1</v>
      </c>
      <c r="E25" s="1130"/>
      <c r="F25" s="241"/>
      <c r="H25" s="209">
        <v>50</v>
      </c>
      <c r="I25" s="194">
        <v>-0.1</v>
      </c>
      <c r="J25" s="525">
        <v>-0.1</v>
      </c>
      <c r="K25" s="1130"/>
      <c r="L25" s="241"/>
      <c r="M25" s="209">
        <v>50</v>
      </c>
      <c r="N25" s="194">
        <v>0.3</v>
      </c>
      <c r="O25" s="525">
        <v>0.3</v>
      </c>
      <c r="P25" s="200">
        <v>0.3</v>
      </c>
      <c r="Q25" s="1148"/>
      <c r="R25" s="240"/>
      <c r="S25" s="209">
        <v>50</v>
      </c>
      <c r="T25" s="757">
        <v>-0.1</v>
      </c>
      <c r="U25" s="758">
        <v>-0.1</v>
      </c>
      <c r="V25" s="758">
        <v>0.3</v>
      </c>
      <c r="W25" s="511">
        <v>0.2</v>
      </c>
      <c r="X25" s="200">
        <v>0.3</v>
      </c>
      <c r="Y25" s="779">
        <v>-0.1</v>
      </c>
      <c r="Z25" s="780">
        <v>-0.1</v>
      </c>
      <c r="AA25" s="780">
        <v>0.3</v>
      </c>
      <c r="AB25" s="511">
        <v>0.2</v>
      </c>
      <c r="AC25" s="199">
        <v>0.3</v>
      </c>
      <c r="AD25" s="9" t="s">
        <v>342</v>
      </c>
      <c r="AE25" s="4" t="s">
        <v>257</v>
      </c>
      <c r="AF25" s="158">
        <f>ROWS(AE$10:$AE25)</f>
        <v>16</v>
      </c>
      <c r="AG25" s="158" t="str">
        <f>IF(ID!$A$83=AE25,AF25,"")</f>
        <v/>
      </c>
      <c r="AH25" s="158" t="str">
        <f>IFERROR(SMALL($AG$10:$AG$393,ROWS($AG$10:AG25)),"")</f>
        <v/>
      </c>
      <c r="AK25" s="158" t="str">
        <f>IFERROR(INDEX($S$10:$AD$393,$AH25,COLUMNS(AJ$10:$AJ25)),"")</f>
        <v/>
      </c>
      <c r="AL25" s="158"/>
      <c r="AM25" s="158" t="str">
        <f>IFERROR(INDEX($S$10:$AD$393,$AH25,COLUMNS($AJ$10:AK25)),"")</f>
        <v/>
      </c>
      <c r="AN25" s="158" t="str">
        <f>IFERROR(INDEX($S$10:$AD$393,$AH25,COLUMNS($AJ$10:AM25)),"")</f>
        <v/>
      </c>
      <c r="AO25" s="158" t="str">
        <f>IFERROR(INDEX($S$10:$AD$393,$AH25,COLUMNS($AJ$10:AN25)),"")</f>
        <v/>
      </c>
      <c r="AP25" s="158" t="str">
        <f>IFERROR(INDEX($S$10:$AD$393,$AH25,COLUMNS($AJ$10:AO25)),"")</f>
        <v/>
      </c>
      <c r="AQ25" s="158"/>
      <c r="AR25" s="158" t="str">
        <f>IFERROR(INDEX($S$10:$AD$393,$AH25,COLUMNS($AJ$10:AP25)),"")</f>
        <v/>
      </c>
      <c r="AS25" s="158" t="str">
        <f>IFERROR(INDEX($S$10:$AD$393,$AH25,COLUMNS($AJ$10:AR25)),"")</f>
        <v/>
      </c>
      <c r="AT25" s="158" t="str">
        <f>IFERROR(INDEX($S$10:$AD$393,$AH25,COLUMNS($AJ$10:AS25)),"")</f>
        <v/>
      </c>
      <c r="AU25" s="158" t="str">
        <f>IFERROR(INDEX($S$10:$AD$393,$AH25,COLUMNS($AJ$10:AT25)),"")</f>
        <v/>
      </c>
      <c r="AV25" s="158" t="str">
        <f>IFERROR(INDEX($S$10:$AD$393,$AH25,COLUMNS($AJ$10:AU25)),"")</f>
        <v/>
      </c>
      <c r="BN25" s="554" t="s">
        <v>254</v>
      </c>
      <c r="BU25" s="14">
        <v>0.1</v>
      </c>
    </row>
    <row r="26" spans="2:92" x14ac:dyDescent="0.2">
      <c r="B26" s="209">
        <v>100</v>
      </c>
      <c r="C26" s="194">
        <v>-0.2</v>
      </c>
      <c r="D26" s="525">
        <v>-0.2</v>
      </c>
      <c r="E26" s="1130"/>
      <c r="F26" s="241"/>
      <c r="H26" s="209">
        <v>100</v>
      </c>
      <c r="I26" s="194">
        <v>-0.2</v>
      </c>
      <c r="J26" s="525">
        <v>-0.2</v>
      </c>
      <c r="K26" s="1130"/>
      <c r="L26" s="241"/>
      <c r="M26" s="209">
        <v>100</v>
      </c>
      <c r="N26" s="194">
        <v>-0.1</v>
      </c>
      <c r="O26" s="525">
        <v>-0.1</v>
      </c>
      <c r="P26" s="200">
        <v>0.3</v>
      </c>
      <c r="Q26" s="1148"/>
      <c r="R26" s="240"/>
      <c r="S26" s="209">
        <v>100</v>
      </c>
      <c r="T26" s="757">
        <v>-0.2</v>
      </c>
      <c r="U26" s="758">
        <v>-0.2</v>
      </c>
      <c r="V26" s="758">
        <v>-0.1</v>
      </c>
      <c r="W26" s="511">
        <v>0.05</v>
      </c>
      <c r="X26" s="200">
        <v>0.3</v>
      </c>
      <c r="Y26" s="779">
        <v>-0.2</v>
      </c>
      <c r="Z26" s="780">
        <v>-0.2</v>
      </c>
      <c r="AA26" s="780">
        <v>-0.1</v>
      </c>
      <c r="AB26" s="511">
        <v>0.05</v>
      </c>
      <c r="AC26" s="199">
        <v>0.3</v>
      </c>
      <c r="AD26" s="9" t="s">
        <v>342</v>
      </c>
      <c r="AE26" s="4" t="s">
        <v>257</v>
      </c>
      <c r="AF26" s="158">
        <f>ROWS(AE$10:$AE26)</f>
        <v>17</v>
      </c>
      <c r="AG26" s="158" t="str">
        <f>IF(ID!$A$83=AE26,AF26,"")</f>
        <v/>
      </c>
      <c r="AH26" s="158" t="str">
        <f>IFERROR(SMALL($AG$10:$AG$393,ROWS($AG$10:AG26)),"")</f>
        <v/>
      </c>
      <c r="AK26" s="158" t="str">
        <f>IFERROR(INDEX($S$10:$AD$393,$AH26,COLUMNS(AJ$10:$AJ26)),"")</f>
        <v/>
      </c>
      <c r="AL26" s="158"/>
      <c r="AM26" s="158" t="str">
        <f>IFERROR(INDEX($S$10:$AD$393,$AH26,COLUMNS($AJ$10:AK26)),"")</f>
        <v/>
      </c>
      <c r="AN26" s="158" t="str">
        <f>IFERROR(INDEX($S$10:$AD$393,$AH26,COLUMNS($AJ$10:AM26)),"")</f>
        <v/>
      </c>
      <c r="AO26" s="158" t="str">
        <f>IFERROR(INDEX($S$10:$AD$393,$AH26,COLUMNS($AJ$10:AN26)),"")</f>
        <v/>
      </c>
      <c r="AP26" s="158" t="str">
        <f>IFERROR(INDEX($S$10:$AD$393,$AH26,COLUMNS($AJ$10:AO26)),"")</f>
        <v/>
      </c>
      <c r="AQ26" s="158"/>
      <c r="AR26" s="158" t="str">
        <f>IFERROR(INDEX($S$10:$AD$393,$AH26,COLUMNS($AJ$10:AP26)),"")</f>
        <v/>
      </c>
      <c r="AS26" s="158" t="str">
        <f>IFERROR(INDEX($S$10:$AD$393,$AH26,COLUMNS($AJ$10:AR26)),"")</f>
        <v/>
      </c>
      <c r="AT26" s="158" t="str">
        <f>IFERROR(INDEX($S$10:$AD$393,$AH26,COLUMNS($AJ$10:AS26)),"")</f>
        <v/>
      </c>
      <c r="AU26" s="158" t="str">
        <f>IFERROR(INDEX($S$10:$AD$393,$AH26,COLUMNS($AJ$10:AT26)),"")</f>
        <v/>
      </c>
      <c r="AV26" s="158" t="str">
        <f>IFERROR(INDEX($S$10:$AD$393,$AH26,COLUMNS($AJ$10:AU26)),"")</f>
        <v/>
      </c>
      <c r="BN26" s="554" t="s">
        <v>255</v>
      </c>
      <c r="BU26" s="14">
        <v>0.1</v>
      </c>
    </row>
    <row r="27" spans="2:92" x14ac:dyDescent="0.2">
      <c r="B27" s="209">
        <v>150</v>
      </c>
      <c r="C27" s="194">
        <v>-0.3</v>
      </c>
      <c r="D27" s="525">
        <v>-0.3</v>
      </c>
      <c r="E27" s="1130"/>
      <c r="F27" s="241"/>
      <c r="H27" s="209">
        <v>150</v>
      </c>
      <c r="I27" s="194">
        <v>-0.3</v>
      </c>
      <c r="J27" s="525">
        <v>-0.3</v>
      </c>
      <c r="K27" s="1130"/>
      <c r="L27" s="241"/>
      <c r="M27" s="209">
        <v>150</v>
      </c>
      <c r="N27" s="194">
        <v>-0.2</v>
      </c>
      <c r="O27" s="525">
        <v>-0.2</v>
      </c>
      <c r="P27" s="200">
        <v>0.3</v>
      </c>
      <c r="Q27" s="1148"/>
      <c r="R27" s="240"/>
      <c r="S27" s="209">
        <v>150</v>
      </c>
      <c r="T27" s="757">
        <v>-0.3</v>
      </c>
      <c r="U27" s="758">
        <v>-0.3</v>
      </c>
      <c r="V27" s="758">
        <v>-0.2</v>
      </c>
      <c r="W27" s="511">
        <v>4.9999999999999989E-2</v>
      </c>
      <c r="X27" s="200">
        <v>0.3</v>
      </c>
      <c r="Y27" s="779">
        <v>-0.3</v>
      </c>
      <c r="Z27" s="780">
        <v>-0.3</v>
      </c>
      <c r="AA27" s="780">
        <v>-0.2</v>
      </c>
      <c r="AB27" s="511">
        <v>4.9999999999999989E-2</v>
      </c>
      <c r="AC27" s="199">
        <v>0.3</v>
      </c>
      <c r="AD27" s="9" t="s">
        <v>342</v>
      </c>
      <c r="AE27" s="4" t="s">
        <v>257</v>
      </c>
      <c r="AF27" s="158">
        <f>ROWS(AE$10:$AE27)</f>
        <v>18</v>
      </c>
      <c r="AG27" s="158" t="str">
        <f>IF(ID!$A$83=AE27,AF27,"")</f>
        <v/>
      </c>
      <c r="AH27" s="158" t="str">
        <f>IFERROR(SMALL($AG$10:$AG$393,ROWS($AG$10:AG27)),"")</f>
        <v/>
      </c>
      <c r="AK27" s="158" t="str">
        <f>IFERROR(INDEX($S$10:$AD$393,$AH27,COLUMNS(AJ$10:$AJ27)),"")</f>
        <v/>
      </c>
      <c r="AL27" s="158"/>
      <c r="AM27" s="158" t="str">
        <f>IFERROR(INDEX($S$10:$AD$393,$AH27,COLUMNS($AJ$10:AK27)),"")</f>
        <v/>
      </c>
      <c r="AN27" s="158" t="str">
        <f>IFERROR(INDEX($S$10:$AD$393,$AH27,COLUMNS($AJ$10:AM27)),"")</f>
        <v/>
      </c>
      <c r="AO27" s="158" t="str">
        <f>IFERROR(INDEX($S$10:$AD$393,$AH27,COLUMNS($AJ$10:AN27)),"")</f>
        <v/>
      </c>
      <c r="AP27" s="158" t="str">
        <f>IFERROR(INDEX($S$10:$AD$393,$AH27,COLUMNS($AJ$10:AO27)),"")</f>
        <v/>
      </c>
      <c r="AQ27" s="158"/>
      <c r="AR27" s="158" t="str">
        <f>IFERROR(INDEX($S$10:$AD$393,$AH27,COLUMNS($AJ$10:AP27)),"")</f>
        <v/>
      </c>
      <c r="AS27" s="158" t="str">
        <f>IFERROR(INDEX($S$10:$AD$393,$AH27,COLUMNS($AJ$10:AR27)),"")</f>
        <v/>
      </c>
      <c r="AT27" s="158" t="str">
        <f>IFERROR(INDEX($S$10:$AD$393,$AH27,COLUMNS($AJ$10:AS27)),"")</f>
        <v/>
      </c>
      <c r="AU27" s="158" t="str">
        <f>IFERROR(INDEX($S$10:$AD$393,$AH27,COLUMNS($AJ$10:AT27)),"")</f>
        <v/>
      </c>
      <c r="AV27" s="158" t="str">
        <f>IFERROR(INDEX($S$10:$AD$393,$AH27,COLUMNS($AJ$10:AU27)),"")</f>
        <v/>
      </c>
      <c r="BN27" s="607" t="s">
        <v>263</v>
      </c>
      <c r="BU27" s="14">
        <v>0.1</v>
      </c>
    </row>
    <row r="28" spans="2:92" x14ac:dyDescent="0.2">
      <c r="B28" s="209">
        <v>200</v>
      </c>
      <c r="C28" s="194">
        <v>-0.4</v>
      </c>
      <c r="D28" s="525">
        <v>-0.4</v>
      </c>
      <c r="E28" s="1130"/>
      <c r="F28" s="241"/>
      <c r="H28" s="209">
        <v>200</v>
      </c>
      <c r="I28" s="194">
        <v>-0.4</v>
      </c>
      <c r="J28" s="525">
        <v>-0.4</v>
      </c>
      <c r="K28" s="1130"/>
      <c r="L28" s="241"/>
      <c r="M28" s="209">
        <v>200</v>
      </c>
      <c r="N28" s="194">
        <v>0.2</v>
      </c>
      <c r="O28" s="525">
        <v>0.3</v>
      </c>
      <c r="P28" s="200">
        <v>0.3</v>
      </c>
      <c r="Q28" s="1148"/>
      <c r="R28" s="240"/>
      <c r="S28" s="209">
        <v>200</v>
      </c>
      <c r="T28" s="757">
        <v>-0.4</v>
      </c>
      <c r="U28" s="758">
        <v>-0.4</v>
      </c>
      <c r="V28" s="758">
        <v>0.2</v>
      </c>
      <c r="W28" s="511">
        <v>0.30000000000000004</v>
      </c>
      <c r="X28" s="200">
        <v>0.3</v>
      </c>
      <c r="Y28" s="779">
        <v>-0.4</v>
      </c>
      <c r="Z28" s="780">
        <v>-0.4</v>
      </c>
      <c r="AA28" s="780">
        <v>0.3</v>
      </c>
      <c r="AB28" s="511">
        <v>0.35</v>
      </c>
      <c r="AC28" s="199">
        <v>0.3</v>
      </c>
      <c r="AD28" s="9" t="s">
        <v>342</v>
      </c>
      <c r="AE28" s="4" t="s">
        <v>257</v>
      </c>
      <c r="AF28" s="158">
        <f>ROWS(AE$10:$AE28)</f>
        <v>19</v>
      </c>
      <c r="AG28" s="158" t="str">
        <f>IF(ID!$A$83=AE28,AF28,"")</f>
        <v/>
      </c>
      <c r="AH28" s="158" t="str">
        <f>IFERROR(SMALL($AG$10:$AG$393,ROWS($AG$10:AG28)),"")</f>
        <v/>
      </c>
      <c r="AK28" s="158" t="str">
        <f>IFERROR(INDEX($S$10:$AD$393,$AH28,COLUMNS(AJ$10:$AJ28)),"")</f>
        <v/>
      </c>
      <c r="AL28" s="158"/>
      <c r="AM28" s="158" t="str">
        <f>IFERROR(INDEX($S$10:$AD$393,$AH28,COLUMNS($AJ$10:AK28)),"")</f>
        <v/>
      </c>
      <c r="AN28" s="158" t="str">
        <f>IFERROR(INDEX($S$10:$AD$393,$AH28,COLUMNS($AJ$10:AM28)),"")</f>
        <v/>
      </c>
      <c r="AO28" s="158" t="str">
        <f>IFERROR(INDEX($S$10:$AD$393,$AH28,COLUMNS($AJ$10:AN28)),"")</f>
        <v/>
      </c>
      <c r="AP28" s="158" t="str">
        <f>IFERROR(INDEX($S$10:$AD$393,$AH28,COLUMNS($AJ$10:AO28)),"")</f>
        <v/>
      </c>
      <c r="AQ28" s="158"/>
      <c r="AR28" s="158" t="str">
        <f>IFERROR(INDEX($S$10:$AD$393,$AH28,COLUMNS($AJ$10:AP28)),"")</f>
        <v/>
      </c>
      <c r="AS28" s="158" t="str">
        <f>IFERROR(INDEX($S$10:$AD$393,$AH28,COLUMNS($AJ$10:AR28)),"")</f>
        <v/>
      </c>
      <c r="AT28" s="158" t="str">
        <f>IFERROR(INDEX($S$10:$AD$393,$AH28,COLUMNS($AJ$10:AS28)),"")</f>
        <v/>
      </c>
      <c r="AU28" s="158" t="str">
        <f>IFERROR(INDEX($S$10:$AD$393,$AH28,COLUMNS($AJ$10:AT28)),"")</f>
        <v/>
      </c>
      <c r="AV28" s="158" t="str">
        <f>IFERROR(INDEX($S$10:$AD$393,$AH28,COLUMNS($AJ$10:AU28)),"")</f>
        <v/>
      </c>
      <c r="BN28" s="4" t="s">
        <v>352</v>
      </c>
      <c r="BU28" s="14">
        <v>0.1</v>
      </c>
    </row>
    <row r="29" spans="2:92" x14ac:dyDescent="0.2">
      <c r="B29" s="209">
        <v>250</v>
      </c>
      <c r="C29" s="194">
        <v>-0.5</v>
      </c>
      <c r="D29" s="525">
        <v>-0.5</v>
      </c>
      <c r="E29" s="1130"/>
      <c r="F29" s="241"/>
      <c r="H29" s="209">
        <v>250</v>
      </c>
      <c r="I29" s="194">
        <v>-0.5</v>
      </c>
      <c r="J29" s="525">
        <v>-0.5</v>
      </c>
      <c r="K29" s="1130"/>
      <c r="L29" s="241"/>
      <c r="M29" s="209">
        <v>250</v>
      </c>
      <c r="N29" s="194">
        <v>0</v>
      </c>
      <c r="O29" s="525">
        <v>0.1</v>
      </c>
      <c r="P29" s="200">
        <v>0.3</v>
      </c>
      <c r="Q29" s="1148"/>
      <c r="R29" s="240"/>
      <c r="S29" s="209">
        <v>250</v>
      </c>
      <c r="T29" s="757">
        <v>-0.5</v>
      </c>
      <c r="U29" s="758">
        <v>-0.5</v>
      </c>
      <c r="V29" s="758">
        <v>0</v>
      </c>
      <c r="W29" s="511">
        <v>0.25</v>
      </c>
      <c r="X29" s="200">
        <v>0.3</v>
      </c>
      <c r="Y29" s="779">
        <v>-0.5</v>
      </c>
      <c r="Z29" s="780">
        <v>-0.5</v>
      </c>
      <c r="AA29" s="780">
        <v>0.1</v>
      </c>
      <c r="AB29" s="511">
        <v>0.3</v>
      </c>
      <c r="AC29" s="199">
        <v>0.3</v>
      </c>
      <c r="AD29" s="9" t="s">
        <v>342</v>
      </c>
      <c r="AE29" s="4" t="s">
        <v>257</v>
      </c>
      <c r="AF29" s="158">
        <f>ROWS(AE$10:$AE29)</f>
        <v>20</v>
      </c>
      <c r="AG29" s="158" t="str">
        <f>IF(ID!$A$83=AE29,AF29,"")</f>
        <v/>
      </c>
      <c r="AH29" s="158" t="str">
        <f>IFERROR(SMALL($AG$10:$AG$393,ROWS($AG$10:AG29)),"")</f>
        <v/>
      </c>
      <c r="BN29" s="4" t="s">
        <v>351</v>
      </c>
      <c r="BU29" s="14">
        <v>0.1</v>
      </c>
    </row>
    <row r="30" spans="2:92" x14ac:dyDescent="0.2">
      <c r="B30" s="209">
        <v>300</v>
      </c>
      <c r="C30" s="194">
        <v>-0.6</v>
      </c>
      <c r="D30" s="525">
        <v>-0.6</v>
      </c>
      <c r="E30" s="1131"/>
      <c r="F30" s="241"/>
      <c r="H30" s="209">
        <v>300</v>
      </c>
      <c r="I30" s="194">
        <v>-0.6</v>
      </c>
      <c r="J30" s="525">
        <v>-0.6</v>
      </c>
      <c r="K30" s="1131"/>
      <c r="L30" s="241"/>
      <c r="M30" s="209">
        <v>300</v>
      </c>
      <c r="N30" s="194">
        <v>0.4</v>
      </c>
      <c r="O30" s="525">
        <v>0.5</v>
      </c>
      <c r="P30" s="200">
        <v>0.3</v>
      </c>
      <c r="Q30" s="1149"/>
      <c r="R30" s="240"/>
      <c r="S30" s="209">
        <v>300</v>
      </c>
      <c r="T30" s="757">
        <v>-0.6</v>
      </c>
      <c r="U30" s="758">
        <v>-0.6</v>
      </c>
      <c r="V30" s="758">
        <v>0.4</v>
      </c>
      <c r="W30" s="511">
        <v>0.5</v>
      </c>
      <c r="X30" s="200">
        <v>0.3</v>
      </c>
      <c r="Y30" s="779">
        <v>-0.6</v>
      </c>
      <c r="Z30" s="780">
        <v>-0.6</v>
      </c>
      <c r="AA30" s="780">
        <v>0.5</v>
      </c>
      <c r="AB30" s="511">
        <v>0.55000000000000004</v>
      </c>
      <c r="AC30" s="199">
        <v>0.3</v>
      </c>
      <c r="AD30" s="9" t="s">
        <v>342</v>
      </c>
      <c r="AE30" s="4" t="s">
        <v>257</v>
      </c>
      <c r="AF30" s="158">
        <f>ROWS(AE$10:$AE30)</f>
        <v>21</v>
      </c>
      <c r="AG30" s="158" t="str">
        <f>IF(ID!$A$83=AE30,AF30,"")</f>
        <v/>
      </c>
      <c r="AH30" s="158" t="str">
        <f>IFERROR(SMALL($AG$10:$AG$393,ROWS($AG$10:AG30)),"")</f>
        <v/>
      </c>
    </row>
    <row r="31" spans="2:92" x14ac:dyDescent="0.2">
      <c r="S31" s="229"/>
      <c r="T31" s="762"/>
      <c r="U31" s="763"/>
      <c r="V31" s="763"/>
      <c r="X31" s="97"/>
      <c r="Y31" s="781"/>
      <c r="Z31" s="781"/>
      <c r="AA31" s="781"/>
      <c r="AB31" s="550"/>
      <c r="AC31" s="161"/>
      <c r="AD31" s="9"/>
      <c r="AE31" s="4"/>
      <c r="AF31" s="158">
        <f>ROWS(AE$10:$AE31)</f>
        <v>22</v>
      </c>
      <c r="AG31" s="158" t="str">
        <f>IF(ID!$A$83=AE31,AF31,"")</f>
        <v/>
      </c>
      <c r="AH31" s="158" t="str">
        <f>IFERROR(SMALL($AG$10:$AG$393,ROWS($AG$10:AG31)),"")</f>
        <v/>
      </c>
    </row>
    <row r="32" spans="2:92" s="526" customFormat="1" x14ac:dyDescent="0.2">
      <c r="C32" s="532"/>
      <c r="D32" s="538"/>
      <c r="I32" s="532"/>
      <c r="J32" s="538"/>
      <c r="S32" s="527"/>
      <c r="T32" s="753"/>
      <c r="U32" s="754"/>
      <c r="V32" s="754"/>
      <c r="W32" s="543"/>
      <c r="Y32" s="775"/>
      <c r="Z32" s="775"/>
      <c r="AA32" s="775"/>
      <c r="AB32" s="543"/>
      <c r="AF32" s="158">
        <f>ROWS(AE$10:$AE32)</f>
        <v>23</v>
      </c>
      <c r="AG32" s="158" t="str">
        <f>IF(ID!$A$83=AE32,AF32,"")</f>
        <v/>
      </c>
      <c r="AH32" s="158" t="str">
        <f>IFERROR(SMALL($AG$10:$AG$393,ROWS($AG$10:AG32)),"")</f>
        <v/>
      </c>
    </row>
    <row r="33" spans="1:66" x14ac:dyDescent="0.2">
      <c r="S33" s="228"/>
      <c r="T33" s="759"/>
      <c r="U33" s="760"/>
      <c r="V33" s="761"/>
      <c r="W33" s="546"/>
      <c r="AB33" s="546"/>
      <c r="AF33" s="158">
        <f>ROWS(AE$10:$AE33)</f>
        <v>24</v>
      </c>
      <c r="AG33" s="158" t="str">
        <f>IF(ID!$A$83=AE33,AF33,"")</f>
        <v/>
      </c>
      <c r="AH33" s="158" t="str">
        <f>IFERROR(SMALL($AG$10:$AG$393,ROWS($AG$10:AG33)),"")</f>
        <v/>
      </c>
    </row>
    <row r="34" spans="1:66" x14ac:dyDescent="0.2">
      <c r="A34" s="1108" t="s">
        <v>773</v>
      </c>
      <c r="B34" s="209">
        <v>0</v>
      </c>
      <c r="C34" s="194">
        <v>0</v>
      </c>
      <c r="D34" s="525">
        <v>0</v>
      </c>
      <c r="E34" s="1132" t="s">
        <v>387</v>
      </c>
      <c r="F34" s="241"/>
      <c r="G34" s="1108" t="s">
        <v>774</v>
      </c>
      <c r="H34" s="209">
        <v>0</v>
      </c>
      <c r="I34" s="194">
        <v>0</v>
      </c>
      <c r="J34" s="525">
        <v>0</v>
      </c>
      <c r="K34" s="1129" t="s">
        <v>383</v>
      </c>
      <c r="L34" s="241" t="s">
        <v>775</v>
      </c>
      <c r="M34" s="209">
        <v>0</v>
      </c>
      <c r="N34" s="194">
        <v>0</v>
      </c>
      <c r="O34" s="525">
        <v>0</v>
      </c>
      <c r="P34" s="200">
        <v>0.4</v>
      </c>
      <c r="Q34" s="1147" t="s">
        <v>776</v>
      </c>
      <c r="R34" s="240"/>
      <c r="S34" s="209">
        <v>0</v>
      </c>
      <c r="T34" s="757">
        <v>0</v>
      </c>
      <c r="U34" s="758">
        <v>0</v>
      </c>
      <c r="V34" s="758">
        <v>0</v>
      </c>
      <c r="W34" s="511">
        <v>0</v>
      </c>
      <c r="X34" s="200">
        <v>0.4</v>
      </c>
      <c r="Y34" s="779">
        <v>0</v>
      </c>
      <c r="Z34" s="780">
        <v>0</v>
      </c>
      <c r="AA34" s="780">
        <v>0</v>
      </c>
      <c r="AB34" s="511">
        <v>0</v>
      </c>
      <c r="AC34" s="199">
        <v>0.4</v>
      </c>
      <c r="AD34" s="9" t="s">
        <v>342</v>
      </c>
      <c r="AE34" s="4" t="s">
        <v>708</v>
      </c>
      <c r="AF34" s="158">
        <f>ROWS(AE$10:$AE34)</f>
        <v>25</v>
      </c>
      <c r="AG34" s="158" t="str">
        <f>IF(ID!$A$83=AE34,AF34,"")</f>
        <v/>
      </c>
      <c r="AH34" s="158" t="str">
        <f>IFERROR(SMALL($AG$10:$AG$393,ROWS($AG$10:AG34)),"")</f>
        <v/>
      </c>
    </row>
    <row r="35" spans="1:66" x14ac:dyDescent="0.2">
      <c r="B35" s="209">
        <v>50</v>
      </c>
      <c r="C35" s="194">
        <v>-0.3</v>
      </c>
      <c r="D35" s="525">
        <v>-0.3</v>
      </c>
      <c r="E35" s="1133"/>
      <c r="F35" s="241"/>
      <c r="H35" s="209">
        <v>50</v>
      </c>
      <c r="I35" s="194">
        <v>-0.4</v>
      </c>
      <c r="J35" s="525">
        <v>-0.4</v>
      </c>
      <c r="K35" s="1130"/>
      <c r="L35" s="241"/>
      <c r="M35" s="209">
        <v>50</v>
      </c>
      <c r="N35" s="194">
        <v>0.3</v>
      </c>
      <c r="O35" s="525">
        <v>0.4</v>
      </c>
      <c r="P35" s="200">
        <v>0.4</v>
      </c>
      <c r="Q35" s="1148"/>
      <c r="R35" s="240"/>
      <c r="S35" s="209">
        <v>50</v>
      </c>
      <c r="T35" s="757">
        <v>-0.3</v>
      </c>
      <c r="U35" s="758">
        <v>-0.4</v>
      </c>
      <c r="V35" s="758">
        <v>0.3</v>
      </c>
      <c r="W35" s="511">
        <v>0.35</v>
      </c>
      <c r="X35" s="200">
        <v>0.4</v>
      </c>
      <c r="Y35" s="779">
        <v>-0.3</v>
      </c>
      <c r="Z35" s="780">
        <v>-0.4</v>
      </c>
      <c r="AA35" s="780">
        <v>0.4</v>
      </c>
      <c r="AB35" s="511">
        <v>0.4</v>
      </c>
      <c r="AC35" s="199">
        <v>0.4</v>
      </c>
      <c r="AD35" s="9" t="s">
        <v>342</v>
      </c>
      <c r="AE35" s="4" t="s">
        <v>708</v>
      </c>
      <c r="AF35" s="158">
        <f>ROWS(AE$10:$AE35)</f>
        <v>26</v>
      </c>
      <c r="AG35" s="158" t="str">
        <f>IF(ID!$A$83=AE35,AF35,"")</f>
        <v/>
      </c>
      <c r="AH35" s="158" t="str">
        <f>IFERROR(SMALL($AG$10:$AG$393,ROWS($AG$10:AG35)),"")</f>
        <v/>
      </c>
    </row>
    <row r="36" spans="1:66" x14ac:dyDescent="0.2">
      <c r="B36" s="209">
        <v>100</v>
      </c>
      <c r="C36" s="194">
        <v>-0.3</v>
      </c>
      <c r="D36" s="525">
        <v>-0.3</v>
      </c>
      <c r="E36" s="1133"/>
      <c r="F36" s="241"/>
      <c r="H36" s="209">
        <v>100</v>
      </c>
      <c r="I36" s="194">
        <v>-0.4</v>
      </c>
      <c r="J36" s="525">
        <v>-0.4</v>
      </c>
      <c r="K36" s="1130"/>
      <c r="L36" s="241"/>
      <c r="M36" s="209">
        <v>100</v>
      </c>
      <c r="N36" s="194">
        <v>0.2</v>
      </c>
      <c r="O36" s="525">
        <v>0.4</v>
      </c>
      <c r="P36" s="200">
        <v>0.4</v>
      </c>
      <c r="Q36" s="1148"/>
      <c r="R36" s="240"/>
      <c r="S36" s="209">
        <v>100</v>
      </c>
      <c r="T36" s="757">
        <v>-0.3</v>
      </c>
      <c r="U36" s="758">
        <v>-0.4</v>
      </c>
      <c r="V36" s="758">
        <v>0.2</v>
      </c>
      <c r="W36" s="511">
        <v>0.30000000000000004</v>
      </c>
      <c r="X36" s="200">
        <v>0.4</v>
      </c>
      <c r="Y36" s="779">
        <v>-0.3</v>
      </c>
      <c r="Z36" s="780">
        <v>-0.4</v>
      </c>
      <c r="AA36" s="780">
        <v>0.4</v>
      </c>
      <c r="AB36" s="511">
        <v>0.4</v>
      </c>
      <c r="AC36" s="199">
        <v>0.4</v>
      </c>
      <c r="AD36" s="9" t="s">
        <v>342</v>
      </c>
      <c r="AE36" s="4" t="s">
        <v>708</v>
      </c>
      <c r="AF36" s="158">
        <f>ROWS(AE$10:$AE36)</f>
        <v>27</v>
      </c>
      <c r="AG36" s="158" t="str">
        <f>IF(ID!$A$83=AE36,AF36,"")</f>
        <v/>
      </c>
      <c r="AH36" s="158" t="str">
        <f>IFERROR(SMALL($AG$10:$AG$393,ROWS($AG$10:AG36)),"")</f>
        <v/>
      </c>
    </row>
    <row r="37" spans="1:66" x14ac:dyDescent="0.2">
      <c r="B37" s="209">
        <v>150</v>
      </c>
      <c r="C37" s="194">
        <v>-0.3</v>
      </c>
      <c r="D37" s="525">
        <v>-0.3</v>
      </c>
      <c r="E37" s="1133"/>
      <c r="F37" s="241"/>
      <c r="H37" s="209">
        <v>150</v>
      </c>
      <c r="I37" s="194">
        <v>-0.3</v>
      </c>
      <c r="J37" s="525">
        <v>-0.3</v>
      </c>
      <c r="K37" s="1130"/>
      <c r="L37" s="241"/>
      <c r="M37" s="209">
        <v>150</v>
      </c>
      <c r="N37" s="194">
        <v>0.2</v>
      </c>
      <c r="O37" s="525">
        <v>0.3</v>
      </c>
      <c r="P37" s="200">
        <v>0.4</v>
      </c>
      <c r="Q37" s="1148"/>
      <c r="R37" s="240"/>
      <c r="S37" s="209">
        <v>150</v>
      </c>
      <c r="T37" s="757">
        <v>-0.3</v>
      </c>
      <c r="U37" s="758">
        <v>-0.3</v>
      </c>
      <c r="V37" s="758">
        <v>0.2</v>
      </c>
      <c r="W37" s="511">
        <v>0.25</v>
      </c>
      <c r="X37" s="200">
        <v>0.4</v>
      </c>
      <c r="Y37" s="779">
        <v>-0.3</v>
      </c>
      <c r="Z37" s="780">
        <v>-0.3</v>
      </c>
      <c r="AA37" s="780">
        <v>0.3</v>
      </c>
      <c r="AB37" s="511">
        <v>0.3</v>
      </c>
      <c r="AC37" s="199">
        <v>0.4</v>
      </c>
      <c r="AD37" s="9" t="s">
        <v>342</v>
      </c>
      <c r="AE37" s="4" t="s">
        <v>708</v>
      </c>
      <c r="AF37" s="158">
        <f>ROWS(AE$10:$AE37)</f>
        <v>28</v>
      </c>
      <c r="AG37" s="158" t="str">
        <f>IF(ID!$A$83=AE37,AF37,"")</f>
        <v/>
      </c>
      <c r="AH37" s="158" t="str">
        <f>IFERROR(SMALL($AG$10:$AG$393,ROWS($AG$10:AG37)),"")</f>
        <v/>
      </c>
    </row>
    <row r="38" spans="1:66" x14ac:dyDescent="0.2">
      <c r="B38" s="209">
        <v>200</v>
      </c>
      <c r="C38" s="194">
        <v>-0.4</v>
      </c>
      <c r="D38" s="525">
        <v>-0.4</v>
      </c>
      <c r="E38" s="1133"/>
      <c r="F38" s="241"/>
      <c r="H38" s="209">
        <v>200</v>
      </c>
      <c r="I38" s="194">
        <v>-0.3</v>
      </c>
      <c r="J38" s="525">
        <v>-0.3</v>
      </c>
      <c r="K38" s="1130"/>
      <c r="L38" s="241"/>
      <c r="M38" s="209">
        <v>200</v>
      </c>
      <c r="N38" s="194">
        <v>0.3</v>
      </c>
      <c r="O38" s="525">
        <v>0.4</v>
      </c>
      <c r="P38" s="200">
        <v>0.4</v>
      </c>
      <c r="Q38" s="1148"/>
      <c r="R38" s="240"/>
      <c r="S38" s="209">
        <v>200</v>
      </c>
      <c r="T38" s="757">
        <v>-0.4</v>
      </c>
      <c r="U38" s="758">
        <v>-0.3</v>
      </c>
      <c r="V38" s="758">
        <v>0.3</v>
      </c>
      <c r="W38" s="511">
        <v>0.35</v>
      </c>
      <c r="X38" s="200">
        <v>0.4</v>
      </c>
      <c r="Y38" s="779">
        <v>-0.4</v>
      </c>
      <c r="Z38" s="780">
        <v>-0.3</v>
      </c>
      <c r="AA38" s="780">
        <v>0.4</v>
      </c>
      <c r="AB38" s="511">
        <v>0.4</v>
      </c>
      <c r="AC38" s="199">
        <v>0.4</v>
      </c>
      <c r="AD38" s="9" t="s">
        <v>342</v>
      </c>
      <c r="AE38" s="4" t="s">
        <v>708</v>
      </c>
      <c r="AF38" s="158">
        <f>ROWS(AE$10:$AE38)</f>
        <v>29</v>
      </c>
      <c r="AG38" s="158" t="str">
        <f>IF(ID!$A$83=AE38,AF38,"")</f>
        <v/>
      </c>
      <c r="AH38" s="158" t="str">
        <f>IFERROR(SMALL($AG$10:$AG$393,ROWS($AG$10:AG38)),"")</f>
        <v/>
      </c>
    </row>
    <row r="39" spans="1:66" x14ac:dyDescent="0.2">
      <c r="B39" s="209">
        <v>250</v>
      </c>
      <c r="C39" s="194">
        <v>-0.3</v>
      </c>
      <c r="D39" s="525">
        <v>-0.3</v>
      </c>
      <c r="E39" s="1133"/>
      <c r="F39" s="241"/>
      <c r="H39" s="209">
        <v>250</v>
      </c>
      <c r="I39" s="194">
        <v>-0.4</v>
      </c>
      <c r="J39" s="525">
        <v>-0.4</v>
      </c>
      <c r="K39" s="1130"/>
      <c r="L39" s="241"/>
      <c r="M39" s="209">
        <v>250</v>
      </c>
      <c r="N39" s="194">
        <v>0.2</v>
      </c>
      <c r="O39" s="525">
        <v>0.3</v>
      </c>
      <c r="P39" s="200">
        <v>0.4</v>
      </c>
      <c r="Q39" s="1148"/>
      <c r="R39" s="240"/>
      <c r="S39" s="209">
        <v>250</v>
      </c>
      <c r="T39" s="757">
        <v>-0.3</v>
      </c>
      <c r="U39" s="758">
        <v>-0.4</v>
      </c>
      <c r="V39" s="758">
        <v>0.2</v>
      </c>
      <c r="W39" s="511">
        <v>0.30000000000000004</v>
      </c>
      <c r="X39" s="200">
        <v>0.4</v>
      </c>
      <c r="Y39" s="779">
        <v>-0.3</v>
      </c>
      <c r="Z39" s="780">
        <v>-0.4</v>
      </c>
      <c r="AA39" s="780">
        <v>0.3</v>
      </c>
      <c r="AB39" s="511">
        <v>0.35</v>
      </c>
      <c r="AC39" s="199">
        <v>0.4</v>
      </c>
      <c r="AD39" s="9" t="s">
        <v>342</v>
      </c>
      <c r="AE39" s="4" t="s">
        <v>708</v>
      </c>
      <c r="AF39" s="158">
        <f>ROWS(AE$10:$AE39)</f>
        <v>30</v>
      </c>
      <c r="AG39" s="158" t="str">
        <f>IF(ID!$A$83=AE39,AF39,"")</f>
        <v/>
      </c>
      <c r="AH39" s="158" t="str">
        <f>IFERROR(SMALL($AG$10:$AG$393,ROWS($AG$10:AG39)),"")</f>
        <v/>
      </c>
    </row>
    <row r="40" spans="1:66" x14ac:dyDescent="0.2">
      <c r="B40" s="209">
        <v>300</v>
      </c>
      <c r="C40" s="194">
        <v>-0.3</v>
      </c>
      <c r="D40" s="525">
        <v>-0.3</v>
      </c>
      <c r="E40" s="1134"/>
      <c r="F40" s="241"/>
      <c r="H40" s="209">
        <v>300</v>
      </c>
      <c r="I40" s="194">
        <v>-0.3</v>
      </c>
      <c r="J40" s="525">
        <v>-0.3</v>
      </c>
      <c r="K40" s="1131"/>
      <c r="L40" s="241"/>
      <c r="M40" s="209">
        <v>300</v>
      </c>
      <c r="N40" s="194">
        <v>0.3</v>
      </c>
      <c r="O40" s="525">
        <v>0.4</v>
      </c>
      <c r="P40" s="200">
        <v>0.4</v>
      </c>
      <c r="Q40" s="1149"/>
      <c r="R40" s="240"/>
      <c r="S40" s="209">
        <v>300</v>
      </c>
      <c r="T40" s="757">
        <v>-0.3</v>
      </c>
      <c r="U40" s="758">
        <v>-0.3</v>
      </c>
      <c r="V40" s="758">
        <v>0.3</v>
      </c>
      <c r="W40" s="511">
        <v>0.3</v>
      </c>
      <c r="X40" s="200">
        <v>0.4</v>
      </c>
      <c r="Y40" s="779">
        <v>-0.3</v>
      </c>
      <c r="Z40" s="780">
        <v>-0.3</v>
      </c>
      <c r="AA40" s="780">
        <v>0.4</v>
      </c>
      <c r="AB40" s="511">
        <v>0.35</v>
      </c>
      <c r="AC40" s="199">
        <v>0.4</v>
      </c>
      <c r="AD40" s="9" t="s">
        <v>342</v>
      </c>
      <c r="AE40" s="4" t="s">
        <v>708</v>
      </c>
      <c r="AF40" s="158">
        <f>ROWS(AE$10:$AE40)</f>
        <v>31</v>
      </c>
      <c r="AG40" s="158" t="str">
        <f>IF(ID!$A$83=AE40,AF40,"")</f>
        <v/>
      </c>
      <c r="AH40" s="158" t="str">
        <f>IFERROR(SMALL($AG$10:$AG$393,ROWS($AG$10:AG40)),"")</f>
        <v/>
      </c>
    </row>
    <row r="41" spans="1:66" x14ac:dyDescent="0.2">
      <c r="S41" s="230"/>
      <c r="T41" s="764"/>
      <c r="U41" s="765"/>
      <c r="V41" s="765"/>
      <c r="W41" s="544"/>
      <c r="X41" s="98"/>
      <c r="Y41" s="782"/>
      <c r="Z41" s="782"/>
      <c r="AA41" s="782"/>
      <c r="AB41" s="551"/>
      <c r="AC41" s="162"/>
      <c r="AD41" s="11"/>
      <c r="AE41" s="4"/>
      <c r="AF41" s="158">
        <f>ROWS(AE$10:$AE41)</f>
        <v>32</v>
      </c>
      <c r="AG41" s="158" t="str">
        <f>IF(ID!$A$83=AE41,AF41,"")</f>
        <v/>
      </c>
      <c r="AH41" s="158" t="str">
        <f>IFERROR(SMALL($AG$10:$AG$393,ROWS($AG$10:AG41)),"")</f>
        <v/>
      </c>
      <c r="BN41" s="4"/>
    </row>
    <row r="42" spans="1:66" s="13" customFormat="1" x14ac:dyDescent="0.2">
      <c r="C42" s="529"/>
      <c r="D42" s="535"/>
      <c r="I42" s="529"/>
      <c r="J42" s="535"/>
      <c r="S42" s="231"/>
      <c r="T42" s="764"/>
      <c r="U42" s="765"/>
      <c r="V42" s="765"/>
      <c r="W42" s="544"/>
      <c r="X42" s="98"/>
      <c r="Y42" s="782"/>
      <c r="Z42" s="782"/>
      <c r="AA42" s="782"/>
      <c r="AB42" s="551"/>
      <c r="AC42" s="162"/>
      <c r="AD42" s="11"/>
      <c r="AE42" s="4"/>
      <c r="AF42" s="158">
        <f>ROWS(AE$10:$AE42)</f>
        <v>33</v>
      </c>
      <c r="AG42" s="158" t="str">
        <f>IF(ID!$A$83=AE42,AF42,"")</f>
        <v/>
      </c>
      <c r="AH42" s="158" t="str">
        <f>IFERROR(SMALL($AG$10:$AG$393,ROWS($AG$10:AG42)),"")</f>
        <v/>
      </c>
      <c r="BN42" s="4"/>
    </row>
    <row r="43" spans="1:66" x14ac:dyDescent="0.2">
      <c r="S43" s="230"/>
      <c r="T43" s="764"/>
      <c r="U43" s="765"/>
      <c r="V43" s="763"/>
      <c r="X43" s="15"/>
      <c r="Y43" s="774"/>
      <c r="Z43" s="774"/>
      <c r="AA43" s="774"/>
      <c r="AC43" s="15"/>
      <c r="AD43" s="11"/>
      <c r="AE43" s="4"/>
      <c r="AF43" s="158">
        <f>ROWS(AE$10:$AE43)</f>
        <v>34</v>
      </c>
      <c r="AG43" s="158" t="str">
        <f>IF(ID!$A$83=AE43,AF43,"")</f>
        <v/>
      </c>
      <c r="AH43" s="158" t="str">
        <f>IFERROR(SMALL($AG$10:$AG$393,ROWS($AG$10:AG43)),"")</f>
        <v/>
      </c>
    </row>
    <row r="44" spans="1:66" x14ac:dyDescent="0.2">
      <c r="S44" s="230"/>
      <c r="T44" s="764"/>
      <c r="U44" s="765"/>
      <c r="V44" s="766"/>
      <c r="W44" s="545"/>
      <c r="X44" s="201"/>
      <c r="Y44" s="782"/>
      <c r="Z44" s="782"/>
      <c r="AA44" s="782"/>
      <c r="AB44" s="551"/>
      <c r="AC44" s="162"/>
      <c r="AD44" s="11"/>
      <c r="AE44" s="4"/>
      <c r="AF44" s="158">
        <f>ROWS(AE$10:$AE44)</f>
        <v>35</v>
      </c>
      <c r="AG44" s="158" t="str">
        <f>IF(ID!$A$83=AE44,AF44,"")</f>
        <v/>
      </c>
      <c r="AH44" s="158" t="str">
        <f>IFERROR(SMALL($AG$10:$AG$393,ROWS($AG$10:AG44)),"")</f>
        <v/>
      </c>
    </row>
    <row r="45" spans="1:66" s="13" customFormat="1" x14ac:dyDescent="0.2">
      <c r="C45" s="529"/>
      <c r="D45" s="535"/>
      <c r="I45" s="529"/>
      <c r="J45" s="535"/>
      <c r="S45" s="232"/>
      <c r="T45" s="767"/>
      <c r="U45" s="768"/>
      <c r="V45" s="754"/>
      <c r="W45" s="540"/>
      <c r="X45" s="10"/>
      <c r="Y45" s="775"/>
      <c r="Z45" s="775"/>
      <c r="AA45" s="775"/>
      <c r="AB45" s="540"/>
      <c r="AC45" s="10"/>
      <c r="AF45" s="158">
        <f>ROWS(AE$10:$AE45)</f>
        <v>36</v>
      </c>
      <c r="AG45" s="158" t="str">
        <f>IF(ID!$A$83=AE45,AF45,"")</f>
        <v/>
      </c>
      <c r="AH45" s="158" t="str">
        <f>IFERROR(SMALL($AG$10:$AG$393,ROWS($AG$10:AG45)),"")</f>
        <v/>
      </c>
    </row>
    <row r="46" spans="1:66" s="526" customFormat="1" x14ac:dyDescent="0.2">
      <c r="C46" s="532"/>
      <c r="D46" s="538"/>
      <c r="I46" s="532"/>
      <c r="J46" s="538"/>
      <c r="S46" s="527"/>
      <c r="T46" s="753"/>
      <c r="U46" s="754"/>
      <c r="V46" s="754"/>
      <c r="W46" s="543"/>
      <c r="Y46" s="775"/>
      <c r="Z46" s="775"/>
      <c r="AA46" s="775"/>
      <c r="AB46" s="543"/>
      <c r="AF46" s="158">
        <f>ROWS(AE$10:$AE46)</f>
        <v>37</v>
      </c>
      <c r="AG46" s="158" t="str">
        <f>IF(ID!$A$83=AE46,AF46,"")</f>
        <v/>
      </c>
      <c r="AH46" s="158" t="str">
        <f>IFERROR(SMALL($AG$10:$AG$393,ROWS($AG$10:AG46)),"")</f>
        <v/>
      </c>
    </row>
    <row r="47" spans="1:66" s="526" customFormat="1" x14ac:dyDescent="0.2">
      <c r="C47" s="532"/>
      <c r="D47" s="538"/>
      <c r="I47" s="532"/>
      <c r="J47" s="538"/>
      <c r="S47" s="527"/>
      <c r="T47" s="753"/>
      <c r="U47" s="754"/>
      <c r="V47" s="754"/>
      <c r="W47" s="543"/>
      <c r="Y47" s="775"/>
      <c r="Z47" s="775"/>
      <c r="AA47" s="775"/>
      <c r="AB47" s="543"/>
      <c r="AF47" s="158">
        <f>ROWS(AE$10:$AE47)</f>
        <v>38</v>
      </c>
      <c r="AG47" s="158" t="str">
        <f>IF(ID!$A$83=AE47,AF47,"")</f>
        <v/>
      </c>
      <c r="AH47" s="158" t="str">
        <f>IFERROR(SMALL($AG$10:$AG$393,ROWS($AG$10:AG47)),"")</f>
        <v/>
      </c>
    </row>
    <row r="48" spans="1:66" x14ac:dyDescent="0.2">
      <c r="S48" s="228"/>
      <c r="T48" s="759"/>
      <c r="U48" s="760"/>
      <c r="V48" s="761"/>
      <c r="W48" s="546"/>
      <c r="AB48" s="546"/>
      <c r="AF48" s="158">
        <f>ROWS(AE$10:$AE48)</f>
        <v>39</v>
      </c>
      <c r="AG48" s="158" t="str">
        <f>IF(ID!$A$83=AE48,AF48,"")</f>
        <v/>
      </c>
      <c r="AH48" s="158" t="str">
        <f>IFERROR(SMALL($AG$10:$AG$393,ROWS($AG$10:AG48)),"")</f>
        <v/>
      </c>
    </row>
    <row r="49" spans="2:66" x14ac:dyDescent="0.2">
      <c r="B49" s="209">
        <v>0</v>
      </c>
      <c r="C49" s="194">
        <v>0.1</v>
      </c>
      <c r="D49" s="525">
        <v>0.1</v>
      </c>
      <c r="E49" s="1129" t="s">
        <v>242</v>
      </c>
      <c r="F49" s="241"/>
      <c r="H49" s="209">
        <v>0</v>
      </c>
      <c r="I49" s="194">
        <v>0.1</v>
      </c>
      <c r="J49" s="525">
        <v>0.1</v>
      </c>
      <c r="K49" s="1129" t="s">
        <v>242</v>
      </c>
      <c r="L49" s="241"/>
      <c r="M49" s="209">
        <v>0</v>
      </c>
      <c r="N49" s="194">
        <v>0</v>
      </c>
      <c r="O49" s="525">
        <v>0</v>
      </c>
      <c r="P49" s="160">
        <v>0.3</v>
      </c>
      <c r="Q49" s="1147" t="s">
        <v>386</v>
      </c>
      <c r="R49" s="240"/>
      <c r="S49" s="209">
        <v>0</v>
      </c>
      <c r="T49" s="757">
        <v>0.1</v>
      </c>
      <c r="U49" s="758">
        <v>0.1</v>
      </c>
      <c r="V49" s="758">
        <v>0</v>
      </c>
      <c r="W49" s="511">
        <v>0.05</v>
      </c>
      <c r="X49" s="200">
        <v>0.3</v>
      </c>
      <c r="Y49" s="779">
        <v>0.1</v>
      </c>
      <c r="Z49" s="780">
        <v>0.1</v>
      </c>
      <c r="AA49" s="780">
        <v>0</v>
      </c>
      <c r="AB49" s="511">
        <v>0.05</v>
      </c>
      <c r="AC49" s="199">
        <v>0.3</v>
      </c>
      <c r="AD49" s="9" t="s">
        <v>342</v>
      </c>
      <c r="AE49" s="4" t="s">
        <v>260</v>
      </c>
      <c r="AF49" s="158">
        <f>ROWS(AE$10:$AE49)</f>
        <v>40</v>
      </c>
      <c r="AG49" s="158" t="str">
        <f>IF(ID!$A$83=AE49,AF49,"")</f>
        <v/>
      </c>
      <c r="AH49" s="158" t="str">
        <f>IFERROR(SMALL($AG$10:$AG$393,ROWS($AG$10:AG49)),"")</f>
        <v/>
      </c>
      <c r="BN49" s="4"/>
    </row>
    <row r="50" spans="2:66" x14ac:dyDescent="0.2">
      <c r="B50" s="209">
        <v>50</v>
      </c>
      <c r="C50" s="194">
        <v>0.7</v>
      </c>
      <c r="D50" s="525">
        <v>0.7</v>
      </c>
      <c r="E50" s="1130"/>
      <c r="F50" s="241"/>
      <c r="H50" s="209">
        <v>50</v>
      </c>
      <c r="I50" s="194">
        <v>0.7</v>
      </c>
      <c r="J50" s="525">
        <v>0.7</v>
      </c>
      <c r="K50" s="1130"/>
      <c r="L50" s="241"/>
      <c r="M50" s="209">
        <v>50</v>
      </c>
      <c r="N50" s="194">
        <v>0</v>
      </c>
      <c r="O50" s="525">
        <v>0.1</v>
      </c>
      <c r="P50" s="160">
        <v>0.3</v>
      </c>
      <c r="Q50" s="1148"/>
      <c r="R50" s="240"/>
      <c r="S50" s="209">
        <v>50</v>
      </c>
      <c r="T50" s="757">
        <v>0.7</v>
      </c>
      <c r="U50" s="758">
        <v>0.7</v>
      </c>
      <c r="V50" s="758">
        <v>0</v>
      </c>
      <c r="W50" s="511">
        <v>0.35</v>
      </c>
      <c r="X50" s="200">
        <v>0.3</v>
      </c>
      <c r="Y50" s="779">
        <v>0.7</v>
      </c>
      <c r="Z50" s="780">
        <v>0.7</v>
      </c>
      <c r="AA50" s="780">
        <v>0.1</v>
      </c>
      <c r="AB50" s="511">
        <v>0.3</v>
      </c>
      <c r="AC50" s="199">
        <v>0.3</v>
      </c>
      <c r="AD50" s="9" t="s">
        <v>342</v>
      </c>
      <c r="AE50" s="4" t="s">
        <v>260</v>
      </c>
      <c r="AF50" s="158">
        <f>ROWS(AE$10:$AE50)</f>
        <v>41</v>
      </c>
      <c r="AG50" s="158" t="str">
        <f>IF(ID!$A$83=AE50,AF50,"")</f>
        <v/>
      </c>
      <c r="AH50" s="158" t="str">
        <f>IFERROR(SMALL($AG$10:$AG$393,ROWS($AG$10:AG50)),"")</f>
        <v/>
      </c>
    </row>
    <row r="51" spans="2:66" x14ac:dyDescent="0.2">
      <c r="B51" s="209">
        <v>100</v>
      </c>
      <c r="C51" s="194">
        <v>1</v>
      </c>
      <c r="D51" s="525">
        <v>1</v>
      </c>
      <c r="E51" s="1130"/>
      <c r="F51" s="241"/>
      <c r="H51" s="209">
        <v>100</v>
      </c>
      <c r="I51" s="194">
        <v>1</v>
      </c>
      <c r="J51" s="525">
        <v>1</v>
      </c>
      <c r="K51" s="1130"/>
      <c r="L51" s="241"/>
      <c r="M51" s="209">
        <v>100</v>
      </c>
      <c r="N51" s="194">
        <v>-0.1</v>
      </c>
      <c r="O51" s="525">
        <v>-0.1</v>
      </c>
      <c r="P51" s="160">
        <v>0.3</v>
      </c>
      <c r="Q51" s="1148"/>
      <c r="R51" s="240"/>
      <c r="S51" s="209">
        <v>100</v>
      </c>
      <c r="T51" s="757">
        <v>1</v>
      </c>
      <c r="U51" s="758">
        <v>1</v>
      </c>
      <c r="V51" s="758">
        <v>-0.1</v>
      </c>
      <c r="W51" s="511">
        <v>0.55000000000000004</v>
      </c>
      <c r="X51" s="200">
        <v>0.3</v>
      </c>
      <c r="Y51" s="779">
        <v>1</v>
      </c>
      <c r="Z51" s="780">
        <v>1</v>
      </c>
      <c r="AA51" s="780">
        <v>-0.1</v>
      </c>
      <c r="AB51" s="511">
        <v>0.55000000000000004</v>
      </c>
      <c r="AC51" s="199">
        <v>0.3</v>
      </c>
      <c r="AD51" s="9" t="s">
        <v>342</v>
      </c>
      <c r="AE51" s="4" t="s">
        <v>260</v>
      </c>
      <c r="AF51" s="158">
        <f>ROWS(AE$10:$AE51)</f>
        <v>42</v>
      </c>
      <c r="AG51" s="158" t="str">
        <f>IF(ID!$A$83=AE51,AF51,"")</f>
        <v/>
      </c>
      <c r="AH51" s="158" t="str">
        <f>IFERROR(SMALL($AG$10:$AG$393,ROWS($AG$10:AG51)),"")</f>
        <v/>
      </c>
      <c r="BN51" s="4"/>
    </row>
    <row r="52" spans="2:66" x14ac:dyDescent="0.2">
      <c r="B52" s="209">
        <v>150</v>
      </c>
      <c r="C52" s="194">
        <v>1.2</v>
      </c>
      <c r="D52" s="525">
        <v>1.2</v>
      </c>
      <c r="E52" s="1130"/>
      <c r="F52" s="241"/>
      <c r="H52" s="209">
        <v>150</v>
      </c>
      <c r="I52" s="194">
        <v>1.2</v>
      </c>
      <c r="J52" s="525">
        <v>1.2</v>
      </c>
      <c r="K52" s="1130"/>
      <c r="L52" s="241"/>
      <c r="M52" s="209">
        <v>150</v>
      </c>
      <c r="N52" s="194">
        <v>-0.1</v>
      </c>
      <c r="O52" s="525">
        <v>-0.1</v>
      </c>
      <c r="P52" s="160">
        <v>0.3</v>
      </c>
      <c r="Q52" s="1148"/>
      <c r="R52" s="240"/>
      <c r="S52" s="209">
        <v>150</v>
      </c>
      <c r="T52" s="757">
        <v>1.2</v>
      </c>
      <c r="U52" s="758">
        <v>1.2</v>
      </c>
      <c r="V52" s="758">
        <v>-0.1</v>
      </c>
      <c r="W52" s="511">
        <v>0.65</v>
      </c>
      <c r="X52" s="200">
        <v>0.3</v>
      </c>
      <c r="Y52" s="779">
        <v>1.2</v>
      </c>
      <c r="Z52" s="780">
        <v>1.2</v>
      </c>
      <c r="AA52" s="780">
        <v>-0.1</v>
      </c>
      <c r="AB52" s="511">
        <v>0.65</v>
      </c>
      <c r="AC52" s="199">
        <v>0.3</v>
      </c>
      <c r="AD52" s="9" t="s">
        <v>342</v>
      </c>
      <c r="AE52" s="4" t="s">
        <v>260</v>
      </c>
      <c r="AF52" s="158">
        <f>ROWS(AE$10:$AE52)</f>
        <v>43</v>
      </c>
      <c r="AG52" s="158" t="str">
        <f>IF(ID!$A$83=AE52,AF52,"")</f>
        <v/>
      </c>
      <c r="AH52" s="158" t="str">
        <f>IFERROR(SMALL($AG$10:$AG$393,ROWS($AG$10:AG52)),"")</f>
        <v/>
      </c>
    </row>
    <row r="53" spans="2:66" x14ac:dyDescent="0.2">
      <c r="B53" s="209">
        <v>200</v>
      </c>
      <c r="C53" s="194">
        <v>1.2</v>
      </c>
      <c r="D53" s="525">
        <v>1.2</v>
      </c>
      <c r="E53" s="1130"/>
      <c r="F53" s="241"/>
      <c r="H53" s="209">
        <v>200</v>
      </c>
      <c r="I53" s="194">
        <v>1.2</v>
      </c>
      <c r="J53" s="525">
        <v>1.2</v>
      </c>
      <c r="K53" s="1130"/>
      <c r="L53" s="241"/>
      <c r="M53" s="209">
        <v>200</v>
      </c>
      <c r="N53" s="194">
        <v>-0.1</v>
      </c>
      <c r="O53" s="525">
        <v>0</v>
      </c>
      <c r="P53" s="160">
        <v>0.3</v>
      </c>
      <c r="Q53" s="1148"/>
      <c r="R53" s="240"/>
      <c r="S53" s="209">
        <v>200</v>
      </c>
      <c r="T53" s="757">
        <v>1.2</v>
      </c>
      <c r="U53" s="758">
        <v>1.2</v>
      </c>
      <c r="V53" s="758">
        <v>-0.1</v>
      </c>
      <c r="W53" s="511">
        <v>0.65</v>
      </c>
      <c r="X53" s="200">
        <v>0.3</v>
      </c>
      <c r="Y53" s="779">
        <v>1.2</v>
      </c>
      <c r="Z53" s="780">
        <v>1.2</v>
      </c>
      <c r="AA53" s="780">
        <v>0</v>
      </c>
      <c r="AB53" s="511">
        <v>0.6</v>
      </c>
      <c r="AC53" s="199">
        <v>0.3</v>
      </c>
      <c r="AD53" s="9" t="s">
        <v>342</v>
      </c>
      <c r="AE53" s="4" t="s">
        <v>260</v>
      </c>
      <c r="AF53" s="158">
        <f>ROWS(AE$10:$AE53)</f>
        <v>44</v>
      </c>
      <c r="AG53" s="158" t="str">
        <f>IF(ID!$A$83=AE53,AF53,"")</f>
        <v/>
      </c>
      <c r="AH53" s="158" t="str">
        <f>IFERROR(SMALL($AG$10:$AG$393,ROWS($AG$10:AG53)),"")</f>
        <v/>
      </c>
    </row>
    <row r="54" spans="2:66" x14ac:dyDescent="0.2">
      <c r="B54" s="209">
        <v>250</v>
      </c>
      <c r="C54" s="194">
        <v>1.1000000000000001</v>
      </c>
      <c r="D54" s="525">
        <v>1.1000000000000001</v>
      </c>
      <c r="E54" s="1130"/>
      <c r="F54" s="241"/>
      <c r="H54" s="209">
        <v>250</v>
      </c>
      <c r="I54" s="194">
        <v>1.1000000000000001</v>
      </c>
      <c r="J54" s="525">
        <v>1.1000000000000001</v>
      </c>
      <c r="K54" s="1130"/>
      <c r="L54" s="241"/>
      <c r="M54" s="209">
        <v>250</v>
      </c>
      <c r="N54" s="194">
        <v>0.1</v>
      </c>
      <c r="O54" s="525">
        <v>0.1</v>
      </c>
      <c r="P54" s="160">
        <v>0.3</v>
      </c>
      <c r="Q54" s="1148"/>
      <c r="R54" s="240"/>
      <c r="S54" s="209">
        <v>250</v>
      </c>
      <c r="T54" s="757">
        <v>1.1000000000000001</v>
      </c>
      <c r="U54" s="758">
        <v>1.1000000000000001</v>
      </c>
      <c r="V54" s="758">
        <v>0.1</v>
      </c>
      <c r="W54" s="511">
        <v>0.5</v>
      </c>
      <c r="X54" s="200">
        <v>0.3</v>
      </c>
      <c r="Y54" s="779">
        <v>1.1000000000000001</v>
      </c>
      <c r="Z54" s="780">
        <v>1.1000000000000001</v>
      </c>
      <c r="AA54" s="780">
        <v>0.1</v>
      </c>
      <c r="AB54" s="511">
        <v>0.5</v>
      </c>
      <c r="AC54" s="199">
        <v>0.3</v>
      </c>
      <c r="AD54" s="9" t="s">
        <v>342</v>
      </c>
      <c r="AE54" s="4" t="s">
        <v>260</v>
      </c>
      <c r="AF54" s="158">
        <f>ROWS(AE$10:$AE54)</f>
        <v>45</v>
      </c>
      <c r="AG54" s="158" t="str">
        <f>IF(ID!$A$83=AE54,AF54,"")</f>
        <v/>
      </c>
      <c r="AH54" s="158" t="str">
        <f>IFERROR(SMALL($AG$10:$AG$393,ROWS($AG$10:AG54)),"")</f>
        <v/>
      </c>
      <c r="BN54" s="553"/>
    </row>
    <row r="55" spans="2:66" x14ac:dyDescent="0.2">
      <c r="B55" s="209">
        <v>300</v>
      </c>
      <c r="C55" s="194">
        <v>0.8</v>
      </c>
      <c r="D55" s="525">
        <v>0.8</v>
      </c>
      <c r="E55" s="1131"/>
      <c r="F55" s="241"/>
      <c r="H55" s="209">
        <v>300</v>
      </c>
      <c r="I55" s="194">
        <v>0.8</v>
      </c>
      <c r="J55" s="525">
        <v>0.8</v>
      </c>
      <c r="K55" s="1131"/>
      <c r="L55" s="241"/>
      <c r="M55" s="209">
        <v>300</v>
      </c>
      <c r="N55" s="194">
        <v>0.1</v>
      </c>
      <c r="O55" s="525">
        <v>0.2</v>
      </c>
      <c r="P55" s="160">
        <v>0.3</v>
      </c>
      <c r="Q55" s="1149"/>
      <c r="R55" s="240"/>
      <c r="S55" s="209">
        <v>300</v>
      </c>
      <c r="T55" s="757">
        <v>0.8</v>
      </c>
      <c r="U55" s="758">
        <v>0.8</v>
      </c>
      <c r="V55" s="758">
        <v>0.1</v>
      </c>
      <c r="W55" s="511">
        <v>0.35000000000000003</v>
      </c>
      <c r="X55" s="200">
        <v>0.3</v>
      </c>
      <c r="Y55" s="779">
        <v>0.8</v>
      </c>
      <c r="Z55" s="780">
        <v>0.8</v>
      </c>
      <c r="AA55" s="780">
        <v>0.2</v>
      </c>
      <c r="AB55" s="511">
        <v>0.30000000000000004</v>
      </c>
      <c r="AC55" s="199">
        <v>0.3</v>
      </c>
      <c r="AD55" s="9" t="s">
        <v>342</v>
      </c>
      <c r="AE55" s="4" t="s">
        <v>260</v>
      </c>
      <c r="AF55" s="158">
        <f>ROWS(AE$10:$AE55)</f>
        <v>46</v>
      </c>
      <c r="AG55" s="158" t="str">
        <f>IF(ID!$A$83=AE55,AF55,"")</f>
        <v/>
      </c>
      <c r="AH55" s="158" t="str">
        <f>IFERROR(SMALL($AG$10:$AG$393,ROWS($AG$10:AG55)),"")</f>
        <v/>
      </c>
      <c r="BN55" s="553"/>
    </row>
    <row r="56" spans="2:66" x14ac:dyDescent="0.2">
      <c r="S56" s="209"/>
      <c r="T56" s="769"/>
      <c r="U56" s="770"/>
      <c r="V56" s="770"/>
      <c r="W56" s="547"/>
      <c r="X56" s="212"/>
      <c r="Y56" s="783"/>
      <c r="Z56" s="782"/>
      <c r="AA56" s="782"/>
      <c r="AB56" s="551"/>
      <c r="AC56" s="162"/>
      <c r="AD56" s="9"/>
      <c r="AE56" s="4"/>
      <c r="AF56" s="158">
        <f>ROWS(AE$10:$AE56)</f>
        <v>47</v>
      </c>
      <c r="AG56" s="158" t="str">
        <f>IF(ID!$A$83=AE56,AF56,"")</f>
        <v/>
      </c>
      <c r="AH56" s="158" t="str">
        <f>IFERROR(SMALL($AG$10:$AG$393,ROWS($AG$10:AG56)),"")</f>
        <v/>
      </c>
      <c r="BN56" s="553"/>
    </row>
    <row r="57" spans="2:66" s="13" customFormat="1" x14ac:dyDescent="0.2">
      <c r="C57" s="529"/>
      <c r="D57" s="535"/>
      <c r="I57" s="529"/>
      <c r="J57" s="535"/>
      <c r="S57" s="233" t="s">
        <v>106</v>
      </c>
      <c r="T57" s="771"/>
      <c r="U57" s="772" t="s">
        <v>106</v>
      </c>
      <c r="V57" s="772"/>
      <c r="W57" s="548"/>
      <c r="X57" s="202" t="s">
        <v>106</v>
      </c>
      <c r="Y57" s="784"/>
      <c r="Z57" s="784"/>
      <c r="AA57" s="784"/>
      <c r="AB57" s="548"/>
      <c r="AC57" s="202"/>
      <c r="AD57" s="9"/>
      <c r="AE57" s="4"/>
      <c r="AF57" s="158">
        <f>ROWS(AE$10:$AE57)</f>
        <v>48</v>
      </c>
      <c r="AG57" s="158" t="str">
        <f>IF(ID!$A$83=AE57,AF57,"")</f>
        <v/>
      </c>
      <c r="AH57" s="158" t="str">
        <f>IFERROR(SMALL($AG$10:$AG$393,ROWS($AG$10:AG57)),"")</f>
        <v/>
      </c>
    </row>
    <row r="58" spans="2:66" x14ac:dyDescent="0.2">
      <c r="S58" s="233" t="s">
        <v>106</v>
      </c>
      <c r="T58" s="771"/>
      <c r="U58" s="772" t="s">
        <v>106</v>
      </c>
      <c r="V58" s="772"/>
      <c r="W58" s="548"/>
      <c r="X58" s="202" t="s">
        <v>106</v>
      </c>
      <c r="Y58" s="784"/>
      <c r="Z58" s="784"/>
      <c r="AA58" s="784"/>
      <c r="AB58" s="548"/>
      <c r="AC58" s="202"/>
      <c r="AD58" s="9"/>
      <c r="AE58" s="4"/>
      <c r="AF58" s="158">
        <f>ROWS(AE$10:$AE58)</f>
        <v>49</v>
      </c>
      <c r="AG58" s="158" t="str">
        <f>IF(ID!$A$83=AE58,AF58,"")</f>
        <v/>
      </c>
      <c r="AH58" s="158" t="str">
        <f>IFERROR(SMALL($AG$10:$AG$393,ROWS($AG$10:AG58)),"")</f>
        <v/>
      </c>
    </row>
    <row r="59" spans="2:66" x14ac:dyDescent="0.2">
      <c r="S59" s="233" t="s">
        <v>106</v>
      </c>
      <c r="T59" s="771"/>
      <c r="U59" s="772" t="s">
        <v>106</v>
      </c>
      <c r="V59" s="772"/>
      <c r="W59" s="548"/>
      <c r="X59" s="202" t="s">
        <v>106</v>
      </c>
      <c r="Y59" s="784"/>
      <c r="Z59" s="784"/>
      <c r="AA59" s="784"/>
      <c r="AB59" s="548"/>
      <c r="AC59" s="202"/>
      <c r="AD59" s="9"/>
      <c r="AE59" s="4"/>
      <c r="AF59" s="158">
        <f>ROWS(AE$10:$AE59)</f>
        <v>50</v>
      </c>
      <c r="AG59" s="158" t="str">
        <f>IF(ID!$A$83=AE59,AF59,"")</f>
        <v/>
      </c>
      <c r="AH59" s="158" t="str">
        <f>IFERROR(SMALL($AG$10:$AG$393,ROWS($AG$10:AG59)),"")</f>
        <v/>
      </c>
    </row>
    <row r="60" spans="2:66" s="13" customFormat="1" x14ac:dyDescent="0.2">
      <c r="C60" s="529"/>
      <c r="D60" s="535"/>
      <c r="I60" s="529"/>
      <c r="J60" s="535"/>
      <c r="S60" s="234"/>
      <c r="T60" s="753"/>
      <c r="U60" s="754"/>
      <c r="V60" s="754"/>
      <c r="W60" s="540"/>
      <c r="X60" s="10"/>
      <c r="Y60" s="775"/>
      <c r="Z60" s="775"/>
      <c r="AA60" s="775"/>
      <c r="AB60" s="540"/>
      <c r="AC60" s="10"/>
      <c r="AF60" s="158">
        <f>ROWS(AE$10:$AE60)</f>
        <v>51</v>
      </c>
      <c r="AG60" s="158" t="str">
        <f>IF(ID!$A$83=AE60,AF60,"")</f>
        <v/>
      </c>
      <c r="AH60" s="158" t="str">
        <f>IFERROR(SMALL($AG$10:$AG$393,ROWS($AG$10:AG60)),"")</f>
        <v/>
      </c>
    </row>
    <row r="61" spans="2:66" s="526" customFormat="1" x14ac:dyDescent="0.2">
      <c r="C61" s="532"/>
      <c r="D61" s="538"/>
      <c r="I61" s="532"/>
      <c r="J61" s="538"/>
      <c r="S61" s="527"/>
      <c r="T61" s="753"/>
      <c r="U61" s="754"/>
      <c r="V61" s="754"/>
      <c r="W61" s="543"/>
      <c r="Y61" s="775"/>
      <c r="Z61" s="775"/>
      <c r="AA61" s="775"/>
      <c r="AB61" s="543"/>
      <c r="AF61" s="158">
        <f>ROWS(AE$10:$AE61)</f>
        <v>52</v>
      </c>
      <c r="AG61" s="158" t="str">
        <f>IF(ID!$A$83=AE61,AF61,"")</f>
        <v/>
      </c>
      <c r="AH61" s="158" t="str">
        <f>IFERROR(SMALL($AG$10:$AG$393,ROWS($AG$10:AG61)),"")</f>
        <v/>
      </c>
    </row>
    <row r="62" spans="2:66" s="526" customFormat="1" x14ac:dyDescent="0.2">
      <c r="C62" s="532"/>
      <c r="D62" s="538"/>
      <c r="I62" s="532"/>
      <c r="J62" s="538"/>
      <c r="S62" s="527"/>
      <c r="T62" s="753"/>
      <c r="U62" s="754"/>
      <c r="V62" s="754"/>
      <c r="W62" s="543"/>
      <c r="Y62" s="775"/>
      <c r="Z62" s="775"/>
      <c r="AA62" s="775"/>
      <c r="AB62" s="543"/>
      <c r="AF62" s="158">
        <f>ROWS(AE$10:$AE62)</f>
        <v>53</v>
      </c>
      <c r="AG62" s="158" t="str">
        <f>IF(ID!$A$83=AE62,AF62,"")</f>
        <v/>
      </c>
      <c r="AH62" s="158" t="str">
        <f>IFERROR(SMALL($AG$10:$AG$393,ROWS($AG$10:AG62)),"")</f>
        <v/>
      </c>
    </row>
    <row r="63" spans="2:66" x14ac:dyDescent="0.2">
      <c r="S63" s="228"/>
      <c r="T63" s="759"/>
      <c r="U63" s="760"/>
      <c r="V63" s="761"/>
      <c r="W63" s="546"/>
      <c r="AB63" s="546"/>
      <c r="AF63" s="158">
        <f>ROWS(AE$10:$AE63)</f>
        <v>54</v>
      </c>
      <c r="AG63" s="158" t="str">
        <f>IF(ID!$A$83=AE63,AF63,"")</f>
        <v/>
      </c>
      <c r="AH63" s="158" t="str">
        <f>IFERROR(SMALL($AG$10:$AG$393,ROWS($AG$10:AG63)),"")</f>
        <v/>
      </c>
    </row>
    <row r="64" spans="2:66" x14ac:dyDescent="0.2">
      <c r="B64" s="209">
        <v>0</v>
      </c>
      <c r="C64" s="194">
        <v>0</v>
      </c>
      <c r="D64" s="525">
        <v>0</v>
      </c>
      <c r="E64" s="1135" t="s">
        <v>388</v>
      </c>
      <c r="F64" s="241"/>
      <c r="H64" s="209">
        <v>0</v>
      </c>
      <c r="I64" s="194">
        <v>0</v>
      </c>
      <c r="J64" s="525">
        <v>0</v>
      </c>
      <c r="K64" s="1135" t="s">
        <v>388</v>
      </c>
      <c r="L64" s="241"/>
      <c r="M64" s="209">
        <v>0</v>
      </c>
      <c r="N64" s="194">
        <v>0</v>
      </c>
      <c r="O64" s="525">
        <v>0</v>
      </c>
      <c r="P64" s="160">
        <v>1</v>
      </c>
      <c r="Q64" s="1147" t="s">
        <v>383</v>
      </c>
      <c r="R64" s="240"/>
      <c r="S64" s="209">
        <v>0</v>
      </c>
      <c r="T64" s="757">
        <v>0</v>
      </c>
      <c r="U64" s="758">
        <v>0</v>
      </c>
      <c r="V64" s="758">
        <v>0</v>
      </c>
      <c r="W64" s="511">
        <v>0</v>
      </c>
      <c r="X64" s="200">
        <v>1</v>
      </c>
      <c r="Y64" s="779">
        <v>0</v>
      </c>
      <c r="Z64" s="780">
        <v>0</v>
      </c>
      <c r="AA64" s="780">
        <v>0</v>
      </c>
      <c r="AB64" s="511">
        <v>0</v>
      </c>
      <c r="AC64" s="199">
        <v>1</v>
      </c>
      <c r="AD64" s="9" t="s">
        <v>342</v>
      </c>
      <c r="AE64" s="4" t="s">
        <v>743</v>
      </c>
      <c r="AF64" s="158">
        <f>ROWS(AE$10:$AE64)</f>
        <v>55</v>
      </c>
      <c r="AG64" s="158" t="str">
        <f>IF(ID!$A$83=AE64,AF64,"")</f>
        <v/>
      </c>
      <c r="AH64" s="158" t="str">
        <f>IFERROR(SMALL($AG$10:$AG$393,ROWS($AG$10:AG64)),"")</f>
        <v/>
      </c>
    </row>
    <row r="65" spans="2:34" x14ac:dyDescent="0.2">
      <c r="B65" s="209">
        <v>50</v>
      </c>
      <c r="C65" s="194">
        <v>-0.2</v>
      </c>
      <c r="D65" s="525">
        <v>-0.2</v>
      </c>
      <c r="E65" s="1136"/>
      <c r="F65" s="241"/>
      <c r="H65" s="209">
        <v>50</v>
      </c>
      <c r="I65" s="194">
        <v>-0.2</v>
      </c>
      <c r="J65" s="525">
        <v>-0.2</v>
      </c>
      <c r="K65" s="1136"/>
      <c r="L65" s="241"/>
      <c r="M65" s="209">
        <v>50</v>
      </c>
      <c r="N65" s="194">
        <v>0.7</v>
      </c>
      <c r="O65" s="525">
        <v>1</v>
      </c>
      <c r="P65" s="160">
        <v>1</v>
      </c>
      <c r="Q65" s="1148"/>
      <c r="R65" s="240"/>
      <c r="S65" s="209">
        <v>50</v>
      </c>
      <c r="T65" s="757">
        <v>-0.2</v>
      </c>
      <c r="U65" s="758">
        <v>-0.2</v>
      </c>
      <c r="V65" s="758">
        <v>0.7</v>
      </c>
      <c r="W65" s="511">
        <v>0.44999999999999996</v>
      </c>
      <c r="X65" s="200">
        <v>1</v>
      </c>
      <c r="Y65" s="779">
        <v>-0.2</v>
      </c>
      <c r="Z65" s="780">
        <v>-0.2</v>
      </c>
      <c r="AA65" s="780">
        <v>1</v>
      </c>
      <c r="AB65" s="511">
        <v>0.6</v>
      </c>
      <c r="AC65" s="199">
        <v>1</v>
      </c>
      <c r="AD65" s="9" t="s">
        <v>342</v>
      </c>
      <c r="AE65" s="4" t="s">
        <v>743</v>
      </c>
      <c r="AF65" s="158">
        <f>ROWS(AE$10:$AE65)</f>
        <v>56</v>
      </c>
      <c r="AG65" s="158" t="str">
        <f>IF(ID!$A$83=AE65,AF65,"")</f>
        <v/>
      </c>
      <c r="AH65" s="158" t="str">
        <f>IFERROR(SMALL($AG$10:$AG$393,ROWS($AG$10:AG65)),"")</f>
        <v/>
      </c>
    </row>
    <row r="66" spans="2:34" x14ac:dyDescent="0.2">
      <c r="B66" s="209">
        <v>100</v>
      </c>
      <c r="C66" s="194">
        <v>-0.3</v>
      </c>
      <c r="D66" s="525">
        <v>-0.3</v>
      </c>
      <c r="E66" s="1136"/>
      <c r="F66" s="241"/>
      <c r="H66" s="209">
        <v>100</v>
      </c>
      <c r="I66" s="194">
        <v>-0.3</v>
      </c>
      <c r="J66" s="525">
        <v>-0.3</v>
      </c>
      <c r="K66" s="1136"/>
      <c r="L66" s="241"/>
      <c r="M66" s="209">
        <v>100</v>
      </c>
      <c r="N66" s="194">
        <v>1.2</v>
      </c>
      <c r="O66" s="525">
        <v>1.6</v>
      </c>
      <c r="P66" s="160">
        <v>1</v>
      </c>
      <c r="Q66" s="1148"/>
      <c r="R66" s="240"/>
      <c r="S66" s="209">
        <v>100</v>
      </c>
      <c r="T66" s="757">
        <v>-0.3</v>
      </c>
      <c r="U66" s="758">
        <v>-0.3</v>
      </c>
      <c r="V66" s="758">
        <v>1.2</v>
      </c>
      <c r="W66" s="511">
        <v>0.75</v>
      </c>
      <c r="X66" s="200">
        <v>1</v>
      </c>
      <c r="Y66" s="779">
        <v>-0.3</v>
      </c>
      <c r="Z66" s="780">
        <v>-0.3</v>
      </c>
      <c r="AA66" s="780">
        <v>1.6</v>
      </c>
      <c r="AB66" s="511">
        <v>0.95000000000000007</v>
      </c>
      <c r="AC66" s="199">
        <v>1</v>
      </c>
      <c r="AD66" s="9" t="s">
        <v>342</v>
      </c>
      <c r="AE66" s="4" t="s">
        <v>743</v>
      </c>
      <c r="AF66" s="158">
        <f>ROWS(AE$10:$AE66)</f>
        <v>57</v>
      </c>
      <c r="AG66" s="158" t="str">
        <f>IF(ID!$A$83=AE66,AF66,"")</f>
        <v/>
      </c>
      <c r="AH66" s="158" t="str">
        <f>IFERROR(SMALL($AG$10:$AG$393,ROWS($AG$10:AG66)),"")</f>
        <v/>
      </c>
    </row>
    <row r="67" spans="2:34" x14ac:dyDescent="0.2">
      <c r="B67" s="209">
        <v>150</v>
      </c>
      <c r="C67" s="194">
        <v>-0.3</v>
      </c>
      <c r="D67" s="525">
        <v>-0.3</v>
      </c>
      <c r="E67" s="1136"/>
      <c r="F67" s="241"/>
      <c r="H67" s="209">
        <v>150</v>
      </c>
      <c r="I67" s="194">
        <v>-0.3</v>
      </c>
      <c r="J67" s="525">
        <v>-0.3</v>
      </c>
      <c r="K67" s="1136"/>
      <c r="L67" s="241"/>
      <c r="M67" s="209">
        <v>150</v>
      </c>
      <c r="N67" s="194">
        <v>1.2</v>
      </c>
      <c r="O67" s="525">
        <v>1.6</v>
      </c>
      <c r="P67" s="160">
        <v>1</v>
      </c>
      <c r="Q67" s="1148"/>
      <c r="R67" s="240"/>
      <c r="S67" s="209">
        <v>150</v>
      </c>
      <c r="T67" s="757">
        <v>-0.3</v>
      </c>
      <c r="U67" s="758">
        <v>-0.3</v>
      </c>
      <c r="V67" s="758">
        <v>1.2</v>
      </c>
      <c r="W67" s="511">
        <v>0.75</v>
      </c>
      <c r="X67" s="200">
        <v>1</v>
      </c>
      <c r="Y67" s="779">
        <v>-0.3</v>
      </c>
      <c r="Z67" s="780">
        <v>-0.3</v>
      </c>
      <c r="AA67" s="780">
        <v>1.6</v>
      </c>
      <c r="AB67" s="511">
        <v>0.95000000000000007</v>
      </c>
      <c r="AC67" s="199">
        <v>1</v>
      </c>
      <c r="AD67" s="9" t="s">
        <v>342</v>
      </c>
      <c r="AE67" s="4" t="s">
        <v>743</v>
      </c>
      <c r="AF67" s="158">
        <f>ROWS(AE$10:$AE67)</f>
        <v>58</v>
      </c>
      <c r="AG67" s="158" t="str">
        <f>IF(ID!$A$83=AE67,AF67,"")</f>
        <v/>
      </c>
      <c r="AH67" s="158" t="str">
        <f>IFERROR(SMALL($AG$10:$AG$393,ROWS($AG$10:AG67)),"")</f>
        <v/>
      </c>
    </row>
    <row r="68" spans="2:34" x14ac:dyDescent="0.2">
      <c r="B68" s="209">
        <v>200</v>
      </c>
      <c r="C68" s="194">
        <v>-0.3</v>
      </c>
      <c r="D68" s="525">
        <v>-0.3</v>
      </c>
      <c r="E68" s="1136"/>
      <c r="F68" s="241"/>
      <c r="H68" s="209">
        <v>200</v>
      </c>
      <c r="I68" s="194">
        <v>-0.3</v>
      </c>
      <c r="J68" s="525">
        <v>-0.3</v>
      </c>
      <c r="K68" s="1136"/>
      <c r="L68" s="241"/>
      <c r="M68" s="209">
        <v>200</v>
      </c>
      <c r="N68" s="194">
        <v>1</v>
      </c>
      <c r="O68" s="525">
        <v>1.3</v>
      </c>
      <c r="P68" s="160">
        <v>1</v>
      </c>
      <c r="Q68" s="1148"/>
      <c r="R68" s="240"/>
      <c r="S68" s="209">
        <v>200</v>
      </c>
      <c r="T68" s="757">
        <v>-0.3</v>
      </c>
      <c r="U68" s="758">
        <v>-0.3</v>
      </c>
      <c r="V68" s="758">
        <v>1</v>
      </c>
      <c r="W68" s="511">
        <v>0.65</v>
      </c>
      <c r="X68" s="200">
        <v>1</v>
      </c>
      <c r="Y68" s="779">
        <v>-0.3</v>
      </c>
      <c r="Z68" s="780">
        <v>-0.3</v>
      </c>
      <c r="AA68" s="780">
        <v>1.3</v>
      </c>
      <c r="AB68" s="511">
        <v>0.8</v>
      </c>
      <c r="AC68" s="199">
        <v>1</v>
      </c>
      <c r="AD68" s="9" t="s">
        <v>342</v>
      </c>
      <c r="AE68" s="4" t="s">
        <v>743</v>
      </c>
      <c r="AF68" s="158">
        <f>ROWS(AE$10:$AE68)</f>
        <v>59</v>
      </c>
      <c r="AG68" s="158" t="str">
        <f>IF(ID!$A$83=AE68,AF68,"")</f>
        <v/>
      </c>
      <c r="AH68" s="158" t="str">
        <f>IFERROR(SMALL($AG$10:$AG$393,ROWS($AG$10:AG68)),"")</f>
        <v/>
      </c>
    </row>
    <row r="69" spans="2:34" x14ac:dyDescent="0.2">
      <c r="B69" s="209">
        <v>250</v>
      </c>
      <c r="C69" s="194">
        <v>-0.3</v>
      </c>
      <c r="D69" s="525">
        <v>-0.3</v>
      </c>
      <c r="E69" s="1136"/>
      <c r="F69" s="241"/>
      <c r="H69" s="209">
        <v>250</v>
      </c>
      <c r="I69" s="194">
        <v>-0.3</v>
      </c>
      <c r="J69" s="525">
        <v>-0.3</v>
      </c>
      <c r="K69" s="1136"/>
      <c r="L69" s="241"/>
      <c r="M69" s="209">
        <v>250</v>
      </c>
      <c r="N69" s="194">
        <v>1.4</v>
      </c>
      <c r="O69" s="525">
        <v>1.8</v>
      </c>
      <c r="P69" s="160">
        <v>1</v>
      </c>
      <c r="Q69" s="1148"/>
      <c r="R69" s="240"/>
      <c r="S69" s="209">
        <v>250</v>
      </c>
      <c r="T69" s="757">
        <v>-0.3</v>
      </c>
      <c r="U69" s="758">
        <v>-0.3</v>
      </c>
      <c r="V69" s="758">
        <v>1.4</v>
      </c>
      <c r="W69" s="511">
        <v>0.85</v>
      </c>
      <c r="X69" s="200">
        <v>1</v>
      </c>
      <c r="Y69" s="779">
        <v>-0.3</v>
      </c>
      <c r="Z69" s="780">
        <v>-0.3</v>
      </c>
      <c r="AA69" s="780">
        <v>1.8</v>
      </c>
      <c r="AB69" s="511">
        <v>1.05</v>
      </c>
      <c r="AC69" s="199">
        <v>1</v>
      </c>
      <c r="AD69" s="9" t="s">
        <v>342</v>
      </c>
      <c r="AE69" s="4" t="s">
        <v>743</v>
      </c>
      <c r="AF69" s="158">
        <f>ROWS(AE$10:$AE69)</f>
        <v>60</v>
      </c>
      <c r="AG69" s="158" t="str">
        <f>IF(ID!$A$83=AE69,AF69,"")</f>
        <v/>
      </c>
      <c r="AH69" s="158" t="str">
        <f>IFERROR(SMALL($AG$10:$AG$393,ROWS($AG$10:AG69)),"")</f>
        <v/>
      </c>
    </row>
    <row r="70" spans="2:34" x14ac:dyDescent="0.2">
      <c r="B70" s="209">
        <v>300</v>
      </c>
      <c r="C70" s="194">
        <v>-0.1</v>
      </c>
      <c r="D70" s="525">
        <v>-0.1</v>
      </c>
      <c r="E70" s="1137"/>
      <c r="F70" s="241"/>
      <c r="H70" s="209">
        <v>300</v>
      </c>
      <c r="I70" s="194">
        <v>-0.1</v>
      </c>
      <c r="J70" s="525">
        <v>-0.1</v>
      </c>
      <c r="K70" s="1137"/>
      <c r="L70" s="241"/>
      <c r="M70" s="209">
        <v>300</v>
      </c>
      <c r="N70" s="194">
        <v>1</v>
      </c>
      <c r="O70" s="525">
        <v>1.3</v>
      </c>
      <c r="P70" s="160">
        <v>1</v>
      </c>
      <c r="Q70" s="1149"/>
      <c r="R70" s="240"/>
      <c r="S70" s="209">
        <v>300</v>
      </c>
      <c r="T70" s="757">
        <v>-0.1</v>
      </c>
      <c r="U70" s="758">
        <v>-0.1</v>
      </c>
      <c r="V70" s="758">
        <v>1</v>
      </c>
      <c r="W70" s="511">
        <v>0.55000000000000004</v>
      </c>
      <c r="X70" s="200">
        <v>1</v>
      </c>
      <c r="Y70" s="779">
        <v>-0.1</v>
      </c>
      <c r="Z70" s="780">
        <v>-0.1</v>
      </c>
      <c r="AA70" s="780">
        <v>1.3</v>
      </c>
      <c r="AB70" s="511">
        <v>0.70000000000000007</v>
      </c>
      <c r="AC70" s="199">
        <v>1</v>
      </c>
      <c r="AD70" s="9" t="s">
        <v>342</v>
      </c>
      <c r="AE70" s="4" t="s">
        <v>743</v>
      </c>
      <c r="AF70" s="158">
        <f>ROWS(AE$10:$AE70)</f>
        <v>61</v>
      </c>
      <c r="AG70" s="158" t="str">
        <f>IF(ID!$A$83=AE70,AF70,"")</f>
        <v/>
      </c>
      <c r="AH70" s="158" t="str">
        <f>IFERROR(SMALL($AG$10:$AG$393,ROWS($AG$10:AG70)),"")</f>
        <v/>
      </c>
    </row>
    <row r="71" spans="2:34" x14ac:dyDescent="0.2">
      <c r="S71" s="209"/>
      <c r="T71" s="769"/>
      <c r="U71" s="770"/>
      <c r="V71" s="770"/>
      <c r="W71" s="547"/>
      <c r="X71" s="98"/>
      <c r="Y71" s="782"/>
      <c r="Z71" s="782"/>
      <c r="AA71" s="782"/>
      <c r="AB71" s="551"/>
      <c r="AC71" s="162"/>
      <c r="AD71" s="9"/>
      <c r="AE71" s="4"/>
      <c r="AF71" s="158">
        <f>ROWS(AE$10:$AE71)</f>
        <v>62</v>
      </c>
      <c r="AG71" s="158" t="str">
        <f>IF(ID!$A$83=AE71,AF71,"")</f>
        <v/>
      </c>
      <c r="AH71" s="158" t="str">
        <f>IFERROR(SMALL($AG$10:$AG$393,ROWS($AG$10:AG71)),"")</f>
        <v/>
      </c>
    </row>
    <row r="72" spans="2:34" s="13" customFormat="1" x14ac:dyDescent="0.2">
      <c r="C72" s="529"/>
      <c r="D72" s="535"/>
      <c r="I72" s="529"/>
      <c r="J72" s="535"/>
      <c r="S72" s="209"/>
      <c r="T72" s="769"/>
      <c r="U72" s="770"/>
      <c r="V72" s="770"/>
      <c r="W72" s="547"/>
      <c r="X72" s="98"/>
      <c r="Y72" s="782"/>
      <c r="Z72" s="782"/>
      <c r="AA72" s="782"/>
      <c r="AB72" s="551"/>
      <c r="AC72" s="162"/>
      <c r="AD72" s="9"/>
      <c r="AE72" s="4"/>
      <c r="AF72" s="158">
        <f>ROWS(AE$10:$AE72)</f>
        <v>63</v>
      </c>
      <c r="AG72" s="158" t="str">
        <f>IF(ID!$A$83=AE72,AF72,"")</f>
        <v/>
      </c>
      <c r="AH72" s="158" t="str">
        <f>IFERROR(SMALL($AG$10:$AG$393,ROWS($AG$10:AG72)),"")</f>
        <v/>
      </c>
    </row>
    <row r="73" spans="2:34" x14ac:dyDescent="0.2">
      <c r="S73" s="209"/>
      <c r="T73" s="769"/>
      <c r="U73" s="770"/>
      <c r="V73" s="770"/>
      <c r="W73" s="547"/>
      <c r="X73" s="98"/>
      <c r="Y73" s="782"/>
      <c r="Z73" s="782"/>
      <c r="AA73" s="782"/>
      <c r="AB73" s="551"/>
      <c r="AC73" s="162"/>
      <c r="AD73" s="9"/>
      <c r="AE73" s="4"/>
      <c r="AF73" s="158">
        <f>ROWS(AE$10:$AE73)</f>
        <v>64</v>
      </c>
      <c r="AG73" s="158" t="str">
        <f>IF(ID!$A$83=AE73,AF73,"")</f>
        <v/>
      </c>
      <c r="AH73" s="158" t="str">
        <f>IFERROR(SMALL($AG$10:$AG$393,ROWS($AG$10:AG73)),"")</f>
        <v/>
      </c>
    </row>
    <row r="74" spans="2:34" x14ac:dyDescent="0.2">
      <c r="S74" s="209"/>
      <c r="T74" s="769"/>
      <c r="U74" s="770"/>
      <c r="V74" s="770"/>
      <c r="W74" s="547"/>
      <c r="X74" s="98"/>
      <c r="Y74" s="782"/>
      <c r="Z74" s="782"/>
      <c r="AA74" s="782"/>
      <c r="AB74" s="551"/>
      <c r="AC74" s="162"/>
      <c r="AD74" s="9"/>
      <c r="AE74" s="4"/>
      <c r="AF74" s="158">
        <f>ROWS(AE$10:$AE74)</f>
        <v>65</v>
      </c>
      <c r="AG74" s="158" t="str">
        <f>IF(ID!$A$83=AE74,AF74,"")</f>
        <v/>
      </c>
      <c r="AH74" s="158" t="str">
        <f>IFERROR(SMALL($AG$10:$AG$393,ROWS($AG$10:AG74)),"")</f>
        <v/>
      </c>
    </row>
    <row r="75" spans="2:34" s="13" customFormat="1" x14ac:dyDescent="0.2">
      <c r="C75" s="529"/>
      <c r="D75" s="535"/>
      <c r="I75" s="529"/>
      <c r="J75" s="535"/>
      <c r="S75" s="234"/>
      <c r="T75" s="753"/>
      <c r="U75" s="754"/>
      <c r="V75" s="754"/>
      <c r="W75" s="540"/>
      <c r="X75" s="10"/>
      <c r="Y75" s="775"/>
      <c r="Z75" s="775"/>
      <c r="AA75" s="775"/>
      <c r="AB75" s="540"/>
      <c r="AC75" s="10"/>
      <c r="AF75" s="158">
        <f>ROWS(AE$10:$AE75)</f>
        <v>66</v>
      </c>
      <c r="AG75" s="158" t="str">
        <f>IF(ID!$A$83=AE75,AF75,"")</f>
        <v/>
      </c>
      <c r="AH75" s="158" t="str">
        <f>IFERROR(SMALL($AG$10:$AG$393,ROWS($AG$10:AG75)),"")</f>
        <v/>
      </c>
    </row>
    <row r="76" spans="2:34" s="526" customFormat="1" x14ac:dyDescent="0.2">
      <c r="C76" s="532"/>
      <c r="D76" s="538"/>
      <c r="I76" s="532"/>
      <c r="J76" s="538"/>
      <c r="S76" s="527"/>
      <c r="T76" s="753"/>
      <c r="U76" s="754"/>
      <c r="V76" s="754"/>
      <c r="W76" s="543"/>
      <c r="Y76" s="775"/>
      <c r="Z76" s="775"/>
      <c r="AA76" s="775"/>
      <c r="AB76" s="543"/>
      <c r="AF76" s="158">
        <f>ROWS(AE$10:$AE76)</f>
        <v>67</v>
      </c>
      <c r="AG76" s="158" t="str">
        <f>IF(ID!$A$83=AE76,AF76,"")</f>
        <v/>
      </c>
      <c r="AH76" s="158" t="str">
        <f>IFERROR(SMALL($AG$10:$AG$393,ROWS($AG$10:AG76)),"")</f>
        <v/>
      </c>
    </row>
    <row r="77" spans="2:34" s="526" customFormat="1" x14ac:dyDescent="0.2">
      <c r="C77" s="532"/>
      <c r="D77" s="538"/>
      <c r="I77" s="532"/>
      <c r="J77" s="538"/>
      <c r="S77" s="527"/>
      <c r="T77" s="753"/>
      <c r="U77" s="754"/>
      <c r="V77" s="754"/>
      <c r="W77" s="543"/>
      <c r="Y77" s="775"/>
      <c r="Z77" s="775"/>
      <c r="AA77" s="775"/>
      <c r="AB77" s="543"/>
      <c r="AF77" s="158">
        <f>ROWS(AE$10:$AE77)</f>
        <v>68</v>
      </c>
      <c r="AG77" s="158" t="str">
        <f>IF(ID!$A$83=AE77,AF77,"")</f>
        <v/>
      </c>
      <c r="AH77" s="158" t="str">
        <f>IFERROR(SMALL($AG$10:$AG$393,ROWS($AG$10:AG77)),"")</f>
        <v/>
      </c>
    </row>
    <row r="78" spans="2:34" x14ac:dyDescent="0.2">
      <c r="S78" s="228"/>
      <c r="T78" s="759"/>
      <c r="U78" s="760"/>
      <c r="V78" s="761"/>
      <c r="W78" s="546"/>
      <c r="AB78" s="546"/>
      <c r="AF78" s="158">
        <f>ROWS(AE$10:$AE78)</f>
        <v>69</v>
      </c>
      <c r="AG78" s="158" t="str">
        <f>IF(ID!$A$83=AE78,AF78,"")</f>
        <v/>
      </c>
      <c r="AH78" s="158" t="str">
        <f>IFERROR(SMALL($AG$10:$AG$393,ROWS($AG$10:AG78)),"")</f>
        <v/>
      </c>
    </row>
    <row r="79" spans="2:34" x14ac:dyDescent="0.2">
      <c r="B79" s="209">
        <v>0</v>
      </c>
      <c r="C79" s="194">
        <v>0</v>
      </c>
      <c r="D79" s="525">
        <v>0</v>
      </c>
      <c r="E79" s="1129" t="s">
        <v>174</v>
      </c>
      <c r="F79" s="241"/>
      <c r="H79" s="209">
        <v>0</v>
      </c>
      <c r="I79" s="194">
        <v>0</v>
      </c>
      <c r="J79" s="525">
        <v>0</v>
      </c>
      <c r="K79" s="1129" t="s">
        <v>174</v>
      </c>
      <c r="L79" s="241"/>
      <c r="M79" s="209">
        <v>0</v>
      </c>
      <c r="N79" s="197">
        <v>0</v>
      </c>
      <c r="O79" s="539">
        <v>0</v>
      </c>
      <c r="P79" s="200">
        <v>0.1</v>
      </c>
      <c r="Q79" s="1147" t="s">
        <v>262</v>
      </c>
      <c r="R79" s="242"/>
      <c r="S79" s="209">
        <v>0</v>
      </c>
      <c r="T79" s="757">
        <v>0</v>
      </c>
      <c r="U79" s="758">
        <v>0</v>
      </c>
      <c r="V79" s="758">
        <v>0</v>
      </c>
      <c r="W79" s="511">
        <v>0</v>
      </c>
      <c r="X79" s="200">
        <v>0.1</v>
      </c>
      <c r="Y79" s="779">
        <v>0</v>
      </c>
      <c r="Z79" s="780">
        <v>0</v>
      </c>
      <c r="AA79" s="780">
        <v>0</v>
      </c>
      <c r="AB79" s="511">
        <v>0</v>
      </c>
      <c r="AC79" s="199">
        <v>0.1</v>
      </c>
      <c r="AD79" s="9" t="s">
        <v>342</v>
      </c>
      <c r="AE79" s="4" t="s">
        <v>263</v>
      </c>
      <c r="AF79" s="158">
        <f>ROWS(AE$10:$AE79)</f>
        <v>70</v>
      </c>
      <c r="AG79" s="158" t="str">
        <f>IF(ID!$A$83=AE79,AF79,"")</f>
        <v/>
      </c>
      <c r="AH79" s="158" t="str">
        <f>IFERROR(SMALL($AG$10:$AG$393,ROWS($AG$10:AG79)),"")</f>
        <v/>
      </c>
    </row>
    <row r="80" spans="2:34" x14ac:dyDescent="0.2">
      <c r="B80" s="209">
        <v>50</v>
      </c>
      <c r="C80" s="194">
        <v>0.1</v>
      </c>
      <c r="D80" s="525">
        <v>0.1</v>
      </c>
      <c r="E80" s="1130"/>
      <c r="F80" s="241"/>
      <c r="H80" s="209">
        <v>50</v>
      </c>
      <c r="I80" s="194">
        <v>0.1</v>
      </c>
      <c r="J80" s="525">
        <v>0.1</v>
      </c>
      <c r="K80" s="1130"/>
      <c r="L80" s="241"/>
      <c r="M80" s="209">
        <v>50</v>
      </c>
      <c r="N80" s="197">
        <v>0.10000000000000142</v>
      </c>
      <c r="O80" s="539">
        <v>0</v>
      </c>
      <c r="P80" s="200">
        <v>0.1</v>
      </c>
      <c r="Q80" s="1148"/>
      <c r="R80" s="242"/>
      <c r="S80" s="209">
        <v>50</v>
      </c>
      <c r="T80" s="757">
        <v>0.1</v>
      </c>
      <c r="U80" s="758">
        <v>0.1</v>
      </c>
      <c r="V80" s="758">
        <v>0.10000000000000142</v>
      </c>
      <c r="W80" s="511">
        <v>7.0776717819853729E-16</v>
      </c>
      <c r="X80" s="200">
        <v>0.1</v>
      </c>
      <c r="Y80" s="779">
        <v>0.1</v>
      </c>
      <c r="Z80" s="780">
        <v>0.1</v>
      </c>
      <c r="AA80" s="780">
        <v>0</v>
      </c>
      <c r="AB80" s="511">
        <v>0.05</v>
      </c>
      <c r="AC80" s="199">
        <v>0.1</v>
      </c>
      <c r="AD80" s="9" t="s">
        <v>342</v>
      </c>
      <c r="AE80" s="4" t="s">
        <v>263</v>
      </c>
      <c r="AF80" s="158">
        <f>ROWS(AE$10:$AE80)</f>
        <v>71</v>
      </c>
      <c r="AG80" s="158" t="str">
        <f>IF(ID!$A$83=AE80,AF80,"")</f>
        <v/>
      </c>
      <c r="AH80" s="158" t="str">
        <f>IFERROR(SMALL($AG$10:$AG$393,ROWS($AG$10:AG80)),"")</f>
        <v/>
      </c>
    </row>
    <row r="81" spans="2:34" x14ac:dyDescent="0.2">
      <c r="B81" s="209">
        <v>100</v>
      </c>
      <c r="C81" s="194">
        <v>0.2</v>
      </c>
      <c r="D81" s="525">
        <v>0.2</v>
      </c>
      <c r="E81" s="1130"/>
      <c r="F81" s="241"/>
      <c r="H81" s="209">
        <v>100</v>
      </c>
      <c r="I81" s="194">
        <v>0.2</v>
      </c>
      <c r="J81" s="525">
        <v>0.2</v>
      </c>
      <c r="K81" s="1130"/>
      <c r="L81" s="241"/>
      <c r="M81" s="209">
        <v>100</v>
      </c>
      <c r="N81" s="197">
        <v>0.3</v>
      </c>
      <c r="O81" s="539">
        <v>0.2</v>
      </c>
      <c r="P81" s="200">
        <v>0.1</v>
      </c>
      <c r="Q81" s="1148"/>
      <c r="R81" s="242"/>
      <c r="S81" s="209">
        <v>100</v>
      </c>
      <c r="T81" s="757">
        <v>0.2</v>
      </c>
      <c r="U81" s="758">
        <v>0.2</v>
      </c>
      <c r="V81" s="758">
        <v>0.3</v>
      </c>
      <c r="W81" s="511">
        <v>4.9999999999999989E-2</v>
      </c>
      <c r="X81" s="200">
        <v>0.1</v>
      </c>
      <c r="Y81" s="779">
        <v>0.2</v>
      </c>
      <c r="Z81" s="780">
        <v>0.2</v>
      </c>
      <c r="AA81" s="780">
        <v>0.2</v>
      </c>
      <c r="AB81" s="511">
        <v>0</v>
      </c>
      <c r="AC81" s="199">
        <v>0.1</v>
      </c>
      <c r="AD81" s="9" t="s">
        <v>342</v>
      </c>
      <c r="AE81" s="4" t="s">
        <v>263</v>
      </c>
      <c r="AF81" s="158">
        <f>ROWS(AE$10:$AE81)</f>
        <v>72</v>
      </c>
      <c r="AG81" s="158" t="str">
        <f>IF(ID!$A$83=AE81,AF81,"")</f>
        <v/>
      </c>
      <c r="AH81" s="158" t="str">
        <f>IFERROR(SMALL($AG$10:$AG$393,ROWS($AG$10:AG81)),"")</f>
        <v/>
      </c>
    </row>
    <row r="82" spans="2:34" x14ac:dyDescent="0.2">
      <c r="B82" s="209">
        <v>150</v>
      </c>
      <c r="C82" s="194">
        <v>0.3</v>
      </c>
      <c r="D82" s="525">
        <v>0.3</v>
      </c>
      <c r="E82" s="1130"/>
      <c r="F82" s="241"/>
      <c r="H82" s="209">
        <v>150</v>
      </c>
      <c r="I82" s="194">
        <v>0.3</v>
      </c>
      <c r="J82" s="525">
        <v>0.3</v>
      </c>
      <c r="K82" s="1130"/>
      <c r="L82" s="241"/>
      <c r="M82" s="209">
        <v>150</v>
      </c>
      <c r="N82" s="197">
        <v>0.4</v>
      </c>
      <c r="O82" s="539">
        <v>0.4</v>
      </c>
      <c r="P82" s="200">
        <v>0.1</v>
      </c>
      <c r="Q82" s="1148"/>
      <c r="R82" s="242"/>
      <c r="S82" s="209">
        <v>150</v>
      </c>
      <c r="T82" s="757">
        <v>0.3</v>
      </c>
      <c r="U82" s="758">
        <v>0.3</v>
      </c>
      <c r="V82" s="758">
        <v>0.4</v>
      </c>
      <c r="W82" s="511">
        <v>5.0000000000000017E-2</v>
      </c>
      <c r="X82" s="200">
        <v>0.1</v>
      </c>
      <c r="Y82" s="779">
        <v>0.3</v>
      </c>
      <c r="Z82" s="780">
        <v>0.3</v>
      </c>
      <c r="AA82" s="780">
        <v>0.4</v>
      </c>
      <c r="AB82" s="511">
        <v>5.0000000000000017E-2</v>
      </c>
      <c r="AC82" s="199">
        <v>0.1</v>
      </c>
      <c r="AD82" s="9" t="s">
        <v>342</v>
      </c>
      <c r="AE82" s="4" t="s">
        <v>263</v>
      </c>
      <c r="AF82" s="158">
        <f>ROWS(AE$10:$AE82)</f>
        <v>73</v>
      </c>
      <c r="AG82" s="158" t="str">
        <f>IF(ID!$A$83=AE82,AF82,"")</f>
        <v/>
      </c>
      <c r="AH82" s="158" t="str">
        <f>IFERROR(SMALL($AG$10:$AG$393,ROWS($AG$10:AG82)),"")</f>
        <v/>
      </c>
    </row>
    <row r="83" spans="2:34" x14ac:dyDescent="0.2">
      <c r="B83" s="209">
        <v>200</v>
      </c>
      <c r="C83" s="194">
        <v>0.4</v>
      </c>
      <c r="D83" s="525">
        <v>0.4</v>
      </c>
      <c r="E83" s="1130"/>
      <c r="F83" s="241"/>
      <c r="H83" s="209">
        <v>200</v>
      </c>
      <c r="I83" s="194">
        <v>0.4</v>
      </c>
      <c r="J83" s="525">
        <v>0.4</v>
      </c>
      <c r="K83" s="1130"/>
      <c r="L83" s="241"/>
      <c r="M83" s="209">
        <v>200</v>
      </c>
      <c r="N83" s="197">
        <v>0.5</v>
      </c>
      <c r="O83" s="539">
        <v>0.5</v>
      </c>
      <c r="P83" s="200">
        <v>0.1</v>
      </c>
      <c r="Q83" s="1148"/>
      <c r="R83" s="242"/>
      <c r="S83" s="209">
        <v>200</v>
      </c>
      <c r="T83" s="757">
        <v>0.4</v>
      </c>
      <c r="U83" s="758">
        <v>0.4</v>
      </c>
      <c r="V83" s="758">
        <v>0.5</v>
      </c>
      <c r="W83" s="511">
        <v>4.9999999999999989E-2</v>
      </c>
      <c r="X83" s="200">
        <v>0.1</v>
      </c>
      <c r="Y83" s="779">
        <v>0.4</v>
      </c>
      <c r="Z83" s="780">
        <v>0.4</v>
      </c>
      <c r="AA83" s="780">
        <v>0.5</v>
      </c>
      <c r="AB83" s="511">
        <v>4.9999999999999989E-2</v>
      </c>
      <c r="AC83" s="199">
        <v>0.1</v>
      </c>
      <c r="AD83" s="9" t="s">
        <v>342</v>
      </c>
      <c r="AE83" s="4" t="s">
        <v>263</v>
      </c>
      <c r="AF83" s="158">
        <f>ROWS(AE$10:$AE83)</f>
        <v>74</v>
      </c>
      <c r="AG83" s="158" t="str">
        <f>IF(ID!$A$83=AE83,AF83,"")</f>
        <v/>
      </c>
      <c r="AH83" s="158" t="str">
        <f>IFERROR(SMALL($AG$10:$AG$393,ROWS($AG$10:AG83)),"")</f>
        <v/>
      </c>
    </row>
    <row r="84" spans="2:34" x14ac:dyDescent="0.2">
      <c r="B84" s="209">
        <v>250</v>
      </c>
      <c r="C84" s="194">
        <v>0.5</v>
      </c>
      <c r="D84" s="525">
        <v>0.5</v>
      </c>
      <c r="E84" s="1130"/>
      <c r="F84" s="241"/>
      <c r="H84" s="209">
        <v>250</v>
      </c>
      <c r="I84" s="194">
        <v>0.5</v>
      </c>
      <c r="J84" s="525">
        <v>0.5</v>
      </c>
      <c r="K84" s="1130"/>
      <c r="L84" s="241"/>
      <c r="M84" s="209">
        <v>250</v>
      </c>
      <c r="N84" s="197">
        <v>0.8</v>
      </c>
      <c r="O84" s="539">
        <v>0.7</v>
      </c>
      <c r="P84" s="200">
        <v>0.1</v>
      </c>
      <c r="Q84" s="1148"/>
      <c r="R84" s="242"/>
      <c r="S84" s="209">
        <v>250</v>
      </c>
      <c r="T84" s="757">
        <v>0.5</v>
      </c>
      <c r="U84" s="758">
        <v>0.5</v>
      </c>
      <c r="V84" s="758">
        <v>0.8</v>
      </c>
      <c r="W84" s="511">
        <v>0.15000000000000002</v>
      </c>
      <c r="X84" s="200">
        <v>0.1</v>
      </c>
      <c r="Y84" s="779">
        <v>0.5</v>
      </c>
      <c r="Z84" s="780">
        <v>0.5</v>
      </c>
      <c r="AA84" s="780">
        <v>0.7</v>
      </c>
      <c r="AB84" s="511">
        <v>9.9999999999999978E-2</v>
      </c>
      <c r="AC84" s="199">
        <v>0.1</v>
      </c>
      <c r="AD84" s="9" t="s">
        <v>342</v>
      </c>
      <c r="AE84" s="4" t="s">
        <v>263</v>
      </c>
      <c r="AF84" s="158">
        <f>ROWS(AE$10:$AE84)</f>
        <v>75</v>
      </c>
      <c r="AG84" s="158" t="str">
        <f>IF(ID!$A$83=AE84,AF84,"")</f>
        <v/>
      </c>
      <c r="AH84" s="158" t="str">
        <f>IFERROR(SMALL($AG$10:$AG$393,ROWS($AG$10:AG84)),"")</f>
        <v/>
      </c>
    </row>
    <row r="85" spans="2:34" x14ac:dyDescent="0.2">
      <c r="B85" s="209">
        <v>300</v>
      </c>
      <c r="C85" s="194">
        <v>0.5</v>
      </c>
      <c r="D85" s="525">
        <v>0.5</v>
      </c>
      <c r="E85" s="1131"/>
      <c r="F85" s="241"/>
      <c r="H85" s="209">
        <v>300</v>
      </c>
      <c r="I85" s="194">
        <v>0.5</v>
      </c>
      <c r="J85" s="525">
        <v>0.5</v>
      </c>
      <c r="K85" s="1131"/>
      <c r="L85" s="241"/>
      <c r="M85" s="209">
        <v>300</v>
      </c>
      <c r="N85" s="197">
        <v>1</v>
      </c>
      <c r="O85" s="539">
        <v>0.9</v>
      </c>
      <c r="P85" s="200">
        <v>0.1</v>
      </c>
      <c r="Q85" s="1149"/>
      <c r="R85" s="242"/>
      <c r="S85" s="209">
        <v>300</v>
      </c>
      <c r="T85" s="757">
        <v>0.5</v>
      </c>
      <c r="U85" s="758">
        <v>0.5</v>
      </c>
      <c r="V85" s="758">
        <v>1</v>
      </c>
      <c r="W85" s="511">
        <v>0.25</v>
      </c>
      <c r="X85" s="200">
        <v>0.1</v>
      </c>
      <c r="Y85" s="779">
        <v>0.5</v>
      </c>
      <c r="Z85" s="780">
        <v>0.5</v>
      </c>
      <c r="AA85" s="780">
        <v>0.9</v>
      </c>
      <c r="AB85" s="511">
        <v>0.2</v>
      </c>
      <c r="AC85" s="199">
        <v>0.1</v>
      </c>
      <c r="AD85" s="9" t="s">
        <v>342</v>
      </c>
      <c r="AE85" s="4" t="s">
        <v>263</v>
      </c>
      <c r="AF85" s="158">
        <f>ROWS(AE$10:$AE85)</f>
        <v>76</v>
      </c>
      <c r="AG85" s="158" t="str">
        <f>IF(ID!$A$83=AE85,AF85,"")</f>
        <v/>
      </c>
      <c r="AH85" s="158" t="str">
        <f>IFERROR(SMALL($AG$10:$AG$393,ROWS($AG$10:AG85)),"")</f>
        <v/>
      </c>
    </row>
    <row r="86" spans="2:34" x14ac:dyDescent="0.2">
      <c r="S86" s="233"/>
      <c r="T86" s="771"/>
      <c r="U86" s="773"/>
      <c r="V86" s="773"/>
      <c r="W86" s="549"/>
      <c r="X86" s="98"/>
      <c r="Y86" s="782"/>
      <c r="Z86" s="782"/>
      <c r="AA86" s="782"/>
      <c r="AB86" s="551"/>
      <c r="AC86" s="162"/>
      <c r="AD86" s="11"/>
      <c r="AE86" s="4"/>
      <c r="AF86" s="158">
        <f>ROWS(AE$10:$AE86)</f>
        <v>77</v>
      </c>
      <c r="AG86" s="158" t="str">
        <f>IF(ID!$A$83=AE86,AF86,"")</f>
        <v/>
      </c>
      <c r="AH86" s="158" t="str">
        <f>IFERROR(SMALL($AG$10:$AG$393,ROWS($AG$10:AG86)),"")</f>
        <v/>
      </c>
    </row>
    <row r="87" spans="2:34" s="13" customFormat="1" x14ac:dyDescent="0.2">
      <c r="C87" s="529"/>
      <c r="D87" s="535"/>
      <c r="I87" s="529"/>
      <c r="J87" s="535"/>
      <c r="S87" s="233"/>
      <c r="T87" s="771"/>
      <c r="U87" s="773"/>
      <c r="V87" s="773"/>
      <c r="W87" s="549"/>
      <c r="X87" s="98"/>
      <c r="Y87" s="782"/>
      <c r="Z87" s="782"/>
      <c r="AA87" s="782"/>
      <c r="AB87" s="551"/>
      <c r="AC87" s="162"/>
      <c r="AD87" s="11"/>
      <c r="AE87" s="4"/>
      <c r="AF87" s="158">
        <f>ROWS(AE$10:$AE87)</f>
        <v>78</v>
      </c>
      <c r="AG87" s="158" t="str">
        <f>IF(ID!$A$83=AE87,AF87,"")</f>
        <v/>
      </c>
      <c r="AH87" s="158" t="str">
        <f>IFERROR(SMALL($AG$10:$AG$393,ROWS($AG$10:AG87)),"")</f>
        <v/>
      </c>
    </row>
    <row r="88" spans="2:34" x14ac:dyDescent="0.2">
      <c r="S88" s="233"/>
      <c r="T88" s="771"/>
      <c r="U88" s="773"/>
      <c r="V88" s="773"/>
      <c r="W88" s="549"/>
      <c r="X88" s="98"/>
      <c r="Y88" s="782"/>
      <c r="Z88" s="782"/>
      <c r="AA88" s="782"/>
      <c r="AB88" s="551"/>
      <c r="AC88" s="162"/>
      <c r="AD88" s="11"/>
      <c r="AE88" s="4"/>
      <c r="AF88" s="158">
        <f>ROWS(AE$10:$AE88)</f>
        <v>79</v>
      </c>
      <c r="AG88" s="158" t="str">
        <f>IF(ID!$A$83=AE88,AF88,"")</f>
        <v/>
      </c>
      <c r="AH88" s="158" t="str">
        <f>IFERROR(SMALL($AG$10:$AG$393,ROWS($AG$10:AG88)),"")</f>
        <v/>
      </c>
    </row>
    <row r="89" spans="2:34" x14ac:dyDescent="0.2">
      <c r="S89" s="233"/>
      <c r="T89" s="771"/>
      <c r="U89" s="772"/>
      <c r="V89" s="772"/>
      <c r="W89" s="548"/>
      <c r="X89" s="202"/>
      <c r="Y89" s="784"/>
      <c r="Z89" s="784"/>
      <c r="AA89" s="784"/>
      <c r="AB89" s="548"/>
      <c r="AC89" s="202"/>
      <c r="AD89" s="9"/>
      <c r="AE89" s="4"/>
      <c r="AF89" s="158">
        <f>ROWS(AE$10:$AE89)</f>
        <v>80</v>
      </c>
      <c r="AG89" s="158" t="str">
        <f>IF(ID!$A$83=AE89,AF89,"")</f>
        <v/>
      </c>
      <c r="AH89" s="158" t="str">
        <f>IFERROR(SMALL($AG$10:$AG$393,ROWS($AG$10:AG89)),"")</f>
        <v/>
      </c>
    </row>
    <row r="90" spans="2:34" s="13" customFormat="1" x14ac:dyDescent="0.2">
      <c r="C90" s="529"/>
      <c r="D90" s="535"/>
      <c r="I90" s="529"/>
      <c r="J90" s="535"/>
      <c r="S90" s="234"/>
      <c r="T90" s="753"/>
      <c r="U90" s="754"/>
      <c r="V90" s="754"/>
      <c r="W90" s="540"/>
      <c r="X90" s="10"/>
      <c r="Y90" s="775"/>
      <c r="Z90" s="775"/>
      <c r="AA90" s="775"/>
      <c r="AB90" s="540"/>
      <c r="AC90" s="10"/>
      <c r="AF90" s="158">
        <f>ROWS(AE$10:$AE90)</f>
        <v>81</v>
      </c>
      <c r="AG90" s="158" t="str">
        <f>IF(ID!$A$83=AE90,AF90,"")</f>
        <v/>
      </c>
      <c r="AH90" s="158" t="str">
        <f>IFERROR(SMALL($AG$10:$AG$393,ROWS($AG$10:AG90)),"")</f>
        <v/>
      </c>
    </row>
    <row r="91" spans="2:34" s="526" customFormat="1" x14ac:dyDescent="0.2">
      <c r="C91" s="532"/>
      <c r="D91" s="538"/>
      <c r="I91" s="532"/>
      <c r="J91" s="538"/>
      <c r="S91" s="527"/>
      <c r="T91" s="753"/>
      <c r="U91" s="754"/>
      <c r="V91" s="754"/>
      <c r="W91" s="543"/>
      <c r="Y91" s="775"/>
      <c r="Z91" s="775"/>
      <c r="AA91" s="775"/>
      <c r="AB91" s="543"/>
      <c r="AF91" s="158">
        <f>ROWS(AE$10:$AE91)</f>
        <v>82</v>
      </c>
      <c r="AG91" s="158" t="str">
        <f>IF(ID!$A$83=AE91,AF91,"")</f>
        <v/>
      </c>
      <c r="AH91" s="158" t="str">
        <f>IFERROR(SMALL($AG$10:$AG$393,ROWS($AG$10:AG91)),"")</f>
        <v/>
      </c>
    </row>
    <row r="92" spans="2:34" s="526" customFormat="1" x14ac:dyDescent="0.2">
      <c r="C92" s="532"/>
      <c r="D92" s="538"/>
      <c r="I92" s="532"/>
      <c r="J92" s="538"/>
      <c r="S92" s="527"/>
      <c r="T92" s="753"/>
      <c r="U92" s="754"/>
      <c r="V92" s="754"/>
      <c r="W92" s="543"/>
      <c r="Y92" s="775"/>
      <c r="Z92" s="775"/>
      <c r="AA92" s="775"/>
      <c r="AB92" s="543"/>
      <c r="AF92" s="158">
        <f>ROWS(AE$10:$AE92)</f>
        <v>83</v>
      </c>
      <c r="AG92" s="158" t="str">
        <f>IF(ID!$A$83=AE92,AF92,"")</f>
        <v/>
      </c>
      <c r="AH92" s="158" t="str">
        <f>IFERROR(SMALL($AG$10:$AG$393,ROWS($AG$10:AG92)),"")</f>
        <v/>
      </c>
    </row>
    <row r="93" spans="2:34" x14ac:dyDescent="0.2">
      <c r="S93" s="228"/>
      <c r="T93" s="759"/>
      <c r="U93" s="760"/>
      <c r="V93" s="761"/>
      <c r="W93" s="542"/>
      <c r="AF93" s="158">
        <f>ROWS(AE$10:$AE93)</f>
        <v>84</v>
      </c>
      <c r="AG93" s="158" t="str">
        <f>IF(ID!$A$83=AE93,AF93,"")</f>
        <v/>
      </c>
      <c r="AH93" s="158" t="str">
        <f>IFERROR(SMALL($AG$10:$AG$393,ROWS($AG$10:AG93)),"")</f>
        <v/>
      </c>
    </row>
    <row r="94" spans="2:34" x14ac:dyDescent="0.2">
      <c r="B94" s="209">
        <v>0</v>
      </c>
      <c r="C94" s="194"/>
      <c r="D94" s="525"/>
      <c r="E94" s="210"/>
      <c r="F94" s="241"/>
      <c r="H94" s="209">
        <v>0</v>
      </c>
      <c r="I94" s="194"/>
      <c r="J94" s="525"/>
      <c r="K94" s="210"/>
      <c r="L94" s="241"/>
      <c r="M94" s="209">
        <v>0</v>
      </c>
      <c r="N94" s="194"/>
      <c r="O94" s="194"/>
      <c r="P94" s="160"/>
      <c r="Q94" s="211"/>
      <c r="R94" s="240"/>
      <c r="S94" s="209">
        <v>0</v>
      </c>
      <c r="T94" s="769"/>
      <c r="U94" s="758"/>
      <c r="V94" s="758"/>
      <c r="W94" s="511"/>
      <c r="X94" s="160"/>
      <c r="Y94" s="779"/>
      <c r="Z94" s="780"/>
      <c r="AA94" s="780"/>
      <c r="AB94" s="552"/>
      <c r="AC94" s="97"/>
      <c r="AD94" s="11"/>
      <c r="AE94" s="4"/>
      <c r="AF94" s="158">
        <f>ROWS(AE$10:$AE94)</f>
        <v>85</v>
      </c>
      <c r="AG94" s="158" t="str">
        <f>IF(ID!$A$83=AE94,AF94,"")</f>
        <v/>
      </c>
      <c r="AH94" s="158" t="str">
        <f>IFERROR(SMALL($AG$10:$AG$393,ROWS($AG$10:AG94)),"")</f>
        <v/>
      </c>
    </row>
    <row r="95" spans="2:34" x14ac:dyDescent="0.2">
      <c r="B95" s="209">
        <v>50</v>
      </c>
      <c r="C95" s="194"/>
      <c r="D95" s="525"/>
      <c r="E95" s="210"/>
      <c r="F95" s="241"/>
      <c r="H95" s="209">
        <v>50</v>
      </c>
      <c r="I95" s="194"/>
      <c r="J95" s="525"/>
      <c r="K95" s="210"/>
      <c r="L95" s="241"/>
      <c r="M95" s="209">
        <v>50</v>
      </c>
      <c r="N95" s="194"/>
      <c r="O95" s="194"/>
      <c r="P95" s="160"/>
      <c r="Q95" s="211"/>
      <c r="R95" s="240"/>
      <c r="S95" s="209">
        <v>50</v>
      </c>
      <c r="T95" s="769"/>
      <c r="U95" s="758"/>
      <c r="V95" s="758"/>
      <c r="W95" s="511"/>
      <c r="X95" s="160"/>
      <c r="Y95" s="779"/>
      <c r="Z95" s="780"/>
      <c r="AA95" s="780"/>
      <c r="AB95" s="552"/>
      <c r="AC95" s="97"/>
      <c r="AD95" s="11"/>
      <c r="AE95" s="4"/>
      <c r="AF95" s="158">
        <f>ROWS(AE$10:$AE95)</f>
        <v>86</v>
      </c>
      <c r="AG95" s="158" t="str">
        <f>IF(ID!$A$83=AE95,AF95,"")</f>
        <v/>
      </c>
      <c r="AH95" s="158" t="str">
        <f>IFERROR(SMALL($AG$10:$AG$393,ROWS($AG$10:AG95)),"")</f>
        <v/>
      </c>
    </row>
    <row r="96" spans="2:34" x14ac:dyDescent="0.2">
      <c r="B96" s="209">
        <v>100</v>
      </c>
      <c r="C96" s="194"/>
      <c r="D96" s="525"/>
      <c r="E96" s="210"/>
      <c r="F96" s="241"/>
      <c r="H96" s="209">
        <v>100</v>
      </c>
      <c r="I96" s="194"/>
      <c r="J96" s="525"/>
      <c r="K96" s="210"/>
      <c r="L96" s="241"/>
      <c r="M96" s="209">
        <v>100</v>
      </c>
      <c r="N96" s="194"/>
      <c r="O96" s="194"/>
      <c r="P96" s="160"/>
      <c r="Q96" s="211"/>
      <c r="R96" s="240"/>
      <c r="S96" s="209">
        <v>100</v>
      </c>
      <c r="T96" s="769"/>
      <c r="U96" s="758"/>
      <c r="V96" s="758"/>
      <c r="W96" s="511"/>
      <c r="X96" s="160"/>
      <c r="Y96" s="779"/>
      <c r="Z96" s="780"/>
      <c r="AA96" s="780"/>
      <c r="AB96" s="552"/>
      <c r="AC96" s="97"/>
      <c r="AD96" s="11"/>
      <c r="AE96" s="4"/>
      <c r="AF96" s="158">
        <f>ROWS(AE$10:$AE96)</f>
        <v>87</v>
      </c>
      <c r="AG96" s="158" t="str">
        <f>IF(ID!$A$83=AE96,AF96,"")</f>
        <v/>
      </c>
      <c r="AH96" s="158" t="str">
        <f>IFERROR(SMALL($AG$10:$AG$393,ROWS($AG$10:AG96)),"")</f>
        <v/>
      </c>
    </row>
    <row r="97" spans="1:34" x14ac:dyDescent="0.2">
      <c r="B97" s="209">
        <v>150</v>
      </c>
      <c r="C97" s="194"/>
      <c r="D97" s="525"/>
      <c r="E97" s="210"/>
      <c r="F97" s="241"/>
      <c r="H97" s="209">
        <v>150</v>
      </c>
      <c r="I97" s="194"/>
      <c r="J97" s="525"/>
      <c r="K97" s="210"/>
      <c r="L97" s="241"/>
      <c r="M97" s="209">
        <v>150</v>
      </c>
      <c r="N97" s="194"/>
      <c r="O97" s="194"/>
      <c r="P97" s="160"/>
      <c r="Q97" s="211"/>
      <c r="R97" s="240"/>
      <c r="S97" s="209">
        <v>150</v>
      </c>
      <c r="T97" s="769"/>
      <c r="U97" s="758"/>
      <c r="V97" s="758"/>
      <c r="W97" s="511"/>
      <c r="X97" s="160"/>
      <c r="Y97" s="779"/>
      <c r="Z97" s="780"/>
      <c r="AA97" s="780"/>
      <c r="AB97" s="552"/>
      <c r="AC97" s="97"/>
      <c r="AD97" s="11"/>
      <c r="AE97" s="4"/>
      <c r="AF97" s="158">
        <f>ROWS(AE$10:$AE97)</f>
        <v>88</v>
      </c>
      <c r="AG97" s="158" t="str">
        <f>IF(ID!$A$83=AE97,AF97,"")</f>
        <v/>
      </c>
      <c r="AH97" s="158" t="str">
        <f>IFERROR(SMALL($AG$10:$AG$393,ROWS($AG$10:AG97)),"")</f>
        <v/>
      </c>
    </row>
    <row r="98" spans="1:34" x14ac:dyDescent="0.2">
      <c r="B98" s="209">
        <v>200</v>
      </c>
      <c r="C98" s="194"/>
      <c r="D98" s="525"/>
      <c r="E98" s="210"/>
      <c r="F98" s="241"/>
      <c r="H98" s="209">
        <v>200</v>
      </c>
      <c r="I98" s="194"/>
      <c r="J98" s="525"/>
      <c r="K98" s="210"/>
      <c r="L98" s="241"/>
      <c r="M98" s="209">
        <v>200</v>
      </c>
      <c r="N98" s="194"/>
      <c r="O98" s="194"/>
      <c r="P98" s="160"/>
      <c r="Q98" s="211"/>
      <c r="R98" s="240"/>
      <c r="S98" s="209">
        <v>200</v>
      </c>
      <c r="T98" s="769"/>
      <c r="U98" s="758"/>
      <c r="V98" s="758"/>
      <c r="W98" s="511"/>
      <c r="X98" s="160"/>
      <c r="Y98" s="779"/>
      <c r="Z98" s="780"/>
      <c r="AA98" s="780"/>
      <c r="AB98" s="552"/>
      <c r="AC98" s="97"/>
      <c r="AD98" s="11"/>
      <c r="AE98" s="4"/>
      <c r="AF98" s="158">
        <f>ROWS(AE$10:$AE98)</f>
        <v>89</v>
      </c>
      <c r="AG98" s="158" t="str">
        <f>IF(ID!$A$83=AE98,AF98,"")</f>
        <v/>
      </c>
      <c r="AH98" s="158" t="str">
        <f>IFERROR(SMALL($AG$10:$AG$393,ROWS($AG$10:AG98)),"")</f>
        <v/>
      </c>
    </row>
    <row r="99" spans="1:34" x14ac:dyDescent="0.2">
      <c r="B99" s="209">
        <v>250</v>
      </c>
      <c r="C99" s="194"/>
      <c r="D99" s="525"/>
      <c r="E99" s="210"/>
      <c r="F99" s="241"/>
      <c r="H99" s="209">
        <v>250</v>
      </c>
      <c r="I99" s="194"/>
      <c r="J99" s="525"/>
      <c r="K99" s="210"/>
      <c r="L99" s="241"/>
      <c r="M99" s="209">
        <v>250</v>
      </c>
      <c r="N99" s="194"/>
      <c r="O99" s="194"/>
      <c r="P99" s="160"/>
      <c r="Q99" s="211"/>
      <c r="R99" s="240"/>
      <c r="S99" s="209">
        <v>250</v>
      </c>
      <c r="T99" s="769"/>
      <c r="U99" s="758"/>
      <c r="V99" s="758"/>
      <c r="W99" s="511"/>
      <c r="X99" s="160"/>
      <c r="Y99" s="779"/>
      <c r="Z99" s="780"/>
      <c r="AA99" s="780"/>
      <c r="AB99" s="552"/>
      <c r="AC99" s="97"/>
      <c r="AD99" s="11"/>
      <c r="AE99" s="4"/>
      <c r="AF99" s="158">
        <f>ROWS(AE$10:$AE99)</f>
        <v>90</v>
      </c>
      <c r="AG99" s="158" t="str">
        <f>IF(ID!$A$83=AE99,AF99,"")</f>
        <v/>
      </c>
      <c r="AH99" s="158" t="str">
        <f>IFERROR(SMALL($AG$10:$AG$393,ROWS($AG$10:AG99)),"")</f>
        <v/>
      </c>
    </row>
    <row r="100" spans="1:34" x14ac:dyDescent="0.2">
      <c r="B100" s="209">
        <v>300</v>
      </c>
      <c r="C100" s="194"/>
      <c r="D100" s="525"/>
      <c r="E100" s="210"/>
      <c r="F100" s="241"/>
      <c r="H100" s="209">
        <v>300</v>
      </c>
      <c r="I100" s="194"/>
      <c r="J100" s="525"/>
      <c r="K100" s="210"/>
      <c r="L100" s="241"/>
      <c r="M100" s="209">
        <v>300</v>
      </c>
      <c r="N100" s="194"/>
      <c r="O100" s="194"/>
      <c r="P100" s="160"/>
      <c r="Q100" s="211"/>
      <c r="R100" s="240"/>
      <c r="S100" s="209">
        <v>300</v>
      </c>
      <c r="T100" s="769"/>
      <c r="U100" s="758"/>
      <c r="V100" s="758"/>
      <c r="W100" s="511"/>
      <c r="X100" s="160"/>
      <c r="Y100" s="779"/>
      <c r="Z100" s="780"/>
      <c r="AA100" s="780"/>
      <c r="AB100" s="552"/>
      <c r="AC100" s="97"/>
      <c r="AD100" s="11"/>
      <c r="AE100" s="4"/>
      <c r="AF100" s="158">
        <f>ROWS(AE$10:$AE100)</f>
        <v>91</v>
      </c>
      <c r="AG100" s="158" t="str">
        <f>IF(ID!$A$83=AE100,AF100,"")</f>
        <v/>
      </c>
      <c r="AH100" s="158" t="str">
        <f>IFERROR(SMALL($AG$10:$AG$393,ROWS($AG$10:AG100)),"")</f>
        <v/>
      </c>
    </row>
    <row r="101" spans="1:34" x14ac:dyDescent="0.2">
      <c r="S101" s="233"/>
      <c r="T101" s="771"/>
      <c r="U101" s="770"/>
      <c r="V101" s="770"/>
      <c r="W101" s="547"/>
      <c r="X101" s="98"/>
      <c r="Y101" s="782"/>
      <c r="Z101" s="782"/>
      <c r="AA101" s="782"/>
      <c r="AB101" s="551"/>
      <c r="AC101" s="162"/>
      <c r="AD101" s="11"/>
      <c r="AE101" s="4"/>
      <c r="AF101" s="158">
        <f>ROWS(AE$10:$AE101)</f>
        <v>92</v>
      </c>
      <c r="AG101" s="158" t="str">
        <f>IF(ID!$A$83=AE101,AF101,"")</f>
        <v/>
      </c>
      <c r="AH101" s="158" t="str">
        <f>IFERROR(SMALL($AG$10:$AG$393,ROWS($AG$10:AG101)),"")</f>
        <v/>
      </c>
    </row>
    <row r="102" spans="1:34" s="13" customFormat="1" x14ac:dyDescent="0.2">
      <c r="C102" s="529"/>
      <c r="D102" s="535"/>
      <c r="I102" s="529"/>
      <c r="J102" s="535"/>
      <c r="S102" s="233"/>
      <c r="T102" s="771"/>
      <c r="U102" s="770"/>
      <c r="V102" s="770"/>
      <c r="W102" s="547"/>
      <c r="X102" s="98"/>
      <c r="Y102" s="782"/>
      <c r="Z102" s="782"/>
      <c r="AA102" s="782"/>
      <c r="AB102" s="551"/>
      <c r="AC102" s="162"/>
      <c r="AD102" s="11"/>
      <c r="AE102" s="4"/>
      <c r="AF102" s="158">
        <f>ROWS(AE$10:$AE102)</f>
        <v>93</v>
      </c>
      <c r="AG102" s="158" t="str">
        <f>IF(ID!$A$83=AE102,AF102,"")</f>
        <v/>
      </c>
      <c r="AH102" s="158" t="str">
        <f>IFERROR(SMALL($AG$10:$AG$393,ROWS($AG$10:AG102)),"")</f>
        <v/>
      </c>
    </row>
    <row r="103" spans="1:34" x14ac:dyDescent="0.2">
      <c r="S103" s="233"/>
      <c r="T103" s="771"/>
      <c r="U103" s="770"/>
      <c r="V103" s="770"/>
      <c r="W103" s="547"/>
      <c r="X103" s="98"/>
      <c r="Y103" s="782"/>
      <c r="Z103" s="782"/>
      <c r="AA103" s="782"/>
      <c r="AB103" s="551"/>
      <c r="AC103" s="162"/>
      <c r="AD103" s="11"/>
      <c r="AE103" s="4"/>
      <c r="AF103" s="158">
        <f>ROWS(AE$10:$AE103)</f>
        <v>94</v>
      </c>
      <c r="AG103" s="158" t="str">
        <f>IF(ID!$A$83=AE103,AF103,"")</f>
        <v/>
      </c>
      <c r="AH103" s="158" t="str">
        <f>IFERROR(SMALL($AG$10:$AG$393,ROWS($AG$10:AG103)),"")</f>
        <v/>
      </c>
    </row>
    <row r="104" spans="1:34" x14ac:dyDescent="0.2">
      <c r="E104" s="31"/>
      <c r="F104" s="31"/>
      <c r="K104" s="31"/>
      <c r="L104" s="31"/>
      <c r="N104" s="31"/>
      <c r="O104" s="31"/>
      <c r="Q104" s="31"/>
      <c r="R104" s="31"/>
      <c r="S104" s="209"/>
      <c r="T104" s="769"/>
      <c r="U104" s="770"/>
      <c r="V104" s="770"/>
      <c r="W104" s="547"/>
      <c r="X104" s="98"/>
      <c r="Y104" s="782"/>
      <c r="Z104" s="782"/>
      <c r="AA104" s="782"/>
      <c r="AB104" s="551"/>
      <c r="AC104" s="162"/>
      <c r="AD104" s="11"/>
      <c r="AE104" s="4"/>
      <c r="AF104" s="158">
        <f>ROWS(AE$10:$AE104)</f>
        <v>95</v>
      </c>
      <c r="AG104" s="158" t="str">
        <f>IF(ID!$A$83=AE104,AF104,"")</f>
        <v/>
      </c>
      <c r="AH104" s="158" t="str">
        <f>IFERROR(SMALL($AG$10:$AG$393,ROWS($AG$10:AG104)),"")</f>
        <v/>
      </c>
    </row>
    <row r="105" spans="1:34" s="13" customFormat="1" x14ac:dyDescent="0.2">
      <c r="C105" s="529"/>
      <c r="D105" s="535"/>
      <c r="I105" s="529"/>
      <c r="J105" s="535"/>
      <c r="S105" s="234"/>
      <c r="T105" s="753"/>
      <c r="U105" s="754"/>
      <c r="V105" s="754"/>
      <c r="W105" s="540"/>
      <c r="X105" s="10"/>
      <c r="Y105" s="775"/>
      <c r="Z105" s="775"/>
      <c r="AA105" s="775"/>
      <c r="AB105" s="540"/>
      <c r="AC105" s="10"/>
      <c r="AF105" s="158">
        <f>ROWS(AE$10:$AE105)</f>
        <v>96</v>
      </c>
      <c r="AG105" s="158" t="str">
        <f>IF(ID!$A$83=AE105,AF105,"")</f>
        <v/>
      </c>
      <c r="AH105" s="158" t="str">
        <f>IFERROR(SMALL($AG$10:$AG$393,ROWS($AG$10:AG105)),"")</f>
        <v/>
      </c>
    </row>
    <row r="106" spans="1:34" s="526" customFormat="1" x14ac:dyDescent="0.2">
      <c r="C106" s="532"/>
      <c r="D106" s="538"/>
      <c r="I106" s="532"/>
      <c r="J106" s="538"/>
      <c r="S106" s="527"/>
      <c r="T106" s="753"/>
      <c r="U106" s="754"/>
      <c r="V106" s="754"/>
      <c r="W106" s="543"/>
      <c r="Y106" s="775"/>
      <c r="Z106" s="775"/>
      <c r="AA106" s="775"/>
      <c r="AB106" s="543"/>
      <c r="AF106" s="158">
        <f>ROWS(AE$10:$AE106)</f>
        <v>97</v>
      </c>
      <c r="AG106" s="158" t="str">
        <f>IF(ID!$A$83=AE106,AF106,"")</f>
        <v/>
      </c>
      <c r="AH106" s="158" t="str">
        <f>IFERROR(SMALL($AG$10:$AG$393,ROWS($AG$10:AG106)),"")</f>
        <v/>
      </c>
    </row>
    <row r="107" spans="1:34" s="526" customFormat="1" x14ac:dyDescent="0.2">
      <c r="C107" s="532"/>
      <c r="D107" s="538"/>
      <c r="I107" s="532"/>
      <c r="J107" s="538"/>
      <c r="S107" s="527"/>
      <c r="T107" s="753"/>
      <c r="U107" s="754"/>
      <c r="V107" s="754"/>
      <c r="W107" s="543"/>
      <c r="Y107" s="775"/>
      <c r="Z107" s="775"/>
      <c r="AA107" s="775"/>
      <c r="AB107" s="543"/>
      <c r="AF107" s="158">
        <f>ROWS(AE$10:$AE107)</f>
        <v>98</v>
      </c>
      <c r="AG107" s="158" t="str">
        <f>IF(ID!$A$83=AE107,AF107,"")</f>
        <v/>
      </c>
      <c r="AH107" s="158" t="str">
        <f>IFERROR(SMALL($AG$10:$AG$393,ROWS($AG$10:AG107)),"")</f>
        <v/>
      </c>
    </row>
    <row r="108" spans="1:34" x14ac:dyDescent="0.2">
      <c r="S108" s="228"/>
      <c r="T108" s="759"/>
      <c r="U108" s="760"/>
      <c r="V108" s="761"/>
      <c r="W108" s="546"/>
      <c r="AB108" s="546"/>
      <c r="AF108" s="158">
        <f>ROWS(AE$10:$AE108)</f>
        <v>99</v>
      </c>
      <c r="AG108" s="158" t="str">
        <f>IF(ID!$A$83=AE108,AF108,"")</f>
        <v/>
      </c>
      <c r="AH108" s="158" t="str">
        <f>IFERROR(SMALL($AG$10:$AG$393,ROWS($AG$10:AG108)),"")</f>
        <v/>
      </c>
    </row>
    <row r="109" spans="1:34" x14ac:dyDescent="0.2">
      <c r="A109" s="1108" t="s">
        <v>773</v>
      </c>
      <c r="B109" s="209">
        <v>0</v>
      </c>
      <c r="C109" s="194">
        <v>-0.1</v>
      </c>
      <c r="D109" s="194">
        <v>-0.1</v>
      </c>
      <c r="E109" s="1132" t="s">
        <v>174</v>
      </c>
      <c r="F109" s="241"/>
      <c r="G109" s="1108" t="s">
        <v>774</v>
      </c>
      <c r="H109" s="194">
        <v>0</v>
      </c>
      <c r="I109" s="525">
        <v>0</v>
      </c>
      <c r="J109" s="194">
        <v>-0.1</v>
      </c>
      <c r="K109" s="1129" t="s">
        <v>370</v>
      </c>
      <c r="L109" s="241" t="s">
        <v>775</v>
      </c>
      <c r="M109" s="209">
        <v>0</v>
      </c>
      <c r="N109" s="194">
        <v>0</v>
      </c>
      <c r="O109" s="525">
        <v>0</v>
      </c>
      <c r="P109" s="200">
        <v>0.3</v>
      </c>
      <c r="Q109" s="1147" t="s">
        <v>777</v>
      </c>
      <c r="R109" s="240"/>
      <c r="S109" s="209">
        <v>0</v>
      </c>
      <c r="T109" s="757">
        <v>-0.1</v>
      </c>
      <c r="U109" s="758">
        <v>0</v>
      </c>
      <c r="V109" s="758">
        <v>0</v>
      </c>
      <c r="W109" s="511">
        <v>0.05</v>
      </c>
      <c r="X109" s="200">
        <v>0.3</v>
      </c>
      <c r="Y109" s="779">
        <v>-0.1</v>
      </c>
      <c r="Z109" s="780">
        <v>-0.1</v>
      </c>
      <c r="AA109" s="780">
        <v>0</v>
      </c>
      <c r="AB109" s="511">
        <v>0.05</v>
      </c>
      <c r="AC109" s="199">
        <v>0.3</v>
      </c>
      <c r="AD109" s="9" t="s">
        <v>342</v>
      </c>
      <c r="AE109" s="4" t="s">
        <v>291</v>
      </c>
      <c r="AF109" s="158">
        <f>ROWS(AE$10:$AE109)</f>
        <v>100</v>
      </c>
      <c r="AG109" s="158">
        <f>IF(ID!$A$83=AE109,AF109,"")</f>
        <v>100</v>
      </c>
      <c r="AH109" s="158" t="str">
        <f>IFERROR(SMALL($AG$10:$AG$393,ROWS($AG$10:AG109)),"")</f>
        <v/>
      </c>
    </row>
    <row r="110" spans="1:34" x14ac:dyDescent="0.2">
      <c r="B110" s="209">
        <v>50</v>
      </c>
      <c r="C110" s="194">
        <v>0</v>
      </c>
      <c r="D110" s="194">
        <v>0</v>
      </c>
      <c r="E110" s="1133"/>
      <c r="F110" s="241"/>
      <c r="H110" s="194">
        <v>0.1</v>
      </c>
      <c r="I110" s="525">
        <v>0.1</v>
      </c>
      <c r="J110" s="194">
        <v>0</v>
      </c>
      <c r="K110" s="1130"/>
      <c r="L110" s="241"/>
      <c r="M110" s="209">
        <v>50</v>
      </c>
      <c r="N110" s="194">
        <v>0.1</v>
      </c>
      <c r="O110" s="525">
        <v>0.3</v>
      </c>
      <c r="P110" s="200">
        <v>0.3</v>
      </c>
      <c r="Q110" s="1148"/>
      <c r="R110" s="240"/>
      <c r="S110" s="209">
        <v>50</v>
      </c>
      <c r="T110" s="757">
        <v>0</v>
      </c>
      <c r="U110" s="758">
        <v>0.1</v>
      </c>
      <c r="V110" s="758">
        <v>0.1</v>
      </c>
      <c r="W110" s="511">
        <v>0.05</v>
      </c>
      <c r="X110" s="200">
        <v>0.3</v>
      </c>
      <c r="Y110" s="779">
        <v>0</v>
      </c>
      <c r="Z110" s="780">
        <v>0</v>
      </c>
      <c r="AA110" s="780">
        <v>0.3</v>
      </c>
      <c r="AB110" s="511">
        <v>0.15</v>
      </c>
      <c r="AC110" s="199">
        <v>0.3</v>
      </c>
      <c r="AD110" s="9" t="s">
        <v>342</v>
      </c>
      <c r="AE110" s="4" t="s">
        <v>291</v>
      </c>
      <c r="AF110" s="158">
        <f>ROWS(AE$10:$AE110)</f>
        <v>101</v>
      </c>
      <c r="AG110" s="158">
        <f>IF(ID!$A$83=AE110,AF110,"")</f>
        <v>101</v>
      </c>
      <c r="AH110" s="158" t="str">
        <f>IFERROR(SMALL($AG$10:$AG$393,ROWS($AG$10:AG110)),"")</f>
        <v/>
      </c>
    </row>
    <row r="111" spans="1:34" x14ac:dyDescent="0.2">
      <c r="B111" s="209">
        <v>100</v>
      </c>
      <c r="C111" s="194">
        <v>0</v>
      </c>
      <c r="D111" s="194">
        <v>0</v>
      </c>
      <c r="E111" s="1133"/>
      <c r="F111" s="241"/>
      <c r="H111" s="194">
        <v>-0.2</v>
      </c>
      <c r="I111" s="525">
        <v>-0.2</v>
      </c>
      <c r="J111" s="194">
        <v>0</v>
      </c>
      <c r="K111" s="1130"/>
      <c r="L111" s="241"/>
      <c r="M111" s="209">
        <v>100</v>
      </c>
      <c r="N111" s="194">
        <v>-0.1</v>
      </c>
      <c r="O111" s="525">
        <v>0</v>
      </c>
      <c r="P111" s="200">
        <v>0.3</v>
      </c>
      <c r="Q111" s="1148"/>
      <c r="R111" s="240"/>
      <c r="S111" s="209">
        <v>100</v>
      </c>
      <c r="T111" s="757">
        <v>0</v>
      </c>
      <c r="U111" s="758">
        <v>-0.2</v>
      </c>
      <c r="V111" s="758">
        <v>-0.1</v>
      </c>
      <c r="W111" s="511">
        <v>0.1</v>
      </c>
      <c r="X111" s="200">
        <v>0.3</v>
      </c>
      <c r="Y111" s="779">
        <v>0</v>
      </c>
      <c r="Z111" s="780">
        <v>0</v>
      </c>
      <c r="AA111" s="780">
        <v>0</v>
      </c>
      <c r="AB111" s="511">
        <v>0</v>
      </c>
      <c r="AC111" s="199">
        <v>0.3</v>
      </c>
      <c r="AD111" s="9" t="s">
        <v>342</v>
      </c>
      <c r="AE111" s="4" t="s">
        <v>291</v>
      </c>
      <c r="AF111" s="158">
        <f>ROWS(AE$10:$AE111)</f>
        <v>102</v>
      </c>
      <c r="AG111" s="158">
        <f>IF(ID!$A$83=AE111,AF111,"")</f>
        <v>102</v>
      </c>
      <c r="AH111" s="158" t="str">
        <f>IFERROR(SMALL($AG$10:$AG$393,ROWS($AG$10:AG111)),"")</f>
        <v/>
      </c>
    </row>
    <row r="112" spans="1:34" x14ac:dyDescent="0.2">
      <c r="B112" s="209">
        <v>150</v>
      </c>
      <c r="C112" s="194">
        <v>0</v>
      </c>
      <c r="D112" s="194">
        <v>0</v>
      </c>
      <c r="E112" s="1133"/>
      <c r="F112" s="241"/>
      <c r="H112" s="194">
        <v>-0.2</v>
      </c>
      <c r="I112" s="525">
        <v>-0.2</v>
      </c>
      <c r="J112" s="194">
        <v>0</v>
      </c>
      <c r="K112" s="1130"/>
      <c r="L112" s="241"/>
      <c r="M112" s="209">
        <v>150</v>
      </c>
      <c r="N112" s="194">
        <v>-0.1</v>
      </c>
      <c r="O112" s="525">
        <v>0</v>
      </c>
      <c r="P112" s="200">
        <v>0.3</v>
      </c>
      <c r="Q112" s="1148"/>
      <c r="R112" s="240"/>
      <c r="S112" s="209">
        <v>150</v>
      </c>
      <c r="T112" s="757">
        <v>0</v>
      </c>
      <c r="U112" s="758">
        <v>-0.2</v>
      </c>
      <c r="V112" s="758">
        <v>-0.1</v>
      </c>
      <c r="W112" s="511">
        <v>0.1</v>
      </c>
      <c r="X112" s="200">
        <v>0.3</v>
      </c>
      <c r="Y112" s="779">
        <v>0</v>
      </c>
      <c r="Z112" s="780">
        <v>0</v>
      </c>
      <c r="AA112" s="780">
        <v>0</v>
      </c>
      <c r="AB112" s="511">
        <v>0</v>
      </c>
      <c r="AC112" s="199">
        <v>0.3</v>
      </c>
      <c r="AD112" s="9" t="s">
        <v>342</v>
      </c>
      <c r="AE112" s="4" t="s">
        <v>291</v>
      </c>
      <c r="AF112" s="158">
        <f>ROWS(AE$10:$AE112)</f>
        <v>103</v>
      </c>
      <c r="AG112" s="158">
        <f>IF(ID!$A$83=AE112,AF112,"")</f>
        <v>103</v>
      </c>
      <c r="AH112" s="158" t="str">
        <f>IFERROR(SMALL($AG$10:$AG$393,ROWS($AG$10:AG112)),"")</f>
        <v/>
      </c>
    </row>
    <row r="113" spans="1:34" x14ac:dyDescent="0.2">
      <c r="B113" s="209">
        <v>200</v>
      </c>
      <c r="C113" s="194">
        <v>0</v>
      </c>
      <c r="D113" s="194">
        <v>0</v>
      </c>
      <c r="E113" s="1133"/>
      <c r="F113" s="241"/>
      <c r="H113" s="194">
        <v>-0.3</v>
      </c>
      <c r="I113" s="525">
        <v>-0.2</v>
      </c>
      <c r="J113" s="194">
        <v>0</v>
      </c>
      <c r="K113" s="1130"/>
      <c r="L113" s="241"/>
      <c r="M113" s="209">
        <v>200</v>
      </c>
      <c r="N113" s="194">
        <v>-0.2</v>
      </c>
      <c r="O113" s="525">
        <v>-0.1</v>
      </c>
      <c r="P113" s="200">
        <v>0.3</v>
      </c>
      <c r="Q113" s="1148"/>
      <c r="R113" s="240"/>
      <c r="S113" s="209">
        <v>200</v>
      </c>
      <c r="T113" s="757">
        <v>0</v>
      </c>
      <c r="U113" s="758">
        <v>-0.2</v>
      </c>
      <c r="V113" s="758">
        <v>-0.2</v>
      </c>
      <c r="W113" s="511">
        <v>0.1</v>
      </c>
      <c r="X113" s="200">
        <v>0.3</v>
      </c>
      <c r="Y113" s="779">
        <v>0</v>
      </c>
      <c r="Z113" s="780">
        <v>0</v>
      </c>
      <c r="AA113" s="780">
        <v>-0.1</v>
      </c>
      <c r="AB113" s="511">
        <v>0.05</v>
      </c>
      <c r="AC113" s="199">
        <v>0.3</v>
      </c>
      <c r="AD113" s="9" t="s">
        <v>342</v>
      </c>
      <c r="AE113" s="4" t="s">
        <v>291</v>
      </c>
      <c r="AF113" s="158">
        <f>ROWS(AE$10:$AE113)</f>
        <v>104</v>
      </c>
      <c r="AG113" s="158">
        <f>IF(ID!$A$83=AE113,AF113,"")</f>
        <v>104</v>
      </c>
      <c r="AH113" s="158" t="str">
        <f>IFERROR(SMALL($AG$10:$AG$393,ROWS($AG$10:AG113)),"")</f>
        <v/>
      </c>
    </row>
    <row r="114" spans="1:34" x14ac:dyDescent="0.2">
      <c r="B114" s="209">
        <v>250</v>
      </c>
      <c r="C114" s="194">
        <v>0</v>
      </c>
      <c r="D114" s="194">
        <v>0</v>
      </c>
      <c r="E114" s="1133"/>
      <c r="F114" s="241"/>
      <c r="H114" s="194">
        <v>-0.2</v>
      </c>
      <c r="I114" s="525">
        <v>-0.1</v>
      </c>
      <c r="J114" s="194">
        <v>0</v>
      </c>
      <c r="K114" s="1130"/>
      <c r="L114" s="241"/>
      <c r="M114" s="209">
        <v>250</v>
      </c>
      <c r="N114" s="194">
        <v>-0.1</v>
      </c>
      <c r="O114" s="525">
        <v>-0.1</v>
      </c>
      <c r="P114" s="200">
        <v>0.3</v>
      </c>
      <c r="Q114" s="1148"/>
      <c r="R114" s="240"/>
      <c r="S114" s="209">
        <v>250</v>
      </c>
      <c r="T114" s="757">
        <v>0</v>
      </c>
      <c r="U114" s="758">
        <v>-0.1</v>
      </c>
      <c r="V114" s="758">
        <v>-0.1</v>
      </c>
      <c r="W114" s="511">
        <v>0.05</v>
      </c>
      <c r="X114" s="200">
        <v>0.3</v>
      </c>
      <c r="Y114" s="779">
        <v>0</v>
      </c>
      <c r="Z114" s="780">
        <v>0</v>
      </c>
      <c r="AA114" s="780">
        <v>-0.1</v>
      </c>
      <c r="AB114" s="511">
        <v>0.05</v>
      </c>
      <c r="AC114" s="199">
        <v>0.3</v>
      </c>
      <c r="AD114" s="9" t="s">
        <v>342</v>
      </c>
      <c r="AE114" s="4" t="s">
        <v>291</v>
      </c>
      <c r="AF114" s="158">
        <f>ROWS(AE$10:$AE114)</f>
        <v>105</v>
      </c>
      <c r="AG114" s="158">
        <f>IF(ID!$A$83=AE114,AF114,"")</f>
        <v>105</v>
      </c>
      <c r="AH114" s="158" t="str">
        <f>IFERROR(SMALL($AG$10:$AG$393,ROWS($AG$10:AG114)),"")</f>
        <v/>
      </c>
    </row>
    <row r="115" spans="1:34" x14ac:dyDescent="0.2">
      <c r="B115" s="209">
        <v>300</v>
      </c>
      <c r="C115" s="194">
        <v>0</v>
      </c>
      <c r="D115" s="194">
        <v>0</v>
      </c>
      <c r="E115" s="1134"/>
      <c r="F115" s="241"/>
      <c r="H115" s="194">
        <v>-0.3</v>
      </c>
      <c r="I115" s="525">
        <v>-0.2</v>
      </c>
      <c r="J115" s="194">
        <v>0</v>
      </c>
      <c r="K115" s="1131"/>
      <c r="L115" s="241"/>
      <c r="M115" s="209">
        <v>300</v>
      </c>
      <c r="N115" s="194">
        <v>0</v>
      </c>
      <c r="O115" s="525">
        <v>0.1</v>
      </c>
      <c r="P115" s="200">
        <v>0.3</v>
      </c>
      <c r="Q115" s="1149"/>
      <c r="R115" s="240"/>
      <c r="S115" s="209">
        <v>300</v>
      </c>
      <c r="T115" s="757">
        <v>0</v>
      </c>
      <c r="U115" s="758">
        <v>-0.2</v>
      </c>
      <c r="V115" s="758">
        <v>0</v>
      </c>
      <c r="W115" s="511">
        <v>0.1</v>
      </c>
      <c r="X115" s="200">
        <v>0.3</v>
      </c>
      <c r="Y115" s="779">
        <v>0</v>
      </c>
      <c r="Z115" s="780">
        <v>0</v>
      </c>
      <c r="AA115" s="780">
        <v>0.1</v>
      </c>
      <c r="AB115" s="511">
        <v>0.05</v>
      </c>
      <c r="AC115" s="199">
        <v>0.3</v>
      </c>
      <c r="AD115" s="9" t="s">
        <v>342</v>
      </c>
      <c r="AE115" s="4" t="s">
        <v>291</v>
      </c>
      <c r="AF115" s="158">
        <f>ROWS(AE$10:$AE115)</f>
        <v>106</v>
      </c>
      <c r="AG115" s="158">
        <f>IF(ID!$A$83=AE115,AF115,"")</f>
        <v>106</v>
      </c>
      <c r="AH115" s="158" t="str">
        <f>IFERROR(SMALL($AG$10:$AG$393,ROWS($AG$10:AG115)),"")</f>
        <v/>
      </c>
    </row>
    <row r="116" spans="1:34" x14ac:dyDescent="0.2">
      <c r="S116" s="233" t="s">
        <v>106</v>
      </c>
      <c r="T116" s="771"/>
      <c r="U116" s="772" t="s">
        <v>106</v>
      </c>
      <c r="V116" s="772"/>
      <c r="W116" s="548"/>
      <c r="X116" s="202" t="s">
        <v>106</v>
      </c>
      <c r="Y116" s="784"/>
      <c r="Z116" s="784"/>
      <c r="AA116" s="784"/>
      <c r="AB116" s="548"/>
      <c r="AC116" s="202"/>
      <c r="AD116" s="11"/>
      <c r="AE116" s="4"/>
      <c r="AF116" s="158">
        <f>ROWS(AE$10:$AE116)</f>
        <v>107</v>
      </c>
      <c r="AG116" s="158" t="str">
        <f>IF(ID!$A$83=AE116,AF116,"")</f>
        <v/>
      </c>
      <c r="AH116" s="158" t="str">
        <f>IFERROR(SMALL($AG$10:$AG$393,ROWS($AG$10:AG116)),"")</f>
        <v/>
      </c>
    </row>
    <row r="117" spans="1:34" x14ac:dyDescent="0.2">
      <c r="E117" s="13"/>
      <c r="F117" s="13"/>
      <c r="K117" s="13"/>
      <c r="L117" s="13"/>
      <c r="N117" s="13"/>
      <c r="O117" s="13"/>
      <c r="Q117" s="13"/>
      <c r="R117" s="13"/>
      <c r="S117" s="233" t="s">
        <v>106</v>
      </c>
      <c r="T117" s="771"/>
      <c r="U117" s="772" t="s">
        <v>106</v>
      </c>
      <c r="V117" s="772"/>
      <c r="W117" s="548"/>
      <c r="X117" s="202" t="s">
        <v>106</v>
      </c>
      <c r="Y117" s="784"/>
      <c r="Z117" s="784"/>
      <c r="AA117" s="784"/>
      <c r="AB117" s="548"/>
      <c r="AC117" s="202"/>
      <c r="AD117" s="11"/>
      <c r="AE117" s="4"/>
      <c r="AF117" s="158">
        <f>ROWS(AE$10:$AE117)</f>
        <v>108</v>
      </c>
      <c r="AG117" s="158" t="str">
        <f>IF(ID!$A$83=AE117,AF117,"")</f>
        <v/>
      </c>
      <c r="AH117" s="158" t="str">
        <f>IFERROR(SMALL($AG$10:$AG$393,ROWS($AG$10:AG117)),"")</f>
        <v/>
      </c>
    </row>
    <row r="118" spans="1:34" x14ac:dyDescent="0.2">
      <c r="S118" s="233" t="s">
        <v>106</v>
      </c>
      <c r="T118" s="771"/>
      <c r="U118" s="772" t="s">
        <v>106</v>
      </c>
      <c r="V118" s="772"/>
      <c r="W118" s="548"/>
      <c r="X118" s="202" t="s">
        <v>106</v>
      </c>
      <c r="Y118" s="784"/>
      <c r="Z118" s="784"/>
      <c r="AA118" s="784"/>
      <c r="AB118" s="548"/>
      <c r="AC118" s="202"/>
      <c r="AD118" s="11"/>
      <c r="AE118" s="4"/>
      <c r="AF118" s="158">
        <f>ROWS(AE$10:$AE118)</f>
        <v>109</v>
      </c>
      <c r="AG118" s="158" t="str">
        <f>IF(ID!$A$83=AE118,AF118,"")</f>
        <v/>
      </c>
      <c r="AH118" s="158" t="str">
        <f>IFERROR(SMALL($AG$10:$AG$393,ROWS($AG$10:AG118)),"")</f>
        <v/>
      </c>
    </row>
    <row r="119" spans="1:34" x14ac:dyDescent="0.2">
      <c r="S119" s="233" t="s">
        <v>106</v>
      </c>
      <c r="T119" s="771"/>
      <c r="U119" s="772" t="s">
        <v>106</v>
      </c>
      <c r="V119" s="772"/>
      <c r="W119" s="548"/>
      <c r="X119" s="202" t="s">
        <v>106</v>
      </c>
      <c r="Y119" s="784"/>
      <c r="Z119" s="784"/>
      <c r="AA119" s="784"/>
      <c r="AB119" s="548"/>
      <c r="AC119" s="202"/>
      <c r="AD119" s="11"/>
      <c r="AE119" s="4"/>
      <c r="AF119" s="158">
        <f>ROWS(AE$10:$AE119)</f>
        <v>110</v>
      </c>
      <c r="AG119" s="158" t="str">
        <f>IF(ID!$A$83=AE119,AF119,"")</f>
        <v/>
      </c>
      <c r="AH119" s="158" t="str">
        <f>IFERROR(SMALL($AG$10:$AG$393,ROWS($AG$10:AG119)),"")</f>
        <v/>
      </c>
    </row>
    <row r="120" spans="1:34" x14ac:dyDescent="0.2">
      <c r="E120" s="13"/>
      <c r="F120" s="13"/>
      <c r="K120" s="13"/>
      <c r="L120" s="13"/>
      <c r="N120" s="13"/>
      <c r="O120" s="13"/>
      <c r="Q120" s="13"/>
      <c r="R120" s="13"/>
      <c r="S120" s="234"/>
      <c r="AD120" s="13"/>
      <c r="AE120" s="13"/>
      <c r="AF120" s="158">
        <f>ROWS(AE$10:$AE120)</f>
        <v>111</v>
      </c>
      <c r="AG120" s="158" t="str">
        <f>IF(ID!$A$83=AE120,AF120,"")</f>
        <v/>
      </c>
      <c r="AH120" s="158" t="str">
        <f>IFERROR(SMALL($AG$10:$AG$393,ROWS($AG$10:AG120)),"")</f>
        <v/>
      </c>
    </row>
    <row r="121" spans="1:34" s="526" customFormat="1" x14ac:dyDescent="0.2">
      <c r="C121" s="532"/>
      <c r="D121" s="538"/>
      <c r="I121" s="532"/>
      <c r="J121" s="538"/>
      <c r="S121" s="527"/>
      <c r="T121" s="753"/>
      <c r="U121" s="754"/>
      <c r="V121" s="754"/>
      <c r="W121" s="543"/>
      <c r="Y121" s="775"/>
      <c r="Z121" s="775"/>
      <c r="AA121" s="775"/>
      <c r="AB121" s="543"/>
      <c r="AF121" s="158">
        <f>ROWS(AE$10:$AE121)</f>
        <v>112</v>
      </c>
      <c r="AG121" s="158" t="str">
        <f>IF(ID!$A$83=AE121,AF121,"")</f>
        <v/>
      </c>
      <c r="AH121" s="158" t="str">
        <f>IFERROR(SMALL($AG$10:$AG$393,ROWS($AG$10:AG121)),"")</f>
        <v/>
      </c>
    </row>
    <row r="122" spans="1:34" s="526" customFormat="1" x14ac:dyDescent="0.2">
      <c r="C122" s="532"/>
      <c r="D122" s="538"/>
      <c r="I122" s="532"/>
      <c r="J122" s="538"/>
      <c r="S122" s="527"/>
      <c r="T122" s="753"/>
      <c r="U122" s="754"/>
      <c r="V122" s="754"/>
      <c r="W122" s="543"/>
      <c r="Y122" s="775"/>
      <c r="Z122" s="775"/>
      <c r="AA122" s="775"/>
      <c r="AB122" s="543"/>
      <c r="AF122" s="158">
        <f>ROWS(AE$10:$AE122)</f>
        <v>113</v>
      </c>
      <c r="AG122" s="158" t="str">
        <f>IF(ID!$A$83=AE122,AF122,"")</f>
        <v/>
      </c>
      <c r="AH122" s="158" t="str">
        <f>IFERROR(SMALL($AG$10:$AG$393,ROWS($AG$10:AG122)),"")</f>
        <v/>
      </c>
    </row>
    <row r="123" spans="1:34" x14ac:dyDescent="0.2">
      <c r="S123" s="228"/>
      <c r="T123" s="759"/>
      <c r="U123" s="760"/>
      <c r="V123" s="761"/>
      <c r="W123" s="546"/>
      <c r="AB123" s="546"/>
      <c r="AF123" s="158">
        <f>ROWS(AE$10:$AE123)</f>
        <v>114</v>
      </c>
      <c r="AG123" s="158" t="str">
        <f>IF(ID!$A$83=AE123,AF123,"")</f>
        <v/>
      </c>
      <c r="AH123" s="158" t="str">
        <f>IFERROR(SMALL($AG$10:$AG$393,ROWS($AG$10:AG123)),"")</f>
        <v/>
      </c>
    </row>
    <row r="124" spans="1:34" x14ac:dyDescent="0.2">
      <c r="A124" s="1108" t="s">
        <v>773</v>
      </c>
      <c r="B124" s="209">
        <v>0</v>
      </c>
      <c r="C124" s="194">
        <v>-0.1</v>
      </c>
      <c r="D124" s="194">
        <v>-0.1</v>
      </c>
      <c r="E124" s="1132" t="s">
        <v>174</v>
      </c>
      <c r="F124" s="241"/>
      <c r="G124" s="1108" t="s">
        <v>774</v>
      </c>
      <c r="H124" s="209">
        <v>0</v>
      </c>
      <c r="I124" s="194">
        <v>0</v>
      </c>
      <c r="J124" s="525">
        <v>0</v>
      </c>
      <c r="K124" s="1129" t="s">
        <v>370</v>
      </c>
      <c r="L124" s="241" t="s">
        <v>775</v>
      </c>
      <c r="M124" s="209">
        <v>0</v>
      </c>
      <c r="N124" s="194">
        <v>0</v>
      </c>
      <c r="O124" s="525">
        <v>0</v>
      </c>
      <c r="P124" s="200">
        <v>0.3</v>
      </c>
      <c r="Q124" s="1147" t="s">
        <v>444</v>
      </c>
      <c r="R124" s="240"/>
      <c r="S124" s="209">
        <v>0</v>
      </c>
      <c r="T124" s="757">
        <v>-0.1</v>
      </c>
      <c r="U124" s="758">
        <v>0</v>
      </c>
      <c r="V124" s="758">
        <v>0</v>
      </c>
      <c r="W124" s="511">
        <v>0.05</v>
      </c>
      <c r="X124" s="200">
        <v>0.3</v>
      </c>
      <c r="Y124" s="779">
        <v>-0.1</v>
      </c>
      <c r="Z124" s="780">
        <v>0</v>
      </c>
      <c r="AA124" s="780">
        <v>0</v>
      </c>
      <c r="AB124" s="511">
        <v>0.05</v>
      </c>
      <c r="AC124" s="199">
        <v>0.3</v>
      </c>
      <c r="AD124" s="9" t="s">
        <v>342</v>
      </c>
      <c r="AE124" s="4" t="s">
        <v>704</v>
      </c>
      <c r="AF124" s="158">
        <f>ROWS(AE$10:$AE124)</f>
        <v>115</v>
      </c>
      <c r="AG124" s="158" t="str">
        <f>IF(ID!$A$83=AE124,AF124,"")</f>
        <v/>
      </c>
      <c r="AH124" s="158" t="str">
        <f>IFERROR(SMALL($AG$10:$AG$393,ROWS($AG$10:AG124)),"")</f>
        <v/>
      </c>
    </row>
    <row r="125" spans="1:34" x14ac:dyDescent="0.2">
      <c r="B125" s="209">
        <v>50</v>
      </c>
      <c r="C125" s="194">
        <v>0</v>
      </c>
      <c r="D125" s="194">
        <v>0</v>
      </c>
      <c r="E125" s="1133"/>
      <c r="F125" s="241"/>
      <c r="H125" s="209">
        <v>50</v>
      </c>
      <c r="I125" s="194">
        <v>0.1</v>
      </c>
      <c r="J125" s="525">
        <v>0.2</v>
      </c>
      <c r="K125" s="1130"/>
      <c r="L125" s="241"/>
      <c r="M125" s="209">
        <v>50</v>
      </c>
      <c r="N125" s="194">
        <v>0.1</v>
      </c>
      <c r="O125" s="525">
        <v>0.3</v>
      </c>
      <c r="P125" s="200">
        <v>0.3</v>
      </c>
      <c r="Q125" s="1148"/>
      <c r="R125" s="240"/>
      <c r="S125" s="209">
        <v>50</v>
      </c>
      <c r="T125" s="757">
        <v>0</v>
      </c>
      <c r="U125" s="758">
        <v>0.1</v>
      </c>
      <c r="V125" s="758">
        <v>0.1</v>
      </c>
      <c r="W125" s="511">
        <v>0.05</v>
      </c>
      <c r="X125" s="200">
        <v>0.3</v>
      </c>
      <c r="Y125" s="779">
        <v>0</v>
      </c>
      <c r="Z125" s="780">
        <v>0.2</v>
      </c>
      <c r="AA125" s="780">
        <v>0.3</v>
      </c>
      <c r="AB125" s="511">
        <v>0.15</v>
      </c>
      <c r="AC125" s="199">
        <v>0.3</v>
      </c>
      <c r="AD125" s="9" t="s">
        <v>342</v>
      </c>
      <c r="AE125" s="4" t="s">
        <v>704</v>
      </c>
      <c r="AF125" s="158">
        <f>ROWS(AE$10:$AE125)</f>
        <v>116</v>
      </c>
      <c r="AG125" s="158" t="str">
        <f>IF(ID!$A$83=AE125,AF125,"")</f>
        <v/>
      </c>
      <c r="AH125" s="158" t="str">
        <f>IFERROR(SMALL($AG$10:$AG$393,ROWS($AG$10:AG125)),"")</f>
        <v/>
      </c>
    </row>
    <row r="126" spans="1:34" x14ac:dyDescent="0.2">
      <c r="B126" s="209">
        <v>100</v>
      </c>
      <c r="C126" s="194">
        <v>0.2</v>
      </c>
      <c r="D126" s="194">
        <v>0.2</v>
      </c>
      <c r="E126" s="1133"/>
      <c r="F126" s="241"/>
      <c r="H126" s="209">
        <v>100</v>
      </c>
      <c r="I126" s="194">
        <v>-0.2</v>
      </c>
      <c r="J126" s="525">
        <v>-0.1</v>
      </c>
      <c r="K126" s="1130"/>
      <c r="L126" s="241"/>
      <c r="M126" s="209">
        <v>100</v>
      </c>
      <c r="N126" s="194">
        <v>-0.1</v>
      </c>
      <c r="O126" s="525">
        <v>-0.1</v>
      </c>
      <c r="P126" s="200">
        <v>0.3</v>
      </c>
      <c r="Q126" s="1148"/>
      <c r="R126" s="240"/>
      <c r="S126" s="209">
        <v>100</v>
      </c>
      <c r="T126" s="757">
        <v>0.2</v>
      </c>
      <c r="U126" s="758">
        <v>-0.2</v>
      </c>
      <c r="V126" s="758">
        <v>-0.1</v>
      </c>
      <c r="W126" s="511">
        <v>0.2</v>
      </c>
      <c r="X126" s="200">
        <v>0.3</v>
      </c>
      <c r="Y126" s="779">
        <v>0.2</v>
      </c>
      <c r="Z126" s="780">
        <v>-0.1</v>
      </c>
      <c r="AA126" s="780">
        <v>-0.1</v>
      </c>
      <c r="AB126" s="511">
        <v>0.15000000000000002</v>
      </c>
      <c r="AC126" s="199">
        <v>0.3</v>
      </c>
      <c r="AD126" s="9" t="s">
        <v>342</v>
      </c>
      <c r="AE126" s="4" t="s">
        <v>704</v>
      </c>
      <c r="AF126" s="158">
        <f>ROWS(AE$10:$AE126)</f>
        <v>117</v>
      </c>
      <c r="AG126" s="158" t="str">
        <f>IF(ID!$A$83=AE126,AF126,"")</f>
        <v/>
      </c>
      <c r="AH126" s="158" t="str">
        <f>IFERROR(SMALL($AG$10:$AG$393,ROWS($AG$10:AG126)),"")</f>
        <v/>
      </c>
    </row>
    <row r="127" spans="1:34" x14ac:dyDescent="0.2">
      <c r="B127" s="209">
        <v>150</v>
      </c>
      <c r="C127" s="194">
        <v>0.2</v>
      </c>
      <c r="D127" s="194">
        <v>0.2</v>
      </c>
      <c r="E127" s="1133"/>
      <c r="F127" s="241"/>
      <c r="H127" s="209">
        <v>150</v>
      </c>
      <c r="I127" s="194">
        <v>-0.2</v>
      </c>
      <c r="J127" s="525">
        <v>-0.1</v>
      </c>
      <c r="K127" s="1130"/>
      <c r="L127" s="241"/>
      <c r="M127" s="209">
        <v>150</v>
      </c>
      <c r="N127" s="194">
        <v>-0.2</v>
      </c>
      <c r="O127" s="525">
        <v>-0.1</v>
      </c>
      <c r="P127" s="200">
        <v>0.3</v>
      </c>
      <c r="Q127" s="1148"/>
      <c r="R127" s="240"/>
      <c r="S127" s="209">
        <v>150</v>
      </c>
      <c r="T127" s="757">
        <v>0.2</v>
      </c>
      <c r="U127" s="758">
        <v>-0.2</v>
      </c>
      <c r="V127" s="758">
        <v>-0.2</v>
      </c>
      <c r="W127" s="511">
        <v>0.2</v>
      </c>
      <c r="X127" s="200">
        <v>0.3</v>
      </c>
      <c r="Y127" s="779">
        <v>0.2</v>
      </c>
      <c r="Z127" s="780">
        <v>-0.1</v>
      </c>
      <c r="AA127" s="780">
        <v>-0.1</v>
      </c>
      <c r="AB127" s="511">
        <v>0.15000000000000002</v>
      </c>
      <c r="AC127" s="199">
        <v>0.3</v>
      </c>
      <c r="AD127" s="9" t="s">
        <v>342</v>
      </c>
      <c r="AE127" s="4" t="s">
        <v>704</v>
      </c>
      <c r="AF127" s="158">
        <f>ROWS(AE$10:$AE127)</f>
        <v>118</v>
      </c>
      <c r="AG127" s="158" t="str">
        <f>IF(ID!$A$83=AE127,AF127,"")</f>
        <v/>
      </c>
      <c r="AH127" s="158" t="str">
        <f>IFERROR(SMALL($AG$10:$AG$393,ROWS($AG$10:AG127)),"")</f>
        <v/>
      </c>
    </row>
    <row r="128" spans="1:34" x14ac:dyDescent="0.2">
      <c r="B128" s="209">
        <v>200</v>
      </c>
      <c r="C128" s="194">
        <v>0.2</v>
      </c>
      <c r="D128" s="194">
        <v>0.2</v>
      </c>
      <c r="E128" s="1133"/>
      <c r="F128" s="241"/>
      <c r="H128" s="209">
        <v>200</v>
      </c>
      <c r="I128" s="194">
        <v>-0.5</v>
      </c>
      <c r="J128" s="525">
        <v>-0.3</v>
      </c>
      <c r="K128" s="1130"/>
      <c r="L128" s="241"/>
      <c r="M128" s="209">
        <v>200</v>
      </c>
      <c r="N128" s="194">
        <v>-0.4</v>
      </c>
      <c r="O128" s="525">
        <v>-0.3</v>
      </c>
      <c r="P128" s="200">
        <v>0.3</v>
      </c>
      <c r="Q128" s="1148"/>
      <c r="R128" s="240"/>
      <c r="S128" s="209">
        <v>200</v>
      </c>
      <c r="T128" s="757">
        <v>0.2</v>
      </c>
      <c r="U128" s="758">
        <v>-0.5</v>
      </c>
      <c r="V128" s="758">
        <v>-0.4</v>
      </c>
      <c r="W128" s="511">
        <v>0.35</v>
      </c>
      <c r="X128" s="200">
        <v>0.3</v>
      </c>
      <c r="Y128" s="779">
        <v>0.2</v>
      </c>
      <c r="Z128" s="780">
        <v>-0.3</v>
      </c>
      <c r="AA128" s="780">
        <v>-0.3</v>
      </c>
      <c r="AB128" s="511">
        <v>0.25</v>
      </c>
      <c r="AC128" s="199">
        <v>0.3</v>
      </c>
      <c r="AD128" s="9" t="s">
        <v>342</v>
      </c>
      <c r="AE128" s="4" t="s">
        <v>704</v>
      </c>
      <c r="AF128" s="158">
        <f>ROWS(AE$10:$AE128)</f>
        <v>119</v>
      </c>
      <c r="AG128" s="158" t="str">
        <f>IF(ID!$A$83=AE128,AF128,"")</f>
        <v/>
      </c>
      <c r="AH128" s="158" t="str">
        <f>IFERROR(SMALL($AG$10:$AG$393,ROWS($AG$10:AG128)),"")</f>
        <v/>
      </c>
    </row>
    <row r="129" spans="2:34" x14ac:dyDescent="0.2">
      <c r="B129" s="209">
        <v>250</v>
      </c>
      <c r="C129" s="194">
        <v>0.2</v>
      </c>
      <c r="D129" s="194">
        <v>0.2</v>
      </c>
      <c r="E129" s="1133"/>
      <c r="F129" s="241"/>
      <c r="H129" s="209">
        <v>250</v>
      </c>
      <c r="I129" s="194">
        <v>-0.3</v>
      </c>
      <c r="J129" s="525">
        <v>-0.2</v>
      </c>
      <c r="K129" s="1130"/>
      <c r="L129" s="241"/>
      <c r="M129" s="209">
        <v>250</v>
      </c>
      <c r="N129" s="194">
        <v>-0.3</v>
      </c>
      <c r="O129" s="525">
        <v>-0.2</v>
      </c>
      <c r="P129" s="200">
        <v>0.3</v>
      </c>
      <c r="Q129" s="1148"/>
      <c r="R129" s="240"/>
      <c r="S129" s="209">
        <v>250</v>
      </c>
      <c r="T129" s="757">
        <v>0.2</v>
      </c>
      <c r="U129" s="758">
        <v>-0.3</v>
      </c>
      <c r="V129" s="758">
        <v>-0.3</v>
      </c>
      <c r="W129" s="511">
        <v>0.25</v>
      </c>
      <c r="X129" s="200">
        <v>0.3</v>
      </c>
      <c r="Y129" s="779">
        <v>0.2</v>
      </c>
      <c r="Z129" s="780">
        <v>-0.2</v>
      </c>
      <c r="AA129" s="780">
        <v>-0.2</v>
      </c>
      <c r="AB129" s="511">
        <v>0.2</v>
      </c>
      <c r="AC129" s="199">
        <v>0.3</v>
      </c>
      <c r="AD129" s="9" t="s">
        <v>342</v>
      </c>
      <c r="AE129" s="4" t="s">
        <v>704</v>
      </c>
      <c r="AF129" s="158">
        <f>ROWS(AE$10:$AE129)</f>
        <v>120</v>
      </c>
      <c r="AG129" s="158" t="str">
        <f>IF(ID!$A$83=AE129,AF129,"")</f>
        <v/>
      </c>
      <c r="AH129" s="158" t="str">
        <f>IFERROR(SMALL($AG$10:$AG$393,ROWS($AG$10:AG129)),"")</f>
        <v/>
      </c>
    </row>
    <row r="130" spans="2:34" x14ac:dyDescent="0.2">
      <c r="B130" s="209">
        <v>300</v>
      </c>
      <c r="C130" s="194">
        <v>0.2</v>
      </c>
      <c r="D130" s="194">
        <v>0.2</v>
      </c>
      <c r="E130" s="1134"/>
      <c r="F130" s="241"/>
      <c r="H130" s="209">
        <v>300</v>
      </c>
      <c r="I130" s="194">
        <v>-0.2</v>
      </c>
      <c r="J130" s="525">
        <v>-0.1</v>
      </c>
      <c r="K130" s="1131"/>
      <c r="L130" s="241"/>
      <c r="M130" s="209">
        <v>300</v>
      </c>
      <c r="N130" s="194">
        <v>-0.2</v>
      </c>
      <c r="O130" s="525">
        <v>-0.1</v>
      </c>
      <c r="P130" s="200">
        <v>0.3</v>
      </c>
      <c r="Q130" s="1149"/>
      <c r="R130" s="240"/>
      <c r="S130" s="209">
        <v>300</v>
      </c>
      <c r="T130" s="757">
        <v>0.2</v>
      </c>
      <c r="U130" s="758">
        <v>-0.2</v>
      </c>
      <c r="V130" s="758">
        <v>-0.2</v>
      </c>
      <c r="W130" s="511">
        <v>0.2</v>
      </c>
      <c r="X130" s="200">
        <v>0.3</v>
      </c>
      <c r="Y130" s="779">
        <v>0.2</v>
      </c>
      <c r="Z130" s="780">
        <v>-0.1</v>
      </c>
      <c r="AA130" s="780">
        <v>-0.1</v>
      </c>
      <c r="AB130" s="511">
        <v>0.15000000000000002</v>
      </c>
      <c r="AC130" s="199">
        <v>0.3</v>
      </c>
      <c r="AD130" s="9" t="s">
        <v>342</v>
      </c>
      <c r="AE130" s="4" t="s">
        <v>704</v>
      </c>
      <c r="AF130" s="158">
        <f>ROWS(AE$10:$AE130)</f>
        <v>121</v>
      </c>
      <c r="AG130" s="158" t="str">
        <f>IF(ID!$A$83=AE130,AF130,"")</f>
        <v/>
      </c>
      <c r="AH130" s="158" t="str">
        <f>IFERROR(SMALL($AG$10:$AG$393,ROWS($AG$10:AG130)),"")</f>
        <v/>
      </c>
    </row>
    <row r="131" spans="2:34" x14ac:dyDescent="0.2">
      <c r="S131" s="233" t="s">
        <v>106</v>
      </c>
      <c r="T131" s="771"/>
      <c r="U131" s="772" t="s">
        <v>106</v>
      </c>
      <c r="V131" s="772"/>
      <c r="W131" s="548"/>
      <c r="X131" s="202" t="s">
        <v>106</v>
      </c>
      <c r="Y131" s="784"/>
      <c r="Z131" s="784"/>
      <c r="AA131" s="784"/>
      <c r="AB131" s="548"/>
      <c r="AC131" s="202"/>
      <c r="AD131" s="11"/>
      <c r="AE131" s="4"/>
      <c r="AF131" s="158">
        <f>ROWS(AE$10:$AE131)</f>
        <v>122</v>
      </c>
      <c r="AG131" s="158" t="str">
        <f>IF(ID!$A$83=AE131,AF131,"")</f>
        <v/>
      </c>
      <c r="AH131" s="158" t="str">
        <f>IFERROR(SMALL($AG$10:$AG$393,ROWS($AG$10:AG131)),"")</f>
        <v/>
      </c>
    </row>
    <row r="132" spans="2:34" x14ac:dyDescent="0.2">
      <c r="E132" s="13"/>
      <c r="F132" s="13"/>
      <c r="K132" s="13"/>
      <c r="L132" s="13"/>
      <c r="N132" s="13"/>
      <c r="O132" s="13"/>
      <c r="Q132" s="13"/>
      <c r="R132" s="13"/>
      <c r="S132" s="233" t="s">
        <v>106</v>
      </c>
      <c r="T132" s="771"/>
      <c r="U132" s="772" t="s">
        <v>106</v>
      </c>
      <c r="V132" s="772"/>
      <c r="W132" s="548"/>
      <c r="X132" s="202" t="s">
        <v>106</v>
      </c>
      <c r="Y132" s="784"/>
      <c r="Z132" s="784"/>
      <c r="AA132" s="784"/>
      <c r="AB132" s="548"/>
      <c r="AC132" s="202"/>
      <c r="AD132" s="11"/>
      <c r="AE132" s="4"/>
      <c r="AF132" s="158">
        <f>ROWS(AE$10:$AE132)</f>
        <v>123</v>
      </c>
      <c r="AG132" s="158" t="str">
        <f>IF(ID!$A$83=AE132,AF132,"")</f>
        <v/>
      </c>
      <c r="AH132" s="158" t="str">
        <f>IFERROR(SMALL($AG$10:$AG$393,ROWS($AG$10:AG132)),"")</f>
        <v/>
      </c>
    </row>
    <row r="133" spans="2:34" x14ac:dyDescent="0.2">
      <c r="S133" s="233" t="s">
        <v>106</v>
      </c>
      <c r="T133" s="771"/>
      <c r="U133" s="772" t="s">
        <v>106</v>
      </c>
      <c r="V133" s="772"/>
      <c r="W133" s="548"/>
      <c r="X133" s="202" t="s">
        <v>106</v>
      </c>
      <c r="Y133" s="784"/>
      <c r="Z133" s="784"/>
      <c r="AA133" s="784"/>
      <c r="AB133" s="548"/>
      <c r="AC133" s="202"/>
      <c r="AD133" s="11"/>
      <c r="AE133" s="4"/>
      <c r="AF133" s="158">
        <f>ROWS(AE$10:$AE133)</f>
        <v>124</v>
      </c>
      <c r="AG133" s="158" t="str">
        <f>IF(ID!$A$83=AE133,AF133,"")</f>
        <v/>
      </c>
      <c r="AH133" s="158" t="str">
        <f>IFERROR(SMALL($AG$10:$AG$393,ROWS($AG$10:AG133)),"")</f>
        <v/>
      </c>
    </row>
    <row r="134" spans="2:34" x14ac:dyDescent="0.2">
      <c r="S134" s="233" t="s">
        <v>106</v>
      </c>
      <c r="T134" s="771"/>
      <c r="U134" s="772" t="s">
        <v>106</v>
      </c>
      <c r="V134" s="772"/>
      <c r="W134" s="548"/>
      <c r="X134" s="202" t="s">
        <v>106</v>
      </c>
      <c r="Y134" s="784"/>
      <c r="Z134" s="784"/>
      <c r="AA134" s="784"/>
      <c r="AB134" s="548"/>
      <c r="AC134" s="202"/>
      <c r="AD134" s="11"/>
      <c r="AE134" s="4"/>
      <c r="AF134" s="158">
        <f>ROWS(AE$10:$AE134)</f>
        <v>125</v>
      </c>
      <c r="AG134" s="158" t="str">
        <f>IF(ID!$A$83=AE134,AF134,"")</f>
        <v/>
      </c>
      <c r="AH134" s="158" t="str">
        <f>IFERROR(SMALL($AG$10:$AG$393,ROWS($AG$10:AG134)),"")</f>
        <v/>
      </c>
    </row>
    <row r="135" spans="2:34" x14ac:dyDescent="0.2">
      <c r="E135" s="13"/>
      <c r="F135" s="13"/>
      <c r="K135" s="13"/>
      <c r="L135" s="13"/>
      <c r="N135" s="13"/>
      <c r="O135" s="13"/>
      <c r="Q135" s="13"/>
      <c r="R135" s="13"/>
      <c r="S135" s="234"/>
      <c r="AD135" s="13"/>
      <c r="AE135" s="13"/>
      <c r="AF135" s="158">
        <f>ROWS(AE$10:$AE135)</f>
        <v>126</v>
      </c>
      <c r="AG135" s="158" t="str">
        <f>IF(ID!$A$83=AE135,AF135,"")</f>
        <v/>
      </c>
      <c r="AH135" s="158" t="str">
        <f>IFERROR(SMALL($AG$10:$AG$393,ROWS($AG$10:AG135)),"")</f>
        <v/>
      </c>
    </row>
    <row r="136" spans="2:34" s="526" customFormat="1" x14ac:dyDescent="0.2">
      <c r="C136" s="532"/>
      <c r="D136" s="538"/>
      <c r="I136" s="532"/>
      <c r="J136" s="538"/>
      <c r="S136" s="527"/>
      <c r="T136" s="753"/>
      <c r="U136" s="754"/>
      <c r="V136" s="754"/>
      <c r="W136" s="543"/>
      <c r="Y136" s="775"/>
      <c r="Z136" s="775"/>
      <c r="AA136" s="775"/>
      <c r="AB136" s="543"/>
      <c r="AF136" s="158">
        <f>ROWS(AE$10:$AE136)</f>
        <v>127</v>
      </c>
      <c r="AG136" s="158" t="str">
        <f>IF(ID!$A$83=AE136,AF136,"")</f>
        <v/>
      </c>
      <c r="AH136" s="158" t="str">
        <f>IFERROR(SMALL($AG$10:$AG$393,ROWS($AG$10:AG136)),"")</f>
        <v/>
      </c>
    </row>
    <row r="137" spans="2:34" s="526" customFormat="1" x14ac:dyDescent="0.2">
      <c r="C137" s="532"/>
      <c r="D137" s="538"/>
      <c r="I137" s="532"/>
      <c r="J137" s="538"/>
      <c r="S137" s="527"/>
      <c r="T137" s="753"/>
      <c r="U137" s="754"/>
      <c r="V137" s="754"/>
      <c r="W137" s="543"/>
      <c r="Y137" s="775"/>
      <c r="Z137" s="775"/>
      <c r="AA137" s="775"/>
      <c r="AB137" s="543"/>
      <c r="AF137" s="158">
        <f>ROWS(AE$10:$AE137)</f>
        <v>128</v>
      </c>
      <c r="AG137" s="158" t="str">
        <f>IF(ID!$A$83=AE137,AF137,"")</f>
        <v/>
      </c>
      <c r="AH137" s="158" t="str">
        <f>IFERROR(SMALL($AG$10:$AG$393,ROWS($AG$10:AG137)),"")</f>
        <v/>
      </c>
    </row>
    <row r="138" spans="2:34" x14ac:dyDescent="0.2">
      <c r="S138" s="228"/>
      <c r="T138" s="759"/>
      <c r="U138" s="760"/>
      <c r="V138" s="761"/>
      <c r="W138" s="546"/>
      <c r="AB138" s="546"/>
      <c r="AF138" s="158">
        <f>ROWS(AE$10:$AE138)</f>
        <v>129</v>
      </c>
      <c r="AG138" s="158" t="str">
        <f>IF(ID!$A$83=AE138,AF138,"")</f>
        <v/>
      </c>
      <c r="AH138" s="158" t="str">
        <f>IFERROR(SMALL($AG$10:$AG$393,ROWS($AG$10:AG138)),"")</f>
        <v/>
      </c>
    </row>
    <row r="139" spans="2:34" x14ac:dyDescent="0.2">
      <c r="B139" s="209">
        <v>0</v>
      </c>
      <c r="C139" s="194">
        <v>-0.1</v>
      </c>
      <c r="D139" s="525">
        <v>-0.1</v>
      </c>
      <c r="E139" s="1132" t="s">
        <v>174</v>
      </c>
      <c r="F139" s="241"/>
      <c r="H139" s="209">
        <v>0</v>
      </c>
      <c r="I139" s="194">
        <v>0</v>
      </c>
      <c r="J139" s="525">
        <v>0</v>
      </c>
      <c r="K139" s="1129" t="s">
        <v>264</v>
      </c>
      <c r="L139" s="241"/>
      <c r="M139" s="209">
        <v>0</v>
      </c>
      <c r="N139" s="194">
        <v>0</v>
      </c>
      <c r="O139" s="525">
        <v>0</v>
      </c>
      <c r="P139" s="200">
        <v>0.1</v>
      </c>
      <c r="Q139" s="1147" t="s">
        <v>426</v>
      </c>
      <c r="R139" s="240"/>
      <c r="S139" s="209">
        <v>0</v>
      </c>
      <c r="T139" s="757">
        <v>-0.1</v>
      </c>
      <c r="U139" s="758">
        <v>0</v>
      </c>
      <c r="V139" s="758">
        <v>0</v>
      </c>
      <c r="W139" s="511">
        <v>0.05</v>
      </c>
      <c r="X139" s="200">
        <v>0.1</v>
      </c>
      <c r="Y139" s="779">
        <v>-0.1</v>
      </c>
      <c r="Z139" s="780">
        <v>0</v>
      </c>
      <c r="AA139" s="780">
        <v>0</v>
      </c>
      <c r="AB139" s="511">
        <v>0.05</v>
      </c>
      <c r="AC139" s="199">
        <v>0.1</v>
      </c>
      <c r="AD139" s="9" t="s">
        <v>342</v>
      </c>
      <c r="AE139" s="4" t="s">
        <v>705</v>
      </c>
      <c r="AF139" s="158">
        <f>ROWS(AE$10:$AE139)</f>
        <v>130</v>
      </c>
      <c r="AG139" s="158" t="str">
        <f>IF(ID!$A$83=AE139,AF139,"")</f>
        <v/>
      </c>
      <c r="AH139" s="158" t="str">
        <f>IFERROR(SMALL($AG$10:$AG$393,ROWS($AG$10:AG139)),"")</f>
        <v/>
      </c>
    </row>
    <row r="140" spans="2:34" x14ac:dyDescent="0.2">
      <c r="B140" s="209">
        <v>50</v>
      </c>
      <c r="C140" s="194">
        <v>0</v>
      </c>
      <c r="D140" s="525">
        <v>0</v>
      </c>
      <c r="E140" s="1133"/>
      <c r="F140" s="241"/>
      <c r="H140" s="209">
        <v>50</v>
      </c>
      <c r="I140" s="194">
        <v>-0.1</v>
      </c>
      <c r="J140" s="525">
        <v>-0.1</v>
      </c>
      <c r="K140" s="1130"/>
      <c r="L140" s="241"/>
      <c r="M140" s="209">
        <v>50</v>
      </c>
      <c r="N140" s="194">
        <v>-0.1</v>
      </c>
      <c r="O140" s="525">
        <v>-0.1</v>
      </c>
      <c r="P140" s="200">
        <v>0.1</v>
      </c>
      <c r="Q140" s="1148"/>
      <c r="R140" s="240"/>
      <c r="S140" s="209">
        <v>50</v>
      </c>
      <c r="T140" s="757">
        <v>0</v>
      </c>
      <c r="U140" s="758">
        <v>-0.1</v>
      </c>
      <c r="V140" s="758">
        <v>-0.1</v>
      </c>
      <c r="W140" s="511">
        <v>0.05</v>
      </c>
      <c r="X140" s="200">
        <v>0.1</v>
      </c>
      <c r="Y140" s="779">
        <v>0</v>
      </c>
      <c r="Z140" s="780">
        <v>-0.1</v>
      </c>
      <c r="AA140" s="780">
        <v>-0.1</v>
      </c>
      <c r="AB140" s="511">
        <v>0.05</v>
      </c>
      <c r="AC140" s="199">
        <v>0.1</v>
      </c>
      <c r="AD140" s="9" t="s">
        <v>342</v>
      </c>
      <c r="AE140" s="4" t="s">
        <v>705</v>
      </c>
      <c r="AF140" s="158">
        <f>ROWS(AE$10:$AE140)</f>
        <v>131</v>
      </c>
      <c r="AG140" s="158" t="str">
        <f>IF(ID!$A$83=AE140,AF140,"")</f>
        <v/>
      </c>
      <c r="AH140" s="158" t="str">
        <f>IFERROR(SMALL($AG$10:$AG$393,ROWS($AG$10:AG140)),"")</f>
        <v/>
      </c>
    </row>
    <row r="141" spans="2:34" x14ac:dyDescent="0.2">
      <c r="B141" s="209">
        <v>100</v>
      </c>
      <c r="C141" s="194">
        <v>0.1</v>
      </c>
      <c r="D141" s="525">
        <v>0.1</v>
      </c>
      <c r="E141" s="1133"/>
      <c r="F141" s="241"/>
      <c r="H141" s="209">
        <v>100</v>
      </c>
      <c r="I141" s="194">
        <v>0</v>
      </c>
      <c r="J141" s="525">
        <v>0</v>
      </c>
      <c r="K141" s="1130"/>
      <c r="L141" s="241"/>
      <c r="M141" s="209">
        <v>100</v>
      </c>
      <c r="N141" s="194">
        <v>0</v>
      </c>
      <c r="O141" s="525">
        <v>0</v>
      </c>
      <c r="P141" s="200">
        <v>0.1</v>
      </c>
      <c r="Q141" s="1148"/>
      <c r="R141" s="240"/>
      <c r="S141" s="209">
        <v>100</v>
      </c>
      <c r="T141" s="757">
        <v>0.1</v>
      </c>
      <c r="U141" s="758">
        <v>0</v>
      </c>
      <c r="V141" s="758">
        <v>0</v>
      </c>
      <c r="W141" s="511">
        <v>0.05</v>
      </c>
      <c r="X141" s="200">
        <v>0.1</v>
      </c>
      <c r="Y141" s="779">
        <v>0.1</v>
      </c>
      <c r="Z141" s="780">
        <v>0</v>
      </c>
      <c r="AA141" s="780">
        <v>0</v>
      </c>
      <c r="AB141" s="511">
        <v>0.05</v>
      </c>
      <c r="AC141" s="199">
        <v>0.1</v>
      </c>
      <c r="AD141" s="9" t="s">
        <v>342</v>
      </c>
      <c r="AE141" s="4" t="s">
        <v>705</v>
      </c>
      <c r="AF141" s="158">
        <f>ROWS(AE$10:$AE141)</f>
        <v>132</v>
      </c>
      <c r="AG141" s="158" t="str">
        <f>IF(ID!$A$83=AE141,AF141,"")</f>
        <v/>
      </c>
      <c r="AH141" s="158" t="str">
        <f>IFERROR(SMALL($AG$10:$AG$393,ROWS($AG$10:AG141)),"")</f>
        <v/>
      </c>
    </row>
    <row r="142" spans="2:34" x14ac:dyDescent="0.2">
      <c r="B142" s="209">
        <v>150</v>
      </c>
      <c r="C142" s="194">
        <v>0.1</v>
      </c>
      <c r="D142" s="525">
        <v>0.1</v>
      </c>
      <c r="E142" s="1133"/>
      <c r="F142" s="241"/>
      <c r="H142" s="209">
        <v>150</v>
      </c>
      <c r="I142" s="194">
        <v>0.2</v>
      </c>
      <c r="J142" s="525">
        <v>0.2</v>
      </c>
      <c r="K142" s="1130"/>
      <c r="L142" s="241"/>
      <c r="M142" s="209">
        <v>150</v>
      </c>
      <c r="N142" s="194">
        <v>0.2</v>
      </c>
      <c r="O142" s="525">
        <v>0.2</v>
      </c>
      <c r="P142" s="200">
        <v>0.1</v>
      </c>
      <c r="Q142" s="1148"/>
      <c r="R142" s="240"/>
      <c r="S142" s="209">
        <v>150</v>
      </c>
      <c r="T142" s="757">
        <v>0.1</v>
      </c>
      <c r="U142" s="758">
        <v>0.2</v>
      </c>
      <c r="V142" s="758">
        <v>0.2</v>
      </c>
      <c r="W142" s="511">
        <v>0.05</v>
      </c>
      <c r="X142" s="200">
        <v>0.1</v>
      </c>
      <c r="Y142" s="779">
        <v>0.1</v>
      </c>
      <c r="Z142" s="780">
        <v>0.2</v>
      </c>
      <c r="AA142" s="780">
        <v>0.2</v>
      </c>
      <c r="AB142" s="511">
        <v>0.05</v>
      </c>
      <c r="AC142" s="199">
        <v>0.1</v>
      </c>
      <c r="AD142" s="9" t="s">
        <v>342</v>
      </c>
      <c r="AE142" s="4" t="s">
        <v>705</v>
      </c>
      <c r="AF142" s="158">
        <f>ROWS(AE$10:$AE142)</f>
        <v>133</v>
      </c>
      <c r="AG142" s="158" t="str">
        <f>IF(ID!$A$83=AE142,AF142,"")</f>
        <v/>
      </c>
      <c r="AH142" s="158" t="str">
        <f>IFERROR(SMALL($AG$10:$AG$393,ROWS($AG$10:AG142)),"")</f>
        <v/>
      </c>
    </row>
    <row r="143" spans="2:34" x14ac:dyDescent="0.2">
      <c r="B143" s="209">
        <v>200</v>
      </c>
      <c r="C143" s="194">
        <v>0.1</v>
      </c>
      <c r="D143" s="525">
        <v>0.1</v>
      </c>
      <c r="E143" s="1133"/>
      <c r="F143" s="241"/>
      <c r="H143" s="209">
        <v>200</v>
      </c>
      <c r="I143" s="194">
        <v>0.2</v>
      </c>
      <c r="J143" s="525">
        <v>0.2</v>
      </c>
      <c r="K143" s="1130"/>
      <c r="L143" s="241"/>
      <c r="M143" s="209">
        <v>200</v>
      </c>
      <c r="N143" s="194">
        <v>0.2</v>
      </c>
      <c r="O143" s="525">
        <v>0.2</v>
      </c>
      <c r="P143" s="200">
        <v>0.1</v>
      </c>
      <c r="Q143" s="1148"/>
      <c r="R143" s="240"/>
      <c r="S143" s="209">
        <v>200</v>
      </c>
      <c r="T143" s="757">
        <v>0.1</v>
      </c>
      <c r="U143" s="758">
        <v>0.2</v>
      </c>
      <c r="V143" s="758">
        <v>0.2</v>
      </c>
      <c r="W143" s="511">
        <v>0.05</v>
      </c>
      <c r="X143" s="200">
        <v>0.1</v>
      </c>
      <c r="Y143" s="779">
        <v>0.1</v>
      </c>
      <c r="Z143" s="780">
        <v>0.2</v>
      </c>
      <c r="AA143" s="780">
        <v>0.2</v>
      </c>
      <c r="AB143" s="511">
        <v>0.05</v>
      </c>
      <c r="AC143" s="199">
        <v>0.1</v>
      </c>
      <c r="AD143" s="9" t="s">
        <v>342</v>
      </c>
      <c r="AE143" s="4" t="s">
        <v>705</v>
      </c>
      <c r="AF143" s="158">
        <f>ROWS(AE$10:$AE143)</f>
        <v>134</v>
      </c>
      <c r="AG143" s="158" t="str">
        <f>IF(ID!$A$83=AE143,AF143,"")</f>
        <v/>
      </c>
      <c r="AH143" s="158" t="str">
        <f>IFERROR(SMALL($AG$10:$AG$393,ROWS($AG$10:AG143)),"")</f>
        <v/>
      </c>
    </row>
    <row r="144" spans="2:34" x14ac:dyDescent="0.2">
      <c r="B144" s="209">
        <v>250</v>
      </c>
      <c r="C144" s="194">
        <v>0.1</v>
      </c>
      <c r="D144" s="525">
        <v>0.1</v>
      </c>
      <c r="E144" s="1133"/>
      <c r="F144" s="241"/>
      <c r="H144" s="209">
        <v>250</v>
      </c>
      <c r="I144" s="194">
        <v>0.2</v>
      </c>
      <c r="J144" s="525">
        <v>0.2</v>
      </c>
      <c r="K144" s="1130"/>
      <c r="L144" s="241"/>
      <c r="M144" s="209">
        <v>250</v>
      </c>
      <c r="N144" s="194">
        <v>0.2</v>
      </c>
      <c r="O144" s="525">
        <v>0.2</v>
      </c>
      <c r="P144" s="200">
        <v>0.1</v>
      </c>
      <c r="Q144" s="1148"/>
      <c r="R144" s="240"/>
      <c r="S144" s="209">
        <v>250</v>
      </c>
      <c r="T144" s="757">
        <v>0.1</v>
      </c>
      <c r="U144" s="758">
        <v>0.2</v>
      </c>
      <c r="V144" s="758">
        <v>0.2</v>
      </c>
      <c r="W144" s="511">
        <v>0.05</v>
      </c>
      <c r="X144" s="200">
        <v>0.1</v>
      </c>
      <c r="Y144" s="779">
        <v>0.1</v>
      </c>
      <c r="Z144" s="780">
        <v>0.2</v>
      </c>
      <c r="AA144" s="780">
        <v>0.2</v>
      </c>
      <c r="AB144" s="511">
        <v>0.05</v>
      </c>
      <c r="AC144" s="199">
        <v>0.1</v>
      </c>
      <c r="AD144" s="9" t="s">
        <v>342</v>
      </c>
      <c r="AE144" s="4" t="s">
        <v>705</v>
      </c>
      <c r="AF144" s="158">
        <f>ROWS(AE$10:$AE144)</f>
        <v>135</v>
      </c>
      <c r="AG144" s="158" t="str">
        <f>IF(ID!$A$83=AE144,AF144,"")</f>
        <v/>
      </c>
      <c r="AH144" s="158" t="str">
        <f>IFERROR(SMALL($AG$10:$AG$393,ROWS($AG$10:AG144)),"")</f>
        <v/>
      </c>
    </row>
    <row r="145" spans="2:34" x14ac:dyDescent="0.2">
      <c r="B145" s="209">
        <v>300</v>
      </c>
      <c r="C145" s="194">
        <v>0</v>
      </c>
      <c r="D145" s="525">
        <v>0</v>
      </c>
      <c r="E145" s="1134"/>
      <c r="F145" s="241"/>
      <c r="H145" s="209">
        <v>300</v>
      </c>
      <c r="I145" s="194">
        <v>0.1</v>
      </c>
      <c r="J145" s="525">
        <v>0.1</v>
      </c>
      <c r="K145" s="1131"/>
      <c r="L145" s="241"/>
      <c r="M145" s="209">
        <v>300</v>
      </c>
      <c r="N145" s="194">
        <v>0.1</v>
      </c>
      <c r="O145" s="525">
        <v>0.1</v>
      </c>
      <c r="P145" s="200">
        <v>0.1</v>
      </c>
      <c r="Q145" s="1149"/>
      <c r="R145" s="240"/>
      <c r="S145" s="209">
        <v>300</v>
      </c>
      <c r="T145" s="757">
        <v>0</v>
      </c>
      <c r="U145" s="758">
        <v>0.1</v>
      </c>
      <c r="V145" s="758">
        <v>0.1</v>
      </c>
      <c r="W145" s="511">
        <v>0.05</v>
      </c>
      <c r="X145" s="200">
        <v>0.1</v>
      </c>
      <c r="Y145" s="779">
        <v>0</v>
      </c>
      <c r="Z145" s="780">
        <v>0.1</v>
      </c>
      <c r="AA145" s="780">
        <v>0.1</v>
      </c>
      <c r="AB145" s="511">
        <v>0.05</v>
      </c>
      <c r="AC145" s="199">
        <v>0.1</v>
      </c>
      <c r="AD145" s="9" t="s">
        <v>342</v>
      </c>
      <c r="AE145" s="4" t="s">
        <v>705</v>
      </c>
      <c r="AF145" s="158">
        <f>ROWS(AE$10:$AE145)</f>
        <v>136</v>
      </c>
      <c r="AG145" s="158" t="str">
        <f>IF(ID!$A$83=AE145,AF145,"")</f>
        <v/>
      </c>
      <c r="AH145" s="158" t="str">
        <f>IFERROR(SMALL($AG$10:$AG$393,ROWS($AG$10:AG145)),"")</f>
        <v/>
      </c>
    </row>
    <row r="146" spans="2:34" x14ac:dyDescent="0.2">
      <c r="N146" s="213"/>
      <c r="O146" s="213"/>
      <c r="S146" s="233" t="s">
        <v>106</v>
      </c>
      <c r="T146" s="771"/>
      <c r="U146" s="772" t="s">
        <v>106</v>
      </c>
      <c r="V146" s="772"/>
      <c r="W146" s="548"/>
      <c r="X146" s="202" t="s">
        <v>106</v>
      </c>
      <c r="Y146" s="784"/>
      <c r="Z146" s="784"/>
      <c r="AA146" s="784"/>
      <c r="AB146" s="548"/>
      <c r="AC146" s="202"/>
      <c r="AD146" s="11"/>
      <c r="AE146" s="4"/>
      <c r="AF146" s="158">
        <f>ROWS(AE$10:$AE146)</f>
        <v>137</v>
      </c>
      <c r="AG146" s="158" t="str">
        <f>IF(ID!$A$83=AE146,AF146,"")</f>
        <v/>
      </c>
      <c r="AH146" s="158" t="str">
        <f>IFERROR(SMALL($AG$10:$AG$393,ROWS($AG$10:AG146)),"")</f>
        <v/>
      </c>
    </row>
    <row r="147" spans="2:34" x14ac:dyDescent="0.2">
      <c r="E147" s="13"/>
      <c r="F147" s="13"/>
      <c r="K147" s="13"/>
      <c r="L147" s="13"/>
      <c r="N147" s="13"/>
      <c r="O147" s="13"/>
      <c r="Q147" s="13"/>
      <c r="R147" s="13"/>
      <c r="S147" s="233" t="s">
        <v>106</v>
      </c>
      <c r="T147" s="771"/>
      <c r="U147" s="772" t="s">
        <v>106</v>
      </c>
      <c r="V147" s="772"/>
      <c r="W147" s="548"/>
      <c r="X147" s="202" t="s">
        <v>106</v>
      </c>
      <c r="Y147" s="784"/>
      <c r="Z147" s="784"/>
      <c r="AA147" s="784"/>
      <c r="AB147" s="548"/>
      <c r="AC147" s="202"/>
      <c r="AD147" s="11"/>
      <c r="AE147" s="4"/>
      <c r="AF147" s="158">
        <f>ROWS(AE$10:$AE147)</f>
        <v>138</v>
      </c>
      <c r="AG147" s="158" t="str">
        <f>IF(ID!$A$83=AE147,AF147,"")</f>
        <v/>
      </c>
      <c r="AH147" s="158" t="str">
        <f>IFERROR(SMALL($AG$10:$AG$393,ROWS($AG$10:AG147)),"")</f>
        <v/>
      </c>
    </row>
    <row r="148" spans="2:34" x14ac:dyDescent="0.2">
      <c r="S148" s="233" t="s">
        <v>106</v>
      </c>
      <c r="T148" s="771"/>
      <c r="U148" s="772" t="s">
        <v>106</v>
      </c>
      <c r="V148" s="772"/>
      <c r="W148" s="548"/>
      <c r="X148" s="202" t="s">
        <v>106</v>
      </c>
      <c r="Y148" s="784"/>
      <c r="Z148" s="784"/>
      <c r="AA148" s="784"/>
      <c r="AB148" s="548"/>
      <c r="AC148" s="202"/>
      <c r="AD148" s="11"/>
      <c r="AE148" s="4"/>
      <c r="AF148" s="158">
        <f>ROWS(AE$10:$AE148)</f>
        <v>139</v>
      </c>
      <c r="AG148" s="158" t="str">
        <f>IF(ID!$A$83=AE148,AF148,"")</f>
        <v/>
      </c>
      <c r="AH148" s="158" t="str">
        <f>IFERROR(SMALL($AG$10:$AG$393,ROWS($AG$10:AG148)),"")</f>
        <v/>
      </c>
    </row>
    <row r="149" spans="2:34" x14ac:dyDescent="0.2">
      <c r="S149" s="233" t="s">
        <v>106</v>
      </c>
      <c r="T149" s="771"/>
      <c r="U149" s="772" t="s">
        <v>106</v>
      </c>
      <c r="V149" s="772"/>
      <c r="W149" s="548"/>
      <c r="X149" s="202" t="s">
        <v>106</v>
      </c>
      <c r="Y149" s="784"/>
      <c r="Z149" s="784"/>
      <c r="AA149" s="784"/>
      <c r="AB149" s="548"/>
      <c r="AC149" s="202"/>
      <c r="AD149" s="11"/>
      <c r="AE149" s="4"/>
      <c r="AF149" s="158">
        <f>ROWS(AE$10:$AE149)</f>
        <v>140</v>
      </c>
      <c r="AG149" s="158" t="str">
        <f>IF(ID!$A$83=AE149,AF149,"")</f>
        <v/>
      </c>
      <c r="AH149" s="158" t="str">
        <f>IFERROR(SMALL($AG$10:$AG$393,ROWS($AG$10:AG149)),"")</f>
        <v/>
      </c>
    </row>
    <row r="150" spans="2:34" x14ac:dyDescent="0.2">
      <c r="E150" s="13"/>
      <c r="F150" s="13"/>
      <c r="K150" s="13"/>
      <c r="L150" s="13"/>
      <c r="N150" s="13"/>
      <c r="O150" s="13"/>
      <c r="Q150" s="13"/>
      <c r="R150" s="13"/>
      <c r="S150" s="234"/>
      <c r="AD150" s="13"/>
      <c r="AE150" s="13"/>
      <c r="AF150" s="158">
        <f>ROWS(AE$10:$AE150)</f>
        <v>141</v>
      </c>
      <c r="AG150" s="158" t="str">
        <f>IF(ID!$A$83=AE150,AF150,"")</f>
        <v/>
      </c>
      <c r="AH150" s="158" t="str">
        <f>IFERROR(SMALL($AG$10:$AG$393,ROWS($AG$10:AG150)),"")</f>
        <v/>
      </c>
    </row>
    <row r="151" spans="2:34" s="526" customFormat="1" x14ac:dyDescent="0.2">
      <c r="C151" s="532"/>
      <c r="D151" s="538"/>
      <c r="I151" s="532"/>
      <c r="J151" s="538"/>
      <c r="S151" s="527"/>
      <c r="T151" s="753"/>
      <c r="U151" s="754"/>
      <c r="V151" s="754"/>
      <c r="W151" s="543"/>
      <c r="Y151" s="775"/>
      <c r="Z151" s="775"/>
      <c r="AA151" s="775"/>
      <c r="AB151" s="543"/>
      <c r="AF151" s="158">
        <f>ROWS(AE$10:$AE151)</f>
        <v>142</v>
      </c>
      <c r="AG151" s="158" t="str">
        <f>IF(ID!$A$83=AE151,AF151,"")</f>
        <v/>
      </c>
      <c r="AH151" s="158" t="str">
        <f>IFERROR(SMALL($AG$10:$AG$393,ROWS($AG$10:AG151)),"")</f>
        <v/>
      </c>
    </row>
    <row r="152" spans="2:34" s="526" customFormat="1" x14ac:dyDescent="0.2">
      <c r="C152" s="532"/>
      <c r="D152" s="538"/>
      <c r="I152" s="532"/>
      <c r="J152" s="538"/>
      <c r="S152" s="527"/>
      <c r="T152" s="753"/>
      <c r="U152" s="754"/>
      <c r="V152" s="754"/>
      <c r="W152" s="543"/>
      <c r="Y152" s="775"/>
      <c r="Z152" s="775"/>
      <c r="AA152" s="775"/>
      <c r="AB152" s="543"/>
      <c r="AF152" s="158">
        <f>ROWS(AE$10:$AE152)</f>
        <v>143</v>
      </c>
      <c r="AG152" s="158" t="str">
        <f>IF(ID!$A$83=AE152,AF152,"")</f>
        <v/>
      </c>
      <c r="AH152" s="158" t="str">
        <f>IFERROR(SMALL($AG$10:$AG$393,ROWS($AG$10:AG152)),"")</f>
        <v/>
      </c>
    </row>
    <row r="153" spans="2:34" x14ac:dyDescent="0.2">
      <c r="S153" s="228"/>
      <c r="T153" s="759"/>
      <c r="U153" s="760"/>
      <c r="V153" s="761"/>
      <c r="W153" s="546"/>
      <c r="AB153" s="546"/>
      <c r="AF153" s="158">
        <f>ROWS(AE$10:$AE153)</f>
        <v>144</v>
      </c>
      <c r="AG153" s="158" t="str">
        <f>IF(ID!$A$83=AE153,AF153,"")</f>
        <v/>
      </c>
      <c r="AH153" s="158" t="str">
        <f>IFERROR(SMALL($AG$10:$AG$393,ROWS($AG$10:AG153)),"")</f>
        <v/>
      </c>
    </row>
    <row r="154" spans="2:34" x14ac:dyDescent="0.2">
      <c r="B154" s="209">
        <v>0</v>
      </c>
      <c r="C154" s="194">
        <v>0</v>
      </c>
      <c r="D154" s="194">
        <v>0</v>
      </c>
      <c r="E154" s="1132" t="s">
        <v>425</v>
      </c>
      <c r="F154" s="241"/>
      <c r="H154" s="209">
        <v>0</v>
      </c>
      <c r="I154" s="194">
        <v>0</v>
      </c>
      <c r="J154" s="525">
        <v>0</v>
      </c>
      <c r="K154" s="1147" t="s">
        <v>264</v>
      </c>
      <c r="L154" s="241"/>
      <c r="M154" s="209">
        <v>0</v>
      </c>
      <c r="N154" s="194">
        <v>0</v>
      </c>
      <c r="O154" s="525">
        <v>0</v>
      </c>
      <c r="P154" s="200">
        <v>0.1</v>
      </c>
      <c r="Q154" s="1147" t="s">
        <v>381</v>
      </c>
      <c r="R154" s="240"/>
      <c r="S154" s="209">
        <v>0</v>
      </c>
      <c r="T154" s="757">
        <v>0</v>
      </c>
      <c r="U154" s="758">
        <v>0</v>
      </c>
      <c r="V154" s="758">
        <v>0</v>
      </c>
      <c r="W154" s="511">
        <v>0</v>
      </c>
      <c r="X154" s="200">
        <v>0.1</v>
      </c>
      <c r="Y154" s="779">
        <v>0</v>
      </c>
      <c r="Z154" s="780">
        <v>0</v>
      </c>
      <c r="AA154" s="780">
        <v>0</v>
      </c>
      <c r="AB154" s="511">
        <v>0</v>
      </c>
      <c r="AC154" s="199">
        <v>0.1</v>
      </c>
      <c r="AD154" s="9" t="s">
        <v>342</v>
      </c>
      <c r="AE154" s="4" t="s">
        <v>706</v>
      </c>
      <c r="AF154" s="158">
        <f>ROWS(AE$10:$AE154)</f>
        <v>145</v>
      </c>
      <c r="AG154" s="158" t="str">
        <f>IF(ID!$A$83=AE154,AF154,"")</f>
        <v/>
      </c>
      <c r="AH154" s="158" t="str">
        <f>IFERROR(SMALL($AG$10:$AG$393,ROWS($AG$10:AG154)),"")</f>
        <v/>
      </c>
    </row>
    <row r="155" spans="2:34" x14ac:dyDescent="0.2">
      <c r="B155" s="209">
        <v>50</v>
      </c>
      <c r="C155" s="194">
        <v>-0.1</v>
      </c>
      <c r="D155" s="194">
        <v>-0.1</v>
      </c>
      <c r="E155" s="1133"/>
      <c r="F155" s="241"/>
      <c r="H155" s="209">
        <v>50</v>
      </c>
      <c r="I155" s="194">
        <v>-0.1</v>
      </c>
      <c r="J155" s="525">
        <v>-0.1</v>
      </c>
      <c r="K155" s="1148"/>
      <c r="L155" s="241"/>
      <c r="M155" s="209">
        <v>50</v>
      </c>
      <c r="N155" s="194">
        <v>-0.1</v>
      </c>
      <c r="O155" s="525">
        <v>-0.2</v>
      </c>
      <c r="P155" s="200">
        <v>0.1</v>
      </c>
      <c r="Q155" s="1148"/>
      <c r="R155" s="240"/>
      <c r="S155" s="209">
        <v>50</v>
      </c>
      <c r="T155" s="757">
        <v>-0.1</v>
      </c>
      <c r="U155" s="758">
        <v>-0.1</v>
      </c>
      <c r="V155" s="758">
        <v>-0.1</v>
      </c>
      <c r="W155" s="511">
        <v>0</v>
      </c>
      <c r="X155" s="200">
        <v>0.1</v>
      </c>
      <c r="Y155" s="779">
        <v>-0.1</v>
      </c>
      <c r="Z155" s="780">
        <v>-0.1</v>
      </c>
      <c r="AA155" s="780">
        <v>-0.2</v>
      </c>
      <c r="AB155" s="511">
        <v>0.05</v>
      </c>
      <c r="AC155" s="199">
        <v>0.1</v>
      </c>
      <c r="AD155" s="9" t="s">
        <v>342</v>
      </c>
      <c r="AE155" s="4" t="s">
        <v>706</v>
      </c>
      <c r="AF155" s="158">
        <f>ROWS(AE$10:$AE155)</f>
        <v>146</v>
      </c>
      <c r="AG155" s="158" t="str">
        <f>IF(ID!$A$83=AE155,AF155,"")</f>
        <v/>
      </c>
      <c r="AH155" s="158" t="str">
        <f>IFERROR(SMALL($AG$10:$AG$393,ROWS($AG$10:AG155)),"")</f>
        <v/>
      </c>
    </row>
    <row r="156" spans="2:34" x14ac:dyDescent="0.2">
      <c r="B156" s="209">
        <v>100</v>
      </c>
      <c r="C156" s="194">
        <v>-0.2</v>
      </c>
      <c r="D156" s="194">
        <v>-0.2</v>
      </c>
      <c r="E156" s="1133"/>
      <c r="F156" s="241"/>
      <c r="H156" s="209">
        <v>100</v>
      </c>
      <c r="I156" s="194">
        <v>-0.1</v>
      </c>
      <c r="J156" s="525">
        <v>-0.1</v>
      </c>
      <c r="K156" s="1148"/>
      <c r="L156" s="241"/>
      <c r="M156" s="209">
        <v>100</v>
      </c>
      <c r="N156" s="194">
        <v>-0.1</v>
      </c>
      <c r="O156" s="525">
        <v>-0.1</v>
      </c>
      <c r="P156" s="200">
        <v>0.1</v>
      </c>
      <c r="Q156" s="1148"/>
      <c r="R156" s="240"/>
      <c r="S156" s="209">
        <v>100</v>
      </c>
      <c r="T156" s="757">
        <v>-0.2</v>
      </c>
      <c r="U156" s="758">
        <v>-0.1</v>
      </c>
      <c r="V156" s="758">
        <v>-0.1</v>
      </c>
      <c r="W156" s="511">
        <v>0.05</v>
      </c>
      <c r="X156" s="200">
        <v>0.1</v>
      </c>
      <c r="Y156" s="779">
        <v>-0.2</v>
      </c>
      <c r="Z156" s="780">
        <v>-0.1</v>
      </c>
      <c r="AA156" s="780">
        <v>-0.1</v>
      </c>
      <c r="AB156" s="511">
        <v>0.05</v>
      </c>
      <c r="AC156" s="199">
        <v>0.1</v>
      </c>
      <c r="AD156" s="9" t="s">
        <v>342</v>
      </c>
      <c r="AE156" s="4" t="s">
        <v>706</v>
      </c>
      <c r="AF156" s="158">
        <f>ROWS(AE$10:$AE156)</f>
        <v>147</v>
      </c>
      <c r="AG156" s="158" t="str">
        <f>IF(ID!$A$83=AE156,AF156,"")</f>
        <v/>
      </c>
      <c r="AH156" s="158" t="str">
        <f>IFERROR(SMALL($AG$10:$AG$393,ROWS($AG$10:AG156)),"")</f>
        <v/>
      </c>
    </row>
    <row r="157" spans="2:34" x14ac:dyDescent="0.2">
      <c r="B157" s="209">
        <v>150</v>
      </c>
      <c r="C157" s="194">
        <v>-0.2</v>
      </c>
      <c r="D157" s="194">
        <v>-0.2</v>
      </c>
      <c r="E157" s="1133"/>
      <c r="F157" s="241"/>
      <c r="H157" s="209">
        <v>150</v>
      </c>
      <c r="I157" s="194">
        <v>0</v>
      </c>
      <c r="J157" s="525">
        <v>0</v>
      </c>
      <c r="K157" s="1148"/>
      <c r="L157" s="241"/>
      <c r="M157" s="209">
        <v>150</v>
      </c>
      <c r="N157" s="194">
        <v>0</v>
      </c>
      <c r="O157" s="525">
        <v>0</v>
      </c>
      <c r="P157" s="200">
        <v>0.1</v>
      </c>
      <c r="Q157" s="1148"/>
      <c r="R157" s="240"/>
      <c r="S157" s="209">
        <v>150</v>
      </c>
      <c r="T157" s="757">
        <v>-0.2</v>
      </c>
      <c r="U157" s="758">
        <v>0</v>
      </c>
      <c r="V157" s="758">
        <v>0</v>
      </c>
      <c r="W157" s="511">
        <v>0.1</v>
      </c>
      <c r="X157" s="200">
        <v>0.1</v>
      </c>
      <c r="Y157" s="779">
        <v>-0.2</v>
      </c>
      <c r="Z157" s="780">
        <v>0</v>
      </c>
      <c r="AA157" s="780">
        <v>0</v>
      </c>
      <c r="AB157" s="511">
        <v>0.1</v>
      </c>
      <c r="AC157" s="199">
        <v>0.1</v>
      </c>
      <c r="AD157" s="9" t="s">
        <v>342</v>
      </c>
      <c r="AE157" s="4" t="s">
        <v>706</v>
      </c>
      <c r="AF157" s="158">
        <f>ROWS(AE$10:$AE157)</f>
        <v>148</v>
      </c>
      <c r="AG157" s="158" t="str">
        <f>IF(ID!$A$83=AE157,AF157,"")</f>
        <v/>
      </c>
      <c r="AH157" s="158" t="str">
        <f>IFERROR(SMALL($AG$10:$AG$393,ROWS($AG$10:AG157)),"")</f>
        <v/>
      </c>
    </row>
    <row r="158" spans="2:34" x14ac:dyDescent="0.2">
      <c r="B158" s="209">
        <v>200</v>
      </c>
      <c r="C158" s="194">
        <v>-0.2</v>
      </c>
      <c r="D158" s="194">
        <v>-0.2</v>
      </c>
      <c r="E158" s="1133"/>
      <c r="F158" s="241"/>
      <c r="H158" s="209">
        <v>200</v>
      </c>
      <c r="I158" s="194">
        <v>-0.2</v>
      </c>
      <c r="J158" s="525">
        <v>-0.2</v>
      </c>
      <c r="K158" s="1148"/>
      <c r="L158" s="241"/>
      <c r="M158" s="209">
        <v>200</v>
      </c>
      <c r="N158" s="194">
        <v>-0.3</v>
      </c>
      <c r="O158" s="525">
        <v>-0.3</v>
      </c>
      <c r="P158" s="200">
        <v>0.1</v>
      </c>
      <c r="Q158" s="1148"/>
      <c r="R158" s="240"/>
      <c r="S158" s="209">
        <v>200</v>
      </c>
      <c r="T158" s="757">
        <v>-0.2</v>
      </c>
      <c r="U158" s="758">
        <v>-0.2</v>
      </c>
      <c r="V158" s="758">
        <v>-0.3</v>
      </c>
      <c r="W158" s="511">
        <v>4.9999999999999989E-2</v>
      </c>
      <c r="X158" s="200">
        <v>0.1</v>
      </c>
      <c r="Y158" s="779">
        <v>-0.2</v>
      </c>
      <c r="Z158" s="780">
        <v>-0.2</v>
      </c>
      <c r="AA158" s="780">
        <v>-0.3</v>
      </c>
      <c r="AB158" s="511">
        <v>4.9999999999999989E-2</v>
      </c>
      <c r="AC158" s="199">
        <v>0.1</v>
      </c>
      <c r="AD158" s="9" t="s">
        <v>342</v>
      </c>
      <c r="AE158" s="4" t="s">
        <v>706</v>
      </c>
      <c r="AF158" s="158">
        <f>ROWS(AE$10:$AE158)</f>
        <v>149</v>
      </c>
      <c r="AG158" s="158" t="str">
        <f>IF(ID!$A$83=AE158,AF158,"")</f>
        <v/>
      </c>
      <c r="AH158" s="158" t="str">
        <f>IFERROR(SMALL($AG$10:$AG$393,ROWS($AG$10:AG158)),"")</f>
        <v/>
      </c>
    </row>
    <row r="159" spans="2:34" x14ac:dyDescent="0.2">
      <c r="B159" s="209">
        <v>250</v>
      </c>
      <c r="C159" s="194">
        <v>-0.2</v>
      </c>
      <c r="D159" s="194">
        <v>-0.2</v>
      </c>
      <c r="E159" s="1133"/>
      <c r="F159" s="241"/>
      <c r="H159" s="209">
        <v>250</v>
      </c>
      <c r="I159" s="194">
        <v>0</v>
      </c>
      <c r="J159" s="525">
        <v>0</v>
      </c>
      <c r="K159" s="1148"/>
      <c r="L159" s="241"/>
      <c r="M159" s="209">
        <v>250</v>
      </c>
      <c r="N159" s="194">
        <v>-0.1</v>
      </c>
      <c r="O159" s="525">
        <v>-0.2</v>
      </c>
      <c r="P159" s="200">
        <v>0.1</v>
      </c>
      <c r="Q159" s="1148"/>
      <c r="R159" s="240"/>
      <c r="S159" s="209">
        <v>250</v>
      </c>
      <c r="T159" s="757">
        <v>-0.2</v>
      </c>
      <c r="U159" s="758">
        <v>0</v>
      </c>
      <c r="V159" s="758">
        <v>-0.1</v>
      </c>
      <c r="W159" s="511">
        <v>0.1</v>
      </c>
      <c r="X159" s="200">
        <v>0.1</v>
      </c>
      <c r="Y159" s="779">
        <v>-0.2</v>
      </c>
      <c r="Z159" s="780">
        <v>0</v>
      </c>
      <c r="AA159" s="780">
        <v>-0.2</v>
      </c>
      <c r="AB159" s="511">
        <v>0.1</v>
      </c>
      <c r="AC159" s="199">
        <v>0.1</v>
      </c>
      <c r="AD159" s="9" t="s">
        <v>342</v>
      </c>
      <c r="AE159" s="4" t="s">
        <v>706</v>
      </c>
      <c r="AF159" s="158">
        <f>ROWS(AE$10:$AE159)</f>
        <v>150</v>
      </c>
      <c r="AG159" s="158" t="str">
        <f>IF(ID!$A$83=AE159,AF159,"")</f>
        <v/>
      </c>
      <c r="AH159" s="158" t="str">
        <f>IFERROR(SMALL($AG$10:$AG$393,ROWS($AG$10:AG159)),"")</f>
        <v/>
      </c>
    </row>
    <row r="160" spans="2:34" x14ac:dyDescent="0.2">
      <c r="B160" s="209">
        <v>300</v>
      </c>
      <c r="C160" s="194">
        <v>-0.2</v>
      </c>
      <c r="D160" s="194">
        <v>-0.2</v>
      </c>
      <c r="E160" s="1134"/>
      <c r="F160" s="241"/>
      <c r="H160" s="209">
        <v>300</v>
      </c>
      <c r="I160" s="194">
        <v>0.1</v>
      </c>
      <c r="J160" s="525">
        <v>0</v>
      </c>
      <c r="K160" s="1149"/>
      <c r="L160" s="241"/>
      <c r="M160" s="209">
        <v>300</v>
      </c>
      <c r="N160" s="194">
        <v>0.1</v>
      </c>
      <c r="O160" s="525">
        <v>0</v>
      </c>
      <c r="P160" s="200">
        <v>0.1</v>
      </c>
      <c r="Q160" s="1149"/>
      <c r="R160" s="240"/>
      <c r="S160" s="209">
        <v>300</v>
      </c>
      <c r="T160" s="757">
        <v>-0.2</v>
      </c>
      <c r="U160" s="758">
        <v>0.1</v>
      </c>
      <c r="V160" s="758">
        <v>0.1</v>
      </c>
      <c r="W160" s="511">
        <v>0.15000000000000002</v>
      </c>
      <c r="X160" s="200">
        <v>0.1</v>
      </c>
      <c r="Y160" s="779">
        <v>-0.2</v>
      </c>
      <c r="Z160" s="780">
        <v>0</v>
      </c>
      <c r="AA160" s="780">
        <v>0</v>
      </c>
      <c r="AB160" s="511">
        <v>0.1</v>
      </c>
      <c r="AC160" s="199">
        <v>0.1</v>
      </c>
      <c r="AD160" s="9" t="s">
        <v>342</v>
      </c>
      <c r="AE160" s="4" t="s">
        <v>706</v>
      </c>
      <c r="AF160" s="158">
        <f>ROWS(AE$10:$AE160)</f>
        <v>151</v>
      </c>
      <c r="AG160" s="158" t="str">
        <f>IF(ID!$A$83=AE160,AF160,"")</f>
        <v/>
      </c>
      <c r="AH160" s="158" t="str">
        <f>IFERROR(SMALL($AG$10:$AG$393,ROWS($AG$10:AG160)),"")</f>
        <v/>
      </c>
    </row>
    <row r="161" spans="2:34" x14ac:dyDescent="0.2">
      <c r="S161" s="233" t="s">
        <v>106</v>
      </c>
      <c r="T161" s="771"/>
      <c r="U161" s="772" t="s">
        <v>106</v>
      </c>
      <c r="V161" s="772"/>
      <c r="W161" s="548"/>
      <c r="X161" s="202" t="s">
        <v>106</v>
      </c>
      <c r="Y161" s="784"/>
      <c r="Z161" s="784"/>
      <c r="AA161" s="784"/>
      <c r="AB161" s="548"/>
      <c r="AC161" s="202"/>
      <c r="AD161" s="11"/>
      <c r="AE161" s="4"/>
      <c r="AF161" s="158">
        <f>ROWS(AE$10:$AE161)</f>
        <v>152</v>
      </c>
      <c r="AG161" s="158" t="str">
        <f>IF(ID!$A$83=AE161,AF161,"")</f>
        <v/>
      </c>
      <c r="AH161" s="158" t="str">
        <f>IFERROR(SMALL($AG$10:$AG$393,ROWS($AG$10:AG161)),"")</f>
        <v/>
      </c>
    </row>
    <row r="162" spans="2:34" x14ac:dyDescent="0.2">
      <c r="E162" s="13"/>
      <c r="F162" s="13"/>
      <c r="K162" s="13"/>
      <c r="L162" s="13"/>
      <c r="N162" s="13"/>
      <c r="O162" s="13"/>
      <c r="Q162" s="13"/>
      <c r="R162" s="13"/>
      <c r="S162" s="233" t="s">
        <v>106</v>
      </c>
      <c r="T162" s="771"/>
      <c r="U162" s="772" t="s">
        <v>106</v>
      </c>
      <c r="V162" s="772"/>
      <c r="W162" s="548"/>
      <c r="X162" s="202" t="s">
        <v>106</v>
      </c>
      <c r="Y162" s="784"/>
      <c r="Z162" s="784"/>
      <c r="AA162" s="784"/>
      <c r="AB162" s="548"/>
      <c r="AC162" s="202"/>
      <c r="AD162" s="11"/>
      <c r="AE162" s="4"/>
      <c r="AF162" s="158">
        <f>ROWS(AE$10:$AE162)</f>
        <v>153</v>
      </c>
      <c r="AG162" s="158" t="str">
        <f>IF(ID!$A$83=AE162,AF162,"")</f>
        <v/>
      </c>
      <c r="AH162" s="158" t="str">
        <f>IFERROR(SMALL($AG$10:$AG$393,ROWS($AG$10:AG162)),"")</f>
        <v/>
      </c>
    </row>
    <row r="163" spans="2:34" x14ac:dyDescent="0.2">
      <c r="S163" s="233" t="s">
        <v>106</v>
      </c>
      <c r="T163" s="771"/>
      <c r="U163" s="772" t="s">
        <v>106</v>
      </c>
      <c r="V163" s="772"/>
      <c r="W163" s="548"/>
      <c r="X163" s="202" t="s">
        <v>106</v>
      </c>
      <c r="Y163" s="784"/>
      <c r="Z163" s="784"/>
      <c r="AA163" s="784"/>
      <c r="AB163" s="548"/>
      <c r="AC163" s="202"/>
      <c r="AD163" s="11"/>
      <c r="AE163" s="4"/>
      <c r="AF163" s="158">
        <f>ROWS(AE$10:$AE163)</f>
        <v>154</v>
      </c>
      <c r="AG163" s="158" t="str">
        <f>IF(ID!$A$83=AE163,AF163,"")</f>
        <v/>
      </c>
      <c r="AH163" s="158" t="str">
        <f>IFERROR(SMALL($AG$10:$AG$393,ROWS($AG$10:AG163)),"")</f>
        <v/>
      </c>
    </row>
    <row r="164" spans="2:34" x14ac:dyDescent="0.2">
      <c r="S164" s="233" t="s">
        <v>106</v>
      </c>
      <c r="T164" s="771"/>
      <c r="U164" s="772" t="s">
        <v>106</v>
      </c>
      <c r="V164" s="772"/>
      <c r="W164" s="548"/>
      <c r="X164" s="202" t="s">
        <v>106</v>
      </c>
      <c r="Y164" s="784"/>
      <c r="Z164" s="784"/>
      <c r="AA164" s="784"/>
      <c r="AB164" s="548"/>
      <c r="AC164" s="202"/>
      <c r="AD164" s="11"/>
      <c r="AE164" s="4"/>
      <c r="AF164" s="158">
        <f>ROWS(AE$10:$AE164)</f>
        <v>155</v>
      </c>
      <c r="AG164" s="158" t="str">
        <f>IF(ID!$A$83=AE164,AF164,"")</f>
        <v/>
      </c>
      <c r="AH164" s="158" t="str">
        <f>IFERROR(SMALL($AG$10:$AG$393,ROWS($AG$10:AG164)),"")</f>
        <v/>
      </c>
    </row>
    <row r="165" spans="2:34" s="526" customFormat="1" x14ac:dyDescent="0.2">
      <c r="C165" s="532"/>
      <c r="D165" s="538"/>
      <c r="I165" s="532"/>
      <c r="J165" s="538"/>
      <c r="S165" s="527"/>
      <c r="T165" s="753"/>
      <c r="U165" s="754"/>
      <c r="V165" s="754"/>
      <c r="W165" s="543"/>
      <c r="Y165" s="775"/>
      <c r="Z165" s="775"/>
      <c r="AA165" s="775"/>
      <c r="AB165" s="543"/>
      <c r="AF165" s="158">
        <f>ROWS(AE$10:$AE165)</f>
        <v>156</v>
      </c>
      <c r="AG165" s="158" t="str">
        <f>IF(ID!$A$83=AE165,AF165,"")</f>
        <v/>
      </c>
      <c r="AH165" s="158" t="str">
        <f>IFERROR(SMALL($AG$10:$AG$393,ROWS($AG$10:AG165)),"")</f>
        <v/>
      </c>
    </row>
    <row r="166" spans="2:34" s="526" customFormat="1" x14ac:dyDescent="0.2">
      <c r="C166" s="532"/>
      <c r="D166" s="538"/>
      <c r="I166" s="532"/>
      <c r="J166" s="538"/>
      <c r="S166" s="527"/>
      <c r="T166" s="753"/>
      <c r="U166" s="754"/>
      <c r="V166" s="754"/>
      <c r="W166" s="543"/>
      <c r="Y166" s="775"/>
      <c r="Z166" s="775"/>
      <c r="AA166" s="775"/>
      <c r="AB166" s="543"/>
      <c r="AF166" s="158">
        <f>ROWS(AE$10:$AE166)</f>
        <v>157</v>
      </c>
      <c r="AG166" s="158" t="str">
        <f>IF(ID!$A$83=AE166,AF166,"")</f>
        <v/>
      </c>
      <c r="AH166" s="158" t="str">
        <f>IFERROR(SMALL($AG$10:$AG$393,ROWS($AG$10:AG166)),"")</f>
        <v/>
      </c>
    </row>
    <row r="167" spans="2:34" x14ac:dyDescent="0.2">
      <c r="S167" s="228"/>
      <c r="T167" s="759"/>
      <c r="U167" s="760"/>
      <c r="V167" s="761"/>
      <c r="W167" s="546" t="s">
        <v>245</v>
      </c>
      <c r="AB167" s="546" t="s">
        <v>245</v>
      </c>
      <c r="AF167" s="158">
        <f>ROWS(AE$10:$AE167)</f>
        <v>158</v>
      </c>
      <c r="AG167" s="158" t="str">
        <f>IF(ID!$A$83=AE167,AF167,"")</f>
        <v/>
      </c>
      <c r="AH167" s="158" t="str">
        <f>IFERROR(SMALL($AG$10:$AG$393,ROWS($AG$10:AG167)),"")</f>
        <v/>
      </c>
    </row>
    <row r="168" spans="2:34" x14ac:dyDescent="0.2">
      <c r="B168" s="209">
        <v>0</v>
      </c>
      <c r="C168" s="194" t="s">
        <v>136</v>
      </c>
      <c r="D168" s="525" t="s">
        <v>136</v>
      </c>
      <c r="E168" s="1129" t="s">
        <v>136</v>
      </c>
      <c r="F168" s="241"/>
      <c r="H168" s="209">
        <v>0</v>
      </c>
      <c r="I168" s="194" t="s">
        <v>136</v>
      </c>
      <c r="J168" s="525" t="s">
        <v>136</v>
      </c>
      <c r="K168" s="1129" t="s">
        <v>136</v>
      </c>
      <c r="L168" s="241"/>
      <c r="M168" s="209">
        <v>0</v>
      </c>
      <c r="N168" s="194">
        <v>0</v>
      </c>
      <c r="O168" s="194">
        <v>0</v>
      </c>
      <c r="P168" s="12">
        <v>0.1</v>
      </c>
      <c r="Q168" s="1147" t="s">
        <v>389</v>
      </c>
      <c r="R168" s="240"/>
      <c r="S168" s="209">
        <v>0</v>
      </c>
      <c r="T168" s="757" t="s">
        <v>136</v>
      </c>
      <c r="U168" s="758" t="s">
        <v>136</v>
      </c>
      <c r="V168" s="758">
        <v>0</v>
      </c>
      <c r="W168" s="511">
        <v>3.3333333333333333E-2</v>
      </c>
      <c r="X168" s="200">
        <v>0.1</v>
      </c>
      <c r="Y168" s="779" t="s">
        <v>136</v>
      </c>
      <c r="Z168" s="780" t="s">
        <v>136</v>
      </c>
      <c r="AA168" s="780">
        <v>0</v>
      </c>
      <c r="AB168" s="511">
        <v>3.3333333333333333E-2</v>
      </c>
      <c r="AC168" s="12">
        <v>0.1</v>
      </c>
      <c r="AD168" s="9" t="s">
        <v>342</v>
      </c>
      <c r="AE168" s="4" t="s">
        <v>709</v>
      </c>
      <c r="AF168" s="158">
        <f>ROWS(AE$10:$AE168)</f>
        <v>159</v>
      </c>
      <c r="AG168" s="158" t="str">
        <f>IF(ID!$A$83=AE168,AF168,"")</f>
        <v/>
      </c>
      <c r="AH168" s="158" t="str">
        <f>IFERROR(SMALL($AG$10:$AG$393,ROWS($AG$10:AG168)),"")</f>
        <v/>
      </c>
    </row>
    <row r="169" spans="2:34" x14ac:dyDescent="0.2">
      <c r="B169" s="209">
        <v>50</v>
      </c>
      <c r="C169" s="194" t="s">
        <v>136</v>
      </c>
      <c r="D169" s="525" t="s">
        <v>136</v>
      </c>
      <c r="E169" s="1130"/>
      <c r="F169" s="241"/>
      <c r="H169" s="209">
        <v>50</v>
      </c>
      <c r="I169" s="194" t="s">
        <v>136</v>
      </c>
      <c r="J169" s="525" t="s">
        <v>136</v>
      </c>
      <c r="K169" s="1130"/>
      <c r="L169" s="241"/>
      <c r="M169" s="209">
        <v>50</v>
      </c>
      <c r="N169" s="194">
        <v>0</v>
      </c>
      <c r="O169" s="194">
        <v>0.3</v>
      </c>
      <c r="P169" s="12">
        <v>0.1</v>
      </c>
      <c r="Q169" s="1148"/>
      <c r="R169" s="240"/>
      <c r="S169" s="209">
        <v>50</v>
      </c>
      <c r="T169" s="757" t="s">
        <v>136</v>
      </c>
      <c r="U169" s="758" t="s">
        <v>136</v>
      </c>
      <c r="V169" s="758">
        <v>0</v>
      </c>
      <c r="W169" s="511">
        <v>3.3333333333333333E-2</v>
      </c>
      <c r="X169" s="200">
        <v>0.1</v>
      </c>
      <c r="Y169" s="779" t="s">
        <v>136</v>
      </c>
      <c r="Z169" s="780" t="s">
        <v>136</v>
      </c>
      <c r="AA169" s="780">
        <v>0.3</v>
      </c>
      <c r="AB169" s="511">
        <v>3.3333333333333333E-2</v>
      </c>
      <c r="AC169" s="12">
        <v>0.1</v>
      </c>
      <c r="AD169" s="9" t="s">
        <v>342</v>
      </c>
      <c r="AE169" s="4" t="s">
        <v>265</v>
      </c>
      <c r="AF169" s="158">
        <f>ROWS(AE$10:$AE169)</f>
        <v>160</v>
      </c>
      <c r="AG169" s="158" t="str">
        <f>IF(ID!$A$83=AE169,AF169,"")</f>
        <v/>
      </c>
      <c r="AH169" s="158" t="str">
        <f>IFERROR(SMALL($AG$10:$AG$393,ROWS($AG$10:AG169)),"")</f>
        <v/>
      </c>
    </row>
    <row r="170" spans="2:34" x14ac:dyDescent="0.2">
      <c r="B170" s="209">
        <v>100</v>
      </c>
      <c r="C170" s="194" t="s">
        <v>136</v>
      </c>
      <c r="D170" s="525" t="s">
        <v>136</v>
      </c>
      <c r="E170" s="1130"/>
      <c r="F170" s="241"/>
      <c r="H170" s="209">
        <v>100</v>
      </c>
      <c r="I170" s="194" t="s">
        <v>136</v>
      </c>
      <c r="J170" s="525" t="s">
        <v>136</v>
      </c>
      <c r="K170" s="1130"/>
      <c r="L170" s="241"/>
      <c r="M170" s="209">
        <v>100</v>
      </c>
      <c r="N170" s="194">
        <v>0</v>
      </c>
      <c r="O170" s="194">
        <v>0.1</v>
      </c>
      <c r="P170" s="12">
        <v>0.1</v>
      </c>
      <c r="Q170" s="1148"/>
      <c r="R170" s="240"/>
      <c r="S170" s="209">
        <v>100</v>
      </c>
      <c r="T170" s="757" t="s">
        <v>136</v>
      </c>
      <c r="U170" s="758" t="s">
        <v>136</v>
      </c>
      <c r="V170" s="758">
        <v>0</v>
      </c>
      <c r="W170" s="511">
        <v>3.3333333333333333E-2</v>
      </c>
      <c r="X170" s="200">
        <v>0.1</v>
      </c>
      <c r="Y170" s="779" t="s">
        <v>136</v>
      </c>
      <c r="Z170" s="780" t="s">
        <v>136</v>
      </c>
      <c r="AA170" s="780">
        <v>0.1</v>
      </c>
      <c r="AB170" s="511">
        <v>3.3333333333333333E-2</v>
      </c>
      <c r="AC170" s="12">
        <v>0.1</v>
      </c>
      <c r="AD170" s="9" t="s">
        <v>342</v>
      </c>
      <c r="AE170" s="4" t="s">
        <v>265</v>
      </c>
      <c r="AF170" s="158">
        <f>ROWS(AE$10:$AE170)</f>
        <v>161</v>
      </c>
      <c r="AG170" s="158" t="str">
        <f>IF(ID!$A$83=AE170,AF170,"")</f>
        <v/>
      </c>
      <c r="AH170" s="158" t="str">
        <f>IFERROR(SMALL($AG$10:$AG$393,ROWS($AG$10:AG170)),"")</f>
        <v/>
      </c>
    </row>
    <row r="171" spans="2:34" x14ac:dyDescent="0.2">
      <c r="B171" s="209">
        <v>150</v>
      </c>
      <c r="C171" s="194" t="s">
        <v>136</v>
      </c>
      <c r="D171" s="525" t="s">
        <v>136</v>
      </c>
      <c r="E171" s="1130"/>
      <c r="F171" s="241"/>
      <c r="H171" s="209">
        <v>150</v>
      </c>
      <c r="I171" s="194" t="s">
        <v>136</v>
      </c>
      <c r="J171" s="525" t="s">
        <v>136</v>
      </c>
      <c r="K171" s="1130"/>
      <c r="L171" s="241"/>
      <c r="M171" s="209">
        <v>150</v>
      </c>
      <c r="N171" s="194">
        <v>-0.1</v>
      </c>
      <c r="O171" s="194">
        <v>0</v>
      </c>
      <c r="P171" s="12">
        <v>0.1</v>
      </c>
      <c r="Q171" s="1148"/>
      <c r="R171" s="240"/>
      <c r="S171" s="209">
        <v>150</v>
      </c>
      <c r="T171" s="757" t="s">
        <v>136</v>
      </c>
      <c r="U171" s="758" t="s">
        <v>136</v>
      </c>
      <c r="V171" s="758">
        <v>-0.1</v>
      </c>
      <c r="W171" s="511">
        <v>3.3333333333333333E-2</v>
      </c>
      <c r="X171" s="200">
        <v>0.1</v>
      </c>
      <c r="Y171" s="779" t="s">
        <v>136</v>
      </c>
      <c r="Z171" s="780" t="s">
        <v>136</v>
      </c>
      <c r="AA171" s="780">
        <v>0</v>
      </c>
      <c r="AB171" s="511">
        <v>3.3333333333333333E-2</v>
      </c>
      <c r="AC171" s="12">
        <v>0.1</v>
      </c>
      <c r="AD171" s="9" t="s">
        <v>342</v>
      </c>
      <c r="AE171" s="4" t="s">
        <v>265</v>
      </c>
      <c r="AF171" s="158">
        <f>ROWS(AE$10:$AE171)</f>
        <v>162</v>
      </c>
      <c r="AG171" s="158" t="str">
        <f>IF(ID!$A$83=AE171,AF171,"")</f>
        <v/>
      </c>
      <c r="AH171" s="158" t="str">
        <f>IFERROR(SMALL($AG$10:$AG$393,ROWS($AG$10:AG171)),"")</f>
        <v/>
      </c>
    </row>
    <row r="172" spans="2:34" x14ac:dyDescent="0.2">
      <c r="B172" s="209">
        <v>200</v>
      </c>
      <c r="C172" s="194" t="s">
        <v>136</v>
      </c>
      <c r="D172" s="525" t="s">
        <v>136</v>
      </c>
      <c r="E172" s="1130"/>
      <c r="F172" s="241"/>
      <c r="H172" s="209">
        <v>200</v>
      </c>
      <c r="I172" s="194" t="s">
        <v>136</v>
      </c>
      <c r="J172" s="525" t="s">
        <v>136</v>
      </c>
      <c r="K172" s="1130"/>
      <c r="L172" s="241"/>
      <c r="M172" s="209">
        <v>200</v>
      </c>
      <c r="N172" s="194">
        <v>-0.1</v>
      </c>
      <c r="O172" s="194">
        <v>-0.1</v>
      </c>
      <c r="P172" s="12">
        <v>0.1</v>
      </c>
      <c r="Q172" s="1148"/>
      <c r="R172" s="240"/>
      <c r="S172" s="209">
        <v>200</v>
      </c>
      <c r="T172" s="757" t="s">
        <v>136</v>
      </c>
      <c r="U172" s="758" t="s">
        <v>136</v>
      </c>
      <c r="V172" s="758">
        <v>-0.1</v>
      </c>
      <c r="W172" s="511">
        <v>3.3333333333333333E-2</v>
      </c>
      <c r="X172" s="200">
        <v>0.1</v>
      </c>
      <c r="Y172" s="779" t="s">
        <v>136</v>
      </c>
      <c r="Z172" s="780" t="s">
        <v>136</v>
      </c>
      <c r="AA172" s="780">
        <v>-0.1</v>
      </c>
      <c r="AB172" s="511">
        <v>3.3333333333333333E-2</v>
      </c>
      <c r="AC172" s="12">
        <v>0.1</v>
      </c>
      <c r="AD172" s="9" t="s">
        <v>342</v>
      </c>
      <c r="AE172" s="4" t="s">
        <v>265</v>
      </c>
      <c r="AF172" s="158">
        <f>ROWS(AE$10:$AE172)</f>
        <v>163</v>
      </c>
      <c r="AG172" s="158" t="str">
        <f>IF(ID!$A$83=AE172,AF172,"")</f>
        <v/>
      </c>
      <c r="AH172" s="158" t="str">
        <f>IFERROR(SMALL($AG$10:$AG$393,ROWS($AG$10:AG172)),"")</f>
        <v/>
      </c>
    </row>
    <row r="173" spans="2:34" x14ac:dyDescent="0.2">
      <c r="B173" s="209">
        <v>250</v>
      </c>
      <c r="C173" s="194" t="s">
        <v>136</v>
      </c>
      <c r="D173" s="525" t="s">
        <v>136</v>
      </c>
      <c r="E173" s="1130"/>
      <c r="F173" s="241"/>
      <c r="H173" s="209">
        <v>250</v>
      </c>
      <c r="I173" s="194" t="s">
        <v>136</v>
      </c>
      <c r="J173" s="525" t="s">
        <v>136</v>
      </c>
      <c r="K173" s="1130"/>
      <c r="L173" s="241"/>
      <c r="M173" s="209">
        <v>250</v>
      </c>
      <c r="N173" s="194">
        <v>-0.4</v>
      </c>
      <c r="O173" s="194">
        <v>-0.4</v>
      </c>
      <c r="P173" s="12">
        <v>0.1</v>
      </c>
      <c r="Q173" s="1148"/>
      <c r="R173" s="240"/>
      <c r="S173" s="209">
        <v>250</v>
      </c>
      <c r="T173" s="757" t="s">
        <v>136</v>
      </c>
      <c r="U173" s="758" t="s">
        <v>136</v>
      </c>
      <c r="V173" s="758">
        <v>-0.4</v>
      </c>
      <c r="W173" s="511">
        <v>3.3333333333333333E-2</v>
      </c>
      <c r="X173" s="200">
        <v>0.1</v>
      </c>
      <c r="Y173" s="779" t="s">
        <v>136</v>
      </c>
      <c r="Z173" s="780" t="s">
        <v>136</v>
      </c>
      <c r="AA173" s="780">
        <v>-0.4</v>
      </c>
      <c r="AB173" s="511">
        <v>3.3333333333333333E-2</v>
      </c>
      <c r="AC173" s="12">
        <v>0.1</v>
      </c>
      <c r="AD173" s="9" t="s">
        <v>342</v>
      </c>
      <c r="AE173" s="4" t="s">
        <v>265</v>
      </c>
      <c r="AF173" s="158">
        <f>ROWS(AE$10:$AE173)</f>
        <v>164</v>
      </c>
      <c r="AG173" s="158" t="str">
        <f>IF(ID!$A$83=AE173,AF173,"")</f>
        <v/>
      </c>
      <c r="AH173" s="158" t="str">
        <f>IFERROR(SMALL($AG$10:$AG$393,ROWS($AG$10:AG173)),"")</f>
        <v/>
      </c>
    </row>
    <row r="174" spans="2:34" x14ac:dyDescent="0.2">
      <c r="B174" s="209">
        <v>300</v>
      </c>
      <c r="C174" s="194" t="s">
        <v>136</v>
      </c>
      <c r="D174" s="525" t="s">
        <v>136</v>
      </c>
      <c r="E174" s="1131"/>
      <c r="F174" s="241"/>
      <c r="H174" s="209">
        <v>300</v>
      </c>
      <c r="I174" s="194" t="s">
        <v>136</v>
      </c>
      <c r="J174" s="525" t="s">
        <v>136</v>
      </c>
      <c r="K174" s="1131"/>
      <c r="L174" s="241"/>
      <c r="M174" s="209">
        <v>300</v>
      </c>
      <c r="N174" s="194">
        <v>-0.7</v>
      </c>
      <c r="O174" s="194">
        <v>0.6</v>
      </c>
      <c r="P174" s="12">
        <v>0.1</v>
      </c>
      <c r="Q174" s="1149"/>
      <c r="R174" s="240"/>
      <c r="S174" s="209">
        <v>300</v>
      </c>
      <c r="T174" s="757" t="s">
        <v>136</v>
      </c>
      <c r="U174" s="758" t="s">
        <v>136</v>
      </c>
      <c r="V174" s="758">
        <v>-0.7</v>
      </c>
      <c r="W174" s="511">
        <v>3.3333333333333333E-2</v>
      </c>
      <c r="X174" s="200">
        <v>0.1</v>
      </c>
      <c r="Y174" s="779" t="s">
        <v>136</v>
      </c>
      <c r="Z174" s="780" t="s">
        <v>136</v>
      </c>
      <c r="AA174" s="780">
        <v>0.6</v>
      </c>
      <c r="AB174" s="511">
        <v>3.3333333333333333E-2</v>
      </c>
      <c r="AC174" s="12">
        <v>0.1</v>
      </c>
      <c r="AD174" s="9" t="s">
        <v>342</v>
      </c>
      <c r="AE174" s="4" t="s">
        <v>265</v>
      </c>
      <c r="AF174" s="158">
        <f>ROWS(AE$10:$AE174)</f>
        <v>165</v>
      </c>
      <c r="AG174" s="158" t="str">
        <f>IF(ID!$A$83=AE174,AF174,"")</f>
        <v/>
      </c>
      <c r="AH174" s="158" t="str">
        <f>IFERROR(SMALL($AG$10:$AG$393,ROWS($AG$10:AG174)),"")</f>
        <v/>
      </c>
    </row>
    <row r="175" spans="2:34" x14ac:dyDescent="0.2">
      <c r="S175" s="233" t="s">
        <v>106</v>
      </c>
      <c r="T175" s="771"/>
      <c r="U175" s="772"/>
      <c r="V175" s="772"/>
      <c r="W175" s="548"/>
      <c r="X175" s="202"/>
      <c r="Y175" s="784"/>
      <c r="Z175" s="784"/>
      <c r="AA175" s="784"/>
      <c r="AB175" s="548"/>
      <c r="AC175" s="202"/>
      <c r="AD175" s="96"/>
      <c r="AE175" s="4"/>
      <c r="AF175" s="158">
        <f>ROWS(AE$10:$AE175)</f>
        <v>166</v>
      </c>
      <c r="AG175" s="158" t="str">
        <f>IF(ID!$A$83=AE175,AF175,"")</f>
        <v/>
      </c>
      <c r="AH175" s="158" t="str">
        <f>IFERROR(SMALL($AG$10:$AG$393,ROWS($AG$10:AG175)),"")</f>
        <v/>
      </c>
    </row>
    <row r="176" spans="2:34" x14ac:dyDescent="0.2">
      <c r="E176" s="13"/>
      <c r="F176" s="13"/>
      <c r="K176" s="13"/>
      <c r="L176" s="13"/>
      <c r="N176" s="13"/>
      <c r="O176" s="13"/>
      <c r="Q176" s="13"/>
      <c r="R176" s="13"/>
      <c r="S176" s="233" t="s">
        <v>106</v>
      </c>
      <c r="T176" s="771"/>
      <c r="U176" s="772" t="s">
        <v>106</v>
      </c>
      <c r="V176" s="772"/>
      <c r="W176" s="548"/>
      <c r="X176" s="202" t="s">
        <v>106</v>
      </c>
      <c r="Y176" s="784"/>
      <c r="Z176" s="784"/>
      <c r="AA176" s="784"/>
      <c r="AB176" s="548"/>
      <c r="AC176" s="202"/>
      <c r="AD176" s="96"/>
      <c r="AE176" s="4"/>
      <c r="AF176" s="158">
        <f>ROWS(AE$10:$AE176)</f>
        <v>167</v>
      </c>
      <c r="AG176" s="158" t="str">
        <f>IF(ID!$A$83=AE176,AF176,"")</f>
        <v/>
      </c>
      <c r="AH176" s="158" t="str">
        <f>IFERROR(SMALL($AG$10:$AG$393,ROWS($AG$10:AG176)),"")</f>
        <v/>
      </c>
    </row>
    <row r="177" spans="1:34" x14ac:dyDescent="0.2">
      <c r="S177" s="233" t="s">
        <v>106</v>
      </c>
      <c r="T177" s="771"/>
      <c r="U177" s="772" t="s">
        <v>106</v>
      </c>
      <c r="V177" s="772"/>
      <c r="W177" s="548"/>
      <c r="X177" s="202" t="s">
        <v>106</v>
      </c>
      <c r="Y177" s="784"/>
      <c r="Z177" s="784"/>
      <c r="AA177" s="784"/>
      <c r="AB177" s="548"/>
      <c r="AC177" s="202"/>
      <c r="AD177" s="96"/>
      <c r="AE177" s="4"/>
      <c r="AF177" s="158">
        <f>ROWS(AE$10:$AE177)</f>
        <v>168</v>
      </c>
      <c r="AG177" s="158" t="str">
        <f>IF(ID!$A$83=AE177,AF177,"")</f>
        <v/>
      </c>
      <c r="AH177" s="158" t="str">
        <f>IFERROR(SMALL($AG$10:$AG$393,ROWS($AG$10:AG177)),"")</f>
        <v/>
      </c>
    </row>
    <row r="178" spans="1:34" x14ac:dyDescent="0.2">
      <c r="S178" s="233" t="s">
        <v>106</v>
      </c>
      <c r="T178" s="771"/>
      <c r="U178" s="772" t="s">
        <v>106</v>
      </c>
      <c r="V178" s="772"/>
      <c r="W178" s="548"/>
      <c r="X178" s="202" t="s">
        <v>106</v>
      </c>
      <c r="Y178" s="784"/>
      <c r="Z178" s="784"/>
      <c r="AA178" s="784"/>
      <c r="AB178" s="548"/>
      <c r="AC178" s="202"/>
      <c r="AD178" s="96"/>
      <c r="AE178" s="4"/>
      <c r="AF178" s="158">
        <f>ROWS(AE$10:$AE178)</f>
        <v>169</v>
      </c>
      <c r="AG178" s="158" t="str">
        <f>IF(ID!$A$83=AE178,AF178,"")</f>
        <v/>
      </c>
      <c r="AH178" s="158" t="str">
        <f>IFERROR(SMALL($AG$10:$AG$393,ROWS($AG$10:AG178)),"")</f>
        <v/>
      </c>
    </row>
    <row r="179" spans="1:34" x14ac:dyDescent="0.2">
      <c r="E179" s="13"/>
      <c r="F179" s="13"/>
      <c r="K179" s="13"/>
      <c r="L179" s="13"/>
      <c r="N179" s="13"/>
      <c r="O179" s="13"/>
      <c r="Q179" s="13"/>
      <c r="R179" s="13"/>
      <c r="S179" s="234"/>
      <c r="AD179" s="13"/>
      <c r="AE179" s="13"/>
      <c r="AF179" s="158">
        <f>ROWS(AE$10:$AE179)</f>
        <v>170</v>
      </c>
      <c r="AG179" s="158" t="str">
        <f>IF(ID!$A$83=AE179,AF179,"")</f>
        <v/>
      </c>
      <c r="AH179" s="158" t="str">
        <f>IFERROR(SMALL($AG$10:$AG$393,ROWS($AG$10:AG179)),"")</f>
        <v/>
      </c>
    </row>
    <row r="180" spans="1:34" s="526" customFormat="1" x14ac:dyDescent="0.2">
      <c r="C180" s="532"/>
      <c r="D180" s="538"/>
      <c r="I180" s="532"/>
      <c r="J180" s="538"/>
      <c r="S180" s="527"/>
      <c r="T180" s="753"/>
      <c r="U180" s="754"/>
      <c r="V180" s="754"/>
      <c r="W180" s="543"/>
      <c r="Y180" s="775"/>
      <c r="Z180" s="775"/>
      <c r="AA180" s="775"/>
      <c r="AB180" s="543"/>
      <c r="AF180" s="158">
        <f>ROWS(AE$10:$AE180)</f>
        <v>171</v>
      </c>
      <c r="AG180" s="158" t="str">
        <f>IF(ID!$A$83=AE180,AF180,"")</f>
        <v/>
      </c>
      <c r="AH180" s="158" t="str">
        <f>IFERROR(SMALL($AG$10:$AG$393,ROWS($AG$10:AG180)),"")</f>
        <v/>
      </c>
    </row>
    <row r="181" spans="1:34" s="526" customFormat="1" x14ac:dyDescent="0.2">
      <c r="C181" s="532"/>
      <c r="D181" s="538"/>
      <c r="I181" s="532"/>
      <c r="J181" s="538"/>
      <c r="S181" s="527"/>
      <c r="T181" s="753"/>
      <c r="U181" s="754"/>
      <c r="V181" s="754"/>
      <c r="W181" s="543"/>
      <c r="Y181" s="775"/>
      <c r="Z181" s="775"/>
      <c r="AA181" s="775"/>
      <c r="AB181" s="543"/>
      <c r="AF181" s="158">
        <f>ROWS(AE$10:$AE181)</f>
        <v>172</v>
      </c>
      <c r="AG181" s="158" t="str">
        <f>IF(ID!$A$83=AE181,AF181,"")</f>
        <v/>
      </c>
      <c r="AH181" s="158" t="str">
        <f>IFERROR(SMALL($AG$10:$AG$393,ROWS($AG$10:AG181)),"")</f>
        <v/>
      </c>
    </row>
    <row r="182" spans="1:34" x14ac:dyDescent="0.2">
      <c r="S182" s="228"/>
      <c r="T182" s="759"/>
      <c r="U182" s="760"/>
      <c r="V182" s="761"/>
      <c r="W182" s="546"/>
      <c r="AB182" s="546"/>
      <c r="AF182" s="158">
        <f>ROWS(AE$10:$AE182)</f>
        <v>173</v>
      </c>
      <c r="AG182" s="158" t="str">
        <f>IF(ID!$A$83=AE182,AF182,"")</f>
        <v/>
      </c>
      <c r="AH182" s="158" t="str">
        <f>IFERROR(SMALL($AG$10:$AG$393,ROWS($AG$10:AG182)),"")</f>
        <v/>
      </c>
    </row>
    <row r="183" spans="1:34" x14ac:dyDescent="0.2">
      <c r="A183" s="1108" t="s">
        <v>773</v>
      </c>
      <c r="B183" s="209">
        <v>0</v>
      </c>
      <c r="C183" s="194">
        <v>0</v>
      </c>
      <c r="D183" s="525">
        <v>0</v>
      </c>
      <c r="E183" s="1132" t="s">
        <v>387</v>
      </c>
      <c r="F183" s="241"/>
      <c r="G183" s="1108" t="s">
        <v>774</v>
      </c>
      <c r="H183" s="209">
        <v>0</v>
      </c>
      <c r="I183" s="194">
        <v>0</v>
      </c>
      <c r="J183" s="525">
        <v>0</v>
      </c>
      <c r="K183" s="1129" t="s">
        <v>384</v>
      </c>
      <c r="L183" s="241" t="s">
        <v>775</v>
      </c>
      <c r="M183" s="209">
        <v>0</v>
      </c>
      <c r="N183" s="194">
        <v>0</v>
      </c>
      <c r="O183" s="525">
        <v>0</v>
      </c>
      <c r="P183" s="200">
        <v>0.4</v>
      </c>
      <c r="Q183" s="1147" t="s">
        <v>778</v>
      </c>
      <c r="R183" s="240"/>
      <c r="S183" s="209">
        <v>0</v>
      </c>
      <c r="T183" s="757">
        <v>0</v>
      </c>
      <c r="U183" s="758">
        <v>0</v>
      </c>
      <c r="V183" s="758">
        <v>0</v>
      </c>
      <c r="W183" s="511">
        <v>0</v>
      </c>
      <c r="X183" s="200">
        <v>0.4</v>
      </c>
      <c r="Y183" s="779">
        <v>0</v>
      </c>
      <c r="Z183" s="780">
        <v>0</v>
      </c>
      <c r="AA183" s="780">
        <v>0</v>
      </c>
      <c r="AB183" s="511">
        <v>0</v>
      </c>
      <c r="AC183" s="199">
        <v>0.4</v>
      </c>
      <c r="AD183" s="9" t="s">
        <v>342</v>
      </c>
      <c r="AE183" s="4" t="s">
        <v>707</v>
      </c>
      <c r="AF183" s="158">
        <f>ROWS(AE$10:$AE183)</f>
        <v>174</v>
      </c>
      <c r="AG183" s="158" t="str">
        <f>IF(ID!$A$83=AE183,AF183,"")</f>
        <v/>
      </c>
      <c r="AH183" s="158" t="str">
        <f>IFERROR(SMALL($AG$10:$AG$393,ROWS($AG$10:AG183)),"")</f>
        <v/>
      </c>
    </row>
    <row r="184" spans="1:34" x14ac:dyDescent="0.2">
      <c r="B184" s="209">
        <v>50</v>
      </c>
      <c r="C184" s="194">
        <v>0.1</v>
      </c>
      <c r="D184" s="525">
        <v>0.1</v>
      </c>
      <c r="E184" s="1133"/>
      <c r="F184" s="241"/>
      <c r="H184" s="209">
        <v>50</v>
      </c>
      <c r="I184" s="194">
        <v>0.2</v>
      </c>
      <c r="J184" s="525">
        <v>0.2</v>
      </c>
      <c r="K184" s="1130"/>
      <c r="L184" s="241"/>
      <c r="M184" s="209">
        <v>50</v>
      </c>
      <c r="N184" s="194">
        <v>-0.1</v>
      </c>
      <c r="O184" s="525">
        <v>-0.1</v>
      </c>
      <c r="P184" s="200">
        <v>0.4</v>
      </c>
      <c r="Q184" s="1148"/>
      <c r="R184" s="240"/>
      <c r="S184" s="209">
        <v>50</v>
      </c>
      <c r="T184" s="757">
        <v>0.1</v>
      </c>
      <c r="U184" s="758">
        <v>0.2</v>
      </c>
      <c r="V184" s="758">
        <v>-0.1</v>
      </c>
      <c r="W184" s="511">
        <v>0.15000000000000002</v>
      </c>
      <c r="X184" s="200">
        <v>0.4</v>
      </c>
      <c r="Y184" s="779">
        <v>0.1</v>
      </c>
      <c r="Z184" s="780">
        <v>0.2</v>
      </c>
      <c r="AA184" s="780">
        <v>-0.1</v>
      </c>
      <c r="AB184" s="511">
        <v>0.15000000000000002</v>
      </c>
      <c r="AC184" s="199">
        <v>0.4</v>
      </c>
      <c r="AD184" s="9" t="s">
        <v>342</v>
      </c>
      <c r="AE184" s="4" t="s">
        <v>707</v>
      </c>
      <c r="AF184" s="158">
        <f>ROWS(AE$10:$AE184)</f>
        <v>175</v>
      </c>
      <c r="AG184" s="158" t="str">
        <f>IF(ID!$A$83=AE184,AF184,"")</f>
        <v/>
      </c>
      <c r="AH184" s="158" t="str">
        <f>IFERROR(SMALL($AG$10:$AG$393,ROWS($AG$10:AG184)),"")</f>
        <v/>
      </c>
    </row>
    <row r="185" spans="1:34" x14ac:dyDescent="0.2">
      <c r="B185" s="209">
        <v>100</v>
      </c>
      <c r="C185" s="194">
        <v>0.1</v>
      </c>
      <c r="D185" s="525">
        <v>0.1</v>
      </c>
      <c r="E185" s="1133"/>
      <c r="F185" s="241"/>
      <c r="H185" s="209">
        <v>100</v>
      </c>
      <c r="I185" s="194">
        <v>0.2</v>
      </c>
      <c r="J185" s="525">
        <v>0.3</v>
      </c>
      <c r="K185" s="1130"/>
      <c r="L185" s="241"/>
      <c r="M185" s="209">
        <v>100</v>
      </c>
      <c r="N185" s="194">
        <v>-0.2</v>
      </c>
      <c r="O185" s="525">
        <v>-0.2</v>
      </c>
      <c r="P185" s="200">
        <v>0.4</v>
      </c>
      <c r="Q185" s="1148"/>
      <c r="R185" s="240"/>
      <c r="S185" s="209">
        <v>100</v>
      </c>
      <c r="T185" s="757">
        <v>0.1</v>
      </c>
      <c r="U185" s="758">
        <v>0.2</v>
      </c>
      <c r="V185" s="758">
        <v>-0.2</v>
      </c>
      <c r="W185" s="511">
        <v>0.2</v>
      </c>
      <c r="X185" s="200">
        <v>0.4</v>
      </c>
      <c r="Y185" s="779">
        <v>0.1</v>
      </c>
      <c r="Z185" s="780">
        <v>0.3</v>
      </c>
      <c r="AA185" s="780">
        <v>-0.2</v>
      </c>
      <c r="AB185" s="511">
        <v>0.25</v>
      </c>
      <c r="AC185" s="199">
        <v>0.4</v>
      </c>
      <c r="AD185" s="9" t="s">
        <v>342</v>
      </c>
      <c r="AE185" s="4" t="s">
        <v>707</v>
      </c>
      <c r="AF185" s="158">
        <f>ROWS(AE$10:$AE185)</f>
        <v>176</v>
      </c>
      <c r="AG185" s="158" t="str">
        <f>IF(ID!$A$83=AE185,AF185,"")</f>
        <v/>
      </c>
      <c r="AH185" s="158" t="str">
        <f>IFERROR(SMALL($AG$10:$AG$393,ROWS($AG$10:AG185)),"")</f>
        <v/>
      </c>
    </row>
    <row r="186" spans="1:34" x14ac:dyDescent="0.2">
      <c r="B186" s="209">
        <v>150</v>
      </c>
      <c r="C186" s="194">
        <v>0.3</v>
      </c>
      <c r="D186" s="525">
        <v>0.3</v>
      </c>
      <c r="E186" s="1133"/>
      <c r="F186" s="241"/>
      <c r="H186" s="209">
        <v>150</v>
      </c>
      <c r="I186" s="194">
        <v>0.4</v>
      </c>
      <c r="J186" s="525">
        <v>0.4</v>
      </c>
      <c r="K186" s="1130"/>
      <c r="L186" s="241"/>
      <c r="M186" s="735">
        <v>149.9</v>
      </c>
      <c r="N186" s="194">
        <v>-0.3</v>
      </c>
      <c r="O186" s="525">
        <v>-0.3</v>
      </c>
      <c r="P186" s="200">
        <v>0.4</v>
      </c>
      <c r="Q186" s="1148"/>
      <c r="R186" s="240"/>
      <c r="S186" s="209">
        <v>150</v>
      </c>
      <c r="T186" s="757">
        <v>0.3</v>
      </c>
      <c r="U186" s="758">
        <v>0.4</v>
      </c>
      <c r="V186" s="758">
        <v>-0.3</v>
      </c>
      <c r="W186" s="511">
        <v>0.35</v>
      </c>
      <c r="X186" s="200">
        <v>0.4</v>
      </c>
      <c r="Y186" s="779">
        <v>0.3</v>
      </c>
      <c r="Z186" s="780">
        <v>0.4</v>
      </c>
      <c r="AA186" s="780">
        <v>-0.3</v>
      </c>
      <c r="AB186" s="511">
        <v>0.35</v>
      </c>
      <c r="AC186" s="199">
        <v>0.4</v>
      </c>
      <c r="AD186" s="9" t="s">
        <v>342</v>
      </c>
      <c r="AE186" s="4" t="s">
        <v>707</v>
      </c>
      <c r="AF186" s="158">
        <f>ROWS(AE$10:$AE186)</f>
        <v>177</v>
      </c>
      <c r="AG186" s="158" t="str">
        <f>IF(ID!$A$83=AE186,AF186,"")</f>
        <v/>
      </c>
      <c r="AH186" s="158" t="str">
        <f>IFERROR(SMALL($AG$10:$AG$393,ROWS($AG$10:AG186)),"")</f>
        <v/>
      </c>
    </row>
    <row r="187" spans="1:34" x14ac:dyDescent="0.2">
      <c r="B187" s="209">
        <v>200</v>
      </c>
      <c r="C187" s="194">
        <v>0.6</v>
      </c>
      <c r="D187" s="525">
        <v>0.6</v>
      </c>
      <c r="E187" s="1133"/>
      <c r="F187" s="241"/>
      <c r="H187" s="209">
        <v>200</v>
      </c>
      <c r="I187" s="194">
        <v>0.8</v>
      </c>
      <c r="J187" s="525">
        <v>0.8</v>
      </c>
      <c r="K187" s="1130"/>
      <c r="L187" s="241"/>
      <c r="M187" s="209">
        <v>200</v>
      </c>
      <c r="N187" s="194">
        <v>-0.6</v>
      </c>
      <c r="O187" s="525">
        <v>-0.6</v>
      </c>
      <c r="P187" s="200">
        <v>0.4</v>
      </c>
      <c r="Q187" s="1148"/>
      <c r="R187" s="240"/>
      <c r="S187" s="209">
        <v>200</v>
      </c>
      <c r="T187" s="757">
        <v>0.6</v>
      </c>
      <c r="U187" s="758">
        <v>0.8</v>
      </c>
      <c r="V187" s="758">
        <v>-0.6</v>
      </c>
      <c r="W187" s="511">
        <v>0.7</v>
      </c>
      <c r="X187" s="200">
        <v>0.4</v>
      </c>
      <c r="Y187" s="779">
        <v>0.6</v>
      </c>
      <c r="Z187" s="780">
        <v>0.8</v>
      </c>
      <c r="AA187" s="780">
        <v>-0.6</v>
      </c>
      <c r="AB187" s="511">
        <v>0.7</v>
      </c>
      <c r="AC187" s="199">
        <v>0.4</v>
      </c>
      <c r="AD187" s="9" t="s">
        <v>342</v>
      </c>
      <c r="AE187" s="4" t="s">
        <v>707</v>
      </c>
      <c r="AF187" s="158">
        <f>ROWS(AE$10:$AE187)</f>
        <v>178</v>
      </c>
      <c r="AG187" s="158" t="str">
        <f>IF(ID!$A$83=AE187,AF187,"")</f>
        <v/>
      </c>
      <c r="AH187" s="158" t="str">
        <f>IFERROR(SMALL($AG$10:$AG$393,ROWS($AG$10:AG187)),"")</f>
        <v/>
      </c>
    </row>
    <row r="188" spans="1:34" x14ac:dyDescent="0.2">
      <c r="B188" s="209">
        <v>250</v>
      </c>
      <c r="C188" s="194">
        <v>0.6</v>
      </c>
      <c r="D188" s="525">
        <v>0.6</v>
      </c>
      <c r="E188" s="1133"/>
      <c r="F188" s="241"/>
      <c r="H188" s="209">
        <v>250</v>
      </c>
      <c r="I188" s="194">
        <v>0.8</v>
      </c>
      <c r="J188" s="525">
        <v>0.8</v>
      </c>
      <c r="K188" s="1130"/>
      <c r="L188" s="241"/>
      <c r="M188" s="209">
        <v>250</v>
      </c>
      <c r="N188" s="194">
        <v>-0.8</v>
      </c>
      <c r="O188" s="525">
        <v>-0.6</v>
      </c>
      <c r="P188" s="200">
        <v>0.4</v>
      </c>
      <c r="Q188" s="1148"/>
      <c r="R188" s="240"/>
      <c r="S188" s="209">
        <v>250</v>
      </c>
      <c r="T188" s="757">
        <v>0.6</v>
      </c>
      <c r="U188" s="758">
        <v>0.8</v>
      </c>
      <c r="V188" s="758">
        <v>-0.8</v>
      </c>
      <c r="W188" s="511">
        <v>0.8</v>
      </c>
      <c r="X188" s="200">
        <v>0.4</v>
      </c>
      <c r="Y188" s="779">
        <v>0.6</v>
      </c>
      <c r="Z188" s="780">
        <v>0.8</v>
      </c>
      <c r="AA188" s="780">
        <v>-0.6</v>
      </c>
      <c r="AB188" s="511">
        <v>0.7</v>
      </c>
      <c r="AC188" s="199">
        <v>0.4</v>
      </c>
      <c r="AD188" s="9" t="s">
        <v>342</v>
      </c>
      <c r="AE188" s="4" t="s">
        <v>707</v>
      </c>
      <c r="AF188" s="158">
        <f>ROWS(AE$10:$AE188)</f>
        <v>179</v>
      </c>
      <c r="AG188" s="158" t="str">
        <f>IF(ID!$A$83=AE188,AF188,"")</f>
        <v/>
      </c>
      <c r="AH188" s="158" t="str">
        <f>IFERROR(SMALL($AG$10:$AG$393,ROWS($AG$10:AG188)),"")</f>
        <v/>
      </c>
    </row>
    <row r="189" spans="1:34" x14ac:dyDescent="0.2">
      <c r="B189" s="209">
        <v>300</v>
      </c>
      <c r="C189" s="194">
        <v>0.6</v>
      </c>
      <c r="D189" s="525">
        <v>0.6</v>
      </c>
      <c r="E189" s="1134"/>
      <c r="F189" s="241"/>
      <c r="H189" s="209">
        <v>300</v>
      </c>
      <c r="I189" s="194">
        <v>0.8</v>
      </c>
      <c r="J189" s="525">
        <v>0.8</v>
      </c>
      <c r="K189" s="1131"/>
      <c r="L189" s="241"/>
      <c r="M189" s="209">
        <v>300</v>
      </c>
      <c r="N189" s="194">
        <v>-0.4</v>
      </c>
      <c r="O189" s="525">
        <v>-0.3</v>
      </c>
      <c r="P189" s="200">
        <v>0.4</v>
      </c>
      <c r="Q189" s="1149"/>
      <c r="R189" s="240"/>
      <c r="S189" s="209">
        <v>300</v>
      </c>
      <c r="T189" s="757">
        <v>0.6</v>
      </c>
      <c r="U189" s="758">
        <v>0.8</v>
      </c>
      <c r="V189" s="758">
        <v>-0.4</v>
      </c>
      <c r="W189" s="511">
        <v>0.60000000000000009</v>
      </c>
      <c r="X189" s="200">
        <v>0.4</v>
      </c>
      <c r="Y189" s="779">
        <v>0.6</v>
      </c>
      <c r="Z189" s="780">
        <v>0.8</v>
      </c>
      <c r="AA189" s="780">
        <v>-0.3</v>
      </c>
      <c r="AB189" s="511">
        <v>0.55000000000000004</v>
      </c>
      <c r="AC189" s="199">
        <v>0.4</v>
      </c>
      <c r="AD189" s="9" t="s">
        <v>342</v>
      </c>
      <c r="AE189" s="4" t="s">
        <v>707</v>
      </c>
      <c r="AF189" s="158">
        <f>ROWS(AE$10:$AE189)</f>
        <v>180</v>
      </c>
      <c r="AG189" s="158" t="str">
        <f>IF(ID!$A$83=AE189,AF189,"")</f>
        <v/>
      </c>
      <c r="AH189" s="158" t="str">
        <f>IFERROR(SMALL($AG$10:$AG$393,ROWS($AG$10:AG189)),"")</f>
        <v/>
      </c>
    </row>
    <row r="190" spans="1:34" x14ac:dyDescent="0.2">
      <c r="S190" s="233" t="s">
        <v>106</v>
      </c>
      <c r="T190" s="771"/>
      <c r="U190" s="772" t="s">
        <v>106</v>
      </c>
      <c r="V190" s="772"/>
      <c r="W190" s="548"/>
      <c r="X190" s="202" t="s">
        <v>106</v>
      </c>
      <c r="Y190" s="784"/>
      <c r="Z190" s="784"/>
      <c r="AA190" s="784"/>
      <c r="AB190" s="548"/>
      <c r="AC190" s="202"/>
      <c r="AD190" s="96"/>
      <c r="AE190" s="4"/>
      <c r="AF190" s="158">
        <f>ROWS(AE$10:$AE190)</f>
        <v>181</v>
      </c>
      <c r="AG190" s="158" t="str">
        <f>IF(ID!$A$83=AE190,AF190,"")</f>
        <v/>
      </c>
      <c r="AH190" s="158" t="str">
        <f>IFERROR(SMALL($AG$10:$AG$393,ROWS($AG$10:AG190)),"")</f>
        <v/>
      </c>
    </row>
    <row r="191" spans="1:34" x14ac:dyDescent="0.2">
      <c r="E191" s="13"/>
      <c r="F191" s="13"/>
      <c r="K191" s="13"/>
      <c r="L191" s="13"/>
      <c r="N191" s="13"/>
      <c r="O191" s="13"/>
      <c r="Q191" s="13"/>
      <c r="R191" s="13"/>
      <c r="S191" s="233" t="s">
        <v>106</v>
      </c>
      <c r="T191" s="771"/>
      <c r="U191" s="772" t="s">
        <v>106</v>
      </c>
      <c r="V191" s="772"/>
      <c r="W191" s="548"/>
      <c r="X191" s="202" t="s">
        <v>106</v>
      </c>
      <c r="Y191" s="784"/>
      <c r="Z191" s="784"/>
      <c r="AA191" s="784"/>
      <c r="AB191" s="548"/>
      <c r="AC191" s="202"/>
      <c r="AD191" s="96"/>
      <c r="AE191" s="4"/>
      <c r="AF191" s="158">
        <f>ROWS(AE$10:$AE191)</f>
        <v>182</v>
      </c>
      <c r="AG191" s="158" t="str">
        <f>IF(ID!$A$83=AE191,AF191,"")</f>
        <v/>
      </c>
      <c r="AH191" s="158" t="str">
        <f>IFERROR(SMALL($AG$10:$AG$393,ROWS($AG$10:AG191)),"")</f>
        <v/>
      </c>
    </row>
    <row r="192" spans="1:34" x14ac:dyDescent="0.2">
      <c r="S192" s="233" t="s">
        <v>106</v>
      </c>
      <c r="T192" s="771"/>
      <c r="U192" s="772" t="s">
        <v>106</v>
      </c>
      <c r="V192" s="772"/>
      <c r="W192" s="548"/>
      <c r="X192" s="202" t="s">
        <v>106</v>
      </c>
      <c r="Y192" s="784"/>
      <c r="Z192" s="784"/>
      <c r="AA192" s="784"/>
      <c r="AB192" s="548"/>
      <c r="AC192" s="202"/>
      <c r="AD192" s="96"/>
      <c r="AE192" s="4"/>
      <c r="AF192" s="158">
        <f>ROWS(AE$10:$AE192)</f>
        <v>183</v>
      </c>
      <c r="AG192" s="158" t="str">
        <f>IF(ID!$A$83=AE192,AF192,"")</f>
        <v/>
      </c>
      <c r="AH192" s="158" t="str">
        <f>IFERROR(SMALL($AG$10:$AG$393,ROWS($AG$10:AG192)),"")</f>
        <v/>
      </c>
    </row>
    <row r="193" spans="2:34" x14ac:dyDescent="0.2">
      <c r="S193" s="233" t="s">
        <v>106</v>
      </c>
      <c r="T193" s="771"/>
      <c r="U193" s="772" t="s">
        <v>106</v>
      </c>
      <c r="V193" s="772"/>
      <c r="W193" s="548"/>
      <c r="X193" s="202" t="s">
        <v>106</v>
      </c>
      <c r="Y193" s="784"/>
      <c r="Z193" s="784"/>
      <c r="AA193" s="784"/>
      <c r="AB193" s="548"/>
      <c r="AC193" s="202"/>
      <c r="AD193" s="96"/>
      <c r="AE193" s="4"/>
      <c r="AF193" s="158">
        <f>ROWS(AE$10:$AE193)</f>
        <v>184</v>
      </c>
      <c r="AG193" s="158" t="str">
        <f>IF(ID!$A$83=AE193,AF193,"")</f>
        <v/>
      </c>
      <c r="AH193" s="158" t="str">
        <f>IFERROR(SMALL($AG$10:$AG$393,ROWS($AG$10:AG193)),"")</f>
        <v/>
      </c>
    </row>
    <row r="194" spans="2:34" x14ac:dyDescent="0.2">
      <c r="E194" s="13"/>
      <c r="F194" s="13"/>
      <c r="K194" s="13"/>
      <c r="L194" s="13"/>
      <c r="N194" s="13"/>
      <c r="O194" s="13"/>
      <c r="Q194" s="13"/>
      <c r="R194" s="13"/>
      <c r="S194" s="234"/>
      <c r="AD194" s="13"/>
      <c r="AE194" s="13"/>
      <c r="AF194" s="158">
        <f>ROWS(AE$10:$AE194)</f>
        <v>185</v>
      </c>
      <c r="AG194" s="158" t="str">
        <f>IF(ID!$A$83=AE194,AF194,"")</f>
        <v/>
      </c>
      <c r="AH194" s="158" t="str">
        <f>IFERROR(SMALL($AG$10:$AG$393,ROWS($AG$10:AG194)),"")</f>
        <v/>
      </c>
    </row>
    <row r="195" spans="2:34" s="526" customFormat="1" x14ac:dyDescent="0.2">
      <c r="C195" s="532"/>
      <c r="D195" s="538"/>
      <c r="I195" s="532"/>
      <c r="J195" s="538"/>
      <c r="S195" s="527"/>
      <c r="T195" s="753"/>
      <c r="U195" s="754"/>
      <c r="V195" s="754"/>
      <c r="W195" s="543"/>
      <c r="Y195" s="775"/>
      <c r="Z195" s="775"/>
      <c r="AA195" s="775"/>
      <c r="AB195" s="543"/>
      <c r="AF195" s="158">
        <f>ROWS(AE$10:$AE195)</f>
        <v>186</v>
      </c>
      <c r="AG195" s="158" t="str">
        <f>IF(ID!$A$83=AE195,AF195,"")</f>
        <v/>
      </c>
      <c r="AH195" s="158" t="str">
        <f>IFERROR(SMALL($AG$10:$AG$393,ROWS($AG$10:AG195)),"")</f>
        <v/>
      </c>
    </row>
    <row r="196" spans="2:34" s="526" customFormat="1" x14ac:dyDescent="0.2">
      <c r="C196" s="532"/>
      <c r="D196" s="538"/>
      <c r="I196" s="532"/>
      <c r="J196" s="538"/>
      <c r="S196" s="527"/>
      <c r="T196" s="753"/>
      <c r="U196" s="754"/>
      <c r="V196" s="754"/>
      <c r="W196" s="543"/>
      <c r="Y196" s="775"/>
      <c r="Z196" s="775"/>
      <c r="AA196" s="775"/>
      <c r="AB196" s="543"/>
      <c r="AF196" s="158">
        <f>ROWS(AE$10:$AE196)</f>
        <v>187</v>
      </c>
      <c r="AG196" s="158" t="str">
        <f>IF(ID!$A$83=AE196,AF196,"")</f>
        <v/>
      </c>
      <c r="AH196" s="158" t="str">
        <f>IFERROR(SMALL($AG$10:$AG$393,ROWS($AG$10:AG196)),"")</f>
        <v/>
      </c>
    </row>
    <row r="197" spans="2:34" s="526" customFormat="1" x14ac:dyDescent="0.2">
      <c r="C197" s="532"/>
      <c r="D197" s="538"/>
      <c r="I197" s="532"/>
      <c r="J197" s="538"/>
      <c r="S197" s="527"/>
      <c r="T197" s="753"/>
      <c r="U197" s="754"/>
      <c r="V197" s="754"/>
      <c r="W197" s="543"/>
      <c r="Y197" s="775"/>
      <c r="Z197" s="775"/>
      <c r="AA197" s="775"/>
      <c r="AB197" s="543"/>
      <c r="AF197" s="158">
        <f>ROWS(AE$10:$AE197)</f>
        <v>188</v>
      </c>
      <c r="AG197" s="158" t="str">
        <f>IF(ID!$A$83=AE197,AF197,"")</f>
        <v/>
      </c>
      <c r="AH197" s="158" t="str">
        <f>IFERROR(SMALL($AG$10:$AG$393,ROWS($AG$10:AG197)),"")</f>
        <v/>
      </c>
    </row>
    <row r="198" spans="2:34" s="526" customFormat="1" x14ac:dyDescent="0.2">
      <c r="C198" s="532"/>
      <c r="D198" s="538"/>
      <c r="I198" s="532"/>
      <c r="J198" s="538"/>
      <c r="S198" s="527"/>
      <c r="T198" s="753"/>
      <c r="U198" s="754"/>
      <c r="V198" s="754"/>
      <c r="W198" s="543"/>
      <c r="Y198" s="775"/>
      <c r="Z198" s="775"/>
      <c r="AA198" s="775"/>
      <c r="AB198" s="543"/>
      <c r="AF198" s="158">
        <f>ROWS(AE$10:$AE198)</f>
        <v>189</v>
      </c>
      <c r="AG198" s="158" t="str">
        <f>IF(ID!$A$83=AE198,AF198,"")</f>
        <v/>
      </c>
      <c r="AH198" s="158" t="str">
        <f>IFERROR(SMALL($AG$10:$AG$393,ROWS($AG$10:AG198)),"")</f>
        <v/>
      </c>
    </row>
    <row r="199" spans="2:34" x14ac:dyDescent="0.2">
      <c r="S199" s="228"/>
      <c r="T199" s="759"/>
      <c r="U199" s="760"/>
      <c r="V199" s="761"/>
      <c r="W199" s="546"/>
      <c r="AB199" s="546"/>
      <c r="AF199" s="158">
        <f>ROWS(AE$10:$AE199)</f>
        <v>190</v>
      </c>
      <c r="AG199" s="158" t="str">
        <f>IF(ID!$A$83=AE199,AF199,"")</f>
        <v/>
      </c>
      <c r="AH199" s="158" t="str">
        <f>IFERROR(SMALL($AG$10:$AG$393,ROWS($AG$10:AG199)),"")</f>
        <v/>
      </c>
    </row>
    <row r="200" spans="2:34" x14ac:dyDescent="0.2">
      <c r="B200" s="209">
        <v>0</v>
      </c>
      <c r="C200" s="194">
        <v>0</v>
      </c>
      <c r="D200" s="525">
        <v>0</v>
      </c>
      <c r="E200" s="1129" t="s">
        <v>251</v>
      </c>
      <c r="F200" s="241"/>
      <c r="H200" s="209">
        <v>0</v>
      </c>
      <c r="I200" s="194">
        <v>0</v>
      </c>
      <c r="J200" s="525">
        <v>0</v>
      </c>
      <c r="K200" s="1129" t="s">
        <v>251</v>
      </c>
      <c r="L200" s="241"/>
      <c r="M200" s="209">
        <v>0</v>
      </c>
      <c r="N200" s="194">
        <v>0</v>
      </c>
      <c r="O200" s="525">
        <v>0</v>
      </c>
      <c r="P200" s="200">
        <v>0.1</v>
      </c>
      <c r="Q200" s="1147" t="s">
        <v>370</v>
      </c>
      <c r="R200" s="240"/>
      <c r="S200" s="209">
        <v>0</v>
      </c>
      <c r="T200" s="757">
        <v>0</v>
      </c>
      <c r="U200" s="758">
        <v>0</v>
      </c>
      <c r="V200" s="758">
        <v>0</v>
      </c>
      <c r="W200" s="511">
        <v>0</v>
      </c>
      <c r="X200" s="200">
        <v>0.1</v>
      </c>
      <c r="Y200" s="779">
        <v>0</v>
      </c>
      <c r="Z200" s="780">
        <v>0</v>
      </c>
      <c r="AA200" s="780">
        <v>0</v>
      </c>
      <c r="AB200" s="511">
        <v>0</v>
      </c>
      <c r="AC200" s="524">
        <v>0.1</v>
      </c>
      <c r="AD200" s="9" t="s">
        <v>342</v>
      </c>
      <c r="AE200" s="4" t="s">
        <v>252</v>
      </c>
      <c r="AF200" s="158">
        <f>ROWS(AE$10:$AE200)</f>
        <v>191</v>
      </c>
      <c r="AG200" s="158" t="str">
        <f>IF(ID!$A$83=AE200,AF200,"")</f>
        <v/>
      </c>
      <c r="AH200" s="158" t="str">
        <f>IFERROR(SMALL($AG$10:$AG$393,ROWS($AG$10:AG200)),"")</f>
        <v/>
      </c>
    </row>
    <row r="201" spans="2:34" x14ac:dyDescent="0.2">
      <c r="B201" s="209">
        <v>50</v>
      </c>
      <c r="C201" s="194">
        <v>0</v>
      </c>
      <c r="D201" s="525">
        <v>0</v>
      </c>
      <c r="E201" s="1130"/>
      <c r="F201" s="241"/>
      <c r="H201" s="209">
        <v>50</v>
      </c>
      <c r="I201" s="194">
        <v>0</v>
      </c>
      <c r="J201" s="525">
        <v>0</v>
      </c>
      <c r="K201" s="1130"/>
      <c r="L201" s="241"/>
      <c r="M201" s="209">
        <v>50</v>
      </c>
      <c r="N201" s="194">
        <v>0</v>
      </c>
      <c r="O201" s="525">
        <v>0</v>
      </c>
      <c r="P201" s="200">
        <v>0.1</v>
      </c>
      <c r="Q201" s="1148"/>
      <c r="R201" s="240"/>
      <c r="S201" s="209">
        <v>50</v>
      </c>
      <c r="T201" s="757">
        <v>0</v>
      </c>
      <c r="U201" s="758">
        <v>0</v>
      </c>
      <c r="V201" s="758">
        <v>0</v>
      </c>
      <c r="W201" s="511">
        <v>0</v>
      </c>
      <c r="X201" s="200">
        <v>0.1</v>
      </c>
      <c r="Y201" s="779">
        <v>0</v>
      </c>
      <c r="Z201" s="780">
        <v>0</v>
      </c>
      <c r="AA201" s="780">
        <v>0</v>
      </c>
      <c r="AB201" s="511">
        <v>0</v>
      </c>
      <c r="AC201" s="524">
        <v>0.1</v>
      </c>
      <c r="AD201" s="9" t="s">
        <v>342</v>
      </c>
      <c r="AE201" s="4" t="s">
        <v>252</v>
      </c>
      <c r="AF201" s="158">
        <f>ROWS(AE$10:$AE201)</f>
        <v>192</v>
      </c>
      <c r="AG201" s="158" t="str">
        <f>IF(ID!$A$83=AE201,AF201,"")</f>
        <v/>
      </c>
      <c r="AH201" s="158" t="str">
        <f>IFERROR(SMALL($AG$10:$AG$393,ROWS($AG$10:AG201)),"")</f>
        <v/>
      </c>
    </row>
    <row r="202" spans="2:34" x14ac:dyDescent="0.2">
      <c r="B202" s="209">
        <v>100</v>
      </c>
      <c r="C202" s="194">
        <v>-0.1</v>
      </c>
      <c r="D202" s="525">
        <v>-0.1</v>
      </c>
      <c r="E202" s="1130"/>
      <c r="F202" s="241"/>
      <c r="H202" s="209">
        <v>100</v>
      </c>
      <c r="I202" s="194">
        <v>-0.1</v>
      </c>
      <c r="J202" s="525">
        <v>-0.1</v>
      </c>
      <c r="K202" s="1130"/>
      <c r="L202" s="241"/>
      <c r="M202" s="209">
        <v>100</v>
      </c>
      <c r="N202" s="194">
        <v>0.4</v>
      </c>
      <c r="O202" s="525">
        <v>0.4</v>
      </c>
      <c r="P202" s="200">
        <v>0.1</v>
      </c>
      <c r="Q202" s="1148"/>
      <c r="R202" s="240"/>
      <c r="S202" s="209">
        <v>100</v>
      </c>
      <c r="T202" s="757">
        <v>-0.1</v>
      </c>
      <c r="U202" s="758">
        <v>-0.1</v>
      </c>
      <c r="V202" s="758">
        <v>0.4</v>
      </c>
      <c r="W202" s="511">
        <v>0.25</v>
      </c>
      <c r="X202" s="200">
        <v>0.1</v>
      </c>
      <c r="Y202" s="779">
        <v>-0.1</v>
      </c>
      <c r="Z202" s="780">
        <v>-0.1</v>
      </c>
      <c r="AA202" s="780">
        <v>0.4</v>
      </c>
      <c r="AB202" s="511">
        <v>0.25</v>
      </c>
      <c r="AC202" s="524">
        <v>0.1</v>
      </c>
      <c r="AD202" s="9" t="s">
        <v>342</v>
      </c>
      <c r="AE202" s="4" t="s">
        <v>252</v>
      </c>
      <c r="AF202" s="158">
        <f>ROWS(AE$10:$AE202)</f>
        <v>193</v>
      </c>
      <c r="AG202" s="158" t="str">
        <f>IF(ID!$A$83=AE202,AF202,"")</f>
        <v/>
      </c>
      <c r="AH202" s="158" t="str">
        <f>IFERROR(SMALL($AG$10:$AG$393,ROWS($AG$10:AG202)),"")</f>
        <v/>
      </c>
    </row>
    <row r="203" spans="2:34" x14ac:dyDescent="0.2">
      <c r="B203" s="209">
        <v>150</v>
      </c>
      <c r="C203" s="194">
        <v>0</v>
      </c>
      <c r="D203" s="525">
        <v>0</v>
      </c>
      <c r="E203" s="1130"/>
      <c r="F203" s="241"/>
      <c r="H203" s="209">
        <v>150</v>
      </c>
      <c r="I203" s="194">
        <v>0</v>
      </c>
      <c r="J203" s="525">
        <v>0</v>
      </c>
      <c r="K203" s="1130"/>
      <c r="L203" s="241"/>
      <c r="M203" s="209">
        <v>150</v>
      </c>
      <c r="N203" s="194">
        <v>0.4</v>
      </c>
      <c r="O203" s="525">
        <v>0.5</v>
      </c>
      <c r="P203" s="200">
        <v>0.1</v>
      </c>
      <c r="Q203" s="1148"/>
      <c r="R203" s="240"/>
      <c r="S203" s="209">
        <v>150</v>
      </c>
      <c r="T203" s="757">
        <v>0</v>
      </c>
      <c r="U203" s="758">
        <v>0</v>
      </c>
      <c r="V203" s="758">
        <v>0.4</v>
      </c>
      <c r="W203" s="511">
        <v>0.2</v>
      </c>
      <c r="X203" s="200">
        <v>0.1</v>
      </c>
      <c r="Y203" s="779">
        <v>0</v>
      </c>
      <c r="Z203" s="780">
        <v>0</v>
      </c>
      <c r="AA203" s="780">
        <v>0.5</v>
      </c>
      <c r="AB203" s="511">
        <v>0.25</v>
      </c>
      <c r="AC203" s="524">
        <v>0.1</v>
      </c>
      <c r="AD203" s="9" t="s">
        <v>342</v>
      </c>
      <c r="AE203" s="4" t="s">
        <v>252</v>
      </c>
      <c r="AF203" s="158">
        <f>ROWS(AE$10:$AE203)</f>
        <v>194</v>
      </c>
      <c r="AG203" s="158" t="str">
        <f>IF(ID!$A$83=AE203,AF203,"")</f>
        <v/>
      </c>
      <c r="AH203" s="158" t="str">
        <f>IFERROR(SMALL($AG$10:$AG$393,ROWS($AG$10:AG203)),"")</f>
        <v/>
      </c>
    </row>
    <row r="204" spans="2:34" x14ac:dyDescent="0.2">
      <c r="B204" s="209">
        <v>200</v>
      </c>
      <c r="C204" s="194">
        <v>-0.2</v>
      </c>
      <c r="D204" s="525">
        <v>-0.2</v>
      </c>
      <c r="E204" s="1130"/>
      <c r="F204" s="241"/>
      <c r="H204" s="209">
        <v>200</v>
      </c>
      <c r="I204" s="194">
        <v>-0.2</v>
      </c>
      <c r="J204" s="525">
        <v>-0.2</v>
      </c>
      <c r="K204" s="1130"/>
      <c r="L204" s="241"/>
      <c r="M204" s="209">
        <v>200</v>
      </c>
      <c r="N204" s="194">
        <v>0.5</v>
      </c>
      <c r="O204" s="525">
        <v>0.6</v>
      </c>
      <c r="P204" s="200">
        <v>0.1</v>
      </c>
      <c r="Q204" s="1148"/>
      <c r="R204" s="240"/>
      <c r="S204" s="209">
        <v>200</v>
      </c>
      <c r="T204" s="757">
        <v>-0.2</v>
      </c>
      <c r="U204" s="758">
        <v>-0.2</v>
      </c>
      <c r="V204" s="758">
        <v>0.5</v>
      </c>
      <c r="W204" s="511">
        <v>0.35</v>
      </c>
      <c r="X204" s="200">
        <v>0.1</v>
      </c>
      <c r="Y204" s="779">
        <v>-0.2</v>
      </c>
      <c r="Z204" s="780">
        <v>-0.2</v>
      </c>
      <c r="AA204" s="780">
        <v>0.6</v>
      </c>
      <c r="AB204" s="511">
        <v>0.4</v>
      </c>
      <c r="AC204" s="524">
        <v>0.1</v>
      </c>
      <c r="AD204" s="9" t="s">
        <v>342</v>
      </c>
      <c r="AE204" s="4" t="s">
        <v>252</v>
      </c>
      <c r="AF204" s="158">
        <f>ROWS(AE$10:$AE204)</f>
        <v>195</v>
      </c>
      <c r="AG204" s="158" t="str">
        <f>IF(ID!$A$83=AE204,AF204,"")</f>
        <v/>
      </c>
      <c r="AH204" s="158" t="str">
        <f>IFERROR(SMALL($AG$10:$AG$393,ROWS($AG$10:AG204)),"")</f>
        <v/>
      </c>
    </row>
    <row r="205" spans="2:34" x14ac:dyDescent="0.2">
      <c r="B205" s="209">
        <v>250</v>
      </c>
      <c r="C205" s="194">
        <v>-0.4</v>
      </c>
      <c r="D205" s="525">
        <v>-0.4</v>
      </c>
      <c r="E205" s="1130"/>
      <c r="F205" s="241"/>
      <c r="H205" s="209">
        <v>250</v>
      </c>
      <c r="I205" s="194">
        <v>-0.4</v>
      </c>
      <c r="J205" s="525">
        <v>-0.4</v>
      </c>
      <c r="K205" s="1130"/>
      <c r="L205" s="241"/>
      <c r="M205" s="209">
        <v>250</v>
      </c>
      <c r="N205" s="194">
        <v>0.9</v>
      </c>
      <c r="O205" s="525">
        <v>0.9</v>
      </c>
      <c r="P205" s="200">
        <v>0.1</v>
      </c>
      <c r="Q205" s="1148"/>
      <c r="R205" s="240"/>
      <c r="S205" s="209">
        <v>250</v>
      </c>
      <c r="T205" s="757">
        <v>-0.4</v>
      </c>
      <c r="U205" s="758">
        <v>-0.4</v>
      </c>
      <c r="V205" s="758">
        <v>0.9</v>
      </c>
      <c r="W205" s="511">
        <v>0.65</v>
      </c>
      <c r="X205" s="200">
        <v>0.1</v>
      </c>
      <c r="Y205" s="779">
        <v>-0.4</v>
      </c>
      <c r="Z205" s="780">
        <v>-0.4</v>
      </c>
      <c r="AA205" s="780">
        <v>0.9</v>
      </c>
      <c r="AB205" s="511">
        <v>0.65</v>
      </c>
      <c r="AC205" s="524">
        <v>0.1</v>
      </c>
      <c r="AD205" s="9" t="s">
        <v>342</v>
      </c>
      <c r="AE205" s="4" t="s">
        <v>252</v>
      </c>
      <c r="AF205" s="158">
        <f>ROWS(AE$10:$AE205)</f>
        <v>196</v>
      </c>
      <c r="AG205" s="158" t="str">
        <f>IF(ID!$A$83=AE205,AF205,"")</f>
        <v/>
      </c>
      <c r="AH205" s="158" t="str">
        <f>IFERROR(SMALL($AG$10:$AG$393,ROWS($AG$10:AG205)),"")</f>
        <v/>
      </c>
    </row>
    <row r="206" spans="2:34" x14ac:dyDescent="0.2">
      <c r="B206" s="209">
        <v>300</v>
      </c>
      <c r="C206" s="194">
        <v>-0.6</v>
      </c>
      <c r="D206" s="525">
        <v>-0.6</v>
      </c>
      <c r="E206" s="1131"/>
      <c r="F206" s="241"/>
      <c r="H206" s="209">
        <v>300</v>
      </c>
      <c r="I206" s="194">
        <v>-0.6</v>
      </c>
      <c r="J206" s="525">
        <v>-0.6</v>
      </c>
      <c r="K206" s="1131"/>
      <c r="L206" s="241"/>
      <c r="M206" s="209">
        <v>300</v>
      </c>
      <c r="N206" s="194">
        <v>1.1000000000000001</v>
      </c>
      <c r="O206" s="525">
        <v>1.1000000000000001</v>
      </c>
      <c r="P206" s="200">
        <v>0.1</v>
      </c>
      <c r="Q206" s="1149"/>
      <c r="R206" s="240"/>
      <c r="S206" s="209">
        <v>300</v>
      </c>
      <c r="T206" s="757">
        <v>-0.6</v>
      </c>
      <c r="U206" s="758">
        <v>-0.6</v>
      </c>
      <c r="V206" s="758">
        <v>1.1000000000000001</v>
      </c>
      <c r="W206" s="511">
        <v>0.85000000000000009</v>
      </c>
      <c r="X206" s="200">
        <v>0.1</v>
      </c>
      <c r="Y206" s="779">
        <v>-0.6</v>
      </c>
      <c r="Z206" s="780">
        <v>-0.6</v>
      </c>
      <c r="AA206" s="780">
        <v>1.1000000000000001</v>
      </c>
      <c r="AB206" s="511">
        <v>0.85000000000000009</v>
      </c>
      <c r="AC206" s="524">
        <v>0.1</v>
      </c>
      <c r="AD206" s="9" t="s">
        <v>342</v>
      </c>
      <c r="AE206" s="4" t="s">
        <v>252</v>
      </c>
      <c r="AF206" s="158">
        <f>ROWS(AE$10:$AE206)</f>
        <v>197</v>
      </c>
      <c r="AG206" s="158" t="str">
        <f>IF(ID!$A$83=AE206,AF206,"")</f>
        <v/>
      </c>
      <c r="AH206" s="158" t="str">
        <f>IFERROR(SMALL($AG$10:$AG$393,ROWS($AG$10:AG206)),"")</f>
        <v/>
      </c>
    </row>
    <row r="207" spans="2:34" x14ac:dyDescent="0.2">
      <c r="S207" s="233" t="s">
        <v>106</v>
      </c>
      <c r="T207" s="771"/>
      <c r="U207" s="772" t="s">
        <v>106</v>
      </c>
      <c r="V207" s="772"/>
      <c r="W207" s="548"/>
      <c r="X207" s="523" t="s">
        <v>106</v>
      </c>
      <c r="Y207" s="785"/>
      <c r="Z207" s="784"/>
      <c r="AA207" s="784"/>
      <c r="AB207" s="548"/>
      <c r="AC207" s="202"/>
      <c r="AD207" s="96"/>
      <c r="AE207" s="4"/>
      <c r="AF207" s="158">
        <f>ROWS(AE$10:$AE207)</f>
        <v>198</v>
      </c>
      <c r="AG207" s="158" t="str">
        <f>IF(ID!$A$83=AE207,AF207,"")</f>
        <v/>
      </c>
      <c r="AH207" s="158" t="str">
        <f>IFERROR(SMALL($AG$10:$AG$393,ROWS($AG$10:AG207)),"")</f>
        <v/>
      </c>
    </row>
    <row r="208" spans="2:34" x14ac:dyDescent="0.2">
      <c r="E208" s="13"/>
      <c r="F208" s="13"/>
      <c r="K208" s="13"/>
      <c r="L208" s="13"/>
      <c r="N208" s="13"/>
      <c r="O208" s="13"/>
      <c r="Q208" s="13"/>
      <c r="R208" s="13"/>
      <c r="S208" s="233" t="s">
        <v>106</v>
      </c>
      <c r="T208" s="771"/>
      <c r="U208" s="772" t="s">
        <v>106</v>
      </c>
      <c r="V208" s="772"/>
      <c r="W208" s="548"/>
      <c r="X208" s="202" t="s">
        <v>106</v>
      </c>
      <c r="Y208" s="784"/>
      <c r="Z208" s="784"/>
      <c r="AA208" s="784"/>
      <c r="AB208" s="548"/>
      <c r="AC208" s="202"/>
      <c r="AD208" s="96"/>
      <c r="AE208" s="4"/>
      <c r="AF208" s="158">
        <f>ROWS(AE$10:$AE208)</f>
        <v>199</v>
      </c>
      <c r="AG208" s="158" t="str">
        <f>IF(ID!$A$83=AE208,AF208,"")</f>
        <v/>
      </c>
      <c r="AH208" s="158" t="str">
        <f>IFERROR(SMALL($AG$10:$AG$393,ROWS($AG$10:AG208)),"")</f>
        <v/>
      </c>
    </row>
    <row r="209" spans="2:34" x14ac:dyDescent="0.2">
      <c r="S209" s="233" t="s">
        <v>106</v>
      </c>
      <c r="T209" s="771"/>
      <c r="U209" s="772" t="s">
        <v>106</v>
      </c>
      <c r="V209" s="772"/>
      <c r="W209" s="548"/>
      <c r="X209" s="202" t="s">
        <v>106</v>
      </c>
      <c r="Y209" s="784"/>
      <c r="Z209" s="784"/>
      <c r="AA209" s="784"/>
      <c r="AB209" s="548"/>
      <c r="AC209" s="202"/>
      <c r="AD209" s="96"/>
      <c r="AE209" s="4"/>
      <c r="AF209" s="158">
        <f>ROWS(AE$10:$AE209)</f>
        <v>200</v>
      </c>
      <c r="AG209" s="158" t="str">
        <f>IF(ID!$A$83=AE209,AF209,"")</f>
        <v/>
      </c>
      <c r="AH209" s="158" t="str">
        <f>IFERROR(SMALL($AG$10:$AG$393,ROWS($AG$10:AG209)),"")</f>
        <v/>
      </c>
    </row>
    <row r="210" spans="2:34" x14ac:dyDescent="0.2">
      <c r="S210" s="233" t="s">
        <v>106</v>
      </c>
      <c r="T210" s="771"/>
      <c r="U210" s="772" t="s">
        <v>106</v>
      </c>
      <c r="V210" s="772"/>
      <c r="W210" s="548"/>
      <c r="X210" s="202" t="s">
        <v>106</v>
      </c>
      <c r="Y210" s="784"/>
      <c r="Z210" s="784"/>
      <c r="AA210" s="784"/>
      <c r="AB210" s="548"/>
      <c r="AC210" s="202"/>
      <c r="AD210" s="96"/>
      <c r="AE210" s="4"/>
      <c r="AF210" s="158">
        <f>ROWS(AE$10:$AE210)</f>
        <v>201</v>
      </c>
      <c r="AG210" s="158" t="str">
        <f>IF(ID!$A$83=AE210,AF210,"")</f>
        <v/>
      </c>
      <c r="AH210" s="158" t="str">
        <f>IFERROR(SMALL($AG$10:$AG$393,ROWS($AG$10:AG210)),"")</f>
        <v/>
      </c>
    </row>
    <row r="211" spans="2:34" x14ac:dyDescent="0.2">
      <c r="E211" s="13"/>
      <c r="F211" s="13"/>
      <c r="K211" s="13"/>
      <c r="L211" s="13"/>
      <c r="N211" s="13"/>
      <c r="O211" s="13"/>
      <c r="Q211" s="13"/>
      <c r="R211" s="13"/>
      <c r="S211" s="234"/>
      <c r="AD211" s="13"/>
      <c r="AE211" s="13"/>
      <c r="AF211" s="158">
        <f>ROWS(AE$10:$AE211)</f>
        <v>202</v>
      </c>
      <c r="AG211" s="158" t="str">
        <f>IF(ID!$A$83=AE211,AF211,"")</f>
        <v/>
      </c>
      <c r="AH211" s="158" t="str">
        <f>IFERROR(SMALL($AG$10:$AG$393,ROWS($AG$10:AG211)),"")</f>
        <v/>
      </c>
    </row>
    <row r="212" spans="2:34" s="526" customFormat="1" x14ac:dyDescent="0.2">
      <c r="C212" s="532"/>
      <c r="D212" s="538"/>
      <c r="I212" s="532"/>
      <c r="J212" s="538"/>
      <c r="S212" s="527"/>
      <c r="T212" s="753"/>
      <c r="U212" s="754"/>
      <c r="V212" s="754"/>
      <c r="W212" s="543"/>
      <c r="Y212" s="775"/>
      <c r="Z212" s="775"/>
      <c r="AA212" s="775"/>
      <c r="AB212" s="543"/>
      <c r="AF212" s="158">
        <f>ROWS(AE$10:$AE212)</f>
        <v>203</v>
      </c>
      <c r="AG212" s="158" t="str">
        <f>IF(ID!$A$83=AE212,AF212,"")</f>
        <v/>
      </c>
      <c r="AH212" s="158" t="str">
        <f>IFERROR(SMALL($AG$10:$AG$393,ROWS($AG$10:AG212)),"")</f>
        <v/>
      </c>
    </row>
    <row r="213" spans="2:34" s="526" customFormat="1" x14ac:dyDescent="0.2">
      <c r="C213" s="532"/>
      <c r="D213" s="538"/>
      <c r="I213" s="532"/>
      <c r="J213" s="538"/>
      <c r="S213" s="527"/>
      <c r="T213" s="753"/>
      <c r="U213" s="754"/>
      <c r="V213" s="754"/>
      <c r="W213" s="543"/>
      <c r="Y213" s="775"/>
      <c r="Z213" s="775"/>
      <c r="AA213" s="775"/>
      <c r="AB213" s="543"/>
      <c r="AF213" s="158">
        <f>ROWS(AE$10:$AE213)</f>
        <v>204</v>
      </c>
      <c r="AG213" s="158" t="str">
        <f>IF(ID!$A$83=AE213,AF213,"")</f>
        <v/>
      </c>
      <c r="AH213" s="158" t="str">
        <f>IFERROR(SMALL($AG$10:$AG$393,ROWS($AG$10:AG213)),"")</f>
        <v/>
      </c>
    </row>
    <row r="214" spans="2:34" s="526" customFormat="1" x14ac:dyDescent="0.2">
      <c r="C214" s="532"/>
      <c r="D214" s="538"/>
      <c r="I214" s="532"/>
      <c r="J214" s="538"/>
      <c r="S214" s="527"/>
      <c r="T214" s="753"/>
      <c r="U214" s="754"/>
      <c r="V214" s="754"/>
      <c r="W214" s="543"/>
      <c r="Y214" s="775"/>
      <c r="Z214" s="775"/>
      <c r="AA214" s="775"/>
      <c r="AB214" s="543"/>
      <c r="AF214" s="158">
        <f>ROWS(AE$10:$AE214)</f>
        <v>205</v>
      </c>
      <c r="AG214" s="158" t="str">
        <f>IF(ID!$A$83=AE214,AF214,"")</f>
        <v/>
      </c>
      <c r="AH214" s="158" t="str">
        <f>IFERROR(SMALL($AG$10:$AG$393,ROWS($AG$10:AG214)),"")</f>
        <v/>
      </c>
    </row>
    <row r="215" spans="2:34" s="526" customFormat="1" x14ac:dyDescent="0.2">
      <c r="C215" s="532"/>
      <c r="D215" s="538"/>
      <c r="I215" s="532"/>
      <c r="J215" s="538"/>
      <c r="S215" s="527"/>
      <c r="T215" s="753"/>
      <c r="U215" s="754"/>
      <c r="V215" s="754"/>
      <c r="W215" s="543"/>
      <c r="Y215" s="775"/>
      <c r="Z215" s="775"/>
      <c r="AA215" s="775"/>
      <c r="AB215" s="543"/>
      <c r="AF215" s="158">
        <f>ROWS(AE$10:$AE215)</f>
        <v>206</v>
      </c>
      <c r="AG215" s="158" t="str">
        <f>IF(ID!$A$83=AE215,AF215,"")</f>
        <v/>
      </c>
      <c r="AH215" s="158" t="str">
        <f>IFERROR(SMALL($AG$10:$AG$393,ROWS($AG$10:AG215)),"")</f>
        <v/>
      </c>
    </row>
    <row r="216" spans="2:34" x14ac:dyDescent="0.2">
      <c r="S216" s="228"/>
      <c r="T216" s="759"/>
      <c r="U216" s="760"/>
      <c r="V216" s="761"/>
      <c r="W216" s="546" t="s">
        <v>245</v>
      </c>
      <c r="AB216" s="546" t="s">
        <v>245</v>
      </c>
      <c r="AF216" s="158">
        <f>ROWS(AE$10:$AE216)</f>
        <v>207</v>
      </c>
      <c r="AG216" s="158" t="str">
        <f>IF(ID!$A$83=AE216,AF216,"")</f>
        <v/>
      </c>
      <c r="AH216" s="158" t="str">
        <f>IFERROR(SMALL($AG$10:$AG$393,ROWS($AG$10:AG216)),"")</f>
        <v/>
      </c>
    </row>
    <row r="217" spans="2:34" x14ac:dyDescent="0.2">
      <c r="B217" s="209">
        <v>0</v>
      </c>
      <c r="C217" s="194" t="s">
        <v>136</v>
      </c>
      <c r="D217" s="525" t="s">
        <v>136</v>
      </c>
      <c r="E217" s="1129" t="s">
        <v>136</v>
      </c>
      <c r="F217" s="241"/>
      <c r="H217" s="209">
        <v>0</v>
      </c>
      <c r="I217" s="194" t="s">
        <v>136</v>
      </c>
      <c r="J217" s="525" t="s">
        <v>136</v>
      </c>
      <c r="K217" s="1129" t="s">
        <v>136</v>
      </c>
      <c r="L217" s="241"/>
      <c r="M217" s="209">
        <v>0</v>
      </c>
      <c r="N217" s="194">
        <v>0</v>
      </c>
      <c r="O217" s="525">
        <v>0</v>
      </c>
      <c r="P217" s="522">
        <v>0.18</v>
      </c>
      <c r="Q217" s="1147" t="s">
        <v>251</v>
      </c>
      <c r="R217" s="240"/>
      <c r="S217" s="209">
        <v>0</v>
      </c>
      <c r="T217" s="757" t="s">
        <v>136</v>
      </c>
      <c r="U217" s="758" t="s">
        <v>136</v>
      </c>
      <c r="V217" s="758">
        <v>0</v>
      </c>
      <c r="W217" s="511">
        <v>0.06</v>
      </c>
      <c r="X217" s="200">
        <v>0.18</v>
      </c>
      <c r="Y217" s="779" t="s">
        <v>136</v>
      </c>
      <c r="Z217" s="780" t="s">
        <v>136</v>
      </c>
      <c r="AA217" s="780">
        <v>0</v>
      </c>
      <c r="AB217" s="511">
        <v>0.06</v>
      </c>
      <c r="AC217" s="524">
        <v>0.18</v>
      </c>
      <c r="AD217" s="9" t="s">
        <v>343</v>
      </c>
      <c r="AE217" s="4" t="s">
        <v>253</v>
      </c>
      <c r="AF217" s="158">
        <f>ROWS(AE$10:$AE217)</f>
        <v>208</v>
      </c>
      <c r="AG217" s="158" t="str">
        <f>IF(ID!$A$83=AE217,AF217,"")</f>
        <v/>
      </c>
      <c r="AH217" s="158" t="str">
        <f>IFERROR(SMALL($AG$10:$AG$393,ROWS($AG$10:AG217)),"")</f>
        <v/>
      </c>
    </row>
    <row r="218" spans="2:34" x14ac:dyDescent="0.2">
      <c r="B218" s="209">
        <v>50</v>
      </c>
      <c r="C218" s="194" t="s">
        <v>136</v>
      </c>
      <c r="D218" s="525" t="s">
        <v>136</v>
      </c>
      <c r="E218" s="1130"/>
      <c r="F218" s="241"/>
      <c r="H218" s="209">
        <v>50</v>
      </c>
      <c r="I218" s="194" t="s">
        <v>136</v>
      </c>
      <c r="J218" s="525" t="s">
        <v>136</v>
      </c>
      <c r="K218" s="1130"/>
      <c r="L218" s="241"/>
      <c r="M218" s="209">
        <v>50</v>
      </c>
      <c r="N218" s="194">
        <v>0.20000000000000284</v>
      </c>
      <c r="O218" s="525">
        <v>0.20000000000000284</v>
      </c>
      <c r="P218" s="522">
        <v>0.18</v>
      </c>
      <c r="Q218" s="1148"/>
      <c r="R218" s="240"/>
      <c r="S218" s="209">
        <v>50</v>
      </c>
      <c r="T218" s="757" t="s">
        <v>136</v>
      </c>
      <c r="U218" s="758" t="s">
        <v>136</v>
      </c>
      <c r="V218" s="758">
        <v>0.20000000000000284</v>
      </c>
      <c r="W218" s="511">
        <v>0.06</v>
      </c>
      <c r="X218" s="200">
        <v>0.18</v>
      </c>
      <c r="Y218" s="779" t="s">
        <v>136</v>
      </c>
      <c r="Z218" s="780" t="s">
        <v>136</v>
      </c>
      <c r="AA218" s="780">
        <v>0.20000000000000284</v>
      </c>
      <c r="AB218" s="511">
        <v>0.06</v>
      </c>
      <c r="AC218" s="524">
        <v>0.18</v>
      </c>
      <c r="AD218" s="9" t="s">
        <v>343</v>
      </c>
      <c r="AE218" s="4" t="s">
        <v>253</v>
      </c>
      <c r="AF218" s="158">
        <f>ROWS(AE$10:$AE218)</f>
        <v>209</v>
      </c>
      <c r="AG218" s="158" t="str">
        <f>IF(ID!$A$83=AE218,AF218,"")</f>
        <v/>
      </c>
      <c r="AH218" s="158" t="str">
        <f>IFERROR(SMALL($AG$10:$AG$393,ROWS($AG$10:AG218)),"")</f>
        <v/>
      </c>
    </row>
    <row r="219" spans="2:34" x14ac:dyDescent="0.2">
      <c r="B219" s="209">
        <v>100</v>
      </c>
      <c r="C219" s="194" t="s">
        <v>136</v>
      </c>
      <c r="D219" s="525" t="s">
        <v>136</v>
      </c>
      <c r="E219" s="1130"/>
      <c r="F219" s="241"/>
      <c r="H219" s="209">
        <v>100</v>
      </c>
      <c r="I219" s="194" t="s">
        <v>136</v>
      </c>
      <c r="J219" s="525" t="s">
        <v>136</v>
      </c>
      <c r="K219" s="1130"/>
      <c r="L219" s="241"/>
      <c r="M219" s="209">
        <v>100</v>
      </c>
      <c r="N219" s="194">
        <v>9.9999999999994316E-2</v>
      </c>
      <c r="O219" s="525">
        <v>9.9999999999994316E-2</v>
      </c>
      <c r="P219" s="522">
        <v>0.18</v>
      </c>
      <c r="Q219" s="1148"/>
      <c r="R219" s="240"/>
      <c r="S219" s="209">
        <v>100</v>
      </c>
      <c r="T219" s="757" t="s">
        <v>136</v>
      </c>
      <c r="U219" s="758" t="s">
        <v>136</v>
      </c>
      <c r="V219" s="758">
        <v>9.9999999999994316E-2</v>
      </c>
      <c r="W219" s="511">
        <v>0.06</v>
      </c>
      <c r="X219" s="200">
        <v>0.18</v>
      </c>
      <c r="Y219" s="779" t="s">
        <v>136</v>
      </c>
      <c r="Z219" s="780" t="s">
        <v>136</v>
      </c>
      <c r="AA219" s="780">
        <v>9.9999999999994316E-2</v>
      </c>
      <c r="AB219" s="511">
        <v>0.06</v>
      </c>
      <c r="AC219" s="524">
        <v>0.18</v>
      </c>
      <c r="AD219" s="9" t="s">
        <v>343</v>
      </c>
      <c r="AE219" s="4" t="s">
        <v>253</v>
      </c>
      <c r="AF219" s="158">
        <f>ROWS(AE$10:$AE219)</f>
        <v>210</v>
      </c>
      <c r="AG219" s="158" t="str">
        <f>IF(ID!$A$83=AE219,AF219,"")</f>
        <v/>
      </c>
      <c r="AH219" s="158" t="str">
        <f>IFERROR(SMALL($AG$10:$AG$393,ROWS($AG$10:AG219)),"")</f>
        <v/>
      </c>
    </row>
    <row r="220" spans="2:34" x14ac:dyDescent="0.2">
      <c r="B220" s="209">
        <v>150</v>
      </c>
      <c r="C220" s="194" t="s">
        <v>136</v>
      </c>
      <c r="D220" s="525" t="s">
        <v>136</v>
      </c>
      <c r="E220" s="1130"/>
      <c r="F220" s="241"/>
      <c r="H220" s="209">
        <v>150</v>
      </c>
      <c r="I220" s="194" t="s">
        <v>136</v>
      </c>
      <c r="J220" s="525" t="s">
        <v>136</v>
      </c>
      <c r="K220" s="1130"/>
      <c r="L220" s="241"/>
      <c r="M220" s="209">
        <v>150</v>
      </c>
      <c r="N220" s="194">
        <v>-9.9999999999994316E-2</v>
      </c>
      <c r="O220" s="525">
        <v>-9.9999999999994316E-2</v>
      </c>
      <c r="P220" s="522">
        <v>0.18</v>
      </c>
      <c r="Q220" s="1148"/>
      <c r="R220" s="240"/>
      <c r="S220" s="209">
        <v>150</v>
      </c>
      <c r="T220" s="757" t="s">
        <v>136</v>
      </c>
      <c r="U220" s="758" t="s">
        <v>136</v>
      </c>
      <c r="V220" s="758">
        <v>-9.9999999999994316E-2</v>
      </c>
      <c r="W220" s="511">
        <v>0.06</v>
      </c>
      <c r="X220" s="200">
        <v>0.18</v>
      </c>
      <c r="Y220" s="779" t="s">
        <v>136</v>
      </c>
      <c r="Z220" s="780" t="s">
        <v>136</v>
      </c>
      <c r="AA220" s="780">
        <v>-9.9999999999994316E-2</v>
      </c>
      <c r="AB220" s="511">
        <v>0.06</v>
      </c>
      <c r="AC220" s="524">
        <v>0.18</v>
      </c>
      <c r="AD220" s="9" t="s">
        <v>343</v>
      </c>
      <c r="AE220" s="4" t="s">
        <v>253</v>
      </c>
      <c r="AF220" s="158">
        <f>ROWS(AE$10:$AE220)</f>
        <v>211</v>
      </c>
      <c r="AG220" s="158" t="str">
        <f>IF(ID!$A$83=AE220,AF220,"")</f>
        <v/>
      </c>
      <c r="AH220" s="158" t="str">
        <f>IFERROR(SMALL($AG$10:$AG$393,ROWS($AG$10:AG220)),"")</f>
        <v/>
      </c>
    </row>
    <row r="221" spans="2:34" x14ac:dyDescent="0.2">
      <c r="B221" s="209">
        <v>200</v>
      </c>
      <c r="C221" s="194" t="s">
        <v>136</v>
      </c>
      <c r="D221" s="525" t="s">
        <v>136</v>
      </c>
      <c r="E221" s="1130"/>
      <c r="F221" s="241"/>
      <c r="H221" s="209">
        <v>200</v>
      </c>
      <c r="I221" s="194" t="s">
        <v>136</v>
      </c>
      <c r="J221" s="525" t="s">
        <v>136</v>
      </c>
      <c r="K221" s="1130"/>
      <c r="L221" s="241"/>
      <c r="M221" s="209">
        <v>200</v>
      </c>
      <c r="N221" s="194">
        <v>-9.9999999999994316E-2</v>
      </c>
      <c r="O221" s="525">
        <v>-9.9999999999994316E-2</v>
      </c>
      <c r="P221" s="522">
        <v>0.18</v>
      </c>
      <c r="Q221" s="1148"/>
      <c r="R221" s="240"/>
      <c r="S221" s="209">
        <v>200</v>
      </c>
      <c r="T221" s="757" t="s">
        <v>136</v>
      </c>
      <c r="U221" s="758" t="s">
        <v>136</v>
      </c>
      <c r="V221" s="758">
        <v>-9.9999999999994316E-2</v>
      </c>
      <c r="W221" s="511">
        <v>0.06</v>
      </c>
      <c r="X221" s="200">
        <v>0.18</v>
      </c>
      <c r="Y221" s="779" t="s">
        <v>136</v>
      </c>
      <c r="Z221" s="780" t="s">
        <v>136</v>
      </c>
      <c r="AA221" s="780">
        <v>-9.9999999999994316E-2</v>
      </c>
      <c r="AB221" s="511">
        <v>0.06</v>
      </c>
      <c r="AC221" s="524">
        <v>0.18</v>
      </c>
      <c r="AD221" s="9" t="s">
        <v>343</v>
      </c>
      <c r="AE221" s="4" t="s">
        <v>253</v>
      </c>
      <c r="AF221" s="158">
        <f>ROWS(AE$10:$AE221)</f>
        <v>212</v>
      </c>
      <c r="AG221" s="158" t="str">
        <f>IF(ID!$A$83=AE221,AF221,"")</f>
        <v/>
      </c>
      <c r="AH221" s="158" t="str">
        <f>IFERROR(SMALL($AG$10:$AG$393,ROWS($AG$10:AG221)),"")</f>
        <v/>
      </c>
    </row>
    <row r="222" spans="2:34" x14ac:dyDescent="0.2">
      <c r="B222" s="209">
        <v>250</v>
      </c>
      <c r="C222" s="194" t="s">
        <v>136</v>
      </c>
      <c r="D222" s="525" t="s">
        <v>136</v>
      </c>
      <c r="E222" s="1130"/>
      <c r="F222" s="241"/>
      <c r="H222" s="209">
        <v>250</v>
      </c>
      <c r="I222" s="194" t="s">
        <v>136</v>
      </c>
      <c r="J222" s="525" t="s">
        <v>136</v>
      </c>
      <c r="K222" s="1130"/>
      <c r="L222" s="241"/>
      <c r="M222" s="209">
        <v>250</v>
      </c>
      <c r="N222" s="194">
        <v>-0.30000000000001137</v>
      </c>
      <c r="O222" s="525">
        <v>-0.30000000000001137</v>
      </c>
      <c r="P222" s="522">
        <v>0.18</v>
      </c>
      <c r="Q222" s="1148"/>
      <c r="R222" s="240"/>
      <c r="S222" s="209">
        <v>250</v>
      </c>
      <c r="T222" s="757" t="s">
        <v>136</v>
      </c>
      <c r="U222" s="758" t="s">
        <v>136</v>
      </c>
      <c r="V222" s="758">
        <v>-0.30000000000001137</v>
      </c>
      <c r="W222" s="511">
        <v>0.06</v>
      </c>
      <c r="X222" s="200">
        <v>0.18</v>
      </c>
      <c r="Y222" s="779" t="s">
        <v>136</v>
      </c>
      <c r="Z222" s="780" t="s">
        <v>136</v>
      </c>
      <c r="AA222" s="780">
        <v>-0.30000000000001137</v>
      </c>
      <c r="AB222" s="511">
        <v>0.06</v>
      </c>
      <c r="AC222" s="524">
        <v>0.18</v>
      </c>
      <c r="AD222" s="9" t="s">
        <v>343</v>
      </c>
      <c r="AE222" s="4" t="s">
        <v>253</v>
      </c>
      <c r="AF222" s="158">
        <f>ROWS(AE$10:$AE222)</f>
        <v>213</v>
      </c>
      <c r="AG222" s="158" t="str">
        <f>IF(ID!$A$83=AE222,AF222,"")</f>
        <v/>
      </c>
      <c r="AH222" s="158" t="str">
        <f>IFERROR(SMALL($AG$10:$AG$393,ROWS($AG$10:AG222)),"")</f>
        <v/>
      </c>
    </row>
    <row r="223" spans="2:34" x14ac:dyDescent="0.2">
      <c r="B223" s="209">
        <v>300</v>
      </c>
      <c r="C223" s="194" t="s">
        <v>136</v>
      </c>
      <c r="D223" s="525" t="s">
        <v>136</v>
      </c>
      <c r="E223" s="1131"/>
      <c r="F223" s="241"/>
      <c r="H223" s="209">
        <v>300</v>
      </c>
      <c r="I223" s="194" t="s">
        <v>136</v>
      </c>
      <c r="J223" s="525" t="s">
        <v>136</v>
      </c>
      <c r="K223" s="1131"/>
      <c r="L223" s="241"/>
      <c r="M223" s="209">
        <v>300</v>
      </c>
      <c r="N223" s="194">
        <v>-0.60000000000002274</v>
      </c>
      <c r="O223" s="525">
        <v>-0.60000000000002274</v>
      </c>
      <c r="P223" s="522">
        <v>0.18</v>
      </c>
      <c r="Q223" s="1149"/>
      <c r="R223" s="240"/>
      <c r="S223" s="209">
        <v>300</v>
      </c>
      <c r="T223" s="757" t="s">
        <v>136</v>
      </c>
      <c r="U223" s="758" t="s">
        <v>136</v>
      </c>
      <c r="V223" s="758">
        <v>-0.60000000000002274</v>
      </c>
      <c r="W223" s="511">
        <v>0.06</v>
      </c>
      <c r="X223" s="200">
        <v>0.18</v>
      </c>
      <c r="Y223" s="779" t="s">
        <v>136</v>
      </c>
      <c r="Z223" s="780" t="s">
        <v>136</v>
      </c>
      <c r="AA223" s="780">
        <v>-0.60000000000002274</v>
      </c>
      <c r="AB223" s="511">
        <v>0.06</v>
      </c>
      <c r="AC223" s="524">
        <v>0.18</v>
      </c>
      <c r="AD223" s="9" t="s">
        <v>343</v>
      </c>
      <c r="AE223" s="4" t="s">
        <v>253</v>
      </c>
      <c r="AF223" s="158">
        <f>ROWS(AE$10:$AE223)</f>
        <v>214</v>
      </c>
      <c r="AG223" s="158" t="str">
        <f>IF(ID!$A$83=AE223,AF223,"")</f>
        <v/>
      </c>
      <c r="AH223" s="158" t="str">
        <f>IFERROR(SMALL($AG$10:$AG$393,ROWS($AG$10:AG223)),"")</f>
        <v/>
      </c>
    </row>
    <row r="224" spans="2:34" x14ac:dyDescent="0.2">
      <c r="S224" s="233" t="s">
        <v>106</v>
      </c>
      <c r="T224" s="771"/>
      <c r="U224" s="772" t="s">
        <v>106</v>
      </c>
      <c r="V224" s="772"/>
      <c r="W224" s="548"/>
      <c r="X224" s="523" t="s">
        <v>106</v>
      </c>
      <c r="Y224" s="785"/>
      <c r="Z224" s="784"/>
      <c r="AA224" s="784"/>
      <c r="AB224" s="548"/>
      <c r="AC224" s="202"/>
      <c r="AD224" s="96"/>
      <c r="AE224" s="4"/>
      <c r="AF224" s="158">
        <f>ROWS(AE$10:$AE224)</f>
        <v>215</v>
      </c>
      <c r="AG224" s="158" t="str">
        <f>IF(ID!$A$83=AE224,AF224,"")</f>
        <v/>
      </c>
      <c r="AH224" s="158" t="str">
        <f>IFERROR(SMALL($AG$10:$AG$393,ROWS($AG$10:AG224)),"")</f>
        <v/>
      </c>
    </row>
    <row r="225" spans="2:34" x14ac:dyDescent="0.2">
      <c r="E225" s="13"/>
      <c r="F225" s="13"/>
      <c r="K225" s="13"/>
      <c r="L225" s="13"/>
      <c r="N225" s="13"/>
      <c r="O225" s="13"/>
      <c r="Q225" s="13"/>
      <c r="R225" s="13"/>
      <c r="S225" s="233" t="s">
        <v>106</v>
      </c>
      <c r="T225" s="771"/>
      <c r="U225" s="772" t="s">
        <v>106</v>
      </c>
      <c r="V225" s="772"/>
      <c r="W225" s="548"/>
      <c r="X225" s="202" t="s">
        <v>106</v>
      </c>
      <c r="Y225" s="784"/>
      <c r="Z225" s="784"/>
      <c r="AA225" s="784"/>
      <c r="AB225" s="548"/>
      <c r="AC225" s="202"/>
      <c r="AD225" s="96"/>
      <c r="AE225" s="4"/>
      <c r="AF225" s="158">
        <f>ROWS(AE$10:$AE225)</f>
        <v>216</v>
      </c>
      <c r="AG225" s="158" t="str">
        <f>IF(ID!$A$83=AE225,AF225,"")</f>
        <v/>
      </c>
      <c r="AH225" s="158" t="str">
        <f>IFERROR(SMALL($AG$10:$AG$393,ROWS($AG$10:AG225)),"")</f>
        <v/>
      </c>
    </row>
    <row r="226" spans="2:34" x14ac:dyDescent="0.2">
      <c r="S226" s="233" t="s">
        <v>106</v>
      </c>
      <c r="T226" s="771"/>
      <c r="U226" s="772" t="s">
        <v>106</v>
      </c>
      <c r="V226" s="772"/>
      <c r="W226" s="548"/>
      <c r="X226" s="202" t="s">
        <v>106</v>
      </c>
      <c r="Y226" s="784"/>
      <c r="Z226" s="784"/>
      <c r="AA226" s="784"/>
      <c r="AB226" s="548"/>
      <c r="AC226" s="202"/>
      <c r="AD226" s="96"/>
      <c r="AE226" s="4"/>
      <c r="AF226" s="158">
        <f>ROWS(AE$10:$AE226)</f>
        <v>217</v>
      </c>
      <c r="AG226" s="158" t="str">
        <f>IF(ID!$A$83=AE226,AF226,"")</f>
        <v/>
      </c>
      <c r="AH226" s="158" t="str">
        <f>IFERROR(SMALL($AG$10:$AG$393,ROWS($AG$10:AG226)),"")</f>
        <v/>
      </c>
    </row>
    <row r="227" spans="2:34" x14ac:dyDescent="0.2">
      <c r="S227" s="233" t="s">
        <v>106</v>
      </c>
      <c r="T227" s="771"/>
      <c r="U227" s="772" t="s">
        <v>106</v>
      </c>
      <c r="V227" s="772"/>
      <c r="W227" s="548"/>
      <c r="X227" s="202" t="s">
        <v>106</v>
      </c>
      <c r="Y227" s="784"/>
      <c r="Z227" s="784"/>
      <c r="AA227" s="784"/>
      <c r="AB227" s="548"/>
      <c r="AC227" s="202"/>
      <c r="AD227" s="96"/>
      <c r="AE227" s="4"/>
      <c r="AF227" s="158">
        <f>ROWS(AE$10:$AE227)</f>
        <v>218</v>
      </c>
      <c r="AG227" s="158" t="str">
        <f>IF(ID!$A$83=AE227,AF227,"")</f>
        <v/>
      </c>
      <c r="AH227" s="158" t="str">
        <f>IFERROR(SMALL($AG$10:$AG$393,ROWS($AG$10:AG227)),"")</f>
        <v/>
      </c>
    </row>
    <row r="228" spans="2:34" x14ac:dyDescent="0.2">
      <c r="E228" s="13"/>
      <c r="F228" s="13"/>
      <c r="K228" s="13"/>
      <c r="L228" s="13"/>
      <c r="N228" s="13"/>
      <c r="O228" s="13"/>
      <c r="Q228" s="13"/>
      <c r="R228" s="13"/>
      <c r="S228" s="234"/>
      <c r="AD228" s="13"/>
      <c r="AE228" s="13"/>
      <c r="AF228" s="158">
        <f>ROWS(AE$10:$AE228)</f>
        <v>219</v>
      </c>
      <c r="AG228" s="158" t="str">
        <f>IF(ID!$A$83=AE228,AF228,"")</f>
        <v/>
      </c>
      <c r="AH228" s="158" t="str">
        <f>IFERROR(SMALL($AG$10:$AG$393,ROWS($AG$10:AG228)),"")</f>
        <v/>
      </c>
    </row>
    <row r="229" spans="2:34" s="526" customFormat="1" x14ac:dyDescent="0.2">
      <c r="C229" s="532"/>
      <c r="D229" s="538"/>
      <c r="I229" s="532"/>
      <c r="J229" s="538"/>
      <c r="S229" s="527"/>
      <c r="T229" s="753"/>
      <c r="U229" s="754"/>
      <c r="V229" s="754"/>
      <c r="W229" s="543"/>
      <c r="Y229" s="775"/>
      <c r="Z229" s="775"/>
      <c r="AA229" s="775"/>
      <c r="AB229" s="543"/>
      <c r="AF229" s="158">
        <f>ROWS(AE$10:$AE229)</f>
        <v>220</v>
      </c>
      <c r="AG229" s="158" t="str">
        <f>IF(ID!$A$83=AE229,AF229,"")</f>
        <v/>
      </c>
      <c r="AH229" s="158" t="str">
        <f>IFERROR(SMALL($AG$10:$AG$393,ROWS($AG$10:AG229)),"")</f>
        <v/>
      </c>
    </row>
    <row r="230" spans="2:34" s="526" customFormat="1" x14ac:dyDescent="0.2">
      <c r="C230" s="532"/>
      <c r="D230" s="538"/>
      <c r="I230" s="532"/>
      <c r="J230" s="538"/>
      <c r="S230" s="527"/>
      <c r="T230" s="753"/>
      <c r="U230" s="754"/>
      <c r="V230" s="754"/>
      <c r="W230" s="543"/>
      <c r="Y230" s="775"/>
      <c r="Z230" s="775"/>
      <c r="AA230" s="775"/>
      <c r="AB230" s="543"/>
      <c r="AF230" s="158">
        <f>ROWS(AE$10:$AE230)</f>
        <v>221</v>
      </c>
      <c r="AG230" s="158" t="str">
        <f>IF(ID!$A$83=AE230,AF230,"")</f>
        <v/>
      </c>
      <c r="AH230" s="158" t="str">
        <f>IFERROR(SMALL($AG$10:$AG$393,ROWS($AG$10:AG230)),"")</f>
        <v/>
      </c>
    </row>
    <row r="231" spans="2:34" s="526" customFormat="1" x14ac:dyDescent="0.2">
      <c r="C231" s="532"/>
      <c r="D231" s="538"/>
      <c r="I231" s="532"/>
      <c r="J231" s="538"/>
      <c r="S231" s="527"/>
      <c r="T231" s="753"/>
      <c r="U231" s="754"/>
      <c r="V231" s="754"/>
      <c r="W231" s="543"/>
      <c r="Y231" s="775"/>
      <c r="Z231" s="775"/>
      <c r="AA231" s="775"/>
      <c r="AB231" s="543"/>
      <c r="AF231" s="158">
        <f>ROWS(AE$10:$AE231)</f>
        <v>222</v>
      </c>
      <c r="AG231" s="158" t="str">
        <f>IF(ID!$A$83=AE231,AF231,"")</f>
        <v/>
      </c>
      <c r="AH231" s="158" t="str">
        <f>IFERROR(SMALL($AG$10:$AG$393,ROWS($AG$10:AG231)),"")</f>
        <v/>
      </c>
    </row>
    <row r="232" spans="2:34" s="526" customFormat="1" x14ac:dyDescent="0.2">
      <c r="C232" s="532"/>
      <c r="D232" s="538"/>
      <c r="I232" s="532"/>
      <c r="J232" s="538"/>
      <c r="S232" s="527"/>
      <c r="T232" s="753"/>
      <c r="U232" s="754"/>
      <c r="V232" s="754"/>
      <c r="W232" s="543"/>
      <c r="Y232" s="775"/>
      <c r="Z232" s="775"/>
      <c r="AA232" s="775"/>
      <c r="AB232" s="543"/>
      <c r="AF232" s="158">
        <f>ROWS(AE$10:$AE232)</f>
        <v>223</v>
      </c>
      <c r="AG232" s="158" t="str">
        <f>IF(ID!$A$83=AE232,AF232,"")</f>
        <v/>
      </c>
      <c r="AH232" s="158" t="str">
        <f>IFERROR(SMALL($AG$10:$AG$393,ROWS($AG$10:AG232)),"")</f>
        <v/>
      </c>
    </row>
    <row r="233" spans="2:34" x14ac:dyDescent="0.2">
      <c r="S233" s="228"/>
      <c r="T233" s="759"/>
      <c r="U233" s="760"/>
      <c r="V233" s="761"/>
      <c r="W233" s="546"/>
      <c r="AB233" s="546"/>
      <c r="AF233" s="158">
        <f>ROWS(AE$10:$AE233)</f>
        <v>224</v>
      </c>
      <c r="AG233" s="158" t="str">
        <f>IF(ID!$A$83=AE233,AF233,"")</f>
        <v/>
      </c>
      <c r="AH233" s="158" t="str">
        <f>IFERROR(SMALL($AG$10:$AG$393,ROWS($AG$10:AG233)),"")</f>
        <v/>
      </c>
    </row>
    <row r="234" spans="2:34" x14ac:dyDescent="0.2">
      <c r="B234" s="209">
        <v>0</v>
      </c>
      <c r="C234" s="194">
        <v>0</v>
      </c>
      <c r="D234" s="525">
        <v>0</v>
      </c>
      <c r="E234" s="1129" t="s">
        <v>251</v>
      </c>
      <c r="F234" s="241"/>
      <c r="H234" s="209">
        <v>0</v>
      </c>
      <c r="I234" s="194">
        <v>0</v>
      </c>
      <c r="J234" s="525">
        <v>0</v>
      </c>
      <c r="K234" s="1129" t="s">
        <v>251</v>
      </c>
      <c r="L234" s="241"/>
      <c r="M234" s="209">
        <v>0</v>
      </c>
      <c r="N234" s="194">
        <v>0</v>
      </c>
      <c r="O234" s="525">
        <v>0</v>
      </c>
      <c r="P234" s="200">
        <v>0.1</v>
      </c>
      <c r="Q234" s="1147" t="s">
        <v>382</v>
      </c>
      <c r="R234" s="240"/>
      <c r="S234" s="209">
        <v>0</v>
      </c>
      <c r="T234" s="757">
        <v>0</v>
      </c>
      <c r="U234" s="758">
        <v>0</v>
      </c>
      <c r="V234" s="758">
        <v>0</v>
      </c>
      <c r="W234" s="511">
        <v>0</v>
      </c>
      <c r="X234" s="200">
        <v>0.1</v>
      </c>
      <c r="Y234" s="779">
        <v>0</v>
      </c>
      <c r="Z234" s="780">
        <v>0</v>
      </c>
      <c r="AA234" s="780">
        <v>0</v>
      </c>
      <c r="AB234" s="511">
        <v>0</v>
      </c>
      <c r="AC234" s="524">
        <v>0.1</v>
      </c>
      <c r="AD234" s="9" t="s">
        <v>342</v>
      </c>
      <c r="AE234" s="4" t="s">
        <v>254</v>
      </c>
      <c r="AF234" s="158">
        <f>ROWS(AE$10:$AE234)</f>
        <v>225</v>
      </c>
      <c r="AG234" s="158" t="str">
        <f>IF(ID!$A$83=AE234,AF234,"")</f>
        <v/>
      </c>
      <c r="AH234" s="158" t="str">
        <f>IFERROR(SMALL($AG$10:$AG$393,ROWS($AG$10:AG234)),"")</f>
        <v/>
      </c>
    </row>
    <row r="235" spans="2:34" x14ac:dyDescent="0.2">
      <c r="B235" s="209">
        <v>50</v>
      </c>
      <c r="C235" s="194">
        <v>0.1</v>
      </c>
      <c r="D235" s="525">
        <v>0.1</v>
      </c>
      <c r="E235" s="1130"/>
      <c r="F235" s="241"/>
      <c r="H235" s="209">
        <v>50</v>
      </c>
      <c r="I235" s="194">
        <v>0.1</v>
      </c>
      <c r="J235" s="525">
        <v>0.1</v>
      </c>
      <c r="K235" s="1130"/>
      <c r="L235" s="241"/>
      <c r="M235" s="209">
        <v>50</v>
      </c>
      <c r="N235" s="194">
        <v>0</v>
      </c>
      <c r="O235" s="525">
        <v>0.1</v>
      </c>
      <c r="P235" s="200">
        <v>0.1</v>
      </c>
      <c r="Q235" s="1148"/>
      <c r="R235" s="240"/>
      <c r="S235" s="209">
        <v>50</v>
      </c>
      <c r="T235" s="757">
        <v>0.1</v>
      </c>
      <c r="U235" s="758">
        <v>0.1</v>
      </c>
      <c r="V235" s="758">
        <v>0</v>
      </c>
      <c r="W235" s="511">
        <v>0.05</v>
      </c>
      <c r="X235" s="200">
        <v>0.1</v>
      </c>
      <c r="Y235" s="779">
        <v>0.1</v>
      </c>
      <c r="Z235" s="780">
        <v>0.1</v>
      </c>
      <c r="AA235" s="780">
        <v>0.1</v>
      </c>
      <c r="AB235" s="511">
        <v>0</v>
      </c>
      <c r="AC235" s="524">
        <v>0.1</v>
      </c>
      <c r="AD235" s="9" t="s">
        <v>342</v>
      </c>
      <c r="AE235" s="4" t="s">
        <v>254</v>
      </c>
      <c r="AF235" s="158">
        <f>ROWS(AE$10:$AE235)</f>
        <v>226</v>
      </c>
      <c r="AG235" s="158" t="str">
        <f>IF(ID!$A$83=AE235,AF235,"")</f>
        <v/>
      </c>
      <c r="AH235" s="158" t="str">
        <f>IFERROR(SMALL($AG$10:$AG$393,ROWS($AG$10:AG235)),"")</f>
        <v/>
      </c>
    </row>
    <row r="236" spans="2:34" x14ac:dyDescent="0.2">
      <c r="B236" s="209">
        <v>100</v>
      </c>
      <c r="C236" s="194">
        <v>-0.2</v>
      </c>
      <c r="D236" s="525">
        <v>-0.2</v>
      </c>
      <c r="E236" s="1130"/>
      <c r="F236" s="241"/>
      <c r="H236" s="209">
        <v>100</v>
      </c>
      <c r="I236" s="194">
        <v>-0.2</v>
      </c>
      <c r="J236" s="525">
        <v>-0.2</v>
      </c>
      <c r="K236" s="1130"/>
      <c r="L236" s="241"/>
      <c r="M236" s="209">
        <v>100</v>
      </c>
      <c r="N236" s="194">
        <v>0.2</v>
      </c>
      <c r="O236" s="525">
        <v>0.3</v>
      </c>
      <c r="P236" s="200">
        <v>0.1</v>
      </c>
      <c r="Q236" s="1148"/>
      <c r="R236" s="240"/>
      <c r="S236" s="209">
        <v>100</v>
      </c>
      <c r="T236" s="757">
        <v>-0.2</v>
      </c>
      <c r="U236" s="758">
        <v>-0.2</v>
      </c>
      <c r="V236" s="758">
        <v>0.2</v>
      </c>
      <c r="W236" s="511">
        <v>0.2</v>
      </c>
      <c r="X236" s="200">
        <v>0.1</v>
      </c>
      <c r="Y236" s="779">
        <v>-0.2</v>
      </c>
      <c r="Z236" s="780">
        <v>-0.2</v>
      </c>
      <c r="AA236" s="780">
        <v>0.3</v>
      </c>
      <c r="AB236" s="511">
        <v>0.25</v>
      </c>
      <c r="AC236" s="524">
        <v>0.1</v>
      </c>
      <c r="AD236" s="9" t="s">
        <v>342</v>
      </c>
      <c r="AE236" s="4" t="s">
        <v>254</v>
      </c>
      <c r="AF236" s="158">
        <f>ROWS(AE$10:$AE236)</f>
        <v>227</v>
      </c>
      <c r="AG236" s="158" t="str">
        <f>IF(ID!$A$83=AE236,AF236,"")</f>
        <v/>
      </c>
      <c r="AH236" s="158" t="str">
        <f>IFERROR(SMALL($AG$10:$AG$393,ROWS($AG$10:AG236)),"")</f>
        <v/>
      </c>
    </row>
    <row r="237" spans="2:34" x14ac:dyDescent="0.2">
      <c r="B237" s="209">
        <v>150</v>
      </c>
      <c r="C237" s="194">
        <v>-0.1</v>
      </c>
      <c r="D237" s="525">
        <v>-0.1</v>
      </c>
      <c r="E237" s="1130"/>
      <c r="F237" s="241"/>
      <c r="H237" s="209">
        <v>150</v>
      </c>
      <c r="I237" s="194">
        <v>-0.1</v>
      </c>
      <c r="J237" s="525">
        <v>-0.1</v>
      </c>
      <c r="K237" s="1130"/>
      <c r="L237" s="241"/>
      <c r="M237" s="209">
        <v>150</v>
      </c>
      <c r="N237" s="194">
        <v>0.3</v>
      </c>
      <c r="O237" s="525">
        <v>0.4</v>
      </c>
      <c r="P237" s="200">
        <v>0.1</v>
      </c>
      <c r="Q237" s="1148"/>
      <c r="R237" s="240"/>
      <c r="S237" s="209">
        <v>150</v>
      </c>
      <c r="T237" s="757">
        <v>-0.1</v>
      </c>
      <c r="U237" s="758">
        <v>-0.1</v>
      </c>
      <c r="V237" s="758">
        <v>0.3</v>
      </c>
      <c r="W237" s="511">
        <v>0.2</v>
      </c>
      <c r="X237" s="200">
        <v>0.1</v>
      </c>
      <c r="Y237" s="779">
        <v>-0.1</v>
      </c>
      <c r="Z237" s="780">
        <v>-0.1</v>
      </c>
      <c r="AA237" s="780">
        <v>0.4</v>
      </c>
      <c r="AB237" s="511">
        <v>0.25</v>
      </c>
      <c r="AC237" s="524">
        <v>0.1</v>
      </c>
      <c r="AD237" s="9" t="s">
        <v>342</v>
      </c>
      <c r="AE237" s="4" t="s">
        <v>254</v>
      </c>
      <c r="AF237" s="158">
        <f>ROWS(AE$10:$AE237)</f>
        <v>228</v>
      </c>
      <c r="AG237" s="158" t="str">
        <f>IF(ID!$A$83=AE237,AF237,"")</f>
        <v/>
      </c>
      <c r="AH237" s="158" t="str">
        <f>IFERROR(SMALL($AG$10:$AG$393,ROWS($AG$10:AG237)),"")</f>
        <v/>
      </c>
    </row>
    <row r="238" spans="2:34" x14ac:dyDescent="0.2">
      <c r="B238" s="209">
        <v>200</v>
      </c>
      <c r="C238" s="194">
        <v>-0.2</v>
      </c>
      <c r="D238" s="525">
        <v>-0.2</v>
      </c>
      <c r="E238" s="1130"/>
      <c r="F238" s="241"/>
      <c r="H238" s="209">
        <v>200</v>
      </c>
      <c r="I238" s="194">
        <v>-0.2</v>
      </c>
      <c r="J238" s="525">
        <v>-0.2</v>
      </c>
      <c r="K238" s="1130"/>
      <c r="L238" s="241"/>
      <c r="M238" s="209">
        <v>200</v>
      </c>
      <c r="N238" s="194">
        <v>0.3</v>
      </c>
      <c r="O238" s="525">
        <v>0.4</v>
      </c>
      <c r="P238" s="200">
        <v>0.1</v>
      </c>
      <c r="Q238" s="1148"/>
      <c r="R238" s="240"/>
      <c r="S238" s="209">
        <v>200</v>
      </c>
      <c r="T238" s="757">
        <v>-0.2</v>
      </c>
      <c r="U238" s="758">
        <v>-0.2</v>
      </c>
      <c r="V238" s="758">
        <v>0.3</v>
      </c>
      <c r="W238" s="511">
        <v>0.25</v>
      </c>
      <c r="X238" s="200">
        <v>0.1</v>
      </c>
      <c r="Y238" s="779">
        <v>-0.2</v>
      </c>
      <c r="Z238" s="780">
        <v>-0.2</v>
      </c>
      <c r="AA238" s="780">
        <v>0.4</v>
      </c>
      <c r="AB238" s="511">
        <v>0.30000000000000004</v>
      </c>
      <c r="AC238" s="524">
        <v>0.1</v>
      </c>
      <c r="AD238" s="9" t="s">
        <v>342</v>
      </c>
      <c r="AE238" s="4" t="s">
        <v>254</v>
      </c>
      <c r="AF238" s="158">
        <f>ROWS(AE$10:$AE238)</f>
        <v>229</v>
      </c>
      <c r="AG238" s="158" t="str">
        <f>IF(ID!$A$83=AE238,AF238,"")</f>
        <v/>
      </c>
      <c r="AH238" s="158" t="str">
        <f>IFERROR(SMALL($AG$10:$AG$393,ROWS($AG$10:AG238)),"")</f>
        <v/>
      </c>
    </row>
    <row r="239" spans="2:34" x14ac:dyDescent="0.2">
      <c r="B239" s="209">
        <v>250</v>
      </c>
      <c r="C239" s="194">
        <v>-0.3</v>
      </c>
      <c r="D239" s="525">
        <v>-0.3</v>
      </c>
      <c r="E239" s="1130"/>
      <c r="F239" s="241"/>
      <c r="H239" s="209">
        <v>250</v>
      </c>
      <c r="I239" s="194">
        <v>-0.3</v>
      </c>
      <c r="J239" s="525">
        <v>-0.3</v>
      </c>
      <c r="K239" s="1130"/>
      <c r="L239" s="241"/>
      <c r="M239" s="209">
        <v>250</v>
      </c>
      <c r="N239" s="194">
        <v>0.6</v>
      </c>
      <c r="O239" s="525">
        <v>0.6</v>
      </c>
      <c r="P239" s="200">
        <v>0.1</v>
      </c>
      <c r="Q239" s="1148"/>
      <c r="R239" s="240"/>
      <c r="S239" s="209">
        <v>250</v>
      </c>
      <c r="T239" s="757">
        <v>-0.3</v>
      </c>
      <c r="U239" s="758">
        <v>-0.3</v>
      </c>
      <c r="V239" s="758">
        <v>0.6</v>
      </c>
      <c r="W239" s="511">
        <v>0.44999999999999996</v>
      </c>
      <c r="X239" s="200">
        <v>0.1</v>
      </c>
      <c r="Y239" s="779">
        <v>-0.3</v>
      </c>
      <c r="Z239" s="780">
        <v>-0.3</v>
      </c>
      <c r="AA239" s="780">
        <v>0.6</v>
      </c>
      <c r="AB239" s="511">
        <v>0.44999999999999996</v>
      </c>
      <c r="AC239" s="524">
        <v>0.1</v>
      </c>
      <c r="AD239" s="9" t="s">
        <v>342</v>
      </c>
      <c r="AE239" s="4" t="s">
        <v>254</v>
      </c>
      <c r="AF239" s="158">
        <f>ROWS(AE$10:$AE239)</f>
        <v>230</v>
      </c>
      <c r="AG239" s="158" t="str">
        <f>IF(ID!$A$83=AE239,AF239,"")</f>
        <v/>
      </c>
      <c r="AH239" s="158" t="str">
        <f>IFERROR(SMALL($AG$10:$AG$393,ROWS($AG$10:AG239)),"")</f>
        <v/>
      </c>
    </row>
    <row r="240" spans="2:34" x14ac:dyDescent="0.2">
      <c r="B240" s="209">
        <v>300</v>
      </c>
      <c r="C240" s="194">
        <v>-0.4</v>
      </c>
      <c r="D240" s="525">
        <v>-0.4</v>
      </c>
      <c r="E240" s="1131"/>
      <c r="F240" s="241"/>
      <c r="H240" s="209">
        <v>300</v>
      </c>
      <c r="I240" s="194">
        <v>-0.4</v>
      </c>
      <c r="J240" s="525">
        <v>-0.4</v>
      </c>
      <c r="K240" s="1131"/>
      <c r="L240" s="241"/>
      <c r="M240" s="209">
        <v>300</v>
      </c>
      <c r="N240" s="194">
        <v>0.7</v>
      </c>
      <c r="O240" s="525">
        <v>0.7</v>
      </c>
      <c r="P240" s="200">
        <v>0.1</v>
      </c>
      <c r="Q240" s="1149"/>
      <c r="R240" s="240"/>
      <c r="S240" s="209">
        <v>300</v>
      </c>
      <c r="T240" s="757">
        <v>-0.4</v>
      </c>
      <c r="U240" s="758">
        <v>-0.4</v>
      </c>
      <c r="V240" s="758">
        <v>0.7</v>
      </c>
      <c r="W240" s="511">
        <v>0.55000000000000004</v>
      </c>
      <c r="X240" s="200">
        <v>0.1</v>
      </c>
      <c r="Y240" s="779">
        <v>-0.4</v>
      </c>
      <c r="Z240" s="780">
        <v>-0.4</v>
      </c>
      <c r="AA240" s="780">
        <v>0.7</v>
      </c>
      <c r="AB240" s="511">
        <v>0.55000000000000004</v>
      </c>
      <c r="AC240" s="524">
        <v>0.1</v>
      </c>
      <c r="AD240" s="9" t="s">
        <v>342</v>
      </c>
      <c r="AE240" s="4" t="s">
        <v>254</v>
      </c>
      <c r="AF240" s="158">
        <f>ROWS(AE$10:$AE240)</f>
        <v>231</v>
      </c>
      <c r="AG240" s="158" t="str">
        <f>IF(ID!$A$83=AE240,AF240,"")</f>
        <v/>
      </c>
      <c r="AH240" s="158" t="str">
        <f>IFERROR(SMALL($AG$10:$AG$393,ROWS($AG$10:AG240)),"")</f>
        <v/>
      </c>
    </row>
    <row r="241" spans="2:34" x14ac:dyDescent="0.2">
      <c r="S241" s="233" t="s">
        <v>106</v>
      </c>
      <c r="T241" s="771"/>
      <c r="U241" s="772" t="s">
        <v>106</v>
      </c>
      <c r="V241" s="772"/>
      <c r="W241" s="548"/>
      <c r="X241" s="523" t="s">
        <v>106</v>
      </c>
      <c r="Y241" s="785"/>
      <c r="Z241" s="784"/>
      <c r="AA241" s="784"/>
      <c r="AB241" s="548"/>
      <c r="AC241" s="202"/>
      <c r="AD241" s="96"/>
      <c r="AE241" s="4"/>
      <c r="AF241" s="158">
        <f>ROWS(AE$10:$AE241)</f>
        <v>232</v>
      </c>
      <c r="AG241" s="158" t="str">
        <f>IF(ID!$A$83=AE241,AF241,"")</f>
        <v/>
      </c>
      <c r="AH241" s="158" t="str">
        <f>IFERROR(SMALL($AG$10:$AG$393,ROWS($AG$10:AG241)),"")</f>
        <v/>
      </c>
    </row>
    <row r="242" spans="2:34" x14ac:dyDescent="0.2">
      <c r="E242" s="13"/>
      <c r="F242" s="13"/>
      <c r="K242" s="13"/>
      <c r="L242" s="13"/>
      <c r="N242" s="13"/>
      <c r="O242" s="13"/>
      <c r="Q242" s="13"/>
      <c r="R242" s="13"/>
      <c r="S242" s="233" t="s">
        <v>106</v>
      </c>
      <c r="T242" s="771"/>
      <c r="U242" s="772" t="s">
        <v>106</v>
      </c>
      <c r="V242" s="772"/>
      <c r="W242" s="548"/>
      <c r="X242" s="202" t="s">
        <v>106</v>
      </c>
      <c r="Y242" s="784"/>
      <c r="Z242" s="784"/>
      <c r="AA242" s="784"/>
      <c r="AB242" s="548"/>
      <c r="AC242" s="202"/>
      <c r="AD242" s="96"/>
      <c r="AE242" s="4"/>
      <c r="AF242" s="158">
        <f>ROWS(AE$10:$AE242)</f>
        <v>233</v>
      </c>
      <c r="AG242" s="158" t="str">
        <f>IF(ID!$A$83=AE242,AF242,"")</f>
        <v/>
      </c>
      <c r="AH242" s="158" t="str">
        <f>IFERROR(SMALL($AG$10:$AG$393,ROWS($AG$10:AG242)),"")</f>
        <v/>
      </c>
    </row>
    <row r="243" spans="2:34" x14ac:dyDescent="0.2">
      <c r="S243" s="233" t="s">
        <v>106</v>
      </c>
      <c r="T243" s="771"/>
      <c r="U243" s="772" t="s">
        <v>106</v>
      </c>
      <c r="V243" s="772"/>
      <c r="W243" s="548"/>
      <c r="X243" s="202" t="s">
        <v>106</v>
      </c>
      <c r="Y243" s="784"/>
      <c r="Z243" s="784"/>
      <c r="AA243" s="784"/>
      <c r="AB243" s="548"/>
      <c r="AC243" s="202"/>
      <c r="AD243" s="96"/>
      <c r="AE243" s="4"/>
      <c r="AF243" s="158">
        <f>ROWS(AE$10:$AE243)</f>
        <v>234</v>
      </c>
      <c r="AG243" s="158" t="str">
        <f>IF(ID!$A$83=AE243,AF243,"")</f>
        <v/>
      </c>
      <c r="AH243" s="158" t="str">
        <f>IFERROR(SMALL($AG$10:$AG$393,ROWS($AG$10:AG243)),"")</f>
        <v/>
      </c>
    </row>
    <row r="244" spans="2:34" x14ac:dyDescent="0.2">
      <c r="S244" s="233" t="s">
        <v>106</v>
      </c>
      <c r="T244" s="771"/>
      <c r="U244" s="772" t="s">
        <v>106</v>
      </c>
      <c r="V244" s="772"/>
      <c r="W244" s="548"/>
      <c r="X244" s="202" t="s">
        <v>106</v>
      </c>
      <c r="Y244" s="784"/>
      <c r="Z244" s="784"/>
      <c r="AA244" s="784"/>
      <c r="AB244" s="548"/>
      <c r="AC244" s="202"/>
      <c r="AD244" s="96"/>
      <c r="AE244" s="4"/>
      <c r="AF244" s="158">
        <f>ROWS(AE$10:$AE244)</f>
        <v>235</v>
      </c>
      <c r="AG244" s="158" t="str">
        <f>IF(ID!$A$83=AE244,AF244,"")</f>
        <v/>
      </c>
      <c r="AH244" s="158" t="str">
        <f>IFERROR(SMALL($AG$10:$AG$393,ROWS($AG$10:AG244)),"")</f>
        <v/>
      </c>
    </row>
    <row r="245" spans="2:34" x14ac:dyDescent="0.2">
      <c r="E245" s="13"/>
      <c r="F245" s="13"/>
      <c r="K245" s="13"/>
      <c r="L245" s="13"/>
      <c r="N245" s="13"/>
      <c r="O245" s="13"/>
      <c r="Q245" s="13"/>
      <c r="R245" s="13"/>
      <c r="S245" s="234"/>
      <c r="AD245" s="13"/>
      <c r="AE245" s="13"/>
      <c r="AF245" s="158">
        <f>ROWS(AE$10:$AE245)</f>
        <v>236</v>
      </c>
      <c r="AG245" s="158" t="str">
        <f>IF(ID!$A$83=AE245,AF245,"")</f>
        <v/>
      </c>
      <c r="AH245" s="158" t="str">
        <f>IFERROR(SMALL($AG$10:$AG$393,ROWS($AG$10:AG245)),"")</f>
        <v/>
      </c>
    </row>
    <row r="246" spans="2:34" s="526" customFormat="1" x14ac:dyDescent="0.2">
      <c r="C246" s="532"/>
      <c r="D246" s="538"/>
      <c r="I246" s="532"/>
      <c r="J246" s="538"/>
      <c r="S246" s="527"/>
      <c r="T246" s="753"/>
      <c r="U246" s="754"/>
      <c r="V246" s="754"/>
      <c r="W246" s="543"/>
      <c r="Y246" s="775"/>
      <c r="Z246" s="775"/>
      <c r="AA246" s="775"/>
      <c r="AB246" s="543"/>
      <c r="AF246" s="158">
        <f>ROWS(AE$10:$AE246)</f>
        <v>237</v>
      </c>
      <c r="AG246" s="158" t="str">
        <f>IF(ID!$A$83=AE246,AF246,"")</f>
        <v/>
      </c>
      <c r="AH246" s="158" t="str">
        <f>IFERROR(SMALL($AG$10:$AG$393,ROWS($AG$10:AG246)),"")</f>
        <v/>
      </c>
    </row>
    <row r="247" spans="2:34" s="526" customFormat="1" x14ac:dyDescent="0.2">
      <c r="C247" s="532"/>
      <c r="D247" s="538"/>
      <c r="I247" s="532"/>
      <c r="J247" s="538"/>
      <c r="S247" s="527"/>
      <c r="T247" s="753"/>
      <c r="U247" s="754"/>
      <c r="V247" s="754"/>
      <c r="W247" s="543"/>
      <c r="Y247" s="775"/>
      <c r="Z247" s="775"/>
      <c r="AA247" s="775"/>
      <c r="AB247" s="543"/>
      <c r="AF247" s="158">
        <f>ROWS(AE$10:$AE247)</f>
        <v>238</v>
      </c>
      <c r="AG247" s="158" t="str">
        <f>IF(ID!$A$83=AE247,AF247,"")</f>
        <v/>
      </c>
      <c r="AH247" s="158" t="str">
        <f>IFERROR(SMALL($AG$10:$AG$393,ROWS($AG$10:AG247)),"")</f>
        <v/>
      </c>
    </row>
    <row r="248" spans="2:34" s="526" customFormat="1" x14ac:dyDescent="0.2">
      <c r="C248" s="532"/>
      <c r="D248" s="538"/>
      <c r="I248" s="532"/>
      <c r="J248" s="538"/>
      <c r="S248" s="527"/>
      <c r="T248" s="753"/>
      <c r="U248" s="754"/>
      <c r="V248" s="754"/>
      <c r="W248" s="543"/>
      <c r="Y248" s="775"/>
      <c r="Z248" s="775"/>
      <c r="AA248" s="775"/>
      <c r="AB248" s="543"/>
      <c r="AF248" s="158">
        <f>ROWS(AE$10:$AE248)</f>
        <v>239</v>
      </c>
      <c r="AG248" s="158" t="str">
        <f>IF(ID!$A$83=AE248,AF248,"")</f>
        <v/>
      </c>
      <c r="AH248" s="158" t="str">
        <f>IFERROR(SMALL($AG$10:$AG$393,ROWS($AG$10:AG248)),"")</f>
        <v/>
      </c>
    </row>
    <row r="249" spans="2:34" s="526" customFormat="1" x14ac:dyDescent="0.2">
      <c r="C249" s="532"/>
      <c r="D249" s="538"/>
      <c r="I249" s="532"/>
      <c r="J249" s="538"/>
      <c r="S249" s="527"/>
      <c r="T249" s="753"/>
      <c r="U249" s="754"/>
      <c r="V249" s="754"/>
      <c r="W249" s="543"/>
      <c r="Y249" s="775"/>
      <c r="Z249" s="775"/>
      <c r="AA249" s="775"/>
      <c r="AB249" s="543"/>
      <c r="AF249" s="158">
        <f>ROWS(AE$10:$AE249)</f>
        <v>240</v>
      </c>
      <c r="AG249" s="158" t="str">
        <f>IF(ID!$A$83=AE249,AF249,"")</f>
        <v/>
      </c>
      <c r="AH249" s="158" t="str">
        <f>IFERROR(SMALL($AG$10:$AG$393,ROWS($AG$10:AG249)),"")</f>
        <v/>
      </c>
    </row>
    <row r="250" spans="2:34" x14ac:dyDescent="0.2">
      <c r="S250" s="228"/>
      <c r="T250" s="759"/>
      <c r="U250" s="760"/>
      <c r="V250" s="761"/>
      <c r="W250" s="546"/>
      <c r="AB250" s="546"/>
      <c r="AF250" s="158">
        <f>ROWS(AE$10:$AE250)</f>
        <v>241</v>
      </c>
      <c r="AG250" s="158" t="str">
        <f>IF(ID!$A$83=AE250,AF250,"")</f>
        <v/>
      </c>
      <c r="AH250" s="158" t="str">
        <f>IFERROR(SMALL($AG$10:$AG$393,ROWS($AG$10:AG250)),"")</f>
        <v/>
      </c>
    </row>
    <row r="251" spans="2:34" x14ac:dyDescent="0.2">
      <c r="B251" s="209">
        <v>0</v>
      </c>
      <c r="C251" s="194">
        <v>0</v>
      </c>
      <c r="D251" s="525">
        <v>0</v>
      </c>
      <c r="E251" s="1129" t="s">
        <v>251</v>
      </c>
      <c r="F251" s="241"/>
      <c r="H251" s="209">
        <v>0</v>
      </c>
      <c r="I251" s="194">
        <v>0</v>
      </c>
      <c r="J251" s="525">
        <v>0</v>
      </c>
      <c r="K251" s="1129" t="s">
        <v>251</v>
      </c>
      <c r="L251" s="241"/>
      <c r="M251" s="209">
        <v>0</v>
      </c>
      <c r="N251" s="194">
        <v>0</v>
      </c>
      <c r="O251" s="525">
        <v>0</v>
      </c>
      <c r="P251" s="200">
        <v>0.1</v>
      </c>
      <c r="Q251" s="1147" t="s">
        <v>383</v>
      </c>
      <c r="R251" s="240"/>
      <c r="S251" s="209">
        <v>0</v>
      </c>
      <c r="T251" s="757">
        <v>0</v>
      </c>
      <c r="U251" s="758">
        <v>0</v>
      </c>
      <c r="V251" s="758">
        <v>0</v>
      </c>
      <c r="W251" s="511">
        <v>0</v>
      </c>
      <c r="X251" s="200">
        <v>0.1</v>
      </c>
      <c r="Y251" s="779">
        <v>0</v>
      </c>
      <c r="Z251" s="780">
        <v>0</v>
      </c>
      <c r="AA251" s="780">
        <v>0</v>
      </c>
      <c r="AB251" s="511">
        <v>0</v>
      </c>
      <c r="AC251" s="524">
        <v>0.1</v>
      </c>
      <c r="AD251" s="9" t="s">
        <v>342</v>
      </c>
      <c r="AE251" s="4" t="s">
        <v>255</v>
      </c>
      <c r="AF251" s="158">
        <f>ROWS(AE$10:$AE251)</f>
        <v>242</v>
      </c>
      <c r="AG251" s="158" t="str">
        <f>IF(ID!$A$83=AE251,AF251,"")</f>
        <v/>
      </c>
      <c r="AH251" s="158" t="str">
        <f>IFERROR(SMALL($AG$10:$AG$393,ROWS($AG$10:AG251)),"")</f>
        <v/>
      </c>
    </row>
    <row r="252" spans="2:34" x14ac:dyDescent="0.2">
      <c r="B252" s="209">
        <v>50</v>
      </c>
      <c r="C252" s="194">
        <v>0.2</v>
      </c>
      <c r="D252" s="525">
        <v>0.2</v>
      </c>
      <c r="E252" s="1130"/>
      <c r="F252" s="241"/>
      <c r="H252" s="209">
        <v>50</v>
      </c>
      <c r="I252" s="194">
        <v>0.2</v>
      </c>
      <c r="J252" s="525">
        <v>0.2</v>
      </c>
      <c r="K252" s="1130"/>
      <c r="L252" s="241"/>
      <c r="M252" s="209">
        <v>50</v>
      </c>
      <c r="N252" s="194">
        <v>0</v>
      </c>
      <c r="O252" s="525">
        <v>-0.2</v>
      </c>
      <c r="P252" s="200">
        <v>0.1</v>
      </c>
      <c r="Q252" s="1148"/>
      <c r="R252" s="240"/>
      <c r="S252" s="209">
        <v>50</v>
      </c>
      <c r="T252" s="757">
        <v>0.2</v>
      </c>
      <c r="U252" s="758">
        <v>0.2</v>
      </c>
      <c r="V252" s="758">
        <v>0</v>
      </c>
      <c r="W252" s="511">
        <v>0.1</v>
      </c>
      <c r="X252" s="200">
        <v>0.1</v>
      </c>
      <c r="Y252" s="779">
        <v>0.2</v>
      </c>
      <c r="Z252" s="780">
        <v>0.2</v>
      </c>
      <c r="AA252" s="780">
        <v>-0.2</v>
      </c>
      <c r="AB252" s="511">
        <v>0.2</v>
      </c>
      <c r="AC252" s="524">
        <v>0.1</v>
      </c>
      <c r="AD252" s="9" t="s">
        <v>342</v>
      </c>
      <c r="AE252" s="4" t="s">
        <v>255</v>
      </c>
      <c r="AF252" s="158">
        <f>ROWS(AE$10:$AE252)</f>
        <v>243</v>
      </c>
      <c r="AG252" s="158" t="str">
        <f>IF(ID!$A$83=AE252,AF252,"")</f>
        <v/>
      </c>
      <c r="AH252" s="158" t="str">
        <f>IFERROR(SMALL($AG$10:$AG$393,ROWS($AG$10:AG252)),"")</f>
        <v/>
      </c>
    </row>
    <row r="253" spans="2:34" x14ac:dyDescent="0.2">
      <c r="B253" s="209">
        <v>100</v>
      </c>
      <c r="C253" s="194">
        <v>0.1</v>
      </c>
      <c r="D253" s="525">
        <v>0.1</v>
      </c>
      <c r="E253" s="1130"/>
      <c r="F253" s="241"/>
      <c r="H253" s="209">
        <v>100</v>
      </c>
      <c r="I253" s="194">
        <v>0.1</v>
      </c>
      <c r="J253" s="525">
        <v>0.1</v>
      </c>
      <c r="K253" s="1130"/>
      <c r="L253" s="241"/>
      <c r="M253" s="209">
        <v>100</v>
      </c>
      <c r="N253" s="194">
        <v>-0.3</v>
      </c>
      <c r="O253" s="525">
        <v>-0.4</v>
      </c>
      <c r="P253" s="200">
        <v>0.1</v>
      </c>
      <c r="Q253" s="1148"/>
      <c r="R253" s="240"/>
      <c r="S253" s="209">
        <v>100</v>
      </c>
      <c r="T253" s="757">
        <v>0.1</v>
      </c>
      <c r="U253" s="758">
        <v>0.1</v>
      </c>
      <c r="V253" s="758">
        <v>-0.3</v>
      </c>
      <c r="W253" s="511">
        <v>0.2</v>
      </c>
      <c r="X253" s="200">
        <v>0.1</v>
      </c>
      <c r="Y253" s="779">
        <v>0.1</v>
      </c>
      <c r="Z253" s="780">
        <v>0.1</v>
      </c>
      <c r="AA253" s="780">
        <v>-0.4</v>
      </c>
      <c r="AB253" s="511">
        <v>0.25</v>
      </c>
      <c r="AC253" s="524">
        <v>0.1</v>
      </c>
      <c r="AD253" s="9" t="s">
        <v>342</v>
      </c>
      <c r="AE253" s="4" t="s">
        <v>255</v>
      </c>
      <c r="AF253" s="158">
        <f>ROWS(AE$10:$AE253)</f>
        <v>244</v>
      </c>
      <c r="AG253" s="158" t="str">
        <f>IF(ID!$A$83=AE253,AF253,"")</f>
        <v/>
      </c>
      <c r="AH253" s="158" t="str">
        <f>IFERROR(SMALL($AG$10:$AG$393,ROWS($AG$10:AG253)),"")</f>
        <v/>
      </c>
    </row>
    <row r="254" spans="2:34" x14ac:dyDescent="0.2">
      <c r="B254" s="209">
        <v>150</v>
      </c>
      <c r="C254" s="194">
        <v>-0.1</v>
      </c>
      <c r="D254" s="525">
        <v>-0.1</v>
      </c>
      <c r="E254" s="1130"/>
      <c r="F254" s="241"/>
      <c r="H254" s="209">
        <v>150</v>
      </c>
      <c r="I254" s="194">
        <v>-0.1</v>
      </c>
      <c r="J254" s="525">
        <v>-0.1</v>
      </c>
      <c r="K254" s="1130"/>
      <c r="L254" s="241"/>
      <c r="M254" s="209">
        <v>150</v>
      </c>
      <c r="N254" s="194">
        <v>-0.6</v>
      </c>
      <c r="O254" s="525">
        <v>-0.7</v>
      </c>
      <c r="P254" s="200">
        <v>0.1</v>
      </c>
      <c r="Q254" s="1148"/>
      <c r="R254" s="240"/>
      <c r="S254" s="209">
        <v>150</v>
      </c>
      <c r="T254" s="757">
        <v>-0.1</v>
      </c>
      <c r="U254" s="758">
        <v>-0.1</v>
      </c>
      <c r="V254" s="758">
        <v>-0.6</v>
      </c>
      <c r="W254" s="511">
        <v>0.25</v>
      </c>
      <c r="X254" s="200">
        <v>0.1</v>
      </c>
      <c r="Y254" s="779">
        <v>-0.1</v>
      </c>
      <c r="Z254" s="780">
        <v>-0.1</v>
      </c>
      <c r="AA254" s="780">
        <v>-0.7</v>
      </c>
      <c r="AB254" s="511">
        <v>0.3</v>
      </c>
      <c r="AC254" s="524">
        <v>0.1</v>
      </c>
      <c r="AD254" s="9" t="s">
        <v>342</v>
      </c>
      <c r="AE254" s="4" t="s">
        <v>255</v>
      </c>
      <c r="AF254" s="158">
        <f>ROWS(AE$10:$AE254)</f>
        <v>245</v>
      </c>
      <c r="AG254" s="158" t="str">
        <f>IF(ID!$A$83=AE254,AF254,"")</f>
        <v/>
      </c>
      <c r="AH254" s="158" t="str">
        <f>IFERROR(SMALL($AG$10:$AG$393,ROWS($AG$10:AG254)),"")</f>
        <v/>
      </c>
    </row>
    <row r="255" spans="2:34" x14ac:dyDescent="0.2">
      <c r="B255" s="209">
        <v>200</v>
      </c>
      <c r="C255" s="194">
        <v>-0.2</v>
      </c>
      <c r="D255" s="525">
        <v>-0.2</v>
      </c>
      <c r="E255" s="1130"/>
      <c r="F255" s="241"/>
      <c r="H255" s="209">
        <v>200</v>
      </c>
      <c r="I255" s="194">
        <v>-0.2</v>
      </c>
      <c r="J255" s="525">
        <v>-0.2</v>
      </c>
      <c r="K255" s="1130"/>
      <c r="L255" s="241"/>
      <c r="M255" s="209">
        <v>200</v>
      </c>
      <c r="N255" s="194">
        <v>-0.8</v>
      </c>
      <c r="O255" s="525">
        <v>-0.9</v>
      </c>
      <c r="P255" s="200">
        <v>0.1</v>
      </c>
      <c r="Q255" s="1148"/>
      <c r="R255" s="240"/>
      <c r="S255" s="209">
        <v>200</v>
      </c>
      <c r="T255" s="757">
        <v>-0.2</v>
      </c>
      <c r="U255" s="758">
        <v>-0.2</v>
      </c>
      <c r="V255" s="758">
        <v>-0.8</v>
      </c>
      <c r="W255" s="511">
        <v>0.30000000000000004</v>
      </c>
      <c r="X255" s="200">
        <v>0.1</v>
      </c>
      <c r="Y255" s="779">
        <v>-0.2</v>
      </c>
      <c r="Z255" s="780">
        <v>-0.2</v>
      </c>
      <c r="AA255" s="780">
        <v>-0.9</v>
      </c>
      <c r="AB255" s="511">
        <v>0.35</v>
      </c>
      <c r="AC255" s="524">
        <v>0.1</v>
      </c>
      <c r="AD255" s="9" t="s">
        <v>342</v>
      </c>
      <c r="AE255" s="4" t="s">
        <v>255</v>
      </c>
      <c r="AF255" s="158">
        <f>ROWS(AE$10:$AE255)</f>
        <v>246</v>
      </c>
      <c r="AG255" s="158" t="str">
        <f>IF(ID!$A$83=AE255,AF255,"")</f>
        <v/>
      </c>
      <c r="AH255" s="158" t="str">
        <f>IFERROR(SMALL($AG$10:$AG$393,ROWS($AG$10:AG255)),"")</f>
        <v/>
      </c>
    </row>
    <row r="256" spans="2:34" x14ac:dyDescent="0.2">
      <c r="B256" s="209">
        <v>250</v>
      </c>
      <c r="C256" s="194">
        <v>-0.4</v>
      </c>
      <c r="D256" s="525">
        <v>-0.4</v>
      </c>
      <c r="E256" s="1130"/>
      <c r="F256" s="241"/>
      <c r="H256" s="209">
        <v>250</v>
      </c>
      <c r="I256" s="194">
        <v>-0.4</v>
      </c>
      <c r="J256" s="525">
        <v>-0.4</v>
      </c>
      <c r="K256" s="1130"/>
      <c r="L256" s="241"/>
      <c r="M256" s="209">
        <v>250</v>
      </c>
      <c r="N256" s="194">
        <v>-1</v>
      </c>
      <c r="O256" s="525">
        <v>-1.1000000000000001</v>
      </c>
      <c r="P256" s="200">
        <v>0.1</v>
      </c>
      <c r="Q256" s="1148"/>
      <c r="R256" s="240"/>
      <c r="S256" s="209">
        <v>250</v>
      </c>
      <c r="T256" s="757">
        <v>-0.4</v>
      </c>
      <c r="U256" s="758">
        <v>-0.4</v>
      </c>
      <c r="V256" s="758">
        <v>-1</v>
      </c>
      <c r="W256" s="511">
        <v>0.3</v>
      </c>
      <c r="X256" s="200">
        <v>0.1</v>
      </c>
      <c r="Y256" s="779">
        <v>-0.4</v>
      </c>
      <c r="Z256" s="780">
        <v>-0.4</v>
      </c>
      <c r="AA256" s="780">
        <v>-1.1000000000000001</v>
      </c>
      <c r="AB256" s="511">
        <v>0.35000000000000003</v>
      </c>
      <c r="AC256" s="524">
        <v>0.1</v>
      </c>
      <c r="AD256" s="9" t="s">
        <v>342</v>
      </c>
      <c r="AE256" s="4" t="s">
        <v>255</v>
      </c>
      <c r="AF256" s="158">
        <f>ROWS(AE$10:$AE256)</f>
        <v>247</v>
      </c>
      <c r="AG256" s="158" t="str">
        <f>IF(ID!$A$83=AE256,AF256,"")</f>
        <v/>
      </c>
      <c r="AH256" s="158" t="str">
        <f>IFERROR(SMALL($AG$10:$AG$393,ROWS($AG$10:AG256)),"")</f>
        <v/>
      </c>
    </row>
    <row r="257" spans="2:34" x14ac:dyDescent="0.2">
      <c r="B257" s="209">
        <v>300</v>
      </c>
      <c r="C257" s="194">
        <v>-0.6</v>
      </c>
      <c r="D257" s="525">
        <v>-0.6</v>
      </c>
      <c r="E257" s="1131"/>
      <c r="F257" s="241"/>
      <c r="H257" s="209">
        <v>300</v>
      </c>
      <c r="I257" s="194">
        <v>-0.6</v>
      </c>
      <c r="J257" s="525">
        <v>-0.6</v>
      </c>
      <c r="K257" s="1131"/>
      <c r="L257" s="241"/>
      <c r="M257" s="209">
        <v>300</v>
      </c>
      <c r="N257" s="194">
        <v>-1.3</v>
      </c>
      <c r="O257" s="525">
        <v>-1.5</v>
      </c>
      <c r="P257" s="200">
        <v>0.1</v>
      </c>
      <c r="Q257" s="1149"/>
      <c r="R257" s="240"/>
      <c r="S257" s="209">
        <v>300</v>
      </c>
      <c r="T257" s="757">
        <v>-0.6</v>
      </c>
      <c r="U257" s="758">
        <v>-0.6</v>
      </c>
      <c r="V257" s="758">
        <v>-1.3</v>
      </c>
      <c r="W257" s="511">
        <v>0.35000000000000003</v>
      </c>
      <c r="X257" s="200">
        <v>0.1</v>
      </c>
      <c r="Y257" s="779">
        <v>-0.6</v>
      </c>
      <c r="Z257" s="780">
        <v>-0.6</v>
      </c>
      <c r="AA257" s="780">
        <v>-1.5</v>
      </c>
      <c r="AB257" s="511">
        <v>0.45</v>
      </c>
      <c r="AC257" s="524">
        <v>0.1</v>
      </c>
      <c r="AD257" s="9" t="s">
        <v>342</v>
      </c>
      <c r="AE257" s="4" t="s">
        <v>255</v>
      </c>
      <c r="AF257" s="158">
        <f>ROWS(AE$10:$AE257)</f>
        <v>248</v>
      </c>
      <c r="AG257" s="158" t="str">
        <f>IF(ID!$A$83=AE257,AF257,"")</f>
        <v/>
      </c>
      <c r="AH257" s="158" t="str">
        <f>IFERROR(SMALL($AG$10:$AG$393,ROWS($AG$10:AG257)),"")</f>
        <v/>
      </c>
    </row>
    <row r="258" spans="2:34" x14ac:dyDescent="0.2">
      <c r="S258" s="233" t="s">
        <v>106</v>
      </c>
      <c r="T258" s="771"/>
      <c r="U258" s="772" t="s">
        <v>106</v>
      </c>
      <c r="V258" s="772"/>
      <c r="W258" s="548"/>
      <c r="X258" s="523" t="s">
        <v>106</v>
      </c>
      <c r="Y258" s="785"/>
      <c r="Z258" s="784"/>
      <c r="AA258" s="784"/>
      <c r="AB258" s="548"/>
      <c r="AC258" s="202"/>
      <c r="AD258" s="96"/>
      <c r="AE258" s="4"/>
      <c r="AF258" s="158">
        <f>ROWS(AE$10:$AE258)</f>
        <v>249</v>
      </c>
      <c r="AG258" s="158" t="str">
        <f>IF(ID!$A$83=AE258,AF258,"")</f>
        <v/>
      </c>
      <c r="AH258" s="158" t="str">
        <f>IFERROR(SMALL($AG$10:$AG$393,ROWS($AG$10:AG258)),"")</f>
        <v/>
      </c>
    </row>
    <row r="259" spans="2:34" x14ac:dyDescent="0.2">
      <c r="E259" s="13"/>
      <c r="F259" s="13"/>
      <c r="K259" s="13"/>
      <c r="L259" s="13"/>
      <c r="N259" s="13"/>
      <c r="O259" s="13"/>
      <c r="Q259" s="13"/>
      <c r="R259" s="13"/>
      <c r="S259" s="233" t="s">
        <v>106</v>
      </c>
      <c r="T259" s="771"/>
      <c r="U259" s="772" t="s">
        <v>106</v>
      </c>
      <c r="V259" s="772"/>
      <c r="W259" s="548"/>
      <c r="X259" s="202" t="s">
        <v>106</v>
      </c>
      <c r="Y259" s="784"/>
      <c r="Z259" s="784"/>
      <c r="AA259" s="784"/>
      <c r="AB259" s="548"/>
      <c r="AC259" s="202"/>
      <c r="AD259" s="96"/>
      <c r="AE259" s="4"/>
      <c r="AF259" s="158">
        <f>ROWS(AE$10:$AE259)</f>
        <v>250</v>
      </c>
      <c r="AG259" s="158" t="str">
        <f>IF(ID!$A$83=AE259,AF259,"")</f>
        <v/>
      </c>
      <c r="AH259" s="158" t="str">
        <f>IFERROR(SMALL($AG$10:$AG$393,ROWS($AG$10:AG259)),"")</f>
        <v/>
      </c>
    </row>
    <row r="260" spans="2:34" x14ac:dyDescent="0.2">
      <c r="S260" s="233" t="s">
        <v>106</v>
      </c>
      <c r="T260" s="771"/>
      <c r="U260" s="772" t="s">
        <v>106</v>
      </c>
      <c r="V260" s="772"/>
      <c r="W260" s="548"/>
      <c r="X260" s="202" t="s">
        <v>106</v>
      </c>
      <c r="Y260" s="784"/>
      <c r="Z260" s="784"/>
      <c r="AA260" s="784"/>
      <c r="AB260" s="548"/>
      <c r="AC260" s="202"/>
      <c r="AD260" s="96"/>
      <c r="AE260" s="4"/>
      <c r="AF260" s="158">
        <f>ROWS(AE$10:$AE260)</f>
        <v>251</v>
      </c>
      <c r="AG260" s="158" t="str">
        <f>IF(ID!$A$83=AE260,AF260,"")</f>
        <v/>
      </c>
      <c r="AH260" s="158" t="str">
        <f>IFERROR(SMALL($AG$10:$AG$393,ROWS($AG$10:AG260)),"")</f>
        <v/>
      </c>
    </row>
    <row r="261" spans="2:34" x14ac:dyDescent="0.2">
      <c r="S261" s="233" t="s">
        <v>106</v>
      </c>
      <c r="T261" s="771"/>
      <c r="U261" s="772" t="s">
        <v>106</v>
      </c>
      <c r="V261" s="772"/>
      <c r="W261" s="548"/>
      <c r="X261" s="202" t="s">
        <v>106</v>
      </c>
      <c r="Y261" s="784"/>
      <c r="Z261" s="784"/>
      <c r="AA261" s="784"/>
      <c r="AB261" s="548"/>
      <c r="AC261" s="202"/>
      <c r="AD261" s="96"/>
      <c r="AE261" s="4"/>
      <c r="AF261" s="158">
        <f>ROWS(AE$10:$AE261)</f>
        <v>252</v>
      </c>
      <c r="AG261" s="158" t="str">
        <f>IF(ID!$A$83=AE261,AF261,"")</f>
        <v/>
      </c>
      <c r="AH261" s="158" t="str">
        <f>IFERROR(SMALL($AG$10:$AG$393,ROWS($AG$10:AG261)),"")</f>
        <v/>
      </c>
    </row>
    <row r="262" spans="2:34" x14ac:dyDescent="0.2">
      <c r="E262" s="13"/>
      <c r="F262" s="13"/>
      <c r="K262" s="13"/>
      <c r="L262" s="13"/>
      <c r="N262" s="13"/>
      <c r="O262" s="13"/>
      <c r="Q262" s="13"/>
      <c r="R262" s="13"/>
      <c r="S262" s="234"/>
      <c r="AD262" s="13"/>
      <c r="AE262" s="13"/>
      <c r="AF262" s="158">
        <f>ROWS(AE$10:$AE262)</f>
        <v>253</v>
      </c>
      <c r="AG262" s="158" t="str">
        <f>IF(ID!$A$83=AE262,AF262,"")</f>
        <v/>
      </c>
      <c r="AH262" s="158" t="str">
        <f>IFERROR(SMALL($AG$10:$AG$393,ROWS($AG$10:AG262)),"")</f>
        <v/>
      </c>
    </row>
    <row r="263" spans="2:34" s="526" customFormat="1" x14ac:dyDescent="0.2">
      <c r="C263" s="532"/>
      <c r="D263" s="538"/>
      <c r="I263" s="532"/>
      <c r="J263" s="538"/>
      <c r="S263" s="527"/>
      <c r="T263" s="753"/>
      <c r="U263" s="754"/>
      <c r="V263" s="754"/>
      <c r="W263" s="543"/>
      <c r="Y263" s="775"/>
      <c r="Z263" s="775"/>
      <c r="AA263" s="775"/>
      <c r="AB263" s="543"/>
      <c r="AF263" s="158">
        <f>ROWS(AE$10:$AE263)</f>
        <v>254</v>
      </c>
      <c r="AG263" s="158" t="str">
        <f>IF(ID!$A$83=AE263,AF263,"")</f>
        <v/>
      </c>
      <c r="AH263" s="158" t="str">
        <f>IFERROR(SMALL($AG$10:$AG$393,ROWS($AG$10:AG263)),"")</f>
        <v/>
      </c>
    </row>
    <row r="264" spans="2:34" s="526" customFormat="1" x14ac:dyDescent="0.2">
      <c r="C264" s="532"/>
      <c r="D264" s="538"/>
      <c r="I264" s="532"/>
      <c r="J264" s="538"/>
      <c r="S264" s="527"/>
      <c r="T264" s="753"/>
      <c r="U264" s="754"/>
      <c r="V264" s="754"/>
      <c r="W264" s="543"/>
      <c r="Y264" s="775"/>
      <c r="Z264" s="775"/>
      <c r="AA264" s="775"/>
      <c r="AB264" s="543"/>
      <c r="AF264" s="158">
        <f>ROWS(AE$10:$AE264)</f>
        <v>255</v>
      </c>
      <c r="AG264" s="158" t="str">
        <f>IF(ID!$A$83=AE264,AF264,"")</f>
        <v/>
      </c>
      <c r="AH264" s="158" t="str">
        <f>IFERROR(SMALL($AG$10:$AG$393,ROWS($AG$10:AG264)),"")</f>
        <v/>
      </c>
    </row>
    <row r="265" spans="2:34" s="526" customFormat="1" x14ac:dyDescent="0.2">
      <c r="C265" s="532"/>
      <c r="D265" s="538"/>
      <c r="I265" s="532"/>
      <c r="J265" s="538"/>
      <c r="S265" s="527"/>
      <c r="T265" s="753"/>
      <c r="U265" s="754"/>
      <c r="V265" s="754"/>
      <c r="W265" s="543"/>
      <c r="Y265" s="775"/>
      <c r="Z265" s="775"/>
      <c r="AA265" s="775"/>
      <c r="AB265" s="543"/>
      <c r="AF265" s="158">
        <f>ROWS(AE$10:$AE265)</f>
        <v>256</v>
      </c>
      <c r="AG265" s="158" t="str">
        <f>IF(ID!$A$83=AE265,AF265,"")</f>
        <v/>
      </c>
      <c r="AH265" s="158" t="str">
        <f>IFERROR(SMALL($AG$10:$AG$393,ROWS($AG$10:AG265)),"")</f>
        <v/>
      </c>
    </row>
    <row r="266" spans="2:34" x14ac:dyDescent="0.2">
      <c r="S266" s="228"/>
      <c r="T266" s="759"/>
      <c r="U266" s="760"/>
      <c r="V266" s="761"/>
      <c r="W266" s="546" t="s">
        <v>245</v>
      </c>
      <c r="AB266" s="546" t="s">
        <v>245</v>
      </c>
      <c r="AF266" s="158">
        <f>ROWS(AE$10:$AE266)</f>
        <v>257</v>
      </c>
      <c r="AG266" s="158" t="str">
        <f>IF(ID!$A$83=AE266,AF266,"")</f>
        <v/>
      </c>
      <c r="AH266" s="158" t="str">
        <f>IFERROR(SMALL($AG$10:$AG$393,ROWS($AG$10:AG266)),"")</f>
        <v/>
      </c>
    </row>
    <row r="267" spans="2:34" x14ac:dyDescent="0.2">
      <c r="B267" s="209">
        <v>0</v>
      </c>
      <c r="C267" s="194" t="s">
        <v>136</v>
      </c>
      <c r="D267" s="525" t="s">
        <v>136</v>
      </c>
      <c r="E267" s="1129" t="s">
        <v>136</v>
      </c>
      <c r="F267" s="241"/>
      <c r="H267" s="209">
        <v>0</v>
      </c>
      <c r="I267" s="194" t="s">
        <v>136</v>
      </c>
      <c r="J267" s="525" t="s">
        <v>136</v>
      </c>
      <c r="K267" s="1129" t="s">
        <v>136</v>
      </c>
      <c r="L267" s="241"/>
      <c r="M267" s="209">
        <v>0</v>
      </c>
      <c r="N267" s="194">
        <v>0</v>
      </c>
      <c r="O267" s="525">
        <v>0</v>
      </c>
      <c r="P267" s="200">
        <v>0.3</v>
      </c>
      <c r="Q267" s="1147" t="s">
        <v>348</v>
      </c>
      <c r="R267" s="240"/>
      <c r="S267" s="209">
        <v>0</v>
      </c>
      <c r="T267" s="757" t="s">
        <v>136</v>
      </c>
      <c r="U267" s="758" t="s">
        <v>136</v>
      </c>
      <c r="V267" s="758">
        <v>0</v>
      </c>
      <c r="W267" s="511">
        <v>9.9999999999999992E-2</v>
      </c>
      <c r="X267" s="200">
        <v>0.3</v>
      </c>
      <c r="Y267" s="779" t="s">
        <v>136</v>
      </c>
      <c r="Z267" s="780" t="s">
        <v>136</v>
      </c>
      <c r="AA267" s="780">
        <v>0</v>
      </c>
      <c r="AB267" s="511">
        <v>9.9999999999999992E-2</v>
      </c>
      <c r="AC267" s="524">
        <v>0.3</v>
      </c>
      <c r="AD267" s="9" t="s">
        <v>342</v>
      </c>
      <c r="AE267" s="4" t="s">
        <v>315</v>
      </c>
      <c r="AF267" s="158">
        <f>ROWS(AE$10:$AE267)</f>
        <v>258</v>
      </c>
      <c r="AG267" s="158" t="str">
        <f>IF(ID!$A$83=AE267,AF267,"")</f>
        <v/>
      </c>
      <c r="AH267" s="158" t="str">
        <f>IFERROR(SMALL($AG$10:$AG$393,ROWS($AG$10:AG267)),"")</f>
        <v/>
      </c>
    </row>
    <row r="268" spans="2:34" x14ac:dyDescent="0.2">
      <c r="B268" s="209">
        <v>50</v>
      </c>
      <c r="C268" s="194" t="s">
        <v>136</v>
      </c>
      <c r="D268" s="525" t="s">
        <v>136</v>
      </c>
      <c r="E268" s="1130"/>
      <c r="F268" s="241"/>
      <c r="H268" s="209">
        <v>50</v>
      </c>
      <c r="I268" s="194" t="s">
        <v>136</v>
      </c>
      <c r="J268" s="525" t="s">
        <v>136</v>
      </c>
      <c r="K268" s="1130"/>
      <c r="L268" s="241"/>
      <c r="M268" s="209">
        <v>50</v>
      </c>
      <c r="N268" s="194">
        <v>0</v>
      </c>
      <c r="O268" s="525">
        <v>0</v>
      </c>
      <c r="P268" s="200">
        <v>0.3</v>
      </c>
      <c r="Q268" s="1148"/>
      <c r="R268" s="240"/>
      <c r="S268" s="209">
        <v>50</v>
      </c>
      <c r="T268" s="757" t="s">
        <v>136</v>
      </c>
      <c r="U268" s="758" t="s">
        <v>136</v>
      </c>
      <c r="V268" s="758">
        <v>0</v>
      </c>
      <c r="W268" s="511">
        <v>9.9999999999999992E-2</v>
      </c>
      <c r="X268" s="200">
        <v>0.3</v>
      </c>
      <c r="Y268" s="779" t="s">
        <v>136</v>
      </c>
      <c r="Z268" s="780" t="s">
        <v>136</v>
      </c>
      <c r="AA268" s="780">
        <v>0</v>
      </c>
      <c r="AB268" s="511">
        <v>9.9999999999999992E-2</v>
      </c>
      <c r="AC268" s="524">
        <v>0.3</v>
      </c>
      <c r="AD268" s="9" t="s">
        <v>342</v>
      </c>
      <c r="AE268" s="4" t="s">
        <v>315</v>
      </c>
      <c r="AF268" s="158">
        <f>ROWS(AE$10:$AE268)</f>
        <v>259</v>
      </c>
      <c r="AG268" s="158" t="str">
        <f>IF(ID!$A$83=AE268,AF268,"")</f>
        <v/>
      </c>
      <c r="AH268" s="158" t="str">
        <f>IFERROR(SMALL($AG$10:$AG$393,ROWS($AG$10:AG268)),"")</f>
        <v/>
      </c>
    </row>
    <row r="269" spans="2:34" x14ac:dyDescent="0.2">
      <c r="B269" s="209">
        <v>100</v>
      </c>
      <c r="C269" s="194" t="s">
        <v>136</v>
      </c>
      <c r="D269" s="525" t="s">
        <v>136</v>
      </c>
      <c r="E269" s="1130"/>
      <c r="F269" s="241"/>
      <c r="H269" s="209">
        <v>100</v>
      </c>
      <c r="I269" s="194" t="s">
        <v>136</v>
      </c>
      <c r="J269" s="525" t="s">
        <v>136</v>
      </c>
      <c r="K269" s="1130"/>
      <c r="L269" s="241"/>
      <c r="M269" s="209">
        <v>100</v>
      </c>
      <c r="N269" s="194">
        <v>0.3</v>
      </c>
      <c r="O269" s="525">
        <v>0.4</v>
      </c>
      <c r="P269" s="200">
        <v>0.3</v>
      </c>
      <c r="Q269" s="1148"/>
      <c r="R269" s="240"/>
      <c r="S269" s="209">
        <v>100</v>
      </c>
      <c r="T269" s="757" t="s">
        <v>136</v>
      </c>
      <c r="U269" s="758" t="s">
        <v>136</v>
      </c>
      <c r="V269" s="758">
        <v>0.3</v>
      </c>
      <c r="W269" s="511">
        <v>9.9999999999999992E-2</v>
      </c>
      <c r="X269" s="200">
        <v>0.3</v>
      </c>
      <c r="Y269" s="779" t="s">
        <v>136</v>
      </c>
      <c r="Z269" s="780" t="s">
        <v>136</v>
      </c>
      <c r="AA269" s="780">
        <v>0.4</v>
      </c>
      <c r="AB269" s="511">
        <v>9.9999999999999992E-2</v>
      </c>
      <c r="AC269" s="524">
        <v>0.3</v>
      </c>
      <c r="AD269" s="9" t="s">
        <v>342</v>
      </c>
      <c r="AE269" s="4" t="s">
        <v>315</v>
      </c>
      <c r="AF269" s="158">
        <f>ROWS(AE$10:$AE269)</f>
        <v>260</v>
      </c>
      <c r="AG269" s="158" t="str">
        <f>IF(ID!$A$83=AE269,AF269,"")</f>
        <v/>
      </c>
      <c r="AH269" s="158" t="str">
        <f>IFERROR(SMALL($AG$10:$AG$393,ROWS($AG$10:AG269)),"")</f>
        <v/>
      </c>
    </row>
    <row r="270" spans="2:34" x14ac:dyDescent="0.2">
      <c r="B270" s="209">
        <v>150</v>
      </c>
      <c r="C270" s="194" t="s">
        <v>136</v>
      </c>
      <c r="D270" s="525" t="s">
        <v>136</v>
      </c>
      <c r="E270" s="1130"/>
      <c r="F270" s="241"/>
      <c r="H270" s="209">
        <v>150</v>
      </c>
      <c r="I270" s="194" t="s">
        <v>136</v>
      </c>
      <c r="J270" s="525" t="s">
        <v>136</v>
      </c>
      <c r="K270" s="1130"/>
      <c r="L270" s="241"/>
      <c r="M270" s="209">
        <v>150</v>
      </c>
      <c r="N270" s="194">
        <v>0.2</v>
      </c>
      <c r="O270" s="525">
        <v>0.3</v>
      </c>
      <c r="P270" s="200">
        <v>0.3</v>
      </c>
      <c r="Q270" s="1148"/>
      <c r="R270" s="240"/>
      <c r="S270" s="209">
        <v>150</v>
      </c>
      <c r="T270" s="757" t="s">
        <v>136</v>
      </c>
      <c r="U270" s="758" t="s">
        <v>136</v>
      </c>
      <c r="V270" s="758">
        <v>0.2</v>
      </c>
      <c r="W270" s="511">
        <v>9.9999999999999992E-2</v>
      </c>
      <c r="X270" s="200">
        <v>0.3</v>
      </c>
      <c r="Y270" s="779" t="s">
        <v>136</v>
      </c>
      <c r="Z270" s="780" t="s">
        <v>136</v>
      </c>
      <c r="AA270" s="780">
        <v>0.3</v>
      </c>
      <c r="AB270" s="511">
        <v>9.9999999999999992E-2</v>
      </c>
      <c r="AC270" s="524">
        <v>0.3</v>
      </c>
      <c r="AD270" s="9" t="s">
        <v>342</v>
      </c>
      <c r="AE270" s="4" t="s">
        <v>315</v>
      </c>
      <c r="AF270" s="158">
        <f>ROWS(AE$10:$AE270)</f>
        <v>261</v>
      </c>
      <c r="AG270" s="158" t="str">
        <f>IF(ID!$A$83=AE270,AF270,"")</f>
        <v/>
      </c>
      <c r="AH270" s="158" t="str">
        <f>IFERROR(SMALL($AG$10:$AG$393,ROWS($AG$10:AG270)),"")</f>
        <v/>
      </c>
    </row>
    <row r="271" spans="2:34" x14ac:dyDescent="0.2">
      <c r="B271" s="209">
        <v>200</v>
      </c>
      <c r="C271" s="194" t="s">
        <v>136</v>
      </c>
      <c r="D271" s="525" t="s">
        <v>136</v>
      </c>
      <c r="E271" s="1130"/>
      <c r="F271" s="241"/>
      <c r="H271" s="209">
        <v>200</v>
      </c>
      <c r="I271" s="194" t="s">
        <v>136</v>
      </c>
      <c r="J271" s="525" t="s">
        <v>136</v>
      </c>
      <c r="K271" s="1130"/>
      <c r="L271" s="241"/>
      <c r="M271" s="209">
        <v>200</v>
      </c>
      <c r="N271" s="194">
        <v>0.4</v>
      </c>
      <c r="O271" s="525">
        <v>0.5</v>
      </c>
      <c r="P271" s="200">
        <v>0.3</v>
      </c>
      <c r="Q271" s="1148"/>
      <c r="R271" s="240"/>
      <c r="S271" s="209">
        <v>200</v>
      </c>
      <c r="T271" s="757" t="s">
        <v>136</v>
      </c>
      <c r="U271" s="758" t="s">
        <v>136</v>
      </c>
      <c r="V271" s="758">
        <v>0.4</v>
      </c>
      <c r="W271" s="511">
        <v>9.9999999999999992E-2</v>
      </c>
      <c r="X271" s="200">
        <v>0.3</v>
      </c>
      <c r="Y271" s="779" t="s">
        <v>136</v>
      </c>
      <c r="Z271" s="780" t="s">
        <v>136</v>
      </c>
      <c r="AA271" s="780">
        <v>0.5</v>
      </c>
      <c r="AB271" s="511">
        <v>9.9999999999999992E-2</v>
      </c>
      <c r="AC271" s="524">
        <v>0.3</v>
      </c>
      <c r="AD271" s="9" t="s">
        <v>342</v>
      </c>
      <c r="AE271" s="4" t="s">
        <v>315</v>
      </c>
      <c r="AF271" s="158">
        <f>ROWS(AE$10:$AE271)</f>
        <v>262</v>
      </c>
      <c r="AG271" s="158" t="str">
        <f>IF(ID!$A$83=AE271,AF271,"")</f>
        <v/>
      </c>
      <c r="AH271" s="158" t="str">
        <f>IFERROR(SMALL($AG$10:$AG$393,ROWS($AG$10:AG271)),"")</f>
        <v/>
      </c>
    </row>
    <row r="272" spans="2:34" x14ac:dyDescent="0.2">
      <c r="B272" s="209">
        <v>250</v>
      </c>
      <c r="C272" s="194" t="s">
        <v>136</v>
      </c>
      <c r="D272" s="525" t="s">
        <v>136</v>
      </c>
      <c r="E272" s="1130"/>
      <c r="F272" s="241"/>
      <c r="H272" s="209">
        <v>250</v>
      </c>
      <c r="I272" s="194" t="s">
        <v>136</v>
      </c>
      <c r="J272" s="525" t="s">
        <v>136</v>
      </c>
      <c r="K272" s="1130"/>
      <c r="L272" s="241"/>
      <c r="M272" s="209">
        <v>250</v>
      </c>
      <c r="N272" s="194">
        <v>0.5</v>
      </c>
      <c r="O272" s="525">
        <v>0.7</v>
      </c>
      <c r="P272" s="200">
        <v>0.3</v>
      </c>
      <c r="Q272" s="1148"/>
      <c r="R272" s="240"/>
      <c r="S272" s="209">
        <v>250</v>
      </c>
      <c r="T272" s="757" t="s">
        <v>136</v>
      </c>
      <c r="U272" s="758" t="s">
        <v>136</v>
      </c>
      <c r="V272" s="758">
        <v>0.5</v>
      </c>
      <c r="W272" s="511">
        <v>9.9999999999999992E-2</v>
      </c>
      <c r="X272" s="200">
        <v>0.3</v>
      </c>
      <c r="Y272" s="779" t="s">
        <v>136</v>
      </c>
      <c r="Z272" s="780" t="s">
        <v>136</v>
      </c>
      <c r="AA272" s="780">
        <v>0.7</v>
      </c>
      <c r="AB272" s="511">
        <v>9.9999999999999992E-2</v>
      </c>
      <c r="AC272" s="524">
        <v>0.3</v>
      </c>
      <c r="AD272" s="9" t="s">
        <v>342</v>
      </c>
      <c r="AE272" s="4" t="s">
        <v>315</v>
      </c>
      <c r="AF272" s="158">
        <f>ROWS(AE$10:$AE272)</f>
        <v>263</v>
      </c>
      <c r="AG272" s="158" t="str">
        <f>IF(ID!$A$83=AE272,AF272,"")</f>
        <v/>
      </c>
      <c r="AH272" s="158" t="str">
        <f>IFERROR(SMALL($AG$10:$AG$393,ROWS($AG$10:AG272)),"")</f>
        <v/>
      </c>
    </row>
    <row r="273" spans="1:34" x14ac:dyDescent="0.2">
      <c r="B273" s="209">
        <v>300</v>
      </c>
      <c r="C273" s="194" t="s">
        <v>136</v>
      </c>
      <c r="D273" s="525" t="s">
        <v>136</v>
      </c>
      <c r="E273" s="1131"/>
      <c r="F273" s="241"/>
      <c r="H273" s="209">
        <v>300</v>
      </c>
      <c r="I273" s="194" t="s">
        <v>136</v>
      </c>
      <c r="J273" s="525" t="s">
        <v>136</v>
      </c>
      <c r="K273" s="1131"/>
      <c r="L273" s="241"/>
      <c r="M273" s="209">
        <v>300</v>
      </c>
      <c r="N273" s="194">
        <v>0.5</v>
      </c>
      <c r="O273" s="525">
        <v>0.7</v>
      </c>
      <c r="P273" s="200">
        <v>0.3</v>
      </c>
      <c r="Q273" s="1149"/>
      <c r="R273" s="240"/>
      <c r="S273" s="209">
        <v>300</v>
      </c>
      <c r="T273" s="757" t="s">
        <v>136</v>
      </c>
      <c r="U273" s="758" t="s">
        <v>136</v>
      </c>
      <c r="V273" s="758">
        <v>0.5</v>
      </c>
      <c r="W273" s="511">
        <v>9.9999999999999992E-2</v>
      </c>
      <c r="X273" s="200">
        <v>0.3</v>
      </c>
      <c r="Y273" s="779" t="s">
        <v>136</v>
      </c>
      <c r="Z273" s="780" t="s">
        <v>136</v>
      </c>
      <c r="AA273" s="780">
        <v>0.7</v>
      </c>
      <c r="AB273" s="511">
        <v>9.9999999999999992E-2</v>
      </c>
      <c r="AC273" s="524">
        <v>0.3</v>
      </c>
      <c r="AD273" s="9" t="s">
        <v>342</v>
      </c>
      <c r="AE273" s="4" t="s">
        <v>315</v>
      </c>
      <c r="AF273" s="158">
        <f>ROWS(AE$10:$AE273)</f>
        <v>264</v>
      </c>
      <c r="AG273" s="158" t="str">
        <f>IF(ID!$A$83=AE273,AF273,"")</f>
        <v/>
      </c>
      <c r="AH273" s="158" t="str">
        <f>IFERROR(SMALL($AG$10:$AG$393,ROWS($AG$10:AG273)),"")</f>
        <v/>
      </c>
    </row>
    <row r="274" spans="1:34" x14ac:dyDescent="0.2">
      <c r="S274" s="233" t="s">
        <v>106</v>
      </c>
      <c r="T274" s="771"/>
      <c r="U274" s="772" t="s">
        <v>106</v>
      </c>
      <c r="V274" s="772"/>
      <c r="W274" s="548"/>
      <c r="X274" s="523" t="s">
        <v>106</v>
      </c>
      <c r="Y274" s="785"/>
      <c r="Z274" s="784"/>
      <c r="AA274" s="784"/>
      <c r="AB274" s="548"/>
      <c r="AC274" s="202"/>
      <c r="AD274" s="96"/>
      <c r="AE274" s="4"/>
      <c r="AF274" s="158">
        <f>ROWS(AE$10:$AE274)</f>
        <v>265</v>
      </c>
      <c r="AG274" s="158" t="str">
        <f>IF(ID!$A$83=AE274,AF274,"")</f>
        <v/>
      </c>
      <c r="AH274" s="158" t="str">
        <f>IFERROR(SMALL($AG$10:$AG$393,ROWS($AG$10:AG274)),"")</f>
        <v/>
      </c>
    </row>
    <row r="275" spans="1:34" x14ac:dyDescent="0.2">
      <c r="E275" s="13"/>
      <c r="F275" s="13"/>
      <c r="K275" s="13"/>
      <c r="L275" s="13"/>
      <c r="N275" s="13"/>
      <c r="O275" s="13"/>
      <c r="Q275" s="13"/>
      <c r="R275" s="13"/>
      <c r="S275" s="233" t="s">
        <v>106</v>
      </c>
      <c r="T275" s="771"/>
      <c r="U275" s="772" t="s">
        <v>106</v>
      </c>
      <c r="V275" s="772"/>
      <c r="W275" s="548"/>
      <c r="X275" s="202" t="s">
        <v>106</v>
      </c>
      <c r="Y275" s="784"/>
      <c r="Z275" s="784"/>
      <c r="AA275" s="784"/>
      <c r="AB275" s="548"/>
      <c r="AC275" s="202"/>
      <c r="AD275" s="96"/>
      <c r="AE275" s="4"/>
      <c r="AF275" s="158">
        <f>ROWS(AE$10:$AE275)</f>
        <v>266</v>
      </c>
      <c r="AG275" s="158" t="str">
        <f>IF(ID!$A$83=AE275,AF275,"")</f>
        <v/>
      </c>
      <c r="AH275" s="158" t="str">
        <f>IFERROR(SMALL($AG$10:$AG$393,ROWS($AG$10:AG275)),"")</f>
        <v/>
      </c>
    </row>
    <row r="276" spans="1:34" x14ac:dyDescent="0.2">
      <c r="S276" s="233" t="s">
        <v>106</v>
      </c>
      <c r="T276" s="771"/>
      <c r="U276" s="772" t="s">
        <v>106</v>
      </c>
      <c r="V276" s="772"/>
      <c r="W276" s="548"/>
      <c r="X276" s="202" t="s">
        <v>106</v>
      </c>
      <c r="Y276" s="784"/>
      <c r="Z276" s="784"/>
      <c r="AA276" s="784"/>
      <c r="AB276" s="548"/>
      <c r="AC276" s="202"/>
      <c r="AD276" s="96"/>
      <c r="AE276" s="4"/>
      <c r="AF276" s="158">
        <f>ROWS(AE$10:$AE276)</f>
        <v>267</v>
      </c>
      <c r="AG276" s="158" t="str">
        <f>IF(ID!$A$83=AE276,AF276,"")</f>
        <v/>
      </c>
      <c r="AH276" s="158" t="str">
        <f>IFERROR(SMALL($AG$10:$AG$393,ROWS($AG$10:AG276)),"")</f>
        <v/>
      </c>
    </row>
    <row r="277" spans="1:34" x14ac:dyDescent="0.2">
      <c r="S277" s="233" t="s">
        <v>106</v>
      </c>
      <c r="T277" s="771"/>
      <c r="U277" s="772" t="s">
        <v>106</v>
      </c>
      <c r="V277" s="772"/>
      <c r="W277" s="548"/>
      <c r="X277" s="202" t="s">
        <v>106</v>
      </c>
      <c r="Y277" s="784"/>
      <c r="Z277" s="784"/>
      <c r="AA277" s="784"/>
      <c r="AB277" s="548"/>
      <c r="AC277" s="202"/>
      <c r="AD277" s="96"/>
      <c r="AE277" s="4"/>
      <c r="AF277" s="158">
        <f>ROWS(AE$10:$AE277)</f>
        <v>268</v>
      </c>
      <c r="AG277" s="158" t="str">
        <f>IF(ID!$A$83=AE277,AF277,"")</f>
        <v/>
      </c>
      <c r="AH277" s="158" t="str">
        <f>IFERROR(SMALL($AG$10:$AG$393,ROWS($AG$10:AG277)),"")</f>
        <v/>
      </c>
    </row>
    <row r="278" spans="1:34" x14ac:dyDescent="0.2">
      <c r="E278" s="13"/>
      <c r="F278" s="13"/>
      <c r="K278" s="13"/>
      <c r="L278" s="13"/>
      <c r="N278" s="13"/>
      <c r="O278" s="13"/>
      <c r="Q278" s="13"/>
      <c r="R278" s="13"/>
      <c r="S278" s="234"/>
      <c r="AD278" s="13"/>
      <c r="AE278" s="13"/>
      <c r="AF278" s="158">
        <f>ROWS(AE$10:$AE278)</f>
        <v>269</v>
      </c>
      <c r="AG278" s="158" t="str">
        <f>IF(ID!$A$83=AE278,AF278,"")</f>
        <v/>
      </c>
      <c r="AH278" s="158" t="str">
        <f>IFERROR(SMALL($AG$10:$AG$393,ROWS($AG$10:AG278)),"")</f>
        <v/>
      </c>
    </row>
    <row r="279" spans="1:34" x14ac:dyDescent="0.2">
      <c r="A279" s="526"/>
      <c r="B279" s="526"/>
      <c r="C279" s="532"/>
      <c r="D279" s="538"/>
      <c r="E279" s="526"/>
      <c r="F279" s="526"/>
      <c r="G279" s="526"/>
      <c r="H279" s="526"/>
      <c r="I279" s="532"/>
      <c r="J279" s="538"/>
      <c r="K279" s="526"/>
      <c r="L279" s="526"/>
      <c r="M279" s="526"/>
      <c r="N279" s="526"/>
      <c r="O279" s="526"/>
      <c r="P279" s="526"/>
      <c r="Q279" s="526"/>
      <c r="R279" s="526"/>
      <c r="S279" s="527"/>
      <c r="W279" s="543"/>
      <c r="X279" s="526"/>
      <c r="AB279" s="543"/>
      <c r="AC279" s="526"/>
      <c r="AD279" s="526"/>
      <c r="AE279" s="526"/>
      <c r="AF279" s="158">
        <f>ROWS(AE$10:$AE279)</f>
        <v>270</v>
      </c>
      <c r="AG279" s="158" t="str">
        <f>IF(ID!$A$83=AE279,AF279,"")</f>
        <v/>
      </c>
      <c r="AH279" s="158" t="str">
        <f>IFERROR(SMALL($AG$10:$AG$393,ROWS($AG$10:AG279)),"")</f>
        <v/>
      </c>
    </row>
    <row r="280" spans="1:34" x14ac:dyDescent="0.2">
      <c r="A280" s="526"/>
      <c r="B280" s="526"/>
      <c r="C280" s="532"/>
      <c r="D280" s="538"/>
      <c r="E280" s="526"/>
      <c r="F280" s="526"/>
      <c r="G280" s="526"/>
      <c r="H280" s="526"/>
      <c r="I280" s="532"/>
      <c r="J280" s="538"/>
      <c r="K280" s="526"/>
      <c r="L280" s="526"/>
      <c r="M280" s="526"/>
      <c r="N280" s="526"/>
      <c r="O280" s="526"/>
      <c r="P280" s="526"/>
      <c r="Q280" s="526"/>
      <c r="R280" s="526"/>
      <c r="S280" s="527"/>
      <c r="W280" s="543"/>
      <c r="X280" s="526"/>
      <c r="AB280" s="543"/>
      <c r="AC280" s="526"/>
      <c r="AD280" s="526"/>
      <c r="AE280" s="526"/>
      <c r="AF280" s="158">
        <f>ROWS(AE$10:$AE280)</f>
        <v>271</v>
      </c>
      <c r="AG280" s="158" t="str">
        <f>IF(ID!$A$83=AE280,AF280,"")</f>
        <v/>
      </c>
      <c r="AH280" s="158" t="str">
        <f>IFERROR(SMALL($AG$10:$AG$393,ROWS($AG$10:AG280)),"")</f>
        <v/>
      </c>
    </row>
    <row r="281" spans="1:34" x14ac:dyDescent="0.2">
      <c r="A281" s="526"/>
      <c r="B281" s="526"/>
      <c r="C281" s="532"/>
      <c r="D281" s="538"/>
      <c r="E281" s="526"/>
      <c r="F281" s="526"/>
      <c r="G281" s="526"/>
      <c r="H281" s="526"/>
      <c r="I281" s="532"/>
      <c r="J281" s="538"/>
      <c r="K281" s="526"/>
      <c r="L281" s="526"/>
      <c r="M281" s="526"/>
      <c r="N281" s="526"/>
      <c r="O281" s="526"/>
      <c r="P281" s="526"/>
      <c r="Q281" s="526"/>
      <c r="R281" s="526"/>
      <c r="S281" s="527"/>
      <c r="W281" s="543"/>
      <c r="X281" s="526"/>
      <c r="AB281" s="543"/>
      <c r="AC281" s="526"/>
      <c r="AD281" s="526"/>
      <c r="AE281" s="526"/>
      <c r="AF281" s="158">
        <f>ROWS(AE$10:$AE281)</f>
        <v>272</v>
      </c>
      <c r="AG281" s="158" t="str">
        <f>IF(ID!$A$83=AE281,AF281,"")</f>
        <v/>
      </c>
      <c r="AH281" s="158" t="str">
        <f>IFERROR(SMALL($AG$10:$AG$393,ROWS($AG$10:AG281)),"")</f>
        <v/>
      </c>
    </row>
    <row r="282" spans="1:34" x14ac:dyDescent="0.2">
      <c r="S282" s="228"/>
      <c r="T282" s="759"/>
      <c r="U282" s="760"/>
      <c r="V282" s="761"/>
      <c r="W282" s="546" t="s">
        <v>245</v>
      </c>
      <c r="AB282" s="546" t="s">
        <v>245</v>
      </c>
      <c r="AF282" s="158">
        <f>ROWS(AE$10:$AE282)</f>
        <v>273</v>
      </c>
      <c r="AG282" s="158" t="str">
        <f>IF(ID!$A$83=AE282,AF282,"")</f>
        <v/>
      </c>
      <c r="AH282" s="158" t="str">
        <f>IFERROR(SMALL($AG$10:$AG$393,ROWS($AG$10:AG282)),"")</f>
        <v/>
      </c>
    </row>
    <row r="283" spans="1:34" ht="12.75" customHeight="1" x14ac:dyDescent="0.2">
      <c r="B283" s="209">
        <v>0</v>
      </c>
      <c r="C283" s="194" t="s">
        <v>136</v>
      </c>
      <c r="D283" s="525" t="s">
        <v>136</v>
      </c>
      <c r="E283" s="1129" t="s">
        <v>136</v>
      </c>
      <c r="F283" s="241"/>
      <c r="H283" s="209">
        <v>0</v>
      </c>
      <c r="I283" s="194" t="s">
        <v>136</v>
      </c>
      <c r="J283" s="525" t="s">
        <v>136</v>
      </c>
      <c r="K283" s="1129" t="s">
        <v>136</v>
      </c>
      <c r="L283" s="241"/>
      <c r="M283" s="209">
        <v>0</v>
      </c>
      <c r="N283" s="194">
        <v>0</v>
      </c>
      <c r="O283" s="525">
        <v>0</v>
      </c>
      <c r="P283" s="200">
        <v>0.3</v>
      </c>
      <c r="Q283" s="1147" t="s">
        <v>348</v>
      </c>
      <c r="R283" s="240"/>
      <c r="S283" s="209">
        <v>0</v>
      </c>
      <c r="T283" s="757" t="s">
        <v>136</v>
      </c>
      <c r="U283" s="758" t="s">
        <v>136</v>
      </c>
      <c r="V283" s="758">
        <v>0</v>
      </c>
      <c r="W283" s="511">
        <v>9.9999999999999992E-2</v>
      </c>
      <c r="X283" s="200">
        <v>0.3</v>
      </c>
      <c r="Y283" s="779" t="s">
        <v>136</v>
      </c>
      <c r="Z283" s="780" t="s">
        <v>136</v>
      </c>
      <c r="AA283" s="780">
        <v>0</v>
      </c>
      <c r="AB283" s="511">
        <v>9.9999999999999992E-2</v>
      </c>
      <c r="AC283" s="524">
        <v>0.3</v>
      </c>
      <c r="AD283" s="9" t="s">
        <v>342</v>
      </c>
      <c r="AE283" s="4" t="s">
        <v>316</v>
      </c>
      <c r="AF283" s="158">
        <f>ROWS(AE$10:$AE283)</f>
        <v>274</v>
      </c>
      <c r="AG283" s="158" t="str">
        <f>IF(ID!$A$83=AE283,AF283,"")</f>
        <v/>
      </c>
      <c r="AH283" s="158" t="str">
        <f>IFERROR(SMALL($AG$10:$AG$393,ROWS($AG$10:AG283)),"")</f>
        <v/>
      </c>
    </row>
    <row r="284" spans="1:34" x14ac:dyDescent="0.2">
      <c r="B284" s="209">
        <v>50</v>
      </c>
      <c r="C284" s="194" t="s">
        <v>136</v>
      </c>
      <c r="D284" s="525" t="s">
        <v>136</v>
      </c>
      <c r="E284" s="1130"/>
      <c r="F284" s="241"/>
      <c r="H284" s="209">
        <v>50</v>
      </c>
      <c r="I284" s="194" t="s">
        <v>136</v>
      </c>
      <c r="J284" s="525" t="s">
        <v>136</v>
      </c>
      <c r="K284" s="1130"/>
      <c r="L284" s="241"/>
      <c r="M284" s="209">
        <v>50</v>
      </c>
      <c r="N284" s="194">
        <v>0.2</v>
      </c>
      <c r="O284" s="525">
        <v>0.5</v>
      </c>
      <c r="P284" s="200">
        <v>0.3</v>
      </c>
      <c r="Q284" s="1148"/>
      <c r="R284" s="240"/>
      <c r="S284" s="209">
        <v>50</v>
      </c>
      <c r="T284" s="757" t="s">
        <v>136</v>
      </c>
      <c r="U284" s="758" t="s">
        <v>136</v>
      </c>
      <c r="V284" s="758">
        <v>0.2</v>
      </c>
      <c r="W284" s="511">
        <v>9.9999999999999992E-2</v>
      </c>
      <c r="X284" s="200">
        <v>0.3</v>
      </c>
      <c r="Y284" s="779" t="s">
        <v>136</v>
      </c>
      <c r="Z284" s="780" t="s">
        <v>136</v>
      </c>
      <c r="AA284" s="780">
        <v>0.5</v>
      </c>
      <c r="AB284" s="511">
        <v>9.9999999999999992E-2</v>
      </c>
      <c r="AC284" s="524">
        <v>0.3</v>
      </c>
      <c r="AD284" s="9" t="s">
        <v>342</v>
      </c>
      <c r="AE284" s="4" t="s">
        <v>316</v>
      </c>
      <c r="AF284" s="158">
        <f>ROWS(AE$10:$AE284)</f>
        <v>275</v>
      </c>
      <c r="AG284" s="158" t="str">
        <f>IF(ID!$A$83=AE284,AF284,"")</f>
        <v/>
      </c>
      <c r="AH284" s="158" t="str">
        <f>IFERROR(SMALL($AG$10:$AG$393,ROWS($AG$10:AG284)),"")</f>
        <v/>
      </c>
    </row>
    <row r="285" spans="1:34" x14ac:dyDescent="0.2">
      <c r="B285" s="209">
        <v>100</v>
      </c>
      <c r="C285" s="194" t="s">
        <v>136</v>
      </c>
      <c r="D285" s="525" t="s">
        <v>136</v>
      </c>
      <c r="E285" s="1130"/>
      <c r="F285" s="241"/>
      <c r="H285" s="209">
        <v>100</v>
      </c>
      <c r="I285" s="194" t="s">
        <v>136</v>
      </c>
      <c r="J285" s="525" t="s">
        <v>136</v>
      </c>
      <c r="K285" s="1130"/>
      <c r="L285" s="241"/>
      <c r="M285" s="209">
        <v>100</v>
      </c>
      <c r="N285" s="194">
        <v>0.7</v>
      </c>
      <c r="O285" s="525">
        <v>0.9</v>
      </c>
      <c r="P285" s="200">
        <v>0.3</v>
      </c>
      <c r="Q285" s="1148"/>
      <c r="R285" s="240"/>
      <c r="S285" s="209">
        <v>100</v>
      </c>
      <c r="T285" s="757" t="s">
        <v>136</v>
      </c>
      <c r="U285" s="758" t="s">
        <v>136</v>
      </c>
      <c r="V285" s="758">
        <v>0.7</v>
      </c>
      <c r="W285" s="511">
        <v>9.9999999999999992E-2</v>
      </c>
      <c r="X285" s="200">
        <v>0.3</v>
      </c>
      <c r="Y285" s="779" t="s">
        <v>136</v>
      </c>
      <c r="Z285" s="780" t="s">
        <v>136</v>
      </c>
      <c r="AA285" s="780">
        <v>0.9</v>
      </c>
      <c r="AB285" s="511">
        <v>9.9999999999999992E-2</v>
      </c>
      <c r="AC285" s="524">
        <v>0.3</v>
      </c>
      <c r="AD285" s="9" t="s">
        <v>342</v>
      </c>
      <c r="AE285" s="4" t="s">
        <v>316</v>
      </c>
      <c r="AF285" s="158">
        <f>ROWS(AE$10:$AE285)</f>
        <v>276</v>
      </c>
      <c r="AG285" s="158" t="str">
        <f>IF(ID!$A$83=AE285,AF285,"")</f>
        <v/>
      </c>
      <c r="AH285" s="158" t="str">
        <f>IFERROR(SMALL($AG$10:$AG$393,ROWS($AG$10:AG285)),"")</f>
        <v/>
      </c>
    </row>
    <row r="286" spans="1:34" x14ac:dyDescent="0.2">
      <c r="B286" s="209">
        <v>150</v>
      </c>
      <c r="C286" s="194" t="s">
        <v>136</v>
      </c>
      <c r="D286" s="525" t="s">
        <v>136</v>
      </c>
      <c r="E286" s="1130"/>
      <c r="F286" s="241"/>
      <c r="H286" s="209">
        <v>150</v>
      </c>
      <c r="I286" s="194" t="s">
        <v>136</v>
      </c>
      <c r="J286" s="525" t="s">
        <v>136</v>
      </c>
      <c r="K286" s="1130"/>
      <c r="L286" s="241"/>
      <c r="M286" s="209">
        <v>150</v>
      </c>
      <c r="N286" s="194">
        <v>0.5</v>
      </c>
      <c r="O286" s="525">
        <v>0.7</v>
      </c>
      <c r="P286" s="200">
        <v>0.3</v>
      </c>
      <c r="Q286" s="1148"/>
      <c r="R286" s="240"/>
      <c r="S286" s="209">
        <v>150</v>
      </c>
      <c r="T286" s="757" t="s">
        <v>136</v>
      </c>
      <c r="U286" s="758" t="s">
        <v>136</v>
      </c>
      <c r="V286" s="758">
        <v>0.5</v>
      </c>
      <c r="W286" s="511">
        <v>9.9999999999999992E-2</v>
      </c>
      <c r="X286" s="200">
        <v>0.3</v>
      </c>
      <c r="Y286" s="779" t="s">
        <v>136</v>
      </c>
      <c r="Z286" s="780" t="s">
        <v>136</v>
      </c>
      <c r="AA286" s="780">
        <v>0.7</v>
      </c>
      <c r="AB286" s="511">
        <v>9.9999999999999992E-2</v>
      </c>
      <c r="AC286" s="524">
        <v>0.3</v>
      </c>
      <c r="AD286" s="9" t="s">
        <v>342</v>
      </c>
      <c r="AE286" s="4" t="s">
        <v>316</v>
      </c>
      <c r="AF286" s="158">
        <f>ROWS(AE$10:$AE286)</f>
        <v>277</v>
      </c>
      <c r="AG286" s="158" t="str">
        <f>IF(ID!$A$83=AE286,AF286,"")</f>
        <v/>
      </c>
      <c r="AH286" s="158" t="str">
        <f>IFERROR(SMALL($AG$10:$AG$393,ROWS($AG$10:AG286)),"")</f>
        <v/>
      </c>
    </row>
    <row r="287" spans="1:34" x14ac:dyDescent="0.2">
      <c r="B287" s="209">
        <v>200</v>
      </c>
      <c r="C287" s="194" t="s">
        <v>136</v>
      </c>
      <c r="D287" s="525" t="s">
        <v>136</v>
      </c>
      <c r="E287" s="1130"/>
      <c r="F287" s="241"/>
      <c r="H287" s="209">
        <v>200</v>
      </c>
      <c r="I287" s="194" t="s">
        <v>136</v>
      </c>
      <c r="J287" s="525" t="s">
        <v>136</v>
      </c>
      <c r="K287" s="1130"/>
      <c r="L287" s="241"/>
      <c r="M287" s="209">
        <v>200</v>
      </c>
      <c r="N287" s="194">
        <v>0.5</v>
      </c>
      <c r="O287" s="525">
        <v>0.7</v>
      </c>
      <c r="P287" s="200">
        <v>0.3</v>
      </c>
      <c r="Q287" s="1148"/>
      <c r="R287" s="240"/>
      <c r="S287" s="209">
        <v>200</v>
      </c>
      <c r="T287" s="757" t="s">
        <v>136</v>
      </c>
      <c r="U287" s="758" t="s">
        <v>136</v>
      </c>
      <c r="V287" s="758">
        <v>0.5</v>
      </c>
      <c r="W287" s="511">
        <v>9.9999999999999992E-2</v>
      </c>
      <c r="X287" s="200">
        <v>0.3</v>
      </c>
      <c r="Y287" s="779" t="s">
        <v>136</v>
      </c>
      <c r="Z287" s="780" t="s">
        <v>136</v>
      </c>
      <c r="AA287" s="780">
        <v>0.7</v>
      </c>
      <c r="AB287" s="511">
        <v>9.9999999999999992E-2</v>
      </c>
      <c r="AC287" s="524">
        <v>0.3</v>
      </c>
      <c r="AD287" s="9" t="s">
        <v>342</v>
      </c>
      <c r="AE287" s="4" t="s">
        <v>316</v>
      </c>
      <c r="AF287" s="158">
        <f>ROWS(AE$10:$AE287)</f>
        <v>278</v>
      </c>
      <c r="AG287" s="158" t="str">
        <f>IF(ID!$A$83=AE287,AF287,"")</f>
        <v/>
      </c>
      <c r="AH287" s="158" t="str">
        <f>IFERROR(SMALL($AG$10:$AG$393,ROWS($AG$10:AG287)),"")</f>
        <v/>
      </c>
    </row>
    <row r="288" spans="1:34" x14ac:dyDescent="0.2">
      <c r="B288" s="209">
        <v>250</v>
      </c>
      <c r="C288" s="194" t="s">
        <v>136</v>
      </c>
      <c r="D288" s="525" t="s">
        <v>136</v>
      </c>
      <c r="E288" s="1130"/>
      <c r="F288" s="241"/>
      <c r="H288" s="209">
        <v>250</v>
      </c>
      <c r="I288" s="194" t="s">
        <v>136</v>
      </c>
      <c r="J288" s="525" t="s">
        <v>136</v>
      </c>
      <c r="K288" s="1130"/>
      <c r="L288" s="241"/>
      <c r="M288" s="209">
        <v>250</v>
      </c>
      <c r="N288" s="194">
        <v>0.6</v>
      </c>
      <c r="O288" s="525">
        <v>0.9</v>
      </c>
      <c r="P288" s="200">
        <v>0.3</v>
      </c>
      <c r="Q288" s="1148"/>
      <c r="R288" s="240"/>
      <c r="S288" s="209">
        <v>250</v>
      </c>
      <c r="T288" s="757" t="s">
        <v>136</v>
      </c>
      <c r="U288" s="758" t="s">
        <v>136</v>
      </c>
      <c r="V288" s="758">
        <v>0.6</v>
      </c>
      <c r="W288" s="511">
        <v>9.9999999999999992E-2</v>
      </c>
      <c r="X288" s="200">
        <v>0.3</v>
      </c>
      <c r="Y288" s="779" t="s">
        <v>136</v>
      </c>
      <c r="Z288" s="780" t="s">
        <v>136</v>
      </c>
      <c r="AA288" s="780">
        <v>0.9</v>
      </c>
      <c r="AB288" s="511">
        <v>9.9999999999999992E-2</v>
      </c>
      <c r="AC288" s="524">
        <v>0.3</v>
      </c>
      <c r="AD288" s="9" t="s">
        <v>342</v>
      </c>
      <c r="AE288" s="4" t="s">
        <v>316</v>
      </c>
      <c r="AF288" s="158">
        <f>ROWS(AE$10:$AE288)</f>
        <v>279</v>
      </c>
      <c r="AG288" s="158" t="str">
        <f>IF(ID!$A$83=AE288,AF288,"")</f>
        <v/>
      </c>
      <c r="AH288" s="158" t="str">
        <f>IFERROR(SMALL($AG$10:$AG$393,ROWS($AG$10:AG288)),"")</f>
        <v/>
      </c>
    </row>
    <row r="289" spans="1:34" x14ac:dyDescent="0.2">
      <c r="B289" s="209">
        <v>300</v>
      </c>
      <c r="C289" s="194" t="s">
        <v>136</v>
      </c>
      <c r="D289" s="525" t="s">
        <v>136</v>
      </c>
      <c r="E289" s="1131"/>
      <c r="F289" s="241"/>
      <c r="H289" s="209">
        <v>300</v>
      </c>
      <c r="I289" s="194" t="s">
        <v>136</v>
      </c>
      <c r="J289" s="525" t="s">
        <v>136</v>
      </c>
      <c r="K289" s="1131"/>
      <c r="L289" s="241"/>
      <c r="M289" s="209">
        <v>300</v>
      </c>
      <c r="N289" s="194">
        <v>0.7</v>
      </c>
      <c r="O289" s="525">
        <v>0.9</v>
      </c>
      <c r="P289" s="200">
        <v>0.3</v>
      </c>
      <c r="Q289" s="1149"/>
      <c r="R289" s="240"/>
      <c r="S289" s="209">
        <v>300</v>
      </c>
      <c r="T289" s="757" t="s">
        <v>136</v>
      </c>
      <c r="U289" s="758" t="s">
        <v>136</v>
      </c>
      <c r="V289" s="758">
        <v>0.7</v>
      </c>
      <c r="W289" s="511">
        <v>9.9999999999999992E-2</v>
      </c>
      <c r="X289" s="200">
        <v>0.3</v>
      </c>
      <c r="Y289" s="779" t="s">
        <v>136</v>
      </c>
      <c r="Z289" s="780" t="s">
        <v>136</v>
      </c>
      <c r="AA289" s="780">
        <v>0.9</v>
      </c>
      <c r="AB289" s="511">
        <v>9.9999999999999992E-2</v>
      </c>
      <c r="AC289" s="524">
        <v>0.3</v>
      </c>
      <c r="AD289" s="9" t="s">
        <v>342</v>
      </c>
      <c r="AE289" s="4" t="s">
        <v>316</v>
      </c>
      <c r="AF289" s="158">
        <f>ROWS(AE$10:$AE289)</f>
        <v>280</v>
      </c>
      <c r="AG289" s="158" t="str">
        <f>IF(ID!$A$83=AE289,AF289,"")</f>
        <v/>
      </c>
      <c r="AH289" s="158" t="str">
        <f>IFERROR(SMALL($AG$10:$AG$393,ROWS($AG$10:AG289)),"")</f>
        <v/>
      </c>
    </row>
    <row r="290" spans="1:34" x14ac:dyDescent="0.2">
      <c r="S290" s="233" t="s">
        <v>106</v>
      </c>
      <c r="T290" s="771"/>
      <c r="U290" s="772" t="s">
        <v>106</v>
      </c>
      <c r="V290" s="772"/>
      <c r="W290" s="548"/>
      <c r="X290" s="523" t="s">
        <v>106</v>
      </c>
      <c r="Y290" s="785"/>
      <c r="Z290" s="784"/>
      <c r="AA290" s="784"/>
      <c r="AB290" s="548"/>
      <c r="AC290" s="202"/>
      <c r="AD290" s="96"/>
      <c r="AE290" s="4"/>
      <c r="AF290" s="158">
        <f>ROWS(AE$10:$AE290)</f>
        <v>281</v>
      </c>
      <c r="AG290" s="158" t="str">
        <f>IF(ID!$A$83=AE290,AF290,"")</f>
        <v/>
      </c>
      <c r="AH290" s="158" t="str">
        <f>IFERROR(SMALL($AG$10:$AG$393,ROWS($AG$10:AG290)),"")</f>
        <v/>
      </c>
    </row>
    <row r="291" spans="1:34" x14ac:dyDescent="0.2">
      <c r="E291" s="13"/>
      <c r="F291" s="13"/>
      <c r="K291" s="13"/>
      <c r="L291" s="13"/>
      <c r="N291" s="13"/>
      <c r="O291" s="13"/>
      <c r="Q291" s="13"/>
      <c r="R291" s="13"/>
      <c r="S291" s="233" t="s">
        <v>106</v>
      </c>
      <c r="T291" s="771"/>
      <c r="U291" s="772" t="s">
        <v>106</v>
      </c>
      <c r="V291" s="772"/>
      <c r="W291" s="548"/>
      <c r="X291" s="202" t="s">
        <v>106</v>
      </c>
      <c r="Y291" s="784"/>
      <c r="Z291" s="784"/>
      <c r="AA291" s="784"/>
      <c r="AB291" s="548"/>
      <c r="AC291" s="202"/>
      <c r="AD291" s="96"/>
      <c r="AE291" s="4"/>
      <c r="AF291" s="158">
        <f>ROWS(AE$10:$AE291)</f>
        <v>282</v>
      </c>
      <c r="AG291" s="158" t="str">
        <f>IF(ID!$A$83=AE291,AF291,"")</f>
        <v/>
      </c>
      <c r="AH291" s="158" t="str">
        <f>IFERROR(SMALL($AG$10:$AG$393,ROWS($AG$10:AG291)),"")</f>
        <v/>
      </c>
    </row>
    <row r="292" spans="1:34" x14ac:dyDescent="0.2">
      <c r="S292" s="233" t="s">
        <v>106</v>
      </c>
      <c r="T292" s="771"/>
      <c r="U292" s="772" t="s">
        <v>106</v>
      </c>
      <c r="V292" s="772"/>
      <c r="W292" s="548"/>
      <c r="X292" s="202" t="s">
        <v>106</v>
      </c>
      <c r="Y292" s="784"/>
      <c r="Z292" s="784"/>
      <c r="AA292" s="784"/>
      <c r="AB292" s="548"/>
      <c r="AC292" s="202"/>
      <c r="AD292" s="96"/>
      <c r="AE292" s="4"/>
      <c r="AF292" s="158">
        <f>ROWS(AE$10:$AE292)</f>
        <v>283</v>
      </c>
      <c r="AG292" s="158" t="str">
        <f>IF(ID!$A$83=AE292,AF292,"")</f>
        <v/>
      </c>
      <c r="AH292" s="158" t="str">
        <f>IFERROR(SMALL($AG$10:$AG$393,ROWS($AG$10:AG292)),"")</f>
        <v/>
      </c>
    </row>
    <row r="293" spans="1:34" x14ac:dyDescent="0.2">
      <c r="S293" s="233" t="s">
        <v>106</v>
      </c>
      <c r="T293" s="771"/>
      <c r="U293" s="772" t="s">
        <v>106</v>
      </c>
      <c r="V293" s="772"/>
      <c r="W293" s="548"/>
      <c r="X293" s="202" t="s">
        <v>106</v>
      </c>
      <c r="Y293" s="784"/>
      <c r="Z293" s="784"/>
      <c r="AA293" s="784"/>
      <c r="AB293" s="548"/>
      <c r="AC293" s="202"/>
      <c r="AD293" s="96"/>
      <c r="AE293" s="4"/>
      <c r="AF293" s="158">
        <f>ROWS(AE$10:$AE293)</f>
        <v>284</v>
      </c>
      <c r="AG293" s="158" t="str">
        <f>IF(ID!$A$83=AE293,AF293,"")</f>
        <v/>
      </c>
      <c r="AH293" s="158" t="str">
        <f>IFERROR(SMALL($AG$10:$AG$393,ROWS($AG$10:AG293)),"")</f>
        <v/>
      </c>
    </row>
    <row r="294" spans="1:34" x14ac:dyDescent="0.2">
      <c r="E294" s="13"/>
      <c r="F294" s="13"/>
      <c r="K294" s="13"/>
      <c r="L294" s="13"/>
      <c r="N294" s="13"/>
      <c r="O294" s="13"/>
      <c r="Q294" s="13"/>
      <c r="R294" s="13"/>
      <c r="S294" s="234"/>
      <c r="AD294" s="13"/>
      <c r="AE294" s="13"/>
      <c r="AF294" s="158">
        <f>ROWS(AE$10:$AE294)</f>
        <v>285</v>
      </c>
      <c r="AG294" s="158" t="str">
        <f>IF(ID!$A$83=AE294,AF294,"")</f>
        <v/>
      </c>
      <c r="AH294" s="158" t="str">
        <f>IFERROR(SMALL($AG$10:$AG$393,ROWS($AG$10:AG294)),"")</f>
        <v/>
      </c>
    </row>
    <row r="295" spans="1:34" x14ac:dyDescent="0.2">
      <c r="A295" s="526"/>
      <c r="B295" s="526"/>
      <c r="C295" s="532"/>
      <c r="D295" s="538"/>
      <c r="E295" s="526"/>
      <c r="F295" s="526"/>
      <c r="G295" s="526"/>
      <c r="H295" s="526"/>
      <c r="I295" s="532"/>
      <c r="J295" s="538"/>
      <c r="K295" s="526"/>
      <c r="L295" s="526"/>
      <c r="M295" s="526"/>
      <c r="N295" s="526"/>
      <c r="O295" s="526"/>
      <c r="P295" s="526"/>
      <c r="Q295" s="526"/>
      <c r="R295" s="526"/>
      <c r="S295" s="527"/>
      <c r="W295" s="543"/>
      <c r="X295" s="526"/>
      <c r="AB295" s="543"/>
      <c r="AC295" s="526"/>
      <c r="AD295" s="526"/>
      <c r="AE295" s="526"/>
      <c r="AF295" s="158">
        <f>ROWS(AE$10:$AE295)</f>
        <v>286</v>
      </c>
      <c r="AG295" s="158" t="str">
        <f>IF(ID!$A$83=AE295,AF295,"")</f>
        <v/>
      </c>
      <c r="AH295" s="158" t="str">
        <f>IFERROR(SMALL($AG$10:$AG$393,ROWS($AG$10:AG295)),"")</f>
        <v/>
      </c>
    </row>
    <row r="296" spans="1:34" x14ac:dyDescent="0.2">
      <c r="A296" s="526"/>
      <c r="B296" s="526"/>
      <c r="C296" s="532"/>
      <c r="D296" s="538"/>
      <c r="E296" s="526"/>
      <c r="F296" s="526"/>
      <c r="G296" s="526"/>
      <c r="H296" s="526"/>
      <c r="I296" s="532"/>
      <c r="J296" s="538"/>
      <c r="K296" s="526"/>
      <c r="L296" s="526"/>
      <c r="M296" s="526"/>
      <c r="N296" s="526"/>
      <c r="O296" s="526"/>
      <c r="P296" s="526"/>
      <c r="Q296" s="526"/>
      <c r="R296" s="526"/>
      <c r="S296" s="527"/>
      <c r="W296" s="543"/>
      <c r="X296" s="526"/>
      <c r="AB296" s="543"/>
      <c r="AC296" s="526"/>
      <c r="AD296" s="526"/>
      <c r="AE296" s="526"/>
      <c r="AF296" s="158">
        <f>ROWS(AE$10:$AE296)</f>
        <v>287</v>
      </c>
      <c r="AG296" s="158" t="str">
        <f>IF(ID!$A$83=AE296,AF296,"")</f>
        <v/>
      </c>
      <c r="AH296" s="158" t="str">
        <f>IFERROR(SMALL($AG$10:$AG$393,ROWS($AG$10:AG296)),"")</f>
        <v/>
      </c>
    </row>
    <row r="297" spans="1:34" x14ac:dyDescent="0.2">
      <c r="A297" s="526"/>
      <c r="B297" s="526"/>
      <c r="C297" s="532"/>
      <c r="D297" s="538"/>
      <c r="E297" s="526"/>
      <c r="F297" s="526"/>
      <c r="G297" s="526"/>
      <c r="H297" s="526"/>
      <c r="I297" s="532"/>
      <c r="J297" s="538"/>
      <c r="K297" s="526"/>
      <c r="L297" s="526"/>
      <c r="M297" s="526"/>
      <c r="N297" s="526"/>
      <c r="O297" s="526"/>
      <c r="P297" s="526"/>
      <c r="Q297" s="526"/>
      <c r="R297" s="526"/>
      <c r="S297" s="527"/>
      <c r="W297" s="543"/>
      <c r="X297" s="526"/>
      <c r="AB297" s="543"/>
      <c r="AC297" s="526"/>
      <c r="AD297" s="526"/>
      <c r="AE297" s="526"/>
      <c r="AF297" s="158">
        <f>ROWS(AE$10:$AE297)</f>
        <v>288</v>
      </c>
      <c r="AG297" s="158" t="str">
        <f>IF(ID!$A$83=AE297,AF297,"")</f>
        <v/>
      </c>
      <c r="AH297" s="158" t="str">
        <f>IFERROR(SMALL($AG$10:$AG$393,ROWS($AG$10:AG297)),"")</f>
        <v/>
      </c>
    </row>
    <row r="298" spans="1:34" x14ac:dyDescent="0.2">
      <c r="S298" s="228"/>
      <c r="T298" s="759"/>
      <c r="U298" s="760"/>
      <c r="V298" s="761"/>
      <c r="W298" s="546" t="s">
        <v>245</v>
      </c>
      <c r="AB298" s="546" t="s">
        <v>245</v>
      </c>
      <c r="AF298" s="158">
        <f>ROWS(AE$10:$AE298)</f>
        <v>289</v>
      </c>
      <c r="AG298" s="158" t="str">
        <f>IF(ID!$A$83=AE298,AF298,"")</f>
        <v/>
      </c>
      <c r="AH298" s="158" t="str">
        <f>IFERROR(SMALL($AG$10:$AG$393,ROWS($AG$10:AG298)),"")</f>
        <v/>
      </c>
    </row>
    <row r="299" spans="1:34" x14ac:dyDescent="0.2">
      <c r="B299" s="209">
        <v>0</v>
      </c>
      <c r="C299" s="194" t="s">
        <v>136</v>
      </c>
      <c r="D299" s="525" t="s">
        <v>136</v>
      </c>
      <c r="E299" s="1129" t="s">
        <v>136</v>
      </c>
      <c r="F299" s="241"/>
      <c r="H299" s="209">
        <v>0</v>
      </c>
      <c r="I299" s="194" t="s">
        <v>136</v>
      </c>
      <c r="J299" s="525" t="s">
        <v>136</v>
      </c>
      <c r="K299" s="1129" t="s">
        <v>136</v>
      </c>
      <c r="L299" s="241"/>
      <c r="M299" s="209">
        <v>0</v>
      </c>
      <c r="N299" s="194">
        <v>0</v>
      </c>
      <c r="O299" s="525">
        <v>0</v>
      </c>
      <c r="P299" s="200">
        <v>0.3</v>
      </c>
      <c r="Q299" s="1147" t="s">
        <v>348</v>
      </c>
      <c r="R299" s="240"/>
      <c r="S299" s="209">
        <v>0</v>
      </c>
      <c r="T299" s="757" t="s">
        <v>136</v>
      </c>
      <c r="U299" s="758" t="s">
        <v>136</v>
      </c>
      <c r="V299" s="758">
        <v>0</v>
      </c>
      <c r="W299" s="511">
        <v>9.9999999999999992E-2</v>
      </c>
      <c r="X299" s="200">
        <v>0.3</v>
      </c>
      <c r="Y299" s="779" t="s">
        <v>136</v>
      </c>
      <c r="Z299" s="780" t="s">
        <v>136</v>
      </c>
      <c r="AA299" s="780">
        <v>0</v>
      </c>
      <c r="AB299" s="511">
        <v>9.9999999999999992E-2</v>
      </c>
      <c r="AC299" s="524">
        <v>0.3</v>
      </c>
      <c r="AD299" s="9" t="s">
        <v>342</v>
      </c>
      <c r="AE299" s="17" t="s">
        <v>317</v>
      </c>
      <c r="AF299" s="158">
        <f>ROWS(AE$10:$AE299)</f>
        <v>290</v>
      </c>
      <c r="AG299" s="158" t="str">
        <f>IF(ID!$A$83=AE299,AF299,"")</f>
        <v/>
      </c>
      <c r="AH299" s="158" t="str">
        <f>IFERROR(SMALL($AG$10:$AG$393,ROWS($AG$10:AG299)),"")</f>
        <v/>
      </c>
    </row>
    <row r="300" spans="1:34" x14ac:dyDescent="0.2">
      <c r="B300" s="209">
        <v>50</v>
      </c>
      <c r="C300" s="194" t="s">
        <v>136</v>
      </c>
      <c r="D300" s="525" t="s">
        <v>136</v>
      </c>
      <c r="E300" s="1130"/>
      <c r="F300" s="241"/>
      <c r="H300" s="209">
        <v>50</v>
      </c>
      <c r="I300" s="194" t="s">
        <v>136</v>
      </c>
      <c r="J300" s="525" t="s">
        <v>136</v>
      </c>
      <c r="K300" s="1130"/>
      <c r="L300" s="241"/>
      <c r="M300" s="209">
        <v>50</v>
      </c>
      <c r="N300" s="194">
        <v>-0.6</v>
      </c>
      <c r="O300" s="525">
        <v>-0.4</v>
      </c>
      <c r="P300" s="200">
        <v>0.3</v>
      </c>
      <c r="Q300" s="1148"/>
      <c r="R300" s="240"/>
      <c r="S300" s="209">
        <v>50</v>
      </c>
      <c r="T300" s="757" t="s">
        <v>136</v>
      </c>
      <c r="U300" s="758" t="s">
        <v>136</v>
      </c>
      <c r="V300" s="758">
        <v>-0.6</v>
      </c>
      <c r="W300" s="511">
        <v>9.9999999999999992E-2</v>
      </c>
      <c r="X300" s="200">
        <v>0.3</v>
      </c>
      <c r="Y300" s="779" t="s">
        <v>136</v>
      </c>
      <c r="Z300" s="780" t="s">
        <v>136</v>
      </c>
      <c r="AA300" s="780">
        <v>-0.4</v>
      </c>
      <c r="AB300" s="511">
        <v>9.9999999999999992E-2</v>
      </c>
      <c r="AC300" s="524">
        <v>0.3</v>
      </c>
      <c r="AD300" s="9" t="s">
        <v>342</v>
      </c>
      <c r="AE300" s="17" t="s">
        <v>317</v>
      </c>
      <c r="AF300" s="158">
        <f>ROWS(AE$10:$AE300)</f>
        <v>291</v>
      </c>
      <c r="AG300" s="158" t="str">
        <f>IF(ID!$A$83=AE300,AF300,"")</f>
        <v/>
      </c>
      <c r="AH300" s="158" t="str">
        <f>IFERROR(SMALL($AG$10:$AG$393,ROWS($AG$10:AG300)),"")</f>
        <v/>
      </c>
    </row>
    <row r="301" spans="1:34" x14ac:dyDescent="0.2">
      <c r="B301" s="209">
        <v>100</v>
      </c>
      <c r="C301" s="194" t="s">
        <v>136</v>
      </c>
      <c r="D301" s="525" t="s">
        <v>136</v>
      </c>
      <c r="E301" s="1130"/>
      <c r="F301" s="241"/>
      <c r="H301" s="209">
        <v>100</v>
      </c>
      <c r="I301" s="194" t="s">
        <v>136</v>
      </c>
      <c r="J301" s="525" t="s">
        <v>136</v>
      </c>
      <c r="K301" s="1130"/>
      <c r="L301" s="241"/>
      <c r="M301" s="209">
        <v>100</v>
      </c>
      <c r="N301" s="194">
        <v>-0.7</v>
      </c>
      <c r="O301" s="525">
        <v>-0.5</v>
      </c>
      <c r="P301" s="200">
        <v>0.3</v>
      </c>
      <c r="Q301" s="1148"/>
      <c r="R301" s="240"/>
      <c r="S301" s="209">
        <v>100</v>
      </c>
      <c r="T301" s="757" t="s">
        <v>136</v>
      </c>
      <c r="U301" s="758" t="s">
        <v>136</v>
      </c>
      <c r="V301" s="758">
        <v>-0.7</v>
      </c>
      <c r="W301" s="511">
        <v>9.9999999999999992E-2</v>
      </c>
      <c r="X301" s="200">
        <v>0.3</v>
      </c>
      <c r="Y301" s="779" t="s">
        <v>136</v>
      </c>
      <c r="Z301" s="780" t="s">
        <v>136</v>
      </c>
      <c r="AA301" s="780">
        <v>-0.5</v>
      </c>
      <c r="AB301" s="511">
        <v>9.9999999999999992E-2</v>
      </c>
      <c r="AC301" s="524">
        <v>0.3</v>
      </c>
      <c r="AD301" s="9" t="s">
        <v>342</v>
      </c>
      <c r="AE301" s="17" t="s">
        <v>317</v>
      </c>
      <c r="AF301" s="158">
        <f>ROWS(AE$10:$AE301)</f>
        <v>292</v>
      </c>
      <c r="AG301" s="158" t="str">
        <f>IF(ID!$A$83=AE301,AF301,"")</f>
        <v/>
      </c>
      <c r="AH301" s="158" t="str">
        <f>IFERROR(SMALL($AG$10:$AG$393,ROWS($AG$10:AG301)),"")</f>
        <v/>
      </c>
    </row>
    <row r="302" spans="1:34" x14ac:dyDescent="0.2">
      <c r="B302" s="209">
        <v>150</v>
      </c>
      <c r="C302" s="194" t="s">
        <v>136</v>
      </c>
      <c r="D302" s="525" t="s">
        <v>136</v>
      </c>
      <c r="E302" s="1130"/>
      <c r="F302" s="241"/>
      <c r="H302" s="209">
        <v>150</v>
      </c>
      <c r="I302" s="194" t="s">
        <v>136</v>
      </c>
      <c r="J302" s="525" t="s">
        <v>136</v>
      </c>
      <c r="K302" s="1130"/>
      <c r="L302" s="241"/>
      <c r="M302" s="209">
        <v>150</v>
      </c>
      <c r="N302" s="194">
        <v>-0.9</v>
      </c>
      <c r="O302" s="525">
        <v>-0.6</v>
      </c>
      <c r="P302" s="200">
        <v>0.3</v>
      </c>
      <c r="Q302" s="1148"/>
      <c r="R302" s="240"/>
      <c r="S302" s="209">
        <v>150</v>
      </c>
      <c r="T302" s="757" t="s">
        <v>136</v>
      </c>
      <c r="U302" s="758" t="s">
        <v>136</v>
      </c>
      <c r="V302" s="758">
        <v>-0.9</v>
      </c>
      <c r="W302" s="511">
        <v>9.9999999999999992E-2</v>
      </c>
      <c r="X302" s="200">
        <v>0.3</v>
      </c>
      <c r="Y302" s="779" t="s">
        <v>136</v>
      </c>
      <c r="Z302" s="780" t="s">
        <v>136</v>
      </c>
      <c r="AA302" s="780">
        <v>-0.6</v>
      </c>
      <c r="AB302" s="511">
        <v>9.9999999999999992E-2</v>
      </c>
      <c r="AC302" s="524">
        <v>0.3</v>
      </c>
      <c r="AD302" s="9" t="s">
        <v>342</v>
      </c>
      <c r="AE302" s="17" t="s">
        <v>317</v>
      </c>
      <c r="AF302" s="158">
        <f>ROWS(AE$10:$AE302)</f>
        <v>293</v>
      </c>
      <c r="AG302" s="158" t="str">
        <f>IF(ID!$A$83=AE302,AF302,"")</f>
        <v/>
      </c>
      <c r="AH302" s="158" t="str">
        <f>IFERROR(SMALL($AG$10:$AG$393,ROWS($AG$10:AG302)),"")</f>
        <v/>
      </c>
    </row>
    <row r="303" spans="1:34" x14ac:dyDescent="0.2">
      <c r="B303" s="209">
        <v>200</v>
      </c>
      <c r="C303" s="194" t="s">
        <v>136</v>
      </c>
      <c r="D303" s="525" t="s">
        <v>136</v>
      </c>
      <c r="E303" s="1130"/>
      <c r="F303" s="241"/>
      <c r="H303" s="209">
        <v>200</v>
      </c>
      <c r="I303" s="194" t="s">
        <v>136</v>
      </c>
      <c r="J303" s="525" t="s">
        <v>136</v>
      </c>
      <c r="K303" s="1130"/>
      <c r="L303" s="241"/>
      <c r="M303" s="209">
        <v>200</v>
      </c>
      <c r="N303" s="194">
        <v>-1</v>
      </c>
      <c r="O303" s="525">
        <v>-0.7</v>
      </c>
      <c r="P303" s="200">
        <v>0.3</v>
      </c>
      <c r="Q303" s="1148"/>
      <c r="R303" s="240"/>
      <c r="S303" s="209">
        <v>200</v>
      </c>
      <c r="T303" s="757" t="s">
        <v>136</v>
      </c>
      <c r="U303" s="758" t="s">
        <v>136</v>
      </c>
      <c r="V303" s="758">
        <v>-1</v>
      </c>
      <c r="W303" s="511">
        <v>9.9999999999999992E-2</v>
      </c>
      <c r="X303" s="200">
        <v>0.3</v>
      </c>
      <c r="Y303" s="779" t="s">
        <v>136</v>
      </c>
      <c r="Z303" s="780" t="s">
        <v>136</v>
      </c>
      <c r="AA303" s="780">
        <v>-0.7</v>
      </c>
      <c r="AB303" s="511">
        <v>9.9999999999999992E-2</v>
      </c>
      <c r="AC303" s="524">
        <v>0.3</v>
      </c>
      <c r="AD303" s="9" t="s">
        <v>342</v>
      </c>
      <c r="AE303" s="17" t="s">
        <v>317</v>
      </c>
      <c r="AF303" s="158">
        <f>ROWS(AE$10:$AE303)</f>
        <v>294</v>
      </c>
      <c r="AG303" s="158" t="str">
        <f>IF(ID!$A$83=AE303,AF303,"")</f>
        <v/>
      </c>
      <c r="AH303" s="158" t="str">
        <f>IFERROR(SMALL($AG$10:$AG$393,ROWS($AG$10:AG303)),"")</f>
        <v/>
      </c>
    </row>
    <row r="304" spans="1:34" x14ac:dyDescent="0.2">
      <c r="B304" s="209">
        <v>250</v>
      </c>
      <c r="C304" s="194" t="s">
        <v>136</v>
      </c>
      <c r="D304" s="525" t="s">
        <v>136</v>
      </c>
      <c r="E304" s="1130"/>
      <c r="F304" s="241"/>
      <c r="H304" s="209">
        <v>250</v>
      </c>
      <c r="I304" s="194" t="s">
        <v>136</v>
      </c>
      <c r="J304" s="525" t="s">
        <v>136</v>
      </c>
      <c r="K304" s="1130"/>
      <c r="L304" s="241"/>
      <c r="M304" s="209">
        <v>250</v>
      </c>
      <c r="N304" s="194">
        <v>-0.9</v>
      </c>
      <c r="O304" s="525">
        <v>-0.7</v>
      </c>
      <c r="P304" s="200">
        <v>0.3</v>
      </c>
      <c r="Q304" s="1148"/>
      <c r="R304" s="240"/>
      <c r="S304" s="209">
        <v>250</v>
      </c>
      <c r="T304" s="757" t="s">
        <v>136</v>
      </c>
      <c r="U304" s="758" t="s">
        <v>136</v>
      </c>
      <c r="V304" s="758">
        <v>-0.9</v>
      </c>
      <c r="W304" s="511">
        <v>9.9999999999999992E-2</v>
      </c>
      <c r="X304" s="200">
        <v>0.3</v>
      </c>
      <c r="Y304" s="779" t="s">
        <v>136</v>
      </c>
      <c r="Z304" s="780" t="s">
        <v>136</v>
      </c>
      <c r="AA304" s="780">
        <v>-0.7</v>
      </c>
      <c r="AB304" s="511">
        <v>9.9999999999999992E-2</v>
      </c>
      <c r="AC304" s="524">
        <v>0.3</v>
      </c>
      <c r="AD304" s="9" t="s">
        <v>342</v>
      </c>
      <c r="AE304" s="17" t="s">
        <v>317</v>
      </c>
      <c r="AF304" s="158">
        <f>ROWS(AE$10:$AE304)</f>
        <v>295</v>
      </c>
      <c r="AG304" s="158" t="str">
        <f>IF(ID!$A$83=AE304,AF304,"")</f>
        <v/>
      </c>
      <c r="AH304" s="158" t="str">
        <f>IFERROR(SMALL($AG$10:$AG$393,ROWS($AG$10:AG304)),"")</f>
        <v/>
      </c>
    </row>
    <row r="305" spans="1:34" x14ac:dyDescent="0.2">
      <c r="B305" s="209">
        <v>300</v>
      </c>
      <c r="C305" s="194" t="s">
        <v>136</v>
      </c>
      <c r="D305" s="525" t="s">
        <v>136</v>
      </c>
      <c r="E305" s="1131"/>
      <c r="F305" s="241"/>
      <c r="H305" s="209">
        <v>300</v>
      </c>
      <c r="I305" s="194" t="s">
        <v>136</v>
      </c>
      <c r="J305" s="525" t="s">
        <v>136</v>
      </c>
      <c r="K305" s="1131"/>
      <c r="L305" s="241"/>
      <c r="M305" s="209">
        <v>300</v>
      </c>
      <c r="N305" s="194">
        <v>-0.7</v>
      </c>
      <c r="O305" s="525">
        <v>-0.4</v>
      </c>
      <c r="P305" s="200">
        <v>0.3</v>
      </c>
      <c r="Q305" s="1149"/>
      <c r="R305" s="240"/>
      <c r="S305" s="209">
        <v>300</v>
      </c>
      <c r="T305" s="757" t="s">
        <v>136</v>
      </c>
      <c r="U305" s="758" t="s">
        <v>136</v>
      </c>
      <c r="V305" s="758">
        <v>-0.7</v>
      </c>
      <c r="W305" s="511">
        <v>9.9999999999999992E-2</v>
      </c>
      <c r="X305" s="200">
        <v>0.3</v>
      </c>
      <c r="Y305" s="779" t="s">
        <v>136</v>
      </c>
      <c r="Z305" s="780" t="s">
        <v>136</v>
      </c>
      <c r="AA305" s="780">
        <v>-0.4</v>
      </c>
      <c r="AB305" s="511">
        <v>9.9999999999999992E-2</v>
      </c>
      <c r="AC305" s="524">
        <v>0.3</v>
      </c>
      <c r="AD305" s="9" t="s">
        <v>342</v>
      </c>
      <c r="AE305" s="17" t="s">
        <v>317</v>
      </c>
      <c r="AF305" s="158">
        <f>ROWS(AE$10:$AE305)</f>
        <v>296</v>
      </c>
      <c r="AG305" s="158" t="str">
        <f>IF(ID!$A$83=AE305,AF305,"")</f>
        <v/>
      </c>
      <c r="AH305" s="158" t="str">
        <f>IFERROR(SMALL($AG$10:$AG$393,ROWS($AG$10:AG305)),"")</f>
        <v/>
      </c>
    </row>
    <row r="306" spans="1:34" x14ac:dyDescent="0.2">
      <c r="S306" s="233" t="s">
        <v>106</v>
      </c>
      <c r="T306" s="771"/>
      <c r="U306" s="772" t="s">
        <v>106</v>
      </c>
      <c r="V306" s="772"/>
      <c r="W306" s="548"/>
      <c r="X306" s="523" t="s">
        <v>106</v>
      </c>
      <c r="Y306" s="785"/>
      <c r="Z306" s="784"/>
      <c r="AA306" s="784"/>
      <c r="AB306" s="548"/>
      <c r="AC306" s="202"/>
      <c r="AD306" s="96"/>
      <c r="AE306" s="4"/>
      <c r="AF306" s="158">
        <f>ROWS(AE$10:$AE306)</f>
        <v>297</v>
      </c>
      <c r="AG306" s="158" t="str">
        <f>IF(ID!$A$83=AE306,AF306,"")</f>
        <v/>
      </c>
      <c r="AH306" s="158" t="str">
        <f>IFERROR(SMALL($AG$10:$AG$393,ROWS($AG$10:AG306)),"")</f>
        <v/>
      </c>
    </row>
    <row r="307" spans="1:34" x14ac:dyDescent="0.2">
      <c r="E307" s="13"/>
      <c r="F307" s="13"/>
      <c r="K307" s="13"/>
      <c r="L307" s="13"/>
      <c r="N307" s="13"/>
      <c r="O307" s="13"/>
      <c r="Q307" s="13"/>
      <c r="R307" s="13"/>
      <c r="S307" s="233" t="s">
        <v>106</v>
      </c>
      <c r="T307" s="771"/>
      <c r="U307" s="772" t="s">
        <v>106</v>
      </c>
      <c r="V307" s="772"/>
      <c r="W307" s="548"/>
      <c r="X307" s="202" t="s">
        <v>106</v>
      </c>
      <c r="Y307" s="784"/>
      <c r="Z307" s="784"/>
      <c r="AA307" s="784"/>
      <c r="AB307" s="548"/>
      <c r="AC307" s="202"/>
      <c r="AD307" s="96"/>
      <c r="AE307" s="4"/>
      <c r="AF307" s="158">
        <f>ROWS(AE$10:$AE307)</f>
        <v>298</v>
      </c>
      <c r="AG307" s="158" t="str">
        <f>IF(ID!$A$83=AE307,AF307,"")</f>
        <v/>
      </c>
      <c r="AH307" s="158" t="str">
        <f>IFERROR(SMALL($AG$10:$AG$393,ROWS($AG$10:AG307)),"")</f>
        <v/>
      </c>
    </row>
    <row r="308" spans="1:34" x14ac:dyDescent="0.2">
      <c r="S308" s="233" t="s">
        <v>106</v>
      </c>
      <c r="T308" s="771"/>
      <c r="U308" s="772" t="s">
        <v>106</v>
      </c>
      <c r="V308" s="772"/>
      <c r="W308" s="548"/>
      <c r="X308" s="202" t="s">
        <v>106</v>
      </c>
      <c r="Y308" s="784"/>
      <c r="Z308" s="784"/>
      <c r="AA308" s="784"/>
      <c r="AB308" s="548"/>
      <c r="AC308" s="202"/>
      <c r="AD308" s="96"/>
      <c r="AE308" s="4"/>
      <c r="AF308" s="158">
        <f>ROWS(AE$10:$AE308)</f>
        <v>299</v>
      </c>
      <c r="AG308" s="158" t="str">
        <f>IF(ID!$A$83=AE308,AF308,"")</f>
        <v/>
      </c>
      <c r="AH308" s="158" t="str">
        <f>IFERROR(SMALL($AG$10:$AG$393,ROWS($AG$10:AG308)),"")</f>
        <v/>
      </c>
    </row>
    <row r="309" spans="1:34" x14ac:dyDescent="0.2">
      <c r="S309" s="233" t="s">
        <v>106</v>
      </c>
      <c r="T309" s="771"/>
      <c r="U309" s="772" t="s">
        <v>106</v>
      </c>
      <c r="V309" s="772"/>
      <c r="W309" s="548"/>
      <c r="X309" s="202" t="s">
        <v>106</v>
      </c>
      <c r="Y309" s="784"/>
      <c r="Z309" s="784"/>
      <c r="AA309" s="784"/>
      <c r="AB309" s="548"/>
      <c r="AC309" s="202"/>
      <c r="AD309" s="96"/>
      <c r="AE309" s="4"/>
      <c r="AF309" s="158">
        <f>ROWS(AE$10:$AE309)</f>
        <v>300</v>
      </c>
      <c r="AG309" s="158" t="str">
        <f>IF(ID!$A$83=AE309,AF309,"")</f>
        <v/>
      </c>
      <c r="AH309" s="158" t="str">
        <f>IFERROR(SMALL($AG$10:$AG$393,ROWS($AG$10:AG309)),"")</f>
        <v/>
      </c>
    </row>
    <row r="310" spans="1:34" x14ac:dyDescent="0.2">
      <c r="E310" s="13"/>
      <c r="F310" s="13"/>
      <c r="K310" s="13"/>
      <c r="L310" s="13"/>
      <c r="N310" s="13"/>
      <c r="O310" s="13"/>
      <c r="Q310" s="13"/>
      <c r="R310" s="13"/>
      <c r="S310" s="234"/>
      <c r="AD310" s="13"/>
      <c r="AE310" s="13"/>
      <c r="AF310" s="158">
        <f>ROWS(AE$10:$AE310)</f>
        <v>301</v>
      </c>
      <c r="AG310" s="158" t="str">
        <f>IF(ID!$A$83=AE310,AF310,"")</f>
        <v/>
      </c>
      <c r="AH310" s="158" t="str">
        <f>IFERROR(SMALL($AG$10:$AG$393,ROWS($AG$10:AG310)),"")</f>
        <v/>
      </c>
    </row>
    <row r="311" spans="1:34" x14ac:dyDescent="0.2">
      <c r="A311" s="526"/>
      <c r="B311" s="526"/>
      <c r="C311" s="532"/>
      <c r="D311" s="538"/>
      <c r="E311" s="526"/>
      <c r="F311" s="526"/>
      <c r="G311" s="526"/>
      <c r="H311" s="526"/>
      <c r="I311" s="532"/>
      <c r="J311" s="538"/>
      <c r="K311" s="526"/>
      <c r="L311" s="526"/>
      <c r="M311" s="526"/>
      <c r="N311" s="526"/>
      <c r="O311" s="526"/>
      <c r="P311" s="526"/>
      <c r="Q311" s="526"/>
      <c r="R311" s="526"/>
      <c r="S311" s="527"/>
      <c r="W311" s="543"/>
      <c r="X311" s="526"/>
      <c r="AB311" s="543"/>
      <c r="AC311" s="526"/>
      <c r="AD311" s="526"/>
      <c r="AE311" s="526"/>
      <c r="AF311" s="158">
        <f>ROWS(AE$10:$AE311)</f>
        <v>302</v>
      </c>
      <c r="AG311" s="158" t="str">
        <f>IF(ID!$A$83=AE311,AF311,"")</f>
        <v/>
      </c>
      <c r="AH311" s="158" t="str">
        <f>IFERROR(SMALL($AG$10:$AG$393,ROWS($AG$10:AG311)),"")</f>
        <v/>
      </c>
    </row>
    <row r="312" spans="1:34" x14ac:dyDescent="0.2">
      <c r="A312" s="526"/>
      <c r="B312" s="526"/>
      <c r="C312" s="532"/>
      <c r="D312" s="538"/>
      <c r="E312" s="526"/>
      <c r="F312" s="526"/>
      <c r="G312" s="526"/>
      <c r="H312" s="526"/>
      <c r="I312" s="532"/>
      <c r="J312" s="538"/>
      <c r="K312" s="526"/>
      <c r="L312" s="526"/>
      <c r="M312" s="526"/>
      <c r="N312" s="526"/>
      <c r="O312" s="526"/>
      <c r="P312" s="526"/>
      <c r="Q312" s="526"/>
      <c r="R312" s="526"/>
      <c r="S312" s="527"/>
      <c r="W312" s="543"/>
      <c r="X312" s="526"/>
      <c r="AB312" s="543"/>
      <c r="AC312" s="526"/>
      <c r="AD312" s="526"/>
      <c r="AE312" s="526"/>
      <c r="AF312" s="158">
        <f>ROWS(AE$10:$AE312)</f>
        <v>303</v>
      </c>
      <c r="AG312" s="158" t="str">
        <f>IF(ID!$A$83=AE312,AF312,"")</f>
        <v/>
      </c>
      <c r="AH312" s="158" t="str">
        <f>IFERROR(SMALL($AG$10:$AG$393,ROWS($AG$10:AG312)),"")</f>
        <v/>
      </c>
    </row>
    <row r="313" spans="1:34" x14ac:dyDescent="0.2">
      <c r="A313" s="526"/>
      <c r="B313" s="526"/>
      <c r="C313" s="532"/>
      <c r="D313" s="538"/>
      <c r="E313" s="526"/>
      <c r="F313" s="526"/>
      <c r="G313" s="526"/>
      <c r="H313" s="526"/>
      <c r="I313" s="532"/>
      <c r="J313" s="538"/>
      <c r="K313" s="526"/>
      <c r="L313" s="526"/>
      <c r="M313" s="526"/>
      <c r="N313" s="526"/>
      <c r="O313" s="526"/>
      <c r="P313" s="526"/>
      <c r="Q313" s="526"/>
      <c r="R313" s="526"/>
      <c r="S313" s="527"/>
      <c r="W313" s="543"/>
      <c r="X313" s="526"/>
      <c r="AB313" s="543"/>
      <c r="AC313" s="526"/>
      <c r="AD313" s="526"/>
      <c r="AE313" s="526"/>
      <c r="AF313" s="158">
        <f>ROWS(AE$10:$AE313)</f>
        <v>304</v>
      </c>
      <c r="AG313" s="158" t="str">
        <f>IF(ID!$A$83=AE313,AF313,"")</f>
        <v/>
      </c>
      <c r="AH313" s="158" t="str">
        <f>IFERROR(SMALL($AG$10:$AG$393,ROWS($AG$10:AG313)),"")</f>
        <v/>
      </c>
    </row>
    <row r="314" spans="1:34" x14ac:dyDescent="0.2">
      <c r="S314" s="228"/>
      <c r="T314" s="759"/>
      <c r="U314" s="760"/>
      <c r="V314" s="761"/>
      <c r="W314" s="546" t="s">
        <v>245</v>
      </c>
      <c r="AB314" s="546" t="s">
        <v>245</v>
      </c>
      <c r="AF314" s="158">
        <f>ROWS(AE$10:$AE314)</f>
        <v>305</v>
      </c>
      <c r="AG314" s="158" t="str">
        <f>IF(ID!$A$83=AE314,AF314,"")</f>
        <v/>
      </c>
      <c r="AH314" s="158" t="str">
        <f>IFERROR(SMALL($AG$10:$AG$393,ROWS($AG$10:AG314)),"")</f>
        <v/>
      </c>
    </row>
    <row r="315" spans="1:34" x14ac:dyDescent="0.2">
      <c r="B315" s="209">
        <v>0</v>
      </c>
      <c r="C315" s="194" t="s">
        <v>136</v>
      </c>
      <c r="D315" s="525" t="s">
        <v>136</v>
      </c>
      <c r="E315" s="1129" t="s">
        <v>136</v>
      </c>
      <c r="F315" s="241"/>
      <c r="H315" s="209">
        <v>0</v>
      </c>
      <c r="I315" s="194" t="s">
        <v>136</v>
      </c>
      <c r="J315" s="525" t="s">
        <v>136</v>
      </c>
      <c r="K315" s="1129" t="s">
        <v>136</v>
      </c>
      <c r="L315" s="241"/>
      <c r="M315" s="209">
        <v>0</v>
      </c>
      <c r="N315" s="194">
        <v>0</v>
      </c>
      <c r="O315" s="525">
        <v>0</v>
      </c>
      <c r="P315" s="200">
        <v>0.3</v>
      </c>
      <c r="Q315" s="1147" t="s">
        <v>348</v>
      </c>
      <c r="R315" s="240"/>
      <c r="S315" s="209">
        <v>0</v>
      </c>
      <c r="T315" s="757" t="s">
        <v>136</v>
      </c>
      <c r="U315" s="758" t="s">
        <v>136</v>
      </c>
      <c r="V315" s="758">
        <v>0</v>
      </c>
      <c r="W315" s="511">
        <v>9.9999999999999992E-2</v>
      </c>
      <c r="X315" s="200">
        <v>0.3</v>
      </c>
      <c r="Y315" s="779" t="s">
        <v>136</v>
      </c>
      <c r="Z315" s="780" t="s">
        <v>136</v>
      </c>
      <c r="AA315" s="780">
        <v>0</v>
      </c>
      <c r="AB315" s="511">
        <v>9.9999999999999992E-2</v>
      </c>
      <c r="AC315" s="524">
        <v>0.3</v>
      </c>
      <c r="AD315" s="9" t="s">
        <v>342</v>
      </c>
      <c r="AE315" s="4" t="s">
        <v>318</v>
      </c>
      <c r="AF315" s="158">
        <f>ROWS(AE$10:$AE315)</f>
        <v>306</v>
      </c>
      <c r="AG315" s="158" t="str">
        <f>IF(ID!$A$83=AE315,AF315,"")</f>
        <v/>
      </c>
      <c r="AH315" s="158" t="str">
        <f>IFERROR(SMALL($AG$10:$AG$393,ROWS($AG$10:AG315)),"")</f>
        <v/>
      </c>
    </row>
    <row r="316" spans="1:34" x14ac:dyDescent="0.2">
      <c r="B316" s="209">
        <v>50</v>
      </c>
      <c r="C316" s="194" t="s">
        <v>136</v>
      </c>
      <c r="D316" s="525" t="s">
        <v>136</v>
      </c>
      <c r="E316" s="1130"/>
      <c r="F316" s="241"/>
      <c r="H316" s="209">
        <v>50</v>
      </c>
      <c r="I316" s="194" t="s">
        <v>136</v>
      </c>
      <c r="J316" s="525" t="s">
        <v>136</v>
      </c>
      <c r="K316" s="1130"/>
      <c r="L316" s="241"/>
      <c r="M316" s="209">
        <v>50</v>
      </c>
      <c r="N316" s="194">
        <v>0.7</v>
      </c>
      <c r="O316" s="525">
        <v>0.9</v>
      </c>
      <c r="P316" s="200">
        <v>0.3</v>
      </c>
      <c r="Q316" s="1148"/>
      <c r="R316" s="240"/>
      <c r="S316" s="209">
        <v>50</v>
      </c>
      <c r="T316" s="757" t="s">
        <v>136</v>
      </c>
      <c r="U316" s="758" t="s">
        <v>136</v>
      </c>
      <c r="V316" s="758">
        <v>0.7</v>
      </c>
      <c r="W316" s="511">
        <v>9.9999999999999992E-2</v>
      </c>
      <c r="X316" s="200">
        <v>0.3</v>
      </c>
      <c r="Y316" s="779" t="s">
        <v>136</v>
      </c>
      <c r="Z316" s="780" t="s">
        <v>136</v>
      </c>
      <c r="AA316" s="780">
        <v>0.9</v>
      </c>
      <c r="AB316" s="511">
        <v>9.9999999999999992E-2</v>
      </c>
      <c r="AC316" s="524">
        <v>0.3</v>
      </c>
      <c r="AD316" s="9" t="s">
        <v>342</v>
      </c>
      <c r="AE316" s="4" t="s">
        <v>318</v>
      </c>
      <c r="AF316" s="158">
        <f>ROWS(AE$10:$AE316)</f>
        <v>307</v>
      </c>
      <c r="AG316" s="158" t="str">
        <f>IF(ID!$A$83=AE316,AF316,"")</f>
        <v/>
      </c>
      <c r="AH316" s="158" t="str">
        <f>IFERROR(SMALL($AG$10:$AG$393,ROWS($AG$10:AG316)),"")</f>
        <v/>
      </c>
    </row>
    <row r="317" spans="1:34" x14ac:dyDescent="0.2">
      <c r="B317" s="209">
        <v>100</v>
      </c>
      <c r="C317" s="194" t="s">
        <v>136</v>
      </c>
      <c r="D317" s="525" t="s">
        <v>136</v>
      </c>
      <c r="E317" s="1130"/>
      <c r="F317" s="241"/>
      <c r="H317" s="209">
        <v>100</v>
      </c>
      <c r="I317" s="194" t="s">
        <v>136</v>
      </c>
      <c r="J317" s="525" t="s">
        <v>136</v>
      </c>
      <c r="K317" s="1130"/>
      <c r="L317" s="241"/>
      <c r="M317" s="209">
        <v>100</v>
      </c>
      <c r="N317" s="194">
        <v>0.7</v>
      </c>
      <c r="O317" s="525">
        <v>0.9</v>
      </c>
      <c r="P317" s="200">
        <v>0.3</v>
      </c>
      <c r="Q317" s="1148"/>
      <c r="R317" s="240"/>
      <c r="S317" s="209">
        <v>100</v>
      </c>
      <c r="T317" s="757" t="s">
        <v>136</v>
      </c>
      <c r="U317" s="758" t="s">
        <v>136</v>
      </c>
      <c r="V317" s="758">
        <v>0.7</v>
      </c>
      <c r="W317" s="511">
        <v>9.9999999999999992E-2</v>
      </c>
      <c r="X317" s="200">
        <v>0.3</v>
      </c>
      <c r="Y317" s="779" t="s">
        <v>136</v>
      </c>
      <c r="Z317" s="780" t="s">
        <v>136</v>
      </c>
      <c r="AA317" s="780">
        <v>0.9</v>
      </c>
      <c r="AB317" s="511">
        <v>9.9999999999999992E-2</v>
      </c>
      <c r="AC317" s="524">
        <v>0.3</v>
      </c>
      <c r="AD317" s="9" t="s">
        <v>342</v>
      </c>
      <c r="AE317" s="4" t="s">
        <v>318</v>
      </c>
      <c r="AF317" s="158">
        <f>ROWS(AE$10:$AE317)</f>
        <v>308</v>
      </c>
      <c r="AG317" s="158" t="str">
        <f>IF(ID!$A$83=AE317,AF317,"")</f>
        <v/>
      </c>
      <c r="AH317" s="158" t="str">
        <f>IFERROR(SMALL($AG$10:$AG$393,ROWS($AG$10:AG317)),"")</f>
        <v/>
      </c>
    </row>
    <row r="318" spans="1:34" x14ac:dyDescent="0.2">
      <c r="B318" s="209">
        <v>150</v>
      </c>
      <c r="C318" s="194" t="s">
        <v>136</v>
      </c>
      <c r="D318" s="525" t="s">
        <v>136</v>
      </c>
      <c r="E318" s="1130"/>
      <c r="F318" s="241"/>
      <c r="H318" s="209">
        <v>150</v>
      </c>
      <c r="I318" s="194" t="s">
        <v>136</v>
      </c>
      <c r="J318" s="525" t="s">
        <v>136</v>
      </c>
      <c r="K318" s="1130"/>
      <c r="L318" s="241"/>
      <c r="M318" s="209">
        <v>150</v>
      </c>
      <c r="N318" s="194">
        <v>0.8</v>
      </c>
      <c r="O318" s="525">
        <v>1</v>
      </c>
      <c r="P318" s="200">
        <v>0.3</v>
      </c>
      <c r="Q318" s="1148"/>
      <c r="R318" s="240"/>
      <c r="S318" s="209">
        <v>150</v>
      </c>
      <c r="T318" s="757" t="s">
        <v>136</v>
      </c>
      <c r="U318" s="758" t="s">
        <v>136</v>
      </c>
      <c r="V318" s="758">
        <v>0.8</v>
      </c>
      <c r="W318" s="511">
        <v>9.9999999999999992E-2</v>
      </c>
      <c r="X318" s="200">
        <v>0.3</v>
      </c>
      <c r="Y318" s="779" t="s">
        <v>136</v>
      </c>
      <c r="Z318" s="780" t="s">
        <v>136</v>
      </c>
      <c r="AA318" s="780">
        <v>1</v>
      </c>
      <c r="AB318" s="511">
        <v>9.9999999999999992E-2</v>
      </c>
      <c r="AC318" s="524">
        <v>0.3</v>
      </c>
      <c r="AD318" s="9" t="s">
        <v>342</v>
      </c>
      <c r="AE318" s="4" t="s">
        <v>318</v>
      </c>
      <c r="AF318" s="158">
        <f>ROWS(AE$10:$AE318)</f>
        <v>309</v>
      </c>
      <c r="AG318" s="158" t="str">
        <f>IF(ID!$A$83=AE318,AF318,"")</f>
        <v/>
      </c>
      <c r="AH318" s="158" t="str">
        <f>IFERROR(SMALL($AG$10:$AG$393,ROWS($AG$10:AG318)),"")</f>
        <v/>
      </c>
    </row>
    <row r="319" spans="1:34" x14ac:dyDescent="0.2">
      <c r="B319" s="209">
        <v>200</v>
      </c>
      <c r="C319" s="194" t="s">
        <v>136</v>
      </c>
      <c r="D319" s="525" t="s">
        <v>136</v>
      </c>
      <c r="E319" s="1130"/>
      <c r="F319" s="241"/>
      <c r="H319" s="209">
        <v>200</v>
      </c>
      <c r="I319" s="194" t="s">
        <v>136</v>
      </c>
      <c r="J319" s="525" t="s">
        <v>136</v>
      </c>
      <c r="K319" s="1130"/>
      <c r="L319" s="241"/>
      <c r="M319" s="209">
        <v>200</v>
      </c>
      <c r="N319" s="194">
        <v>0.8</v>
      </c>
      <c r="O319" s="525">
        <v>1.1000000000000001</v>
      </c>
      <c r="P319" s="200">
        <v>0.3</v>
      </c>
      <c r="Q319" s="1148"/>
      <c r="R319" s="240"/>
      <c r="S319" s="209">
        <v>200</v>
      </c>
      <c r="T319" s="757" t="s">
        <v>136</v>
      </c>
      <c r="U319" s="758" t="s">
        <v>136</v>
      </c>
      <c r="V319" s="758">
        <v>0.8</v>
      </c>
      <c r="W319" s="511">
        <v>9.9999999999999992E-2</v>
      </c>
      <c r="X319" s="200">
        <v>0.3</v>
      </c>
      <c r="Y319" s="779" t="s">
        <v>136</v>
      </c>
      <c r="Z319" s="780" t="s">
        <v>136</v>
      </c>
      <c r="AA319" s="780">
        <v>1.1000000000000001</v>
      </c>
      <c r="AB319" s="511">
        <v>9.9999999999999992E-2</v>
      </c>
      <c r="AC319" s="524">
        <v>0.3</v>
      </c>
      <c r="AD319" s="9" t="s">
        <v>342</v>
      </c>
      <c r="AE319" s="4" t="s">
        <v>318</v>
      </c>
      <c r="AF319" s="158">
        <f>ROWS(AE$10:$AE319)</f>
        <v>310</v>
      </c>
      <c r="AG319" s="158" t="str">
        <f>IF(ID!$A$83=AE319,AF319,"")</f>
        <v/>
      </c>
      <c r="AH319" s="158" t="str">
        <f>IFERROR(SMALL($AG$10:$AG$393,ROWS($AG$10:AG319)),"")</f>
        <v/>
      </c>
    </row>
    <row r="320" spans="1:34" x14ac:dyDescent="0.2">
      <c r="B320" s="209">
        <v>250</v>
      </c>
      <c r="C320" s="194" t="s">
        <v>136</v>
      </c>
      <c r="D320" s="525" t="s">
        <v>136</v>
      </c>
      <c r="E320" s="1130"/>
      <c r="F320" s="241"/>
      <c r="H320" s="209">
        <v>250</v>
      </c>
      <c r="I320" s="194" t="s">
        <v>136</v>
      </c>
      <c r="J320" s="525" t="s">
        <v>136</v>
      </c>
      <c r="K320" s="1130"/>
      <c r="L320" s="241"/>
      <c r="M320" s="209">
        <v>250</v>
      </c>
      <c r="N320" s="194">
        <v>-0.1</v>
      </c>
      <c r="O320" s="525">
        <v>0.2</v>
      </c>
      <c r="P320" s="200">
        <v>0.3</v>
      </c>
      <c r="Q320" s="1148"/>
      <c r="R320" s="240"/>
      <c r="S320" s="209">
        <v>250</v>
      </c>
      <c r="T320" s="757" t="s">
        <v>136</v>
      </c>
      <c r="U320" s="758" t="s">
        <v>136</v>
      </c>
      <c r="V320" s="758">
        <v>-0.1</v>
      </c>
      <c r="W320" s="511">
        <v>9.9999999999999992E-2</v>
      </c>
      <c r="X320" s="200">
        <v>0.3</v>
      </c>
      <c r="Y320" s="779" t="s">
        <v>136</v>
      </c>
      <c r="Z320" s="780" t="s">
        <v>136</v>
      </c>
      <c r="AA320" s="780">
        <v>0.2</v>
      </c>
      <c r="AB320" s="511">
        <v>9.9999999999999992E-2</v>
      </c>
      <c r="AC320" s="524">
        <v>0.3</v>
      </c>
      <c r="AD320" s="9" t="s">
        <v>342</v>
      </c>
      <c r="AE320" s="4" t="s">
        <v>318</v>
      </c>
      <c r="AF320" s="158">
        <f>ROWS(AE$10:$AE320)</f>
        <v>311</v>
      </c>
      <c r="AG320" s="158" t="str">
        <f>IF(ID!$A$83=AE320,AF320,"")</f>
        <v/>
      </c>
      <c r="AH320" s="158" t="str">
        <f>IFERROR(SMALL($AG$10:$AG$393,ROWS($AG$10:AG320)),"")</f>
        <v/>
      </c>
    </row>
    <row r="321" spans="1:34" x14ac:dyDescent="0.2">
      <c r="B321" s="209">
        <v>300</v>
      </c>
      <c r="C321" s="194" t="s">
        <v>136</v>
      </c>
      <c r="D321" s="525" t="s">
        <v>136</v>
      </c>
      <c r="E321" s="1131"/>
      <c r="F321" s="241"/>
      <c r="H321" s="209">
        <v>300</v>
      </c>
      <c r="I321" s="194" t="s">
        <v>136</v>
      </c>
      <c r="J321" s="525" t="s">
        <v>136</v>
      </c>
      <c r="K321" s="1131"/>
      <c r="L321" s="241"/>
      <c r="M321" s="209">
        <v>300</v>
      </c>
      <c r="N321" s="194">
        <v>0</v>
      </c>
      <c r="O321" s="525">
        <v>0.4</v>
      </c>
      <c r="P321" s="200">
        <v>0.3</v>
      </c>
      <c r="Q321" s="1149"/>
      <c r="R321" s="240"/>
      <c r="S321" s="209">
        <v>300</v>
      </c>
      <c r="T321" s="757" t="s">
        <v>136</v>
      </c>
      <c r="U321" s="758" t="s">
        <v>136</v>
      </c>
      <c r="V321" s="758">
        <v>0</v>
      </c>
      <c r="W321" s="511">
        <v>9.9999999999999992E-2</v>
      </c>
      <c r="X321" s="200">
        <v>0.3</v>
      </c>
      <c r="Y321" s="779" t="s">
        <v>136</v>
      </c>
      <c r="Z321" s="780" t="s">
        <v>136</v>
      </c>
      <c r="AA321" s="780">
        <v>0.4</v>
      </c>
      <c r="AB321" s="511">
        <v>9.9999999999999992E-2</v>
      </c>
      <c r="AC321" s="524">
        <v>0.3</v>
      </c>
      <c r="AD321" s="9" t="s">
        <v>342</v>
      </c>
      <c r="AE321" s="4" t="s">
        <v>318</v>
      </c>
      <c r="AF321" s="158">
        <f>ROWS(AE$10:$AE321)</f>
        <v>312</v>
      </c>
      <c r="AG321" s="158" t="str">
        <f>IF(ID!$A$83=AE321,AF321,"")</f>
        <v/>
      </c>
      <c r="AH321" s="158" t="str">
        <f>IFERROR(SMALL($AG$10:$AG$393,ROWS($AG$10:AG321)),"")</f>
        <v/>
      </c>
    </row>
    <row r="322" spans="1:34" x14ac:dyDescent="0.2">
      <c r="S322" s="233" t="s">
        <v>106</v>
      </c>
      <c r="T322" s="771"/>
      <c r="U322" s="772" t="s">
        <v>106</v>
      </c>
      <c r="V322" s="772"/>
      <c r="W322" s="548"/>
      <c r="X322" s="523" t="s">
        <v>106</v>
      </c>
      <c r="Y322" s="785"/>
      <c r="Z322" s="784"/>
      <c r="AA322" s="784"/>
      <c r="AB322" s="548"/>
      <c r="AC322" s="202"/>
      <c r="AD322" s="96"/>
      <c r="AE322" s="4"/>
      <c r="AF322" s="158">
        <f>ROWS(AE$10:$AE322)</f>
        <v>313</v>
      </c>
      <c r="AG322" s="158" t="str">
        <f>IF(ID!$A$83=AE322,AF322,"")</f>
        <v/>
      </c>
      <c r="AH322" s="158" t="str">
        <f>IFERROR(SMALL($AG$10:$AG$393,ROWS($AG$10:AG322)),"")</f>
        <v/>
      </c>
    </row>
    <row r="323" spans="1:34" x14ac:dyDescent="0.2">
      <c r="E323" s="13"/>
      <c r="F323" s="13"/>
      <c r="K323" s="13"/>
      <c r="L323" s="13"/>
      <c r="N323" s="13"/>
      <c r="O323" s="13"/>
      <c r="Q323" s="13"/>
      <c r="R323" s="13"/>
      <c r="S323" s="233" t="s">
        <v>106</v>
      </c>
      <c r="T323" s="771"/>
      <c r="U323" s="772" t="s">
        <v>106</v>
      </c>
      <c r="V323" s="772"/>
      <c r="W323" s="548"/>
      <c r="X323" s="202" t="s">
        <v>106</v>
      </c>
      <c r="Y323" s="784"/>
      <c r="Z323" s="784"/>
      <c r="AA323" s="784"/>
      <c r="AB323" s="548"/>
      <c r="AC323" s="202"/>
      <c r="AD323" s="96"/>
      <c r="AE323" s="4"/>
      <c r="AF323" s="158">
        <f>ROWS(AE$10:$AE323)</f>
        <v>314</v>
      </c>
      <c r="AG323" s="158" t="str">
        <f>IF(ID!$A$83=AE323,AF323,"")</f>
        <v/>
      </c>
      <c r="AH323" s="158" t="str">
        <f>IFERROR(SMALL($AG$10:$AG$393,ROWS($AG$10:AG323)),"")</f>
        <v/>
      </c>
    </row>
    <row r="324" spans="1:34" x14ac:dyDescent="0.2">
      <c r="S324" s="233" t="s">
        <v>106</v>
      </c>
      <c r="T324" s="771"/>
      <c r="U324" s="772" t="s">
        <v>106</v>
      </c>
      <c r="V324" s="772"/>
      <c r="W324" s="548"/>
      <c r="X324" s="202" t="s">
        <v>106</v>
      </c>
      <c r="Y324" s="784"/>
      <c r="Z324" s="784"/>
      <c r="AA324" s="784"/>
      <c r="AB324" s="548"/>
      <c r="AC324" s="202"/>
      <c r="AD324" s="96"/>
      <c r="AE324" s="4"/>
      <c r="AF324" s="158">
        <f>ROWS(AE$10:$AE324)</f>
        <v>315</v>
      </c>
      <c r="AG324" s="158" t="str">
        <f>IF(ID!$A$83=AE324,AF324,"")</f>
        <v/>
      </c>
      <c r="AH324" s="158" t="str">
        <f>IFERROR(SMALL($AG$10:$AG$393,ROWS($AG$10:AG324)),"")</f>
        <v/>
      </c>
    </row>
    <row r="325" spans="1:34" x14ac:dyDescent="0.2">
      <c r="S325" s="233" t="s">
        <v>106</v>
      </c>
      <c r="T325" s="771"/>
      <c r="U325" s="772" t="s">
        <v>106</v>
      </c>
      <c r="V325" s="772"/>
      <c r="W325" s="548"/>
      <c r="X325" s="202" t="s">
        <v>106</v>
      </c>
      <c r="Y325" s="784"/>
      <c r="Z325" s="784"/>
      <c r="AA325" s="784"/>
      <c r="AB325" s="548"/>
      <c r="AC325" s="202"/>
      <c r="AD325" s="96"/>
      <c r="AE325" s="4"/>
      <c r="AF325" s="158">
        <f>ROWS(AE$10:$AE325)</f>
        <v>316</v>
      </c>
      <c r="AG325" s="158" t="str">
        <f>IF(ID!$A$83=AE325,AF325,"")</f>
        <v/>
      </c>
      <c r="AH325" s="158" t="str">
        <f>IFERROR(SMALL($AG$10:$AG$393,ROWS($AG$10:AG325)),"")</f>
        <v/>
      </c>
    </row>
    <row r="326" spans="1:34" x14ac:dyDescent="0.2">
      <c r="E326" s="13"/>
      <c r="F326" s="13"/>
      <c r="K326" s="13"/>
      <c r="L326" s="13"/>
      <c r="N326" s="13"/>
      <c r="O326" s="13"/>
      <c r="Q326" s="13"/>
      <c r="R326" s="13"/>
      <c r="S326" s="234"/>
      <c r="AD326" s="13"/>
      <c r="AE326" s="13"/>
      <c r="AF326" s="158">
        <f>ROWS(AE$10:$AE326)</f>
        <v>317</v>
      </c>
      <c r="AG326" s="158" t="str">
        <f>IF(ID!$A$83=AE326,AF326,"")</f>
        <v/>
      </c>
      <c r="AH326" s="158" t="str">
        <f>IFERROR(SMALL($AG$10:$AG$393,ROWS($AG$10:AG326)),"")</f>
        <v/>
      </c>
    </row>
    <row r="327" spans="1:34" x14ac:dyDescent="0.2">
      <c r="A327" s="526"/>
      <c r="B327" s="526"/>
      <c r="C327" s="532"/>
      <c r="D327" s="538"/>
      <c r="E327" s="526"/>
      <c r="F327" s="526"/>
      <c r="G327" s="526"/>
      <c r="H327" s="526"/>
      <c r="I327" s="532"/>
      <c r="J327" s="538"/>
      <c r="K327" s="526"/>
      <c r="L327" s="526"/>
      <c r="M327" s="526"/>
      <c r="N327" s="526"/>
      <c r="O327" s="526"/>
      <c r="P327" s="526"/>
      <c r="Q327" s="526"/>
      <c r="R327" s="526"/>
      <c r="S327" s="527"/>
      <c r="W327" s="543"/>
      <c r="X327" s="526"/>
      <c r="AB327" s="543"/>
      <c r="AC327" s="526"/>
      <c r="AD327" s="526"/>
      <c r="AE327" s="526"/>
      <c r="AF327" s="158">
        <f>ROWS(AE$10:$AE327)</f>
        <v>318</v>
      </c>
      <c r="AG327" s="158" t="str">
        <f>IF(ID!$A$83=AE327,AF327,"")</f>
        <v/>
      </c>
      <c r="AH327" s="158" t="str">
        <f>IFERROR(SMALL($AG$10:$AG$393,ROWS($AG$10:AG327)),"")</f>
        <v/>
      </c>
    </row>
    <row r="328" spans="1:34" x14ac:dyDescent="0.2">
      <c r="A328" s="526"/>
      <c r="B328" s="526"/>
      <c r="C328" s="532"/>
      <c r="D328" s="538"/>
      <c r="E328" s="526"/>
      <c r="F328" s="526"/>
      <c r="G328" s="526"/>
      <c r="H328" s="526"/>
      <c r="I328" s="532"/>
      <c r="J328" s="538"/>
      <c r="K328" s="526"/>
      <c r="L328" s="526"/>
      <c r="M328" s="526"/>
      <c r="N328" s="526"/>
      <c r="O328" s="526"/>
      <c r="P328" s="526"/>
      <c r="Q328" s="526"/>
      <c r="R328" s="526"/>
      <c r="S328" s="527"/>
      <c r="W328" s="543"/>
      <c r="X328" s="526"/>
      <c r="AB328" s="543"/>
      <c r="AC328" s="526"/>
      <c r="AD328" s="526"/>
      <c r="AE328" s="526"/>
      <c r="AF328" s="158">
        <f>ROWS(AE$10:$AE328)</f>
        <v>319</v>
      </c>
      <c r="AG328" s="158" t="str">
        <f>IF(ID!$A$83=AE328,AF328,"")</f>
        <v/>
      </c>
      <c r="AH328" s="158" t="str">
        <f>IFERROR(SMALL($AG$10:$AG$393,ROWS($AG$10:AG328)),"")</f>
        <v/>
      </c>
    </row>
    <row r="329" spans="1:34" x14ac:dyDescent="0.2">
      <c r="A329" s="526"/>
      <c r="B329" s="526"/>
      <c r="C329" s="532"/>
      <c r="D329" s="538"/>
      <c r="E329" s="526"/>
      <c r="F329" s="526"/>
      <c r="G329" s="526"/>
      <c r="H329" s="526"/>
      <c r="I329" s="532"/>
      <c r="J329" s="538"/>
      <c r="K329" s="526"/>
      <c r="L329" s="526"/>
      <c r="M329" s="526"/>
      <c r="N329" s="526"/>
      <c r="O329" s="526"/>
      <c r="P329" s="526"/>
      <c r="Q329" s="526"/>
      <c r="R329" s="526"/>
      <c r="S329" s="527"/>
      <c r="W329" s="543"/>
      <c r="X329" s="526"/>
      <c r="AB329" s="543"/>
      <c r="AC329" s="526"/>
      <c r="AD329" s="526"/>
      <c r="AE329" s="526"/>
      <c r="AF329" s="158">
        <f>ROWS(AE$10:$AE329)</f>
        <v>320</v>
      </c>
      <c r="AG329" s="158" t="str">
        <f>IF(ID!$A$83=AE329,AF329,"")</f>
        <v/>
      </c>
      <c r="AH329" s="158" t="str">
        <f>IFERROR(SMALL($AG$10:$AG$393,ROWS($AG$10:AG329)),"")</f>
        <v/>
      </c>
    </row>
    <row r="330" spans="1:34" x14ac:dyDescent="0.2">
      <c r="S330" s="228"/>
      <c r="T330" s="759"/>
      <c r="U330" s="760"/>
      <c r="V330" s="761"/>
      <c r="W330" s="546" t="s">
        <v>245</v>
      </c>
      <c r="AB330" s="546" t="s">
        <v>245</v>
      </c>
      <c r="AF330" s="158">
        <f>ROWS(AE$10:$AE330)</f>
        <v>321</v>
      </c>
      <c r="AG330" s="158" t="str">
        <f>IF(ID!$A$83=AE330,AF330,"")</f>
        <v/>
      </c>
      <c r="AH330" s="158" t="str">
        <f>IFERROR(SMALL($AG$10:$AG$393,ROWS($AG$10:AG330)),"")</f>
        <v/>
      </c>
    </row>
    <row r="331" spans="1:34" x14ac:dyDescent="0.2">
      <c r="B331" s="209">
        <v>0</v>
      </c>
      <c r="C331" s="194" t="s">
        <v>136</v>
      </c>
      <c r="D331" s="525" t="s">
        <v>136</v>
      </c>
      <c r="E331" s="1129" t="s">
        <v>136</v>
      </c>
      <c r="F331" s="241"/>
      <c r="H331" s="209">
        <v>0</v>
      </c>
      <c r="I331" s="194" t="s">
        <v>136</v>
      </c>
      <c r="J331" s="525" t="s">
        <v>136</v>
      </c>
      <c r="K331" s="1129" t="s">
        <v>136</v>
      </c>
      <c r="L331" s="241"/>
      <c r="M331" s="209">
        <v>0</v>
      </c>
      <c r="N331" s="194">
        <v>0</v>
      </c>
      <c r="O331" s="525">
        <v>0</v>
      </c>
      <c r="P331" s="200">
        <v>0.5</v>
      </c>
      <c r="Q331" s="1147" t="s">
        <v>345</v>
      </c>
      <c r="R331" s="240"/>
      <c r="S331" s="209">
        <v>0</v>
      </c>
      <c r="T331" s="757" t="s">
        <v>136</v>
      </c>
      <c r="U331" s="758" t="s">
        <v>136</v>
      </c>
      <c r="V331" s="758">
        <v>0</v>
      </c>
      <c r="W331" s="511">
        <v>0.16666666666666666</v>
      </c>
      <c r="X331" s="200">
        <v>0.5</v>
      </c>
      <c r="Y331" s="779" t="s">
        <v>136</v>
      </c>
      <c r="Z331" s="780" t="s">
        <v>136</v>
      </c>
      <c r="AA331" s="780">
        <v>0</v>
      </c>
      <c r="AB331" s="511">
        <v>0.16666666666666666</v>
      </c>
      <c r="AC331" s="524">
        <v>0.5</v>
      </c>
      <c r="AD331" s="703" t="s">
        <v>342</v>
      </c>
      <c r="AE331" s="4" t="s">
        <v>344</v>
      </c>
      <c r="AF331" s="158">
        <f>ROWS(AE$10:$AE331)</f>
        <v>322</v>
      </c>
      <c r="AG331" s="158" t="str">
        <f>IF(ID!$A$83=AE331,AF331,"")</f>
        <v/>
      </c>
      <c r="AH331" s="158" t="str">
        <f>IFERROR(SMALL($AG$10:$AG$393,ROWS($AG$10:AG331)),"")</f>
        <v/>
      </c>
    </row>
    <row r="332" spans="1:34" x14ac:dyDescent="0.2">
      <c r="B332" s="209">
        <v>50</v>
      </c>
      <c r="C332" s="194" t="s">
        <v>136</v>
      </c>
      <c r="D332" s="525" t="s">
        <v>136</v>
      </c>
      <c r="E332" s="1130"/>
      <c r="F332" s="241"/>
      <c r="H332" s="209">
        <v>50</v>
      </c>
      <c r="I332" s="194" t="s">
        <v>136</v>
      </c>
      <c r="J332" s="525" t="s">
        <v>136</v>
      </c>
      <c r="K332" s="1130"/>
      <c r="L332" s="241"/>
      <c r="M332" s="209">
        <v>50</v>
      </c>
      <c r="N332" s="194">
        <v>0.5</v>
      </c>
      <c r="O332" s="525">
        <v>0.2</v>
      </c>
      <c r="P332" s="200">
        <v>0.5</v>
      </c>
      <c r="Q332" s="1148"/>
      <c r="R332" s="240"/>
      <c r="S332" s="209">
        <v>50</v>
      </c>
      <c r="T332" s="757" t="s">
        <v>136</v>
      </c>
      <c r="U332" s="758" t="s">
        <v>136</v>
      </c>
      <c r="V332" s="758">
        <v>0.5</v>
      </c>
      <c r="W332" s="511">
        <v>0.16666666666666666</v>
      </c>
      <c r="X332" s="200">
        <v>0.5</v>
      </c>
      <c r="Y332" s="779" t="s">
        <v>136</v>
      </c>
      <c r="Z332" s="780" t="s">
        <v>136</v>
      </c>
      <c r="AA332" s="780">
        <v>0.2</v>
      </c>
      <c r="AB332" s="511">
        <v>0.16666666666666666</v>
      </c>
      <c r="AC332" s="524">
        <v>0.5</v>
      </c>
      <c r="AD332" s="703" t="s">
        <v>342</v>
      </c>
      <c r="AE332" s="4" t="s">
        <v>344</v>
      </c>
      <c r="AF332" s="158">
        <f>ROWS(AE$10:$AE332)</f>
        <v>323</v>
      </c>
      <c r="AG332" s="158" t="str">
        <f>IF(ID!$A$83=AE332,AF332,"")</f>
        <v/>
      </c>
      <c r="AH332" s="158" t="str">
        <f>IFERROR(SMALL($AG$10:$AG$393,ROWS($AG$10:AG332)),"")</f>
        <v/>
      </c>
    </row>
    <row r="333" spans="1:34" x14ac:dyDescent="0.2">
      <c r="B333" s="209">
        <v>100</v>
      </c>
      <c r="C333" s="194" t="s">
        <v>136</v>
      </c>
      <c r="D333" s="525" t="s">
        <v>136</v>
      </c>
      <c r="E333" s="1130"/>
      <c r="F333" s="241"/>
      <c r="H333" s="209">
        <v>100</v>
      </c>
      <c r="I333" s="194" t="s">
        <v>136</v>
      </c>
      <c r="J333" s="525" t="s">
        <v>136</v>
      </c>
      <c r="K333" s="1130"/>
      <c r="L333" s="241"/>
      <c r="M333" s="209">
        <v>100</v>
      </c>
      <c r="N333" s="194">
        <v>0.5</v>
      </c>
      <c r="O333" s="525">
        <v>0.5</v>
      </c>
      <c r="P333" s="200">
        <v>0.5</v>
      </c>
      <c r="Q333" s="1148"/>
      <c r="R333" s="240"/>
      <c r="S333" s="209">
        <v>100</v>
      </c>
      <c r="T333" s="757" t="s">
        <v>136</v>
      </c>
      <c r="U333" s="758" t="s">
        <v>136</v>
      </c>
      <c r="V333" s="758">
        <v>0.5</v>
      </c>
      <c r="W333" s="511">
        <v>0.16666666666666666</v>
      </c>
      <c r="X333" s="200">
        <v>0.5</v>
      </c>
      <c r="Y333" s="779" t="s">
        <v>136</v>
      </c>
      <c r="Z333" s="780" t="s">
        <v>136</v>
      </c>
      <c r="AA333" s="780">
        <v>0.5</v>
      </c>
      <c r="AB333" s="511">
        <v>0.16666666666666666</v>
      </c>
      <c r="AC333" s="524">
        <v>0.5</v>
      </c>
      <c r="AD333" s="703" t="s">
        <v>342</v>
      </c>
      <c r="AE333" s="4" t="s">
        <v>344</v>
      </c>
      <c r="AF333" s="158">
        <f>ROWS(AE$10:$AE333)</f>
        <v>324</v>
      </c>
      <c r="AG333" s="158" t="str">
        <f>IF(ID!$A$83=AE333,AF333,"")</f>
        <v/>
      </c>
      <c r="AH333" s="158" t="str">
        <f>IFERROR(SMALL($AG$10:$AG$393,ROWS($AG$10:AG333)),"")</f>
        <v/>
      </c>
    </row>
    <row r="334" spans="1:34" x14ac:dyDescent="0.2">
      <c r="B334" s="209">
        <v>150</v>
      </c>
      <c r="C334" s="194" t="s">
        <v>136</v>
      </c>
      <c r="D334" s="525" t="s">
        <v>136</v>
      </c>
      <c r="E334" s="1130"/>
      <c r="F334" s="241"/>
      <c r="H334" s="209">
        <v>150</v>
      </c>
      <c r="I334" s="194" t="s">
        <v>136</v>
      </c>
      <c r="J334" s="525" t="s">
        <v>136</v>
      </c>
      <c r="K334" s="1130"/>
      <c r="L334" s="241"/>
      <c r="M334" s="209">
        <v>150</v>
      </c>
      <c r="N334" s="194">
        <v>0.5</v>
      </c>
      <c r="O334" s="525">
        <v>0.5</v>
      </c>
      <c r="P334" s="200">
        <v>0.5</v>
      </c>
      <c r="Q334" s="1148"/>
      <c r="R334" s="240"/>
      <c r="S334" s="209">
        <v>150</v>
      </c>
      <c r="T334" s="757" t="s">
        <v>136</v>
      </c>
      <c r="U334" s="758" t="s">
        <v>136</v>
      </c>
      <c r="V334" s="758">
        <v>0.5</v>
      </c>
      <c r="W334" s="511">
        <v>0.16666666666666666</v>
      </c>
      <c r="X334" s="200">
        <v>0.5</v>
      </c>
      <c r="Y334" s="779" t="s">
        <v>136</v>
      </c>
      <c r="Z334" s="780" t="s">
        <v>136</v>
      </c>
      <c r="AA334" s="780">
        <v>0.5</v>
      </c>
      <c r="AB334" s="511">
        <v>0.16666666666666666</v>
      </c>
      <c r="AC334" s="524">
        <v>0.5</v>
      </c>
      <c r="AD334" s="703" t="s">
        <v>342</v>
      </c>
      <c r="AE334" s="4" t="s">
        <v>344</v>
      </c>
      <c r="AF334" s="158">
        <f>ROWS(AE$10:$AE334)</f>
        <v>325</v>
      </c>
      <c r="AG334" s="158" t="str">
        <f>IF(ID!$A$83=AE334,AF334,"")</f>
        <v/>
      </c>
      <c r="AH334" s="158" t="str">
        <f>IFERROR(SMALL($AG$10:$AG$393,ROWS($AG$10:AG334)),"")</f>
        <v/>
      </c>
    </row>
    <row r="335" spans="1:34" x14ac:dyDescent="0.2">
      <c r="B335" s="209">
        <v>200</v>
      </c>
      <c r="C335" s="194" t="s">
        <v>136</v>
      </c>
      <c r="D335" s="525" t="s">
        <v>136</v>
      </c>
      <c r="E335" s="1130"/>
      <c r="F335" s="241"/>
      <c r="H335" s="209">
        <v>200</v>
      </c>
      <c r="I335" s="194" t="s">
        <v>136</v>
      </c>
      <c r="J335" s="525" t="s">
        <v>136</v>
      </c>
      <c r="K335" s="1130"/>
      <c r="L335" s="241"/>
      <c r="M335" s="209">
        <v>200</v>
      </c>
      <c r="N335" s="194">
        <v>0.7</v>
      </c>
      <c r="O335" s="525">
        <v>0.7</v>
      </c>
      <c r="P335" s="200">
        <v>0.5</v>
      </c>
      <c r="Q335" s="1148"/>
      <c r="R335" s="240"/>
      <c r="S335" s="209">
        <v>200</v>
      </c>
      <c r="T335" s="757" t="s">
        <v>136</v>
      </c>
      <c r="U335" s="758" t="s">
        <v>136</v>
      </c>
      <c r="V335" s="758">
        <v>0.7</v>
      </c>
      <c r="W335" s="511">
        <v>0.16666666666666666</v>
      </c>
      <c r="X335" s="200">
        <v>0.5</v>
      </c>
      <c r="Y335" s="779" t="s">
        <v>136</v>
      </c>
      <c r="Z335" s="780" t="s">
        <v>136</v>
      </c>
      <c r="AA335" s="780">
        <v>0.7</v>
      </c>
      <c r="AB335" s="511">
        <v>0.16666666666666666</v>
      </c>
      <c r="AC335" s="524">
        <v>0.5</v>
      </c>
      <c r="AD335" s="703" t="s">
        <v>342</v>
      </c>
      <c r="AE335" s="4" t="s">
        <v>344</v>
      </c>
      <c r="AF335" s="158">
        <f>ROWS(AE$10:$AE335)</f>
        <v>326</v>
      </c>
      <c r="AG335" s="158" t="str">
        <f>IF(ID!$A$83=AE335,AF335,"")</f>
        <v/>
      </c>
      <c r="AH335" s="158" t="str">
        <f>IFERROR(SMALL($AG$10:$AG$393,ROWS($AG$10:AG335)),"")</f>
        <v/>
      </c>
    </row>
    <row r="336" spans="1:34" x14ac:dyDescent="0.2">
      <c r="B336" s="209">
        <v>250</v>
      </c>
      <c r="C336" s="194" t="s">
        <v>136</v>
      </c>
      <c r="D336" s="525" t="s">
        <v>136</v>
      </c>
      <c r="E336" s="1130"/>
      <c r="F336" s="241"/>
      <c r="H336" s="209">
        <v>250</v>
      </c>
      <c r="I336" s="194" t="s">
        <v>136</v>
      </c>
      <c r="J336" s="525" t="s">
        <v>136</v>
      </c>
      <c r="K336" s="1130"/>
      <c r="L336" s="241"/>
      <c r="M336" s="209">
        <v>250</v>
      </c>
      <c r="N336" s="194">
        <v>1</v>
      </c>
      <c r="O336" s="525">
        <v>1</v>
      </c>
      <c r="P336" s="200">
        <v>0.5</v>
      </c>
      <c r="Q336" s="1148"/>
      <c r="R336" s="240"/>
      <c r="S336" s="209">
        <v>250</v>
      </c>
      <c r="T336" s="757" t="s">
        <v>136</v>
      </c>
      <c r="U336" s="758" t="s">
        <v>136</v>
      </c>
      <c r="V336" s="758">
        <v>1</v>
      </c>
      <c r="W336" s="511">
        <v>0.16666666666666666</v>
      </c>
      <c r="X336" s="200">
        <v>0.5</v>
      </c>
      <c r="Y336" s="779" t="s">
        <v>136</v>
      </c>
      <c r="Z336" s="780" t="s">
        <v>136</v>
      </c>
      <c r="AA336" s="780">
        <v>1</v>
      </c>
      <c r="AB336" s="511">
        <v>0.16666666666666666</v>
      </c>
      <c r="AC336" s="524">
        <v>0.5</v>
      </c>
      <c r="AD336" s="703" t="s">
        <v>342</v>
      </c>
      <c r="AE336" s="4" t="s">
        <v>344</v>
      </c>
      <c r="AF336" s="158">
        <f>ROWS(AE$10:$AE336)</f>
        <v>327</v>
      </c>
      <c r="AG336" s="158" t="str">
        <f>IF(ID!$A$83=AE336,AF336,"")</f>
        <v/>
      </c>
      <c r="AH336" s="158" t="str">
        <f>IFERROR(SMALL($AG$10:$AG$393,ROWS($AG$10:AG336)),"")</f>
        <v/>
      </c>
    </row>
    <row r="337" spans="1:34" x14ac:dyDescent="0.2">
      <c r="B337" s="209">
        <v>300</v>
      </c>
      <c r="C337" s="194" t="s">
        <v>136</v>
      </c>
      <c r="D337" s="525" t="s">
        <v>136</v>
      </c>
      <c r="E337" s="1131"/>
      <c r="F337" s="241"/>
      <c r="H337" s="209">
        <v>300</v>
      </c>
      <c r="I337" s="194" t="s">
        <v>136</v>
      </c>
      <c r="J337" s="525" t="s">
        <v>136</v>
      </c>
      <c r="K337" s="1131"/>
      <c r="L337" s="241"/>
      <c r="M337" s="209">
        <v>300</v>
      </c>
      <c r="N337" s="194">
        <v>0.7</v>
      </c>
      <c r="O337" s="525">
        <v>0.9</v>
      </c>
      <c r="P337" s="200">
        <v>0.5</v>
      </c>
      <c r="Q337" s="1149"/>
      <c r="R337" s="240"/>
      <c r="S337" s="209">
        <v>300</v>
      </c>
      <c r="T337" s="757" t="s">
        <v>136</v>
      </c>
      <c r="U337" s="758" t="s">
        <v>136</v>
      </c>
      <c r="V337" s="758">
        <v>0.7</v>
      </c>
      <c r="W337" s="511">
        <v>0.16666666666666666</v>
      </c>
      <c r="X337" s="200">
        <v>0.5</v>
      </c>
      <c r="Y337" s="779" t="s">
        <v>136</v>
      </c>
      <c r="Z337" s="780" t="s">
        <v>136</v>
      </c>
      <c r="AA337" s="780">
        <v>0.9</v>
      </c>
      <c r="AB337" s="511">
        <v>0.16666666666666666</v>
      </c>
      <c r="AC337" s="524">
        <v>0.5</v>
      </c>
      <c r="AD337" s="703" t="s">
        <v>342</v>
      </c>
      <c r="AE337" s="4" t="s">
        <v>344</v>
      </c>
      <c r="AF337" s="158">
        <f>ROWS(AE$10:$AE337)</f>
        <v>328</v>
      </c>
      <c r="AG337" s="158" t="str">
        <f>IF(ID!$A$83=AE337,AF337,"")</f>
        <v/>
      </c>
      <c r="AH337" s="158" t="str">
        <f>IFERROR(SMALL($AG$10:$AG$393,ROWS($AG$10:AG337)),"")</f>
        <v/>
      </c>
    </row>
    <row r="338" spans="1:34" x14ac:dyDescent="0.2">
      <c r="S338" s="233" t="s">
        <v>106</v>
      </c>
      <c r="T338" s="771"/>
      <c r="U338" s="772" t="s">
        <v>106</v>
      </c>
      <c r="V338" s="772"/>
      <c r="W338" s="548"/>
      <c r="X338" s="523" t="s">
        <v>106</v>
      </c>
      <c r="Y338" s="785"/>
      <c r="Z338" s="784"/>
      <c r="AA338" s="784"/>
      <c r="AB338" s="548"/>
      <c r="AC338" s="202"/>
      <c r="AD338" s="96"/>
      <c r="AE338" s="4"/>
      <c r="AF338" s="158">
        <f>ROWS(AE$10:$AE338)</f>
        <v>329</v>
      </c>
      <c r="AG338" s="158" t="str">
        <f>IF(ID!$A$83=AE338,AF338,"")</f>
        <v/>
      </c>
      <c r="AH338" s="158" t="str">
        <f>IFERROR(SMALL($AG$10:$AG$393,ROWS($AG$10:AG338)),"")</f>
        <v/>
      </c>
    </row>
    <row r="339" spans="1:34" x14ac:dyDescent="0.2">
      <c r="E339" s="13"/>
      <c r="F339" s="13"/>
      <c r="K339" s="13"/>
      <c r="L339" s="13"/>
      <c r="N339" s="13"/>
      <c r="O339" s="13"/>
      <c r="Q339" s="13"/>
      <c r="R339" s="13"/>
      <c r="S339" s="233" t="s">
        <v>106</v>
      </c>
      <c r="T339" s="771"/>
      <c r="U339" s="772" t="s">
        <v>106</v>
      </c>
      <c r="V339" s="772"/>
      <c r="W339" s="548"/>
      <c r="X339" s="202" t="s">
        <v>106</v>
      </c>
      <c r="Y339" s="784"/>
      <c r="Z339" s="784"/>
      <c r="AA339" s="784"/>
      <c r="AB339" s="548"/>
      <c r="AC339" s="202"/>
      <c r="AD339" s="96"/>
      <c r="AE339" s="4"/>
      <c r="AF339" s="158">
        <f>ROWS(AE$10:$AE339)</f>
        <v>330</v>
      </c>
      <c r="AG339" s="158" t="str">
        <f>IF(ID!$A$83=AE339,AF339,"")</f>
        <v/>
      </c>
      <c r="AH339" s="158" t="str">
        <f>IFERROR(SMALL($AG$10:$AG$393,ROWS($AG$10:AG339)),"")</f>
        <v/>
      </c>
    </row>
    <row r="340" spans="1:34" x14ac:dyDescent="0.2">
      <c r="S340" s="233" t="s">
        <v>106</v>
      </c>
      <c r="T340" s="771"/>
      <c r="U340" s="772" t="s">
        <v>106</v>
      </c>
      <c r="V340" s="772"/>
      <c r="W340" s="548"/>
      <c r="X340" s="202" t="s">
        <v>106</v>
      </c>
      <c r="Y340" s="784"/>
      <c r="Z340" s="784"/>
      <c r="AA340" s="784"/>
      <c r="AB340" s="548"/>
      <c r="AC340" s="202"/>
      <c r="AD340" s="96"/>
      <c r="AE340" s="4"/>
      <c r="AF340" s="158">
        <f>ROWS(AE$10:$AE340)</f>
        <v>331</v>
      </c>
      <c r="AG340" s="158" t="str">
        <f>IF(ID!$A$83=AE340,AF340,"")</f>
        <v/>
      </c>
      <c r="AH340" s="158" t="str">
        <f>IFERROR(SMALL($AG$10:$AG$393,ROWS($AG$10:AG340)),"")</f>
        <v/>
      </c>
    </row>
    <row r="341" spans="1:34" x14ac:dyDescent="0.2">
      <c r="S341" s="233" t="s">
        <v>106</v>
      </c>
      <c r="T341" s="771"/>
      <c r="U341" s="772" t="s">
        <v>106</v>
      </c>
      <c r="V341" s="772"/>
      <c r="W341" s="548"/>
      <c r="X341" s="202" t="s">
        <v>106</v>
      </c>
      <c r="Y341" s="784"/>
      <c r="Z341" s="784"/>
      <c r="AA341" s="784"/>
      <c r="AB341" s="548"/>
      <c r="AC341" s="202"/>
      <c r="AD341" s="96"/>
      <c r="AE341" s="4"/>
      <c r="AF341" s="158">
        <f>ROWS(AE$10:$AE341)</f>
        <v>332</v>
      </c>
      <c r="AG341" s="158" t="str">
        <f>IF(ID!$A$83=AE341,AF341,"")</f>
        <v/>
      </c>
      <c r="AH341" s="158" t="str">
        <f>IFERROR(SMALL($AG$10:$AG$393,ROWS($AG$10:AG341)),"")</f>
        <v/>
      </c>
    </row>
    <row r="342" spans="1:34" x14ac:dyDescent="0.2">
      <c r="E342" s="13"/>
      <c r="F342" s="13"/>
      <c r="K342" s="13"/>
      <c r="L342" s="13"/>
      <c r="N342" s="13"/>
      <c r="O342" s="13"/>
      <c r="Q342" s="13"/>
      <c r="R342" s="13"/>
      <c r="S342" s="234"/>
      <c r="AD342" s="13"/>
      <c r="AE342" s="13"/>
      <c r="AF342" s="158">
        <f>ROWS(AE$10:$AE342)</f>
        <v>333</v>
      </c>
      <c r="AG342" s="158" t="str">
        <f>IF(ID!$A$83=AE342,AF342,"")</f>
        <v/>
      </c>
      <c r="AH342" s="158" t="str">
        <f>IFERROR(SMALL($AG$10:$AG$393,ROWS($AG$10:AG342)),"")</f>
        <v/>
      </c>
    </row>
    <row r="343" spans="1:34" x14ac:dyDescent="0.2">
      <c r="A343" s="526"/>
      <c r="B343" s="526"/>
      <c r="C343" s="532"/>
      <c r="D343" s="538"/>
      <c r="E343" s="526"/>
      <c r="F343" s="526"/>
      <c r="G343" s="526"/>
      <c r="H343" s="526"/>
      <c r="I343" s="532"/>
      <c r="J343" s="538"/>
      <c r="K343" s="526"/>
      <c r="L343" s="526"/>
      <c r="M343" s="526"/>
      <c r="N343" s="526"/>
      <c r="O343" s="526"/>
      <c r="P343" s="526"/>
      <c r="Q343" s="526"/>
      <c r="R343" s="526"/>
      <c r="S343" s="527"/>
      <c r="W343" s="543"/>
      <c r="X343" s="526"/>
      <c r="AB343" s="543"/>
      <c r="AC343" s="526"/>
      <c r="AD343" s="526"/>
      <c r="AE343" s="526"/>
      <c r="AF343" s="158">
        <f>ROWS(AE$10:$AE343)</f>
        <v>334</v>
      </c>
      <c r="AG343" s="158" t="str">
        <f>IF(ID!$A$83=AE343,AF343,"")</f>
        <v/>
      </c>
      <c r="AH343" s="158" t="str">
        <f>IFERROR(SMALL($AG$10:$AG$393,ROWS($AG$10:AG343)),"")</f>
        <v/>
      </c>
    </row>
    <row r="344" spans="1:34" x14ac:dyDescent="0.2">
      <c r="A344" s="526"/>
      <c r="B344" s="526"/>
      <c r="C344" s="532"/>
      <c r="D344" s="538"/>
      <c r="E344" s="526"/>
      <c r="F344" s="526"/>
      <c r="G344" s="526"/>
      <c r="H344" s="526"/>
      <c r="I344" s="532"/>
      <c r="J344" s="538"/>
      <c r="K344" s="526"/>
      <c r="L344" s="526"/>
      <c r="M344" s="526"/>
      <c r="N344" s="526"/>
      <c r="O344" s="526"/>
      <c r="P344" s="526"/>
      <c r="Q344" s="526"/>
      <c r="R344" s="526"/>
      <c r="S344" s="527"/>
      <c r="W344" s="543"/>
      <c r="X344" s="526"/>
      <c r="AB344" s="543"/>
      <c r="AC344" s="526"/>
      <c r="AD344" s="526"/>
      <c r="AE344" s="526"/>
      <c r="AF344" s="158">
        <f>ROWS(AE$10:$AE344)</f>
        <v>335</v>
      </c>
      <c r="AG344" s="158" t="str">
        <f>IF(ID!$A$83=AE344,AF344,"")</f>
        <v/>
      </c>
      <c r="AH344" s="158" t="str">
        <f>IFERROR(SMALL($AG$10:$AG$393,ROWS($AG$10:AG344)),"")</f>
        <v/>
      </c>
    </row>
    <row r="345" spans="1:34" x14ac:dyDescent="0.2">
      <c r="A345" s="526"/>
      <c r="B345" s="526"/>
      <c r="C345" s="532"/>
      <c r="D345" s="538"/>
      <c r="E345" s="526"/>
      <c r="F345" s="526"/>
      <c r="G345" s="526"/>
      <c r="H345" s="526"/>
      <c r="I345" s="532"/>
      <c r="J345" s="538"/>
      <c r="K345" s="526"/>
      <c r="L345" s="526"/>
      <c r="M345" s="526"/>
      <c r="N345" s="526"/>
      <c r="O345" s="526"/>
      <c r="P345" s="526"/>
      <c r="Q345" s="526"/>
      <c r="R345" s="526"/>
      <c r="S345" s="527"/>
      <c r="W345" s="543"/>
      <c r="X345" s="526"/>
      <c r="AB345" s="543"/>
      <c r="AC345" s="526"/>
      <c r="AD345" s="526"/>
      <c r="AE345" s="526"/>
      <c r="AF345" s="158">
        <f>ROWS(AE$10:$AE345)</f>
        <v>336</v>
      </c>
      <c r="AG345" s="158" t="str">
        <f>IF(ID!$A$83=AE345,AF345,"")</f>
        <v/>
      </c>
      <c r="AH345" s="158" t="str">
        <f>IFERROR(SMALL($AG$10:$AG$393,ROWS($AG$10:AG345)),"")</f>
        <v/>
      </c>
    </row>
    <row r="346" spans="1:34" x14ac:dyDescent="0.2">
      <c r="S346" s="228"/>
      <c r="T346" s="759"/>
      <c r="U346" s="760"/>
      <c r="V346" s="761"/>
      <c r="W346" s="546" t="s">
        <v>245</v>
      </c>
      <c r="AB346" s="546" t="s">
        <v>245</v>
      </c>
      <c r="AF346" s="158">
        <f>ROWS(AE$10:$AE346)</f>
        <v>337</v>
      </c>
      <c r="AG346" s="158" t="str">
        <f>IF(ID!$A$83=AE346,AF346,"")</f>
        <v/>
      </c>
      <c r="AH346" s="158" t="str">
        <f>IFERROR(SMALL($AG$10:$AG$393,ROWS($AG$10:AG346)),"")</f>
        <v/>
      </c>
    </row>
    <row r="347" spans="1:34" x14ac:dyDescent="0.2">
      <c r="B347" s="209">
        <v>0</v>
      </c>
      <c r="C347" s="194" t="s">
        <v>136</v>
      </c>
      <c r="D347" s="525" t="s">
        <v>136</v>
      </c>
      <c r="E347" s="1129" t="s">
        <v>136</v>
      </c>
      <c r="F347" s="241"/>
      <c r="H347" s="209">
        <v>0</v>
      </c>
      <c r="I347" s="194" t="s">
        <v>136</v>
      </c>
      <c r="J347" s="525" t="s">
        <v>136</v>
      </c>
      <c r="K347" s="1129" t="s">
        <v>136</v>
      </c>
      <c r="L347" s="241"/>
      <c r="M347" s="209">
        <v>0</v>
      </c>
      <c r="N347" s="194">
        <v>0</v>
      </c>
      <c r="O347" s="525">
        <v>0</v>
      </c>
      <c r="P347" s="200">
        <v>0.5</v>
      </c>
      <c r="Q347" s="1147" t="s">
        <v>345</v>
      </c>
      <c r="R347" s="240"/>
      <c r="S347" s="209">
        <v>0</v>
      </c>
      <c r="T347" s="757" t="s">
        <v>136</v>
      </c>
      <c r="U347" s="758" t="s">
        <v>136</v>
      </c>
      <c r="V347" s="758">
        <v>0</v>
      </c>
      <c r="W347" s="511">
        <v>0.16666666666666666</v>
      </c>
      <c r="X347" s="200">
        <v>0.5</v>
      </c>
      <c r="Y347" s="779" t="s">
        <v>136</v>
      </c>
      <c r="Z347" s="780" t="s">
        <v>136</v>
      </c>
      <c r="AA347" s="780">
        <v>0</v>
      </c>
      <c r="AB347" s="511">
        <v>0.16666666666666666</v>
      </c>
      <c r="AC347" s="524">
        <v>0.5</v>
      </c>
      <c r="AD347" s="9" t="s">
        <v>342</v>
      </c>
      <c r="AE347" s="4" t="s">
        <v>346</v>
      </c>
      <c r="AF347" s="158">
        <f>ROWS(AE$10:$AE347)</f>
        <v>338</v>
      </c>
      <c r="AG347" s="158" t="str">
        <f>IF(ID!$A$83=AE347,AF347,"")</f>
        <v/>
      </c>
      <c r="AH347" s="158" t="str">
        <f>IFERROR(SMALL($AG$10:$AG$393,ROWS($AG$10:AG347)),"")</f>
        <v/>
      </c>
    </row>
    <row r="348" spans="1:34" x14ac:dyDescent="0.2">
      <c r="B348" s="209">
        <v>50</v>
      </c>
      <c r="C348" s="194" t="s">
        <v>136</v>
      </c>
      <c r="D348" s="525" t="s">
        <v>136</v>
      </c>
      <c r="E348" s="1130"/>
      <c r="F348" s="241"/>
      <c r="H348" s="209">
        <v>50</v>
      </c>
      <c r="I348" s="194" t="s">
        <v>136</v>
      </c>
      <c r="J348" s="525" t="s">
        <v>136</v>
      </c>
      <c r="K348" s="1130"/>
      <c r="L348" s="241"/>
      <c r="M348" s="209">
        <v>50</v>
      </c>
      <c r="N348" s="194">
        <v>-0.3</v>
      </c>
      <c r="O348" s="525">
        <v>-0.5</v>
      </c>
      <c r="P348" s="200">
        <v>0.5</v>
      </c>
      <c r="Q348" s="1148"/>
      <c r="R348" s="240"/>
      <c r="S348" s="209">
        <v>50</v>
      </c>
      <c r="T348" s="757" t="s">
        <v>136</v>
      </c>
      <c r="U348" s="758" t="s">
        <v>136</v>
      </c>
      <c r="V348" s="758">
        <v>-0.3</v>
      </c>
      <c r="W348" s="511">
        <v>0.16666666666666666</v>
      </c>
      <c r="X348" s="200">
        <v>0.5</v>
      </c>
      <c r="Y348" s="779" t="s">
        <v>136</v>
      </c>
      <c r="Z348" s="780" t="s">
        <v>136</v>
      </c>
      <c r="AA348" s="780">
        <v>-0.5</v>
      </c>
      <c r="AB348" s="511">
        <v>0.16666666666666666</v>
      </c>
      <c r="AC348" s="524">
        <v>0.5</v>
      </c>
      <c r="AD348" s="9" t="s">
        <v>342</v>
      </c>
      <c r="AE348" s="4" t="s">
        <v>346</v>
      </c>
      <c r="AF348" s="158">
        <f>ROWS(AE$10:$AE348)</f>
        <v>339</v>
      </c>
      <c r="AG348" s="158" t="str">
        <f>IF(ID!$A$83=AE348,AF348,"")</f>
        <v/>
      </c>
      <c r="AH348" s="158" t="str">
        <f>IFERROR(SMALL($AG$10:$AG$393,ROWS($AG$10:AG348)),"")</f>
        <v/>
      </c>
    </row>
    <row r="349" spans="1:34" x14ac:dyDescent="0.2">
      <c r="B349" s="209">
        <v>100</v>
      </c>
      <c r="C349" s="194" t="s">
        <v>136</v>
      </c>
      <c r="D349" s="525" t="s">
        <v>136</v>
      </c>
      <c r="E349" s="1130"/>
      <c r="F349" s="241"/>
      <c r="H349" s="209">
        <v>100</v>
      </c>
      <c r="I349" s="194" t="s">
        <v>136</v>
      </c>
      <c r="J349" s="525" t="s">
        <v>136</v>
      </c>
      <c r="K349" s="1130"/>
      <c r="L349" s="241"/>
      <c r="M349" s="209">
        <v>100</v>
      </c>
      <c r="N349" s="194">
        <v>-0.5</v>
      </c>
      <c r="O349" s="525">
        <v>-0.5</v>
      </c>
      <c r="P349" s="200">
        <v>0.5</v>
      </c>
      <c r="Q349" s="1148"/>
      <c r="R349" s="240"/>
      <c r="S349" s="209">
        <v>100</v>
      </c>
      <c r="T349" s="757" t="s">
        <v>136</v>
      </c>
      <c r="U349" s="758" t="s">
        <v>136</v>
      </c>
      <c r="V349" s="758">
        <v>-0.5</v>
      </c>
      <c r="W349" s="511">
        <v>0.16666666666666666</v>
      </c>
      <c r="X349" s="200">
        <v>0.5</v>
      </c>
      <c r="Y349" s="779" t="s">
        <v>136</v>
      </c>
      <c r="Z349" s="780" t="s">
        <v>136</v>
      </c>
      <c r="AA349" s="780">
        <v>-0.5</v>
      </c>
      <c r="AB349" s="511">
        <v>0.16666666666666666</v>
      </c>
      <c r="AC349" s="524">
        <v>0.5</v>
      </c>
      <c r="AD349" s="9" t="s">
        <v>342</v>
      </c>
      <c r="AE349" s="4" t="s">
        <v>346</v>
      </c>
      <c r="AF349" s="158">
        <f>ROWS(AE$10:$AE349)</f>
        <v>340</v>
      </c>
      <c r="AG349" s="158" t="str">
        <f>IF(ID!$A$83=AE349,AF349,"")</f>
        <v/>
      </c>
      <c r="AH349" s="158" t="str">
        <f>IFERROR(SMALL($AG$10:$AG$393,ROWS($AG$10:AG349)),"")</f>
        <v/>
      </c>
    </row>
    <row r="350" spans="1:34" x14ac:dyDescent="0.2">
      <c r="B350" s="209">
        <v>150</v>
      </c>
      <c r="C350" s="194" t="s">
        <v>136</v>
      </c>
      <c r="D350" s="525" t="s">
        <v>136</v>
      </c>
      <c r="E350" s="1130"/>
      <c r="F350" s="241"/>
      <c r="H350" s="209">
        <v>150</v>
      </c>
      <c r="I350" s="194" t="s">
        <v>136</v>
      </c>
      <c r="J350" s="525" t="s">
        <v>136</v>
      </c>
      <c r="K350" s="1130"/>
      <c r="L350" s="241"/>
      <c r="M350" s="209">
        <v>150</v>
      </c>
      <c r="N350" s="194">
        <v>-0.5</v>
      </c>
      <c r="O350" s="525">
        <v>-0.5</v>
      </c>
      <c r="P350" s="200">
        <v>0.5</v>
      </c>
      <c r="Q350" s="1148"/>
      <c r="R350" s="240"/>
      <c r="S350" s="209">
        <v>150</v>
      </c>
      <c r="T350" s="757" t="s">
        <v>136</v>
      </c>
      <c r="U350" s="758" t="s">
        <v>136</v>
      </c>
      <c r="V350" s="758">
        <v>-0.5</v>
      </c>
      <c r="W350" s="511">
        <v>0.16666666666666666</v>
      </c>
      <c r="X350" s="200">
        <v>0.5</v>
      </c>
      <c r="Y350" s="779" t="s">
        <v>136</v>
      </c>
      <c r="Z350" s="780" t="s">
        <v>136</v>
      </c>
      <c r="AA350" s="780">
        <v>-0.5</v>
      </c>
      <c r="AB350" s="511">
        <v>0.16666666666666666</v>
      </c>
      <c r="AC350" s="524">
        <v>0.5</v>
      </c>
      <c r="AD350" s="9" t="s">
        <v>342</v>
      </c>
      <c r="AE350" s="4" t="s">
        <v>346</v>
      </c>
      <c r="AF350" s="158">
        <f>ROWS(AE$10:$AE350)</f>
        <v>341</v>
      </c>
      <c r="AG350" s="158" t="str">
        <f>IF(ID!$A$83=AE350,AF350,"")</f>
        <v/>
      </c>
      <c r="AH350" s="158" t="str">
        <f>IFERROR(SMALL($AG$10:$AG$393,ROWS($AG$10:AG350)),"")</f>
        <v/>
      </c>
    </row>
    <row r="351" spans="1:34" x14ac:dyDescent="0.2">
      <c r="B351" s="209">
        <v>200</v>
      </c>
      <c r="C351" s="194" t="s">
        <v>136</v>
      </c>
      <c r="D351" s="525" t="s">
        <v>136</v>
      </c>
      <c r="E351" s="1130"/>
      <c r="F351" s="241"/>
      <c r="H351" s="209">
        <v>200</v>
      </c>
      <c r="I351" s="194" t="s">
        <v>136</v>
      </c>
      <c r="J351" s="525" t="s">
        <v>136</v>
      </c>
      <c r="K351" s="1130"/>
      <c r="L351" s="241"/>
      <c r="M351" s="209">
        <v>200</v>
      </c>
      <c r="N351" s="194">
        <v>-0.5</v>
      </c>
      <c r="O351" s="525">
        <v>-0.5</v>
      </c>
      <c r="P351" s="200">
        <v>0.5</v>
      </c>
      <c r="Q351" s="1148"/>
      <c r="R351" s="240"/>
      <c r="S351" s="209">
        <v>200</v>
      </c>
      <c r="T351" s="757" t="s">
        <v>136</v>
      </c>
      <c r="U351" s="758" t="s">
        <v>136</v>
      </c>
      <c r="V351" s="758">
        <v>-0.5</v>
      </c>
      <c r="W351" s="511">
        <v>0.16666666666666666</v>
      </c>
      <c r="X351" s="200">
        <v>0.5</v>
      </c>
      <c r="Y351" s="779" t="s">
        <v>136</v>
      </c>
      <c r="Z351" s="780" t="s">
        <v>136</v>
      </c>
      <c r="AA351" s="780">
        <v>-0.5</v>
      </c>
      <c r="AB351" s="511">
        <v>0.16666666666666666</v>
      </c>
      <c r="AC351" s="524">
        <v>0.5</v>
      </c>
      <c r="AD351" s="9" t="s">
        <v>342</v>
      </c>
      <c r="AE351" s="4" t="s">
        <v>346</v>
      </c>
      <c r="AF351" s="158">
        <f>ROWS(AE$10:$AE351)</f>
        <v>342</v>
      </c>
      <c r="AG351" s="158" t="str">
        <f>IF(ID!$A$83=AE351,AF351,"")</f>
        <v/>
      </c>
      <c r="AH351" s="158" t="str">
        <f>IFERROR(SMALL($AG$10:$AG$393,ROWS($AG$10:AG351)),"")</f>
        <v/>
      </c>
    </row>
    <row r="352" spans="1:34" x14ac:dyDescent="0.2">
      <c r="B352" s="209">
        <v>250</v>
      </c>
      <c r="C352" s="194" t="s">
        <v>136</v>
      </c>
      <c r="D352" s="525" t="s">
        <v>136</v>
      </c>
      <c r="E352" s="1130"/>
      <c r="F352" s="241"/>
      <c r="H352" s="209">
        <v>250</v>
      </c>
      <c r="I352" s="194" t="s">
        <v>136</v>
      </c>
      <c r="J352" s="525" t="s">
        <v>136</v>
      </c>
      <c r="K352" s="1130"/>
      <c r="L352" s="241"/>
      <c r="M352" s="209">
        <v>250</v>
      </c>
      <c r="N352" s="194">
        <v>-0.5</v>
      </c>
      <c r="O352" s="525">
        <v>-0.5</v>
      </c>
      <c r="P352" s="200">
        <v>0.5</v>
      </c>
      <c r="Q352" s="1148"/>
      <c r="R352" s="240"/>
      <c r="S352" s="209">
        <v>250</v>
      </c>
      <c r="T352" s="757" t="s">
        <v>136</v>
      </c>
      <c r="U352" s="758" t="s">
        <v>136</v>
      </c>
      <c r="V352" s="758">
        <v>-0.5</v>
      </c>
      <c r="W352" s="511">
        <v>0.16666666666666666</v>
      </c>
      <c r="X352" s="200">
        <v>0.5</v>
      </c>
      <c r="Y352" s="779" t="s">
        <v>136</v>
      </c>
      <c r="Z352" s="780" t="s">
        <v>136</v>
      </c>
      <c r="AA352" s="780">
        <v>-0.5</v>
      </c>
      <c r="AB352" s="511">
        <v>0.16666666666666666</v>
      </c>
      <c r="AC352" s="524">
        <v>0.5</v>
      </c>
      <c r="AD352" s="9" t="s">
        <v>342</v>
      </c>
      <c r="AE352" s="4" t="s">
        <v>346</v>
      </c>
      <c r="AF352" s="158">
        <f>ROWS(AE$10:$AE352)</f>
        <v>343</v>
      </c>
      <c r="AG352" s="158" t="str">
        <f>IF(ID!$A$83=AE352,AF352,"")</f>
        <v/>
      </c>
      <c r="AH352" s="158" t="str">
        <f>IFERROR(SMALL($AG$10:$AG$393,ROWS($AG$10:AG352)),"")</f>
        <v/>
      </c>
    </row>
    <row r="353" spans="1:34" x14ac:dyDescent="0.2">
      <c r="B353" s="209">
        <v>300</v>
      </c>
      <c r="C353" s="194" t="s">
        <v>136</v>
      </c>
      <c r="D353" s="525" t="s">
        <v>136</v>
      </c>
      <c r="E353" s="1131"/>
      <c r="F353" s="241"/>
      <c r="H353" s="209">
        <v>300</v>
      </c>
      <c r="I353" s="194" t="s">
        <v>136</v>
      </c>
      <c r="J353" s="525" t="s">
        <v>136</v>
      </c>
      <c r="K353" s="1131"/>
      <c r="L353" s="241"/>
      <c r="M353" s="209">
        <v>300</v>
      </c>
      <c r="N353" s="194">
        <v>-0.5</v>
      </c>
      <c r="O353" s="525">
        <v>-0.5</v>
      </c>
      <c r="P353" s="200">
        <v>0.5</v>
      </c>
      <c r="Q353" s="1149"/>
      <c r="R353" s="240"/>
      <c r="S353" s="209">
        <v>300</v>
      </c>
      <c r="T353" s="757" t="s">
        <v>136</v>
      </c>
      <c r="U353" s="758" t="s">
        <v>136</v>
      </c>
      <c r="V353" s="758">
        <v>-0.5</v>
      </c>
      <c r="W353" s="511">
        <v>0.16666666666666666</v>
      </c>
      <c r="X353" s="200">
        <v>0.5</v>
      </c>
      <c r="Y353" s="779" t="s">
        <v>136</v>
      </c>
      <c r="Z353" s="780" t="s">
        <v>136</v>
      </c>
      <c r="AA353" s="780">
        <v>-0.5</v>
      </c>
      <c r="AB353" s="511">
        <v>0.16666666666666666</v>
      </c>
      <c r="AC353" s="524">
        <v>0.5</v>
      </c>
      <c r="AD353" s="9" t="s">
        <v>342</v>
      </c>
      <c r="AE353" s="4" t="s">
        <v>346</v>
      </c>
      <c r="AF353" s="158">
        <f>ROWS(AE$10:$AE353)</f>
        <v>344</v>
      </c>
      <c r="AG353" s="158" t="str">
        <f>IF(ID!$A$83=AE353,AF353,"")</f>
        <v/>
      </c>
      <c r="AH353" s="158" t="str">
        <f>IFERROR(SMALL($AG$10:$AG$393,ROWS($AG$10:AG353)),"")</f>
        <v/>
      </c>
    </row>
    <row r="354" spans="1:34" x14ac:dyDescent="0.2">
      <c r="S354" s="233" t="s">
        <v>106</v>
      </c>
      <c r="T354" s="771"/>
      <c r="U354" s="772" t="s">
        <v>106</v>
      </c>
      <c r="V354" s="772"/>
      <c r="W354" s="548"/>
      <c r="X354" s="523" t="s">
        <v>106</v>
      </c>
      <c r="Y354" s="785"/>
      <c r="Z354" s="784"/>
      <c r="AA354" s="784"/>
      <c r="AB354" s="548"/>
      <c r="AC354" s="202"/>
      <c r="AD354" s="96"/>
      <c r="AE354" s="4"/>
      <c r="AF354" s="158">
        <f>ROWS(AE$10:$AE354)</f>
        <v>345</v>
      </c>
      <c r="AG354" s="158" t="str">
        <f>IF(ID!$A$83=AE354,AF354,"")</f>
        <v/>
      </c>
      <c r="AH354" s="158" t="str">
        <f>IFERROR(SMALL($AG$10:$AG$393,ROWS($AG$10:AG354)),"")</f>
        <v/>
      </c>
    </row>
    <row r="355" spans="1:34" x14ac:dyDescent="0.2">
      <c r="E355" s="13"/>
      <c r="F355" s="13"/>
      <c r="K355" s="13"/>
      <c r="L355" s="13"/>
      <c r="N355" s="13"/>
      <c r="O355" s="13"/>
      <c r="Q355" s="13"/>
      <c r="R355" s="13"/>
      <c r="S355" s="233" t="s">
        <v>106</v>
      </c>
      <c r="T355" s="771"/>
      <c r="U355" s="772" t="s">
        <v>106</v>
      </c>
      <c r="V355" s="772"/>
      <c r="W355" s="548"/>
      <c r="X355" s="202" t="s">
        <v>106</v>
      </c>
      <c r="Y355" s="784"/>
      <c r="Z355" s="784"/>
      <c r="AA355" s="784"/>
      <c r="AB355" s="548"/>
      <c r="AC355" s="202"/>
      <c r="AD355" s="96"/>
      <c r="AE355" s="4"/>
      <c r="AF355" s="158">
        <f>ROWS(AE$10:$AE355)</f>
        <v>346</v>
      </c>
      <c r="AG355" s="158" t="str">
        <f>IF(ID!$A$83=AE355,AF355,"")</f>
        <v/>
      </c>
      <c r="AH355" s="158" t="str">
        <f>IFERROR(SMALL($AG$10:$AG$393,ROWS($AG$10:AG355)),"")</f>
        <v/>
      </c>
    </row>
    <row r="356" spans="1:34" x14ac:dyDescent="0.2">
      <c r="S356" s="233" t="s">
        <v>106</v>
      </c>
      <c r="T356" s="771"/>
      <c r="U356" s="772" t="s">
        <v>106</v>
      </c>
      <c r="V356" s="772"/>
      <c r="W356" s="548"/>
      <c r="X356" s="202" t="s">
        <v>106</v>
      </c>
      <c r="Y356" s="784"/>
      <c r="Z356" s="784"/>
      <c r="AA356" s="784"/>
      <c r="AB356" s="548"/>
      <c r="AC356" s="202"/>
      <c r="AD356" s="96"/>
      <c r="AE356" s="4"/>
      <c r="AF356" s="158">
        <f>ROWS(AE$10:$AE356)</f>
        <v>347</v>
      </c>
      <c r="AG356" s="158" t="str">
        <f>IF(ID!$A$83=AE356,AF356,"")</f>
        <v/>
      </c>
      <c r="AH356" s="158" t="str">
        <f>IFERROR(SMALL($AG$10:$AG$393,ROWS($AG$10:AG356)),"")</f>
        <v/>
      </c>
    </row>
    <row r="357" spans="1:34" x14ac:dyDescent="0.2">
      <c r="S357" s="233" t="s">
        <v>106</v>
      </c>
      <c r="T357" s="771"/>
      <c r="U357" s="772" t="s">
        <v>106</v>
      </c>
      <c r="V357" s="772"/>
      <c r="W357" s="548"/>
      <c r="X357" s="202" t="s">
        <v>106</v>
      </c>
      <c r="Y357" s="784"/>
      <c r="Z357" s="784"/>
      <c r="AA357" s="784"/>
      <c r="AB357" s="548"/>
      <c r="AC357" s="202"/>
      <c r="AD357" s="96"/>
      <c r="AE357" s="4"/>
      <c r="AF357" s="158">
        <f>ROWS(AE$10:$AE357)</f>
        <v>348</v>
      </c>
      <c r="AG357" s="158" t="str">
        <f>IF(ID!$A$83=AE357,AF357,"")</f>
        <v/>
      </c>
      <c r="AH357" s="158" t="str">
        <f>IFERROR(SMALL($AG$10:$AG$393,ROWS($AG$10:AG357)),"")</f>
        <v/>
      </c>
    </row>
    <row r="358" spans="1:34" x14ac:dyDescent="0.2">
      <c r="E358" s="13"/>
      <c r="F358" s="13"/>
      <c r="K358" s="13"/>
      <c r="L358" s="13"/>
      <c r="N358" s="13"/>
      <c r="O358" s="13"/>
      <c r="Q358" s="13"/>
      <c r="R358" s="13"/>
      <c r="S358" s="234"/>
      <c r="AD358" s="13"/>
      <c r="AE358" s="13"/>
      <c r="AF358" s="158">
        <f>ROWS(AE$10:$AE358)</f>
        <v>349</v>
      </c>
      <c r="AG358" s="158" t="str">
        <f>IF(ID!$A$83=AE358,AF358,"")</f>
        <v/>
      </c>
      <c r="AH358" s="158" t="str">
        <f>IFERROR(SMALL($AG$10:$AG$393,ROWS($AG$10:AG358)),"")</f>
        <v/>
      </c>
    </row>
    <row r="359" spans="1:34" x14ac:dyDescent="0.2">
      <c r="A359" s="526"/>
      <c r="B359" s="526"/>
      <c r="C359" s="532"/>
      <c r="D359" s="538"/>
      <c r="E359" s="526"/>
      <c r="F359" s="526"/>
      <c r="G359" s="526"/>
      <c r="H359" s="526"/>
      <c r="I359" s="532"/>
      <c r="J359" s="538"/>
      <c r="K359" s="526"/>
      <c r="L359" s="526"/>
      <c r="M359" s="526"/>
      <c r="N359" s="526"/>
      <c r="O359" s="526"/>
      <c r="P359" s="526"/>
      <c r="Q359" s="526"/>
      <c r="R359" s="526"/>
      <c r="S359" s="527"/>
      <c r="W359" s="543"/>
      <c r="X359" s="526"/>
      <c r="AB359" s="543"/>
      <c r="AC359" s="526"/>
      <c r="AD359" s="526"/>
      <c r="AE359" s="526"/>
      <c r="AF359" s="158">
        <f>ROWS(AE$10:$AE359)</f>
        <v>350</v>
      </c>
      <c r="AG359" s="158" t="str">
        <f>IF(ID!$A$83=AE359,AF359,"")</f>
        <v/>
      </c>
      <c r="AH359" s="158" t="str">
        <f>IFERROR(SMALL($AG$10:$AG$393,ROWS($AG$10:AG359)),"")</f>
        <v/>
      </c>
    </row>
    <row r="360" spans="1:34" x14ac:dyDescent="0.2">
      <c r="A360" s="526"/>
      <c r="B360" s="526"/>
      <c r="C360" s="532"/>
      <c r="D360" s="538"/>
      <c r="E360" s="526"/>
      <c r="F360" s="526"/>
      <c r="G360" s="526"/>
      <c r="H360" s="526"/>
      <c r="I360" s="532"/>
      <c r="J360" s="538"/>
      <c r="K360" s="526"/>
      <c r="L360" s="526"/>
      <c r="M360" s="526"/>
      <c r="N360" s="526"/>
      <c r="O360" s="526"/>
      <c r="P360" s="526"/>
      <c r="Q360" s="526"/>
      <c r="R360" s="526"/>
      <c r="S360" s="527"/>
      <c r="W360" s="543"/>
      <c r="X360" s="526"/>
      <c r="AB360" s="543"/>
      <c r="AC360" s="526"/>
      <c r="AD360" s="526"/>
      <c r="AE360" s="526"/>
      <c r="AF360" s="158">
        <f>ROWS(AE$10:$AE360)</f>
        <v>351</v>
      </c>
      <c r="AG360" s="158" t="str">
        <f>IF(ID!$A$83=AE360,AF360,"")</f>
        <v/>
      </c>
      <c r="AH360" s="158" t="str">
        <f>IFERROR(SMALL($AG$10:$AG$393,ROWS($AG$10:AG360)),"")</f>
        <v/>
      </c>
    </row>
    <row r="361" spans="1:34" x14ac:dyDescent="0.2">
      <c r="A361" s="526"/>
      <c r="B361" s="526"/>
      <c r="C361" s="532"/>
      <c r="D361" s="538"/>
      <c r="E361" s="526"/>
      <c r="F361" s="526"/>
      <c r="G361" s="526"/>
      <c r="H361" s="526"/>
      <c r="I361" s="532"/>
      <c r="J361" s="538"/>
      <c r="K361" s="526"/>
      <c r="L361" s="526"/>
      <c r="M361" s="526"/>
      <c r="N361" s="526"/>
      <c r="O361" s="526"/>
      <c r="P361" s="526"/>
      <c r="Q361" s="526"/>
      <c r="R361" s="526"/>
      <c r="S361" s="527"/>
      <c r="W361" s="543"/>
      <c r="X361" s="526"/>
      <c r="AB361" s="543"/>
      <c r="AC361" s="526"/>
      <c r="AD361" s="526"/>
      <c r="AE361" s="526"/>
      <c r="AF361" s="158">
        <f>ROWS(AE$10:$AE361)</f>
        <v>352</v>
      </c>
      <c r="AG361" s="158" t="str">
        <f>IF(ID!$A$83=AE361,AF361,"")</f>
        <v/>
      </c>
      <c r="AH361" s="158" t="str">
        <f>IFERROR(SMALL($AG$10:$AG$393,ROWS($AG$10:AG361)),"")</f>
        <v/>
      </c>
    </row>
    <row r="362" spans="1:34" x14ac:dyDescent="0.2">
      <c r="S362" s="228"/>
      <c r="T362" s="759"/>
      <c r="U362" s="760"/>
      <c r="V362" s="761"/>
      <c r="W362" s="546" t="s">
        <v>245</v>
      </c>
      <c r="AB362" s="546" t="s">
        <v>245</v>
      </c>
      <c r="AF362" s="158">
        <f>ROWS(AE$10:$AE362)</f>
        <v>353</v>
      </c>
      <c r="AG362" s="158" t="str">
        <f>IF(ID!$A$83=AE362,AF362,"")</f>
        <v/>
      </c>
      <c r="AH362" s="158" t="str">
        <f>IFERROR(SMALL($AG$10:$AG$393,ROWS($AG$10:AG362)),"")</f>
        <v/>
      </c>
    </row>
    <row r="363" spans="1:34" x14ac:dyDescent="0.2">
      <c r="B363" s="209">
        <v>0</v>
      </c>
      <c r="C363" s="194" t="s">
        <v>136</v>
      </c>
      <c r="D363" s="525" t="s">
        <v>136</v>
      </c>
      <c r="E363" s="1129" t="s">
        <v>136</v>
      </c>
      <c r="F363" s="241"/>
      <c r="H363" s="209">
        <v>0</v>
      </c>
      <c r="I363" s="194" t="s">
        <v>136</v>
      </c>
      <c r="J363" s="525" t="s">
        <v>136</v>
      </c>
      <c r="K363" s="1129" t="s">
        <v>136</v>
      </c>
      <c r="L363" s="241"/>
      <c r="M363" s="209">
        <v>0</v>
      </c>
      <c r="N363" s="194">
        <v>0</v>
      </c>
      <c r="O363" s="525">
        <v>0</v>
      </c>
      <c r="P363" s="200">
        <v>0.1</v>
      </c>
      <c r="Q363" s="1147" t="s">
        <v>350</v>
      </c>
      <c r="R363" s="240"/>
      <c r="S363" s="209">
        <v>0</v>
      </c>
      <c r="T363" s="757" t="s">
        <v>136</v>
      </c>
      <c r="U363" s="758" t="s">
        <v>136</v>
      </c>
      <c r="V363" s="758">
        <v>0</v>
      </c>
      <c r="W363" s="511">
        <v>3.3333333333333333E-2</v>
      </c>
      <c r="X363" s="200">
        <v>0.1</v>
      </c>
      <c r="Y363" s="779" t="s">
        <v>136</v>
      </c>
      <c r="Z363" s="780" t="s">
        <v>136</v>
      </c>
      <c r="AA363" s="780">
        <v>0</v>
      </c>
      <c r="AB363" s="511">
        <v>3.3333333333333333E-2</v>
      </c>
      <c r="AC363" s="524">
        <v>0.1</v>
      </c>
      <c r="AD363" s="9" t="s">
        <v>342</v>
      </c>
      <c r="AE363" s="4" t="s">
        <v>351</v>
      </c>
      <c r="AF363" s="158">
        <f>ROWS(AE$10:$AE363)</f>
        <v>354</v>
      </c>
      <c r="AG363" s="158" t="str">
        <f>IF(ID!$A$83=AE363,AF363,"")</f>
        <v/>
      </c>
      <c r="AH363" s="158" t="str">
        <f>IFERROR(SMALL($AG$10:$AG$393,ROWS($AG$10:AG363)),"")</f>
        <v/>
      </c>
    </row>
    <row r="364" spans="1:34" x14ac:dyDescent="0.2">
      <c r="B364" s="209">
        <v>50</v>
      </c>
      <c r="C364" s="194" t="s">
        <v>136</v>
      </c>
      <c r="D364" s="525" t="s">
        <v>136</v>
      </c>
      <c r="E364" s="1130"/>
      <c r="F364" s="241"/>
      <c r="H364" s="209">
        <v>50</v>
      </c>
      <c r="I364" s="194" t="s">
        <v>136</v>
      </c>
      <c r="J364" s="525" t="s">
        <v>136</v>
      </c>
      <c r="K364" s="1130"/>
      <c r="L364" s="241"/>
      <c r="M364" s="209">
        <v>50</v>
      </c>
      <c r="N364" s="194">
        <v>-0.4</v>
      </c>
      <c r="O364" s="525">
        <v>-0.5</v>
      </c>
      <c r="P364" s="200">
        <v>0.1</v>
      </c>
      <c r="Q364" s="1148"/>
      <c r="R364" s="240"/>
      <c r="S364" s="209">
        <v>50</v>
      </c>
      <c r="T364" s="757" t="s">
        <v>136</v>
      </c>
      <c r="U364" s="758" t="s">
        <v>136</v>
      </c>
      <c r="V364" s="758">
        <v>-0.4</v>
      </c>
      <c r="W364" s="511">
        <v>3.3333333333333333E-2</v>
      </c>
      <c r="X364" s="200">
        <v>0.1</v>
      </c>
      <c r="Y364" s="779" t="s">
        <v>136</v>
      </c>
      <c r="Z364" s="780" t="s">
        <v>136</v>
      </c>
      <c r="AA364" s="780">
        <v>-0.5</v>
      </c>
      <c r="AB364" s="511">
        <v>3.3333333333333333E-2</v>
      </c>
      <c r="AC364" s="524">
        <v>0.1</v>
      </c>
      <c r="AD364" s="9" t="s">
        <v>342</v>
      </c>
      <c r="AE364" s="4" t="s">
        <v>351</v>
      </c>
      <c r="AF364" s="158">
        <f>ROWS(AE$10:$AE364)</f>
        <v>355</v>
      </c>
      <c r="AG364" s="158" t="str">
        <f>IF(ID!$A$83=AE364,AF364,"")</f>
        <v/>
      </c>
      <c r="AH364" s="158" t="str">
        <f>IFERROR(SMALL($AG$10:$AG$393,ROWS($AG$10:AG364)),"")</f>
        <v/>
      </c>
    </row>
    <row r="365" spans="1:34" x14ac:dyDescent="0.2">
      <c r="B365" s="209">
        <v>100</v>
      </c>
      <c r="C365" s="194" t="s">
        <v>136</v>
      </c>
      <c r="D365" s="525" t="s">
        <v>136</v>
      </c>
      <c r="E365" s="1130"/>
      <c r="F365" s="241"/>
      <c r="H365" s="209">
        <v>100</v>
      </c>
      <c r="I365" s="194" t="s">
        <v>136</v>
      </c>
      <c r="J365" s="525" t="s">
        <v>136</v>
      </c>
      <c r="K365" s="1130"/>
      <c r="L365" s="241"/>
      <c r="M365" s="209">
        <v>100</v>
      </c>
      <c r="N365" s="194">
        <v>-0.2</v>
      </c>
      <c r="O365" s="525">
        <v>-0.2</v>
      </c>
      <c r="P365" s="200">
        <v>0.1</v>
      </c>
      <c r="Q365" s="1148"/>
      <c r="R365" s="240"/>
      <c r="S365" s="209">
        <v>100</v>
      </c>
      <c r="T365" s="757" t="s">
        <v>136</v>
      </c>
      <c r="U365" s="758" t="s">
        <v>136</v>
      </c>
      <c r="V365" s="758">
        <v>-0.2</v>
      </c>
      <c r="W365" s="511">
        <v>3.3333333333333333E-2</v>
      </c>
      <c r="X365" s="200">
        <v>0.1</v>
      </c>
      <c r="Y365" s="779" t="s">
        <v>136</v>
      </c>
      <c r="Z365" s="780" t="s">
        <v>136</v>
      </c>
      <c r="AA365" s="780">
        <v>-0.2</v>
      </c>
      <c r="AB365" s="511">
        <v>3.3333333333333333E-2</v>
      </c>
      <c r="AC365" s="524">
        <v>0.1</v>
      </c>
      <c r="AD365" s="9" t="s">
        <v>342</v>
      </c>
      <c r="AE365" s="4" t="s">
        <v>351</v>
      </c>
      <c r="AF365" s="158">
        <f>ROWS(AE$10:$AE365)</f>
        <v>356</v>
      </c>
      <c r="AG365" s="158" t="str">
        <f>IF(ID!$A$83=AE365,AF365,"")</f>
        <v/>
      </c>
      <c r="AH365" s="158" t="str">
        <f>IFERROR(SMALL($AG$10:$AG$393,ROWS($AG$10:AG365)),"")</f>
        <v/>
      </c>
    </row>
    <row r="366" spans="1:34" x14ac:dyDescent="0.2">
      <c r="B366" s="209">
        <v>150</v>
      </c>
      <c r="C366" s="194" t="s">
        <v>136</v>
      </c>
      <c r="D366" s="525" t="s">
        <v>136</v>
      </c>
      <c r="E366" s="1130"/>
      <c r="F366" s="241"/>
      <c r="H366" s="209">
        <v>150</v>
      </c>
      <c r="I366" s="194" t="s">
        <v>136</v>
      </c>
      <c r="J366" s="525" t="s">
        <v>136</v>
      </c>
      <c r="K366" s="1130"/>
      <c r="L366" s="241"/>
      <c r="M366" s="209">
        <v>150</v>
      </c>
      <c r="N366" s="194">
        <v>-0.1</v>
      </c>
      <c r="O366" s="525">
        <v>-0.2</v>
      </c>
      <c r="P366" s="200">
        <v>0.1</v>
      </c>
      <c r="Q366" s="1148"/>
      <c r="R366" s="240"/>
      <c r="S366" s="209">
        <v>150</v>
      </c>
      <c r="T366" s="757" t="s">
        <v>136</v>
      </c>
      <c r="U366" s="758" t="s">
        <v>136</v>
      </c>
      <c r="V366" s="758">
        <v>-0.1</v>
      </c>
      <c r="W366" s="511">
        <v>3.3333333333333333E-2</v>
      </c>
      <c r="X366" s="200">
        <v>0.1</v>
      </c>
      <c r="Y366" s="779" t="s">
        <v>136</v>
      </c>
      <c r="Z366" s="780" t="s">
        <v>136</v>
      </c>
      <c r="AA366" s="780">
        <v>-0.2</v>
      </c>
      <c r="AB366" s="511">
        <v>3.3333333333333333E-2</v>
      </c>
      <c r="AC366" s="524">
        <v>0.1</v>
      </c>
      <c r="AD366" s="9" t="s">
        <v>342</v>
      </c>
      <c r="AE366" s="4" t="s">
        <v>351</v>
      </c>
      <c r="AF366" s="158">
        <f>ROWS(AE$10:$AE366)</f>
        <v>357</v>
      </c>
      <c r="AG366" s="158" t="str">
        <f>IF(ID!$A$83=AE366,AF366,"")</f>
        <v/>
      </c>
      <c r="AH366" s="158" t="str">
        <f>IFERROR(SMALL($AG$10:$AG$393,ROWS($AG$10:AG366)),"")</f>
        <v/>
      </c>
    </row>
    <row r="367" spans="1:34" x14ac:dyDescent="0.2">
      <c r="B367" s="209">
        <v>200</v>
      </c>
      <c r="C367" s="194" t="s">
        <v>136</v>
      </c>
      <c r="D367" s="525" t="s">
        <v>136</v>
      </c>
      <c r="E367" s="1130"/>
      <c r="F367" s="241"/>
      <c r="H367" s="209">
        <v>200</v>
      </c>
      <c r="I367" s="194" t="s">
        <v>136</v>
      </c>
      <c r="J367" s="525" t="s">
        <v>136</v>
      </c>
      <c r="K367" s="1130"/>
      <c r="L367" s="241"/>
      <c r="M367" s="209">
        <v>200</v>
      </c>
      <c r="N367" s="194">
        <v>-0.1</v>
      </c>
      <c r="O367" s="525">
        <v>-0.1</v>
      </c>
      <c r="P367" s="200">
        <v>0.1</v>
      </c>
      <c r="Q367" s="1148"/>
      <c r="R367" s="240"/>
      <c r="S367" s="209">
        <v>200</v>
      </c>
      <c r="T367" s="757" t="s">
        <v>136</v>
      </c>
      <c r="U367" s="758" t="s">
        <v>136</v>
      </c>
      <c r="V367" s="758">
        <v>-0.1</v>
      </c>
      <c r="W367" s="511">
        <v>3.3333333333333333E-2</v>
      </c>
      <c r="X367" s="200">
        <v>0.1</v>
      </c>
      <c r="Y367" s="779" t="s">
        <v>136</v>
      </c>
      <c r="Z367" s="780" t="s">
        <v>136</v>
      </c>
      <c r="AA367" s="780">
        <v>-0.1</v>
      </c>
      <c r="AB367" s="511">
        <v>3.3333333333333333E-2</v>
      </c>
      <c r="AC367" s="524">
        <v>0.1</v>
      </c>
      <c r="AD367" s="9" t="s">
        <v>342</v>
      </c>
      <c r="AE367" s="4" t="s">
        <v>351</v>
      </c>
      <c r="AF367" s="158">
        <f>ROWS(AE$10:$AE367)</f>
        <v>358</v>
      </c>
      <c r="AG367" s="158" t="str">
        <f>IF(ID!$A$83=AE367,AF367,"")</f>
        <v/>
      </c>
      <c r="AH367" s="158" t="str">
        <f>IFERROR(SMALL($AG$10:$AG$393,ROWS($AG$10:AG367)),"")</f>
        <v/>
      </c>
    </row>
    <row r="368" spans="1:34" x14ac:dyDescent="0.2">
      <c r="B368" s="209">
        <v>250</v>
      </c>
      <c r="C368" s="194" t="s">
        <v>136</v>
      </c>
      <c r="D368" s="525" t="s">
        <v>136</v>
      </c>
      <c r="E368" s="1130"/>
      <c r="F368" s="241"/>
      <c r="H368" s="209">
        <v>250</v>
      </c>
      <c r="I368" s="194" t="s">
        <v>136</v>
      </c>
      <c r="J368" s="525" t="s">
        <v>136</v>
      </c>
      <c r="K368" s="1130"/>
      <c r="L368" s="241"/>
      <c r="M368" s="209">
        <v>250</v>
      </c>
      <c r="N368" s="194">
        <v>0.2</v>
      </c>
      <c r="O368" s="525">
        <v>0.2</v>
      </c>
      <c r="P368" s="200">
        <v>0.1</v>
      </c>
      <c r="Q368" s="1148"/>
      <c r="R368" s="240"/>
      <c r="S368" s="209">
        <v>250</v>
      </c>
      <c r="T368" s="757" t="s">
        <v>136</v>
      </c>
      <c r="U368" s="758" t="s">
        <v>136</v>
      </c>
      <c r="V368" s="758">
        <v>0.2</v>
      </c>
      <c r="W368" s="511">
        <v>3.3333333333333333E-2</v>
      </c>
      <c r="X368" s="200">
        <v>0.1</v>
      </c>
      <c r="Y368" s="779" t="s">
        <v>136</v>
      </c>
      <c r="Z368" s="780" t="s">
        <v>136</v>
      </c>
      <c r="AA368" s="780">
        <v>0.2</v>
      </c>
      <c r="AB368" s="511">
        <v>3.3333333333333333E-2</v>
      </c>
      <c r="AC368" s="524">
        <v>0.1</v>
      </c>
      <c r="AD368" s="9" t="s">
        <v>342</v>
      </c>
      <c r="AE368" s="4" t="s">
        <v>351</v>
      </c>
      <c r="AF368" s="158">
        <f>ROWS(AE$10:$AE368)</f>
        <v>359</v>
      </c>
      <c r="AG368" s="158" t="str">
        <f>IF(ID!$A$83=AE368,AF368,"")</f>
        <v/>
      </c>
      <c r="AH368" s="158" t="str">
        <f>IFERROR(SMALL($AG$10:$AG$393,ROWS($AG$10:AG368)),"")</f>
        <v/>
      </c>
    </row>
    <row r="369" spans="1:34" x14ac:dyDescent="0.2">
      <c r="B369" s="209">
        <v>300</v>
      </c>
      <c r="C369" s="194" t="s">
        <v>136</v>
      </c>
      <c r="D369" s="525" t="s">
        <v>136</v>
      </c>
      <c r="E369" s="1131"/>
      <c r="F369" s="241"/>
      <c r="H369" s="209">
        <v>300</v>
      </c>
      <c r="I369" s="194" t="s">
        <v>136</v>
      </c>
      <c r="J369" s="525" t="s">
        <v>136</v>
      </c>
      <c r="K369" s="1131"/>
      <c r="L369" s="241"/>
      <c r="M369" s="209">
        <v>300</v>
      </c>
      <c r="N369" s="194">
        <v>0.3</v>
      </c>
      <c r="O369" s="525">
        <v>0.3</v>
      </c>
      <c r="P369" s="200">
        <v>0.1</v>
      </c>
      <c r="Q369" s="1149"/>
      <c r="R369" s="240"/>
      <c r="S369" s="209">
        <v>300</v>
      </c>
      <c r="T369" s="757" t="s">
        <v>136</v>
      </c>
      <c r="U369" s="758" t="s">
        <v>136</v>
      </c>
      <c r="V369" s="758">
        <v>0.3</v>
      </c>
      <c r="W369" s="511">
        <v>3.3333333333333333E-2</v>
      </c>
      <c r="X369" s="200">
        <v>0.1</v>
      </c>
      <c r="Y369" s="779" t="s">
        <v>136</v>
      </c>
      <c r="Z369" s="780" t="s">
        <v>136</v>
      </c>
      <c r="AA369" s="780">
        <v>0.3</v>
      </c>
      <c r="AB369" s="511">
        <v>3.3333333333333333E-2</v>
      </c>
      <c r="AC369" s="524">
        <v>0.1</v>
      </c>
      <c r="AD369" s="9" t="s">
        <v>342</v>
      </c>
      <c r="AE369" s="4" t="s">
        <v>351</v>
      </c>
      <c r="AF369" s="158">
        <f>ROWS(AE$10:$AE369)</f>
        <v>360</v>
      </c>
      <c r="AG369" s="158" t="str">
        <f>IF(ID!$A$83=AE369,AF369,"")</f>
        <v/>
      </c>
      <c r="AH369" s="158" t="str">
        <f>IFERROR(SMALL($AG$10:$AG$393,ROWS($AG$10:AG369)),"")</f>
        <v/>
      </c>
    </row>
    <row r="370" spans="1:34" x14ac:dyDescent="0.2">
      <c r="S370" s="233" t="s">
        <v>106</v>
      </c>
      <c r="T370" s="771"/>
      <c r="U370" s="772" t="s">
        <v>106</v>
      </c>
      <c r="V370" s="772"/>
      <c r="W370" s="548"/>
      <c r="X370" s="523" t="s">
        <v>106</v>
      </c>
      <c r="Y370" s="785"/>
      <c r="Z370" s="784"/>
      <c r="AA370" s="784"/>
      <c r="AB370" s="548"/>
      <c r="AC370" s="202"/>
      <c r="AD370" s="96"/>
      <c r="AE370" s="4"/>
      <c r="AF370" s="158">
        <f>ROWS(AE$10:$AE370)</f>
        <v>361</v>
      </c>
      <c r="AG370" s="158" t="str">
        <f>IF(ID!$A$83=AE370,AF370,"")</f>
        <v/>
      </c>
      <c r="AH370" s="158" t="str">
        <f>IFERROR(SMALL($AG$10:$AG$393,ROWS($AG$10:AG370)),"")</f>
        <v/>
      </c>
    </row>
    <row r="371" spans="1:34" x14ac:dyDescent="0.2">
      <c r="E371" s="13"/>
      <c r="F371" s="13"/>
      <c r="K371" s="13"/>
      <c r="L371" s="13"/>
      <c r="N371" s="13"/>
      <c r="O371" s="13"/>
      <c r="Q371" s="13"/>
      <c r="R371" s="13"/>
      <c r="S371" s="233" t="s">
        <v>106</v>
      </c>
      <c r="T371" s="771"/>
      <c r="U371" s="772" t="s">
        <v>106</v>
      </c>
      <c r="V371" s="772"/>
      <c r="W371" s="548"/>
      <c r="X371" s="202" t="s">
        <v>106</v>
      </c>
      <c r="Y371" s="784"/>
      <c r="Z371" s="784"/>
      <c r="AA371" s="784"/>
      <c r="AB371" s="548"/>
      <c r="AC371" s="202"/>
      <c r="AD371" s="96"/>
      <c r="AE371" s="4"/>
      <c r="AF371" s="158">
        <f>ROWS(AE$10:$AE371)</f>
        <v>362</v>
      </c>
      <c r="AG371" s="158" t="str">
        <f>IF(ID!$A$83=AE371,AF371,"")</f>
        <v/>
      </c>
      <c r="AH371" s="158" t="str">
        <f>IFERROR(SMALL($AG$10:$AG$393,ROWS($AG$10:AG371)),"")</f>
        <v/>
      </c>
    </row>
    <row r="372" spans="1:34" x14ac:dyDescent="0.2">
      <c r="S372" s="233" t="s">
        <v>106</v>
      </c>
      <c r="T372" s="771"/>
      <c r="U372" s="772" t="s">
        <v>106</v>
      </c>
      <c r="V372" s="772"/>
      <c r="W372" s="548"/>
      <c r="X372" s="202" t="s">
        <v>106</v>
      </c>
      <c r="Y372" s="784"/>
      <c r="Z372" s="784"/>
      <c r="AA372" s="784"/>
      <c r="AB372" s="548"/>
      <c r="AC372" s="202"/>
      <c r="AD372" s="96"/>
      <c r="AE372" s="4"/>
      <c r="AF372" s="158">
        <f>ROWS(AE$10:$AE372)</f>
        <v>363</v>
      </c>
      <c r="AG372" s="158" t="str">
        <f>IF(ID!$A$83=AE372,AF372,"")</f>
        <v/>
      </c>
      <c r="AH372" s="158" t="str">
        <f>IFERROR(SMALL($AG$10:$AG$393,ROWS($AG$10:AG372)),"")</f>
        <v/>
      </c>
    </row>
    <row r="373" spans="1:34" x14ac:dyDescent="0.2">
      <c r="S373" s="233" t="s">
        <v>106</v>
      </c>
      <c r="T373" s="771"/>
      <c r="U373" s="772" t="s">
        <v>106</v>
      </c>
      <c r="V373" s="772"/>
      <c r="W373" s="548"/>
      <c r="X373" s="202" t="s">
        <v>106</v>
      </c>
      <c r="Y373" s="784"/>
      <c r="Z373" s="784"/>
      <c r="AA373" s="784"/>
      <c r="AB373" s="548"/>
      <c r="AC373" s="202"/>
      <c r="AD373" s="96"/>
      <c r="AE373" s="4"/>
      <c r="AF373" s="158">
        <f>ROWS(AE$10:$AE373)</f>
        <v>364</v>
      </c>
      <c r="AG373" s="158" t="str">
        <f>IF(ID!$A$83=AE373,AF373,"")</f>
        <v/>
      </c>
      <c r="AH373" s="158" t="str">
        <f>IFERROR(SMALL($AG$10:$AG$393,ROWS($AG$10:AG373)),"")</f>
        <v/>
      </c>
    </row>
    <row r="374" spans="1:34" x14ac:dyDescent="0.2">
      <c r="E374" s="13"/>
      <c r="F374" s="13"/>
      <c r="K374" s="13"/>
      <c r="L374" s="13"/>
      <c r="N374" s="13"/>
      <c r="O374" s="13"/>
      <c r="Q374" s="13"/>
      <c r="R374" s="13"/>
      <c r="S374" s="234"/>
      <c r="AD374" s="13"/>
      <c r="AE374" s="13"/>
      <c r="AF374" s="158">
        <f>ROWS(AE$10:$AE374)</f>
        <v>365</v>
      </c>
      <c r="AG374" s="158" t="str">
        <f>IF(ID!$A$83=AE374,AF374,"")</f>
        <v/>
      </c>
      <c r="AH374" s="158" t="str">
        <f>IFERROR(SMALL($AG$10:$AG$393,ROWS($AG$10:AG374)),"")</f>
        <v/>
      </c>
    </row>
    <row r="375" spans="1:34" x14ac:dyDescent="0.2">
      <c r="A375" s="526"/>
      <c r="B375" s="526"/>
      <c r="C375" s="532"/>
      <c r="D375" s="538"/>
      <c r="E375" s="526"/>
      <c r="F375" s="526"/>
      <c r="G375" s="526"/>
      <c r="H375" s="526"/>
      <c r="I375" s="532"/>
      <c r="J375" s="538"/>
      <c r="K375" s="526"/>
      <c r="L375" s="526"/>
      <c r="M375" s="526"/>
      <c r="N375" s="526"/>
      <c r="O375" s="526"/>
      <c r="P375" s="526"/>
      <c r="Q375" s="526"/>
      <c r="R375" s="526"/>
      <c r="S375" s="527"/>
      <c r="W375" s="543"/>
      <c r="X375" s="526"/>
      <c r="AB375" s="543"/>
      <c r="AC375" s="526"/>
      <c r="AD375" s="526"/>
      <c r="AE375" s="526"/>
      <c r="AF375" s="158">
        <f>ROWS(AE$10:$AE375)</f>
        <v>366</v>
      </c>
      <c r="AG375" s="158" t="str">
        <f>IF(ID!$A$83=AE375,AF375,"")</f>
        <v/>
      </c>
      <c r="AH375" s="158" t="str">
        <f>IFERROR(SMALL($AG$10:$AG$393,ROWS($AG$10:AG375)),"")</f>
        <v/>
      </c>
    </row>
    <row r="376" spans="1:34" x14ac:dyDescent="0.2">
      <c r="A376" s="526"/>
      <c r="B376" s="526"/>
      <c r="C376" s="532"/>
      <c r="D376" s="538"/>
      <c r="E376" s="526"/>
      <c r="F376" s="526"/>
      <c r="G376" s="526"/>
      <c r="H376" s="526"/>
      <c r="I376" s="532"/>
      <c r="J376" s="538"/>
      <c r="K376" s="526"/>
      <c r="L376" s="526"/>
      <c r="M376" s="526"/>
      <c r="N376" s="526"/>
      <c r="O376" s="526"/>
      <c r="P376" s="526"/>
      <c r="Q376" s="526"/>
      <c r="R376" s="526"/>
      <c r="S376" s="527"/>
      <c r="W376" s="543"/>
      <c r="X376" s="526"/>
      <c r="AB376" s="543"/>
      <c r="AC376" s="526"/>
      <c r="AD376" s="526"/>
      <c r="AE376" s="526"/>
      <c r="AF376" s="158">
        <f>ROWS(AE$10:$AE376)</f>
        <v>367</v>
      </c>
      <c r="AG376" s="158" t="str">
        <f>IF(ID!$A$83=AE376,AF376,"")</f>
        <v/>
      </c>
      <c r="AH376" s="158" t="str">
        <f>IFERROR(SMALL($AG$10:$AG$393,ROWS($AG$10:AG376)),"")</f>
        <v/>
      </c>
    </row>
    <row r="377" spans="1:34" x14ac:dyDescent="0.2">
      <c r="A377" s="526"/>
      <c r="B377" s="526"/>
      <c r="C377" s="532"/>
      <c r="D377" s="538"/>
      <c r="E377" s="526"/>
      <c r="F377" s="526"/>
      <c r="G377" s="526"/>
      <c r="H377" s="526"/>
      <c r="I377" s="532"/>
      <c r="J377" s="538"/>
      <c r="K377" s="526"/>
      <c r="L377" s="526"/>
      <c r="M377" s="526"/>
      <c r="N377" s="526"/>
      <c r="O377" s="526"/>
      <c r="P377" s="526"/>
      <c r="Q377" s="526"/>
      <c r="R377" s="526"/>
      <c r="S377" s="527"/>
      <c r="W377" s="543"/>
      <c r="X377" s="526"/>
      <c r="AB377" s="543"/>
      <c r="AC377" s="526"/>
      <c r="AD377" s="526"/>
      <c r="AE377" s="526"/>
      <c r="AF377" s="158">
        <f>ROWS(AE$10:$AE377)</f>
        <v>368</v>
      </c>
      <c r="AG377" s="158" t="str">
        <f>IF(ID!$A$83=AE377,AF377,"")</f>
        <v/>
      </c>
      <c r="AH377" s="158" t="str">
        <f>IFERROR(SMALL($AG$10:$AG$393,ROWS($AG$10:AG377)),"")</f>
        <v/>
      </c>
    </row>
    <row r="378" spans="1:34" x14ac:dyDescent="0.2">
      <c r="S378" s="228"/>
      <c r="T378" s="759"/>
      <c r="U378" s="760"/>
      <c r="V378" s="761"/>
      <c r="W378" s="546" t="s">
        <v>245</v>
      </c>
      <c r="AB378" s="546" t="s">
        <v>245</v>
      </c>
      <c r="AF378" s="158">
        <f>ROWS(AE$10:$AE378)</f>
        <v>369</v>
      </c>
      <c r="AG378" s="158" t="str">
        <f>IF(ID!$A$83=AE378,AF378,"")</f>
        <v/>
      </c>
      <c r="AH378" s="158" t="str">
        <f>IFERROR(SMALL($AG$10:$AG$393,ROWS($AG$10:AG378)),"")</f>
        <v/>
      </c>
    </row>
    <row r="379" spans="1:34" x14ac:dyDescent="0.2">
      <c r="B379" s="209">
        <v>0</v>
      </c>
      <c r="C379" s="194" t="s">
        <v>136</v>
      </c>
      <c r="D379" s="525" t="s">
        <v>136</v>
      </c>
      <c r="E379" s="1129" t="s">
        <v>136</v>
      </c>
      <c r="F379" s="241"/>
      <c r="H379" s="209">
        <v>0</v>
      </c>
      <c r="I379" s="194" t="s">
        <v>136</v>
      </c>
      <c r="J379" s="525" t="s">
        <v>136</v>
      </c>
      <c r="K379" s="1129" t="s">
        <v>136</v>
      </c>
      <c r="L379" s="241"/>
      <c r="M379" s="209">
        <v>0</v>
      </c>
      <c r="N379" s="194">
        <v>0</v>
      </c>
      <c r="O379" s="525">
        <v>0</v>
      </c>
      <c r="P379" s="522">
        <v>0.1</v>
      </c>
      <c r="Q379" s="1147" t="s">
        <v>350</v>
      </c>
      <c r="R379" s="240"/>
      <c r="S379" s="209">
        <v>0</v>
      </c>
      <c r="T379" s="757" t="s">
        <v>136</v>
      </c>
      <c r="U379" s="758" t="s">
        <v>136</v>
      </c>
      <c r="V379" s="758">
        <v>0</v>
      </c>
      <c r="W379" s="511">
        <v>3.3333333333333333E-2</v>
      </c>
      <c r="X379" s="200">
        <v>0.1</v>
      </c>
      <c r="Y379" s="779" t="s">
        <v>136</v>
      </c>
      <c r="Z379" s="780" t="s">
        <v>136</v>
      </c>
      <c r="AA379" s="780">
        <v>0</v>
      </c>
      <c r="AB379" s="511">
        <v>3.3333333333333333E-2</v>
      </c>
      <c r="AC379" s="524">
        <v>0.1</v>
      </c>
      <c r="AD379" s="9" t="s">
        <v>342</v>
      </c>
      <c r="AE379" s="4" t="s">
        <v>352</v>
      </c>
      <c r="AF379" s="158">
        <f>ROWS(AE$10:$AE379)</f>
        <v>370</v>
      </c>
      <c r="AG379" s="158" t="str">
        <f>IF(ID!$A$83=AE379,AF379,"")</f>
        <v/>
      </c>
      <c r="AH379" s="158" t="str">
        <f>IFERROR(SMALL($AG$10:$AG$393,ROWS($AG$10:AG379)),"")</f>
        <v/>
      </c>
    </row>
    <row r="380" spans="1:34" x14ac:dyDescent="0.2">
      <c r="B380" s="209">
        <v>50</v>
      </c>
      <c r="C380" s="194" t="s">
        <v>136</v>
      </c>
      <c r="D380" s="525" t="s">
        <v>136</v>
      </c>
      <c r="E380" s="1130"/>
      <c r="F380" s="241"/>
      <c r="H380" s="209">
        <v>50</v>
      </c>
      <c r="I380" s="194" t="s">
        <v>136</v>
      </c>
      <c r="J380" s="525" t="s">
        <v>136</v>
      </c>
      <c r="K380" s="1130"/>
      <c r="L380" s="241"/>
      <c r="M380" s="209">
        <v>50</v>
      </c>
      <c r="N380" s="194">
        <v>-0.3</v>
      </c>
      <c r="O380" s="525">
        <v>-0.3</v>
      </c>
      <c r="P380" s="522">
        <v>0.1</v>
      </c>
      <c r="Q380" s="1148"/>
      <c r="R380" s="240"/>
      <c r="S380" s="209">
        <v>50</v>
      </c>
      <c r="T380" s="757" t="s">
        <v>136</v>
      </c>
      <c r="U380" s="758" t="s">
        <v>136</v>
      </c>
      <c r="V380" s="758">
        <v>-0.3</v>
      </c>
      <c r="W380" s="511">
        <v>3.3333333333333333E-2</v>
      </c>
      <c r="X380" s="200">
        <v>0.1</v>
      </c>
      <c r="Y380" s="779" t="s">
        <v>136</v>
      </c>
      <c r="Z380" s="780" t="s">
        <v>136</v>
      </c>
      <c r="AA380" s="780">
        <v>-0.3</v>
      </c>
      <c r="AB380" s="511">
        <v>3.3333333333333333E-2</v>
      </c>
      <c r="AC380" s="524">
        <v>0.1</v>
      </c>
      <c r="AD380" s="9" t="s">
        <v>342</v>
      </c>
      <c r="AE380" s="4" t="s">
        <v>352</v>
      </c>
      <c r="AF380" s="158">
        <f>ROWS(AE$10:$AE380)</f>
        <v>371</v>
      </c>
      <c r="AG380" s="158" t="str">
        <f>IF(ID!$A$83=AE380,AF380,"")</f>
        <v/>
      </c>
      <c r="AH380" s="158" t="str">
        <f>IFERROR(SMALL($AG$10:$AG$393,ROWS($AG$10:AG380)),"")</f>
        <v/>
      </c>
    </row>
    <row r="381" spans="1:34" x14ac:dyDescent="0.2">
      <c r="B381" s="209">
        <v>100</v>
      </c>
      <c r="C381" s="194" t="s">
        <v>136</v>
      </c>
      <c r="D381" s="525" t="s">
        <v>136</v>
      </c>
      <c r="E381" s="1130"/>
      <c r="F381" s="241"/>
      <c r="H381" s="209">
        <v>100</v>
      </c>
      <c r="I381" s="194" t="s">
        <v>136</v>
      </c>
      <c r="J381" s="525" t="s">
        <v>136</v>
      </c>
      <c r="K381" s="1130"/>
      <c r="L381" s="241"/>
      <c r="M381" s="209">
        <v>100</v>
      </c>
      <c r="N381" s="194">
        <v>-0.2</v>
      </c>
      <c r="O381" s="525">
        <v>-0.3</v>
      </c>
      <c r="P381" s="522">
        <v>0.1</v>
      </c>
      <c r="Q381" s="1148"/>
      <c r="R381" s="240"/>
      <c r="S381" s="209">
        <v>100</v>
      </c>
      <c r="T381" s="757" t="s">
        <v>136</v>
      </c>
      <c r="U381" s="758" t="s">
        <v>136</v>
      </c>
      <c r="V381" s="758">
        <v>-0.2</v>
      </c>
      <c r="W381" s="511">
        <v>3.3333333333333333E-2</v>
      </c>
      <c r="X381" s="200">
        <v>0.1</v>
      </c>
      <c r="Y381" s="779" t="s">
        <v>136</v>
      </c>
      <c r="Z381" s="780" t="s">
        <v>136</v>
      </c>
      <c r="AA381" s="780">
        <v>-0.3</v>
      </c>
      <c r="AB381" s="511">
        <v>3.3333333333333333E-2</v>
      </c>
      <c r="AC381" s="524">
        <v>0.1</v>
      </c>
      <c r="AD381" s="9" t="s">
        <v>342</v>
      </c>
      <c r="AE381" s="4" t="s">
        <v>352</v>
      </c>
      <c r="AF381" s="158">
        <f>ROWS(AE$10:$AE381)</f>
        <v>372</v>
      </c>
      <c r="AG381" s="158" t="str">
        <f>IF(ID!$A$83=AE381,AF381,"")</f>
        <v/>
      </c>
      <c r="AH381" s="158" t="str">
        <f>IFERROR(SMALL($AG$10:$AG$393,ROWS($AG$10:AG381)),"")</f>
        <v/>
      </c>
    </row>
    <row r="382" spans="1:34" x14ac:dyDescent="0.2">
      <c r="B382" s="209">
        <v>150</v>
      </c>
      <c r="C382" s="194" t="s">
        <v>136</v>
      </c>
      <c r="D382" s="525" t="s">
        <v>136</v>
      </c>
      <c r="E382" s="1130"/>
      <c r="F382" s="241"/>
      <c r="H382" s="209">
        <v>150</v>
      </c>
      <c r="I382" s="194" t="s">
        <v>136</v>
      </c>
      <c r="J382" s="525" t="s">
        <v>136</v>
      </c>
      <c r="K382" s="1130"/>
      <c r="L382" s="241"/>
      <c r="M382" s="209">
        <v>150</v>
      </c>
      <c r="N382" s="194">
        <v>0</v>
      </c>
      <c r="O382" s="525">
        <v>0</v>
      </c>
      <c r="P382" s="522">
        <v>0.1</v>
      </c>
      <c r="Q382" s="1148"/>
      <c r="R382" s="240"/>
      <c r="S382" s="209">
        <v>150</v>
      </c>
      <c r="T382" s="757" t="s">
        <v>136</v>
      </c>
      <c r="U382" s="758" t="s">
        <v>136</v>
      </c>
      <c r="V382" s="758">
        <v>0</v>
      </c>
      <c r="W382" s="511">
        <v>3.3333333333333333E-2</v>
      </c>
      <c r="X382" s="200">
        <v>0.1</v>
      </c>
      <c r="Y382" s="779" t="s">
        <v>136</v>
      </c>
      <c r="Z382" s="780" t="s">
        <v>136</v>
      </c>
      <c r="AA382" s="780">
        <v>0</v>
      </c>
      <c r="AB382" s="511">
        <v>3.3333333333333333E-2</v>
      </c>
      <c r="AC382" s="524">
        <v>0.1</v>
      </c>
      <c r="AD382" s="9" t="s">
        <v>342</v>
      </c>
      <c r="AE382" s="4" t="s">
        <v>352</v>
      </c>
      <c r="AF382" s="158">
        <f>ROWS(AE$10:$AE382)</f>
        <v>373</v>
      </c>
      <c r="AG382" s="158" t="str">
        <f>IF(ID!$A$83=AE382,AF382,"")</f>
        <v/>
      </c>
      <c r="AH382" s="158" t="str">
        <f>IFERROR(SMALL($AG$10:$AG$393,ROWS($AG$10:AG382)),"")</f>
        <v/>
      </c>
    </row>
    <row r="383" spans="1:34" x14ac:dyDescent="0.2">
      <c r="B383" s="209">
        <v>200</v>
      </c>
      <c r="C383" s="194" t="s">
        <v>136</v>
      </c>
      <c r="D383" s="525" t="s">
        <v>136</v>
      </c>
      <c r="E383" s="1130"/>
      <c r="F383" s="241"/>
      <c r="H383" s="209">
        <v>200</v>
      </c>
      <c r="I383" s="194" t="s">
        <v>136</v>
      </c>
      <c r="J383" s="525" t="s">
        <v>136</v>
      </c>
      <c r="K383" s="1130"/>
      <c r="L383" s="241"/>
      <c r="M383" s="209">
        <v>200</v>
      </c>
      <c r="N383" s="194">
        <v>0.1</v>
      </c>
      <c r="O383" s="525">
        <v>0.1</v>
      </c>
      <c r="P383" s="522">
        <v>0.1</v>
      </c>
      <c r="Q383" s="1148"/>
      <c r="R383" s="240"/>
      <c r="S383" s="209">
        <v>200</v>
      </c>
      <c r="T383" s="757" t="s">
        <v>136</v>
      </c>
      <c r="U383" s="758" t="s">
        <v>136</v>
      </c>
      <c r="V383" s="758">
        <v>0.1</v>
      </c>
      <c r="W383" s="511">
        <v>3.3333333333333333E-2</v>
      </c>
      <c r="X383" s="200">
        <v>0.1</v>
      </c>
      <c r="Y383" s="779" t="s">
        <v>136</v>
      </c>
      <c r="Z383" s="780" t="s">
        <v>136</v>
      </c>
      <c r="AA383" s="780">
        <v>0.1</v>
      </c>
      <c r="AB383" s="511">
        <v>3.3333333333333333E-2</v>
      </c>
      <c r="AC383" s="524">
        <v>0.1</v>
      </c>
      <c r="AD383" s="9" t="s">
        <v>342</v>
      </c>
      <c r="AE383" s="4" t="s">
        <v>352</v>
      </c>
      <c r="AF383" s="158">
        <f>ROWS(AE$10:$AE383)</f>
        <v>374</v>
      </c>
      <c r="AG383" s="158" t="str">
        <f>IF(ID!$A$83=AE383,AF383,"")</f>
        <v/>
      </c>
      <c r="AH383" s="158" t="str">
        <f>IFERROR(SMALL($AG$10:$AG$393,ROWS($AG$10:AG383)),"")</f>
        <v/>
      </c>
    </row>
    <row r="384" spans="1:34" x14ac:dyDescent="0.2">
      <c r="B384" s="209">
        <v>250</v>
      </c>
      <c r="C384" s="194" t="s">
        <v>136</v>
      </c>
      <c r="D384" s="525" t="s">
        <v>136</v>
      </c>
      <c r="E384" s="1130"/>
      <c r="F384" s="241"/>
      <c r="H384" s="209">
        <v>250</v>
      </c>
      <c r="I384" s="194" t="s">
        <v>136</v>
      </c>
      <c r="J384" s="525" t="s">
        <v>136</v>
      </c>
      <c r="K384" s="1130"/>
      <c r="L384" s="241"/>
      <c r="M384" s="209">
        <v>250</v>
      </c>
      <c r="N384" s="194">
        <v>0.2</v>
      </c>
      <c r="O384" s="525">
        <v>0.2</v>
      </c>
      <c r="P384" s="522">
        <v>0.1</v>
      </c>
      <c r="Q384" s="1148"/>
      <c r="R384" s="240"/>
      <c r="S384" s="209">
        <v>250</v>
      </c>
      <c r="T384" s="757" t="s">
        <v>136</v>
      </c>
      <c r="U384" s="758" t="s">
        <v>136</v>
      </c>
      <c r="V384" s="758">
        <v>0.2</v>
      </c>
      <c r="W384" s="511">
        <v>3.3333333333333333E-2</v>
      </c>
      <c r="X384" s="200">
        <v>0.1</v>
      </c>
      <c r="Y384" s="779" t="s">
        <v>136</v>
      </c>
      <c r="Z384" s="780" t="s">
        <v>136</v>
      </c>
      <c r="AA384" s="780">
        <v>0.2</v>
      </c>
      <c r="AB384" s="511">
        <v>3.3333333333333333E-2</v>
      </c>
      <c r="AC384" s="524">
        <v>0.1</v>
      </c>
      <c r="AD384" s="9" t="s">
        <v>342</v>
      </c>
      <c r="AE384" s="4" t="s">
        <v>352</v>
      </c>
      <c r="AF384" s="158">
        <f>ROWS(AE$10:$AE384)</f>
        <v>375</v>
      </c>
      <c r="AG384" s="158" t="str">
        <f>IF(ID!$A$83=AE384,AF384,"")</f>
        <v/>
      </c>
      <c r="AH384" s="158" t="str">
        <f>IFERROR(SMALL($AG$10:$AG$393,ROWS($AG$10:AG384)),"")</f>
        <v/>
      </c>
    </row>
    <row r="385" spans="1:34" x14ac:dyDescent="0.2">
      <c r="B385" s="209">
        <v>300</v>
      </c>
      <c r="C385" s="194" t="s">
        <v>136</v>
      </c>
      <c r="D385" s="525" t="s">
        <v>136</v>
      </c>
      <c r="E385" s="1131"/>
      <c r="F385" s="241"/>
      <c r="H385" s="209">
        <v>300</v>
      </c>
      <c r="I385" s="194" t="s">
        <v>136</v>
      </c>
      <c r="J385" s="525" t="s">
        <v>136</v>
      </c>
      <c r="K385" s="1131"/>
      <c r="L385" s="241"/>
      <c r="M385" s="209">
        <v>300</v>
      </c>
      <c r="N385" s="194">
        <v>0.3</v>
      </c>
      <c r="O385" s="525">
        <v>0.3</v>
      </c>
      <c r="P385" s="522">
        <v>0.1</v>
      </c>
      <c r="Q385" s="1149"/>
      <c r="R385" s="240"/>
      <c r="S385" s="209">
        <v>300</v>
      </c>
      <c r="T385" s="757" t="s">
        <v>136</v>
      </c>
      <c r="U385" s="758" t="s">
        <v>136</v>
      </c>
      <c r="V385" s="758">
        <v>0.3</v>
      </c>
      <c r="W385" s="511">
        <v>3.3333333333333333E-2</v>
      </c>
      <c r="X385" s="200">
        <v>0.1</v>
      </c>
      <c r="Y385" s="779" t="s">
        <v>136</v>
      </c>
      <c r="Z385" s="780" t="s">
        <v>136</v>
      </c>
      <c r="AA385" s="780">
        <v>0.3</v>
      </c>
      <c r="AB385" s="511">
        <v>3.3333333333333333E-2</v>
      </c>
      <c r="AC385" s="524">
        <v>0.1</v>
      </c>
      <c r="AD385" s="9" t="s">
        <v>342</v>
      </c>
      <c r="AE385" s="4" t="s">
        <v>352</v>
      </c>
      <c r="AF385" s="158">
        <f>ROWS(AE$10:$AE385)</f>
        <v>376</v>
      </c>
      <c r="AG385" s="158" t="str">
        <f>IF(ID!$A$83=AE385,AF385,"")</f>
        <v/>
      </c>
      <c r="AH385" s="158" t="str">
        <f>IFERROR(SMALL($AG$10:$AG$393,ROWS($AG$10:AG385)),"")</f>
        <v/>
      </c>
    </row>
    <row r="386" spans="1:34" x14ac:dyDescent="0.2">
      <c r="S386" s="233" t="s">
        <v>106</v>
      </c>
      <c r="T386" s="771"/>
      <c r="U386" s="772" t="s">
        <v>106</v>
      </c>
      <c r="V386" s="772"/>
      <c r="W386" s="548"/>
      <c r="X386" s="523" t="s">
        <v>106</v>
      </c>
      <c r="Y386" s="785"/>
      <c r="Z386" s="784"/>
      <c r="AA386" s="784"/>
      <c r="AB386" s="548"/>
      <c r="AC386" s="202"/>
      <c r="AD386" s="96"/>
      <c r="AE386" s="4"/>
      <c r="AF386" s="158">
        <f>ROWS(AE$10:$AE386)</f>
        <v>377</v>
      </c>
      <c r="AG386" s="158" t="str">
        <f>IF(ID!$A$83=AE386,AF386,"")</f>
        <v/>
      </c>
      <c r="AH386" s="158" t="str">
        <f>IFERROR(SMALL($AG$10:$AG$393,ROWS($AG$10:AG386)),"")</f>
        <v/>
      </c>
    </row>
    <row r="387" spans="1:34" x14ac:dyDescent="0.2">
      <c r="E387" s="13"/>
      <c r="F387" s="13"/>
      <c r="K387" s="13"/>
      <c r="L387" s="13"/>
      <c r="N387" s="13"/>
      <c r="O387" s="13"/>
      <c r="Q387" s="13"/>
      <c r="R387" s="13"/>
      <c r="S387" s="233" t="s">
        <v>106</v>
      </c>
      <c r="T387" s="771"/>
      <c r="U387" s="772" t="s">
        <v>106</v>
      </c>
      <c r="V387" s="772"/>
      <c r="W387" s="548"/>
      <c r="X387" s="202" t="s">
        <v>106</v>
      </c>
      <c r="Y387" s="784"/>
      <c r="Z387" s="784"/>
      <c r="AA387" s="784"/>
      <c r="AB387" s="548"/>
      <c r="AC387" s="202"/>
      <c r="AD387" s="96"/>
      <c r="AE387" s="4"/>
      <c r="AF387" s="158">
        <f>ROWS(AE$10:$AE387)</f>
        <v>378</v>
      </c>
      <c r="AG387" s="158" t="str">
        <f>IF(ID!$A$83=AE387,AF387,"")</f>
        <v/>
      </c>
      <c r="AH387" s="158" t="str">
        <f>IFERROR(SMALL($AG$10:$AG$393,ROWS($AG$10:AG387)),"")</f>
        <v/>
      </c>
    </row>
    <row r="388" spans="1:34" x14ac:dyDescent="0.2">
      <c r="S388" s="233" t="s">
        <v>106</v>
      </c>
      <c r="T388" s="771"/>
      <c r="U388" s="772" t="s">
        <v>106</v>
      </c>
      <c r="V388" s="772"/>
      <c r="W388" s="548"/>
      <c r="X388" s="202" t="s">
        <v>106</v>
      </c>
      <c r="Y388" s="784"/>
      <c r="Z388" s="784"/>
      <c r="AA388" s="784"/>
      <c r="AB388" s="548"/>
      <c r="AC388" s="202"/>
      <c r="AD388" s="96"/>
      <c r="AE388" s="4"/>
      <c r="AF388" s="158">
        <f>ROWS(AE$10:$AE388)</f>
        <v>379</v>
      </c>
      <c r="AG388" s="158" t="str">
        <f>IF(ID!$A$83=AE388,AF388,"")</f>
        <v/>
      </c>
      <c r="AH388" s="158" t="str">
        <f>IFERROR(SMALL($AG$10:$AG$393,ROWS($AG$10:AG388)),"")</f>
        <v/>
      </c>
    </row>
    <row r="389" spans="1:34" x14ac:dyDescent="0.2">
      <c r="S389" s="233" t="s">
        <v>106</v>
      </c>
      <c r="T389" s="771"/>
      <c r="U389" s="772" t="s">
        <v>106</v>
      </c>
      <c r="V389" s="772"/>
      <c r="W389" s="548"/>
      <c r="X389" s="202" t="s">
        <v>106</v>
      </c>
      <c r="Y389" s="784"/>
      <c r="Z389" s="784"/>
      <c r="AA389" s="784"/>
      <c r="AB389" s="548"/>
      <c r="AC389" s="202"/>
      <c r="AD389" s="96"/>
      <c r="AE389" s="4"/>
      <c r="AF389" s="158">
        <f>ROWS(AE$10:$AE389)</f>
        <v>380</v>
      </c>
      <c r="AG389" s="158" t="str">
        <f>IF(ID!$A$83=AE389,AF389,"")</f>
        <v/>
      </c>
      <c r="AH389" s="158" t="str">
        <f>IFERROR(SMALL($AG$10:$AG$393,ROWS($AG$10:AG389)),"")</f>
        <v/>
      </c>
    </row>
    <row r="390" spans="1:34" x14ac:dyDescent="0.2">
      <c r="E390" s="13"/>
      <c r="F390" s="13"/>
      <c r="K390" s="13"/>
      <c r="L390" s="13"/>
      <c r="N390" s="13"/>
      <c r="O390" s="13"/>
      <c r="Q390" s="13"/>
      <c r="R390" s="13"/>
      <c r="S390" s="234"/>
      <c r="AD390" s="13"/>
      <c r="AE390" s="13"/>
      <c r="AF390" s="158">
        <f>ROWS(AE$10:$AE390)</f>
        <v>381</v>
      </c>
      <c r="AG390" s="158" t="str">
        <f>IF(ID!$A$83=AE390,AF390,"")</f>
        <v/>
      </c>
      <c r="AH390" s="158" t="str">
        <f>IFERROR(SMALL($AG$10:$AG$393,ROWS($AG$10:AG390)),"")</f>
        <v/>
      </c>
    </row>
    <row r="391" spans="1:34" x14ac:dyDescent="0.2">
      <c r="A391" s="526"/>
      <c r="B391" s="526"/>
      <c r="C391" s="532"/>
      <c r="D391" s="538"/>
      <c r="E391" s="526"/>
      <c r="F391" s="526"/>
      <c r="G391" s="526"/>
      <c r="H391" s="526"/>
      <c r="I391" s="532"/>
      <c r="J391" s="538"/>
      <c r="K391" s="526"/>
      <c r="L391" s="526"/>
      <c r="M391" s="526"/>
      <c r="N391" s="526"/>
      <c r="O391" s="526"/>
      <c r="P391" s="526"/>
      <c r="Q391" s="526"/>
      <c r="R391" s="526"/>
      <c r="S391" s="527"/>
      <c r="W391" s="543"/>
      <c r="X391" s="526"/>
      <c r="AB391" s="543"/>
      <c r="AC391" s="526"/>
      <c r="AD391" s="526"/>
      <c r="AE391" s="526"/>
      <c r="AF391" s="158">
        <f>ROWS(AE$10:$AE391)</f>
        <v>382</v>
      </c>
      <c r="AG391" s="158" t="str">
        <f>IF(ID!$A$83=AE391,AF391,"")</f>
        <v/>
      </c>
      <c r="AH391" s="158" t="str">
        <f>IFERROR(SMALL($AG$10:$AG$393,ROWS($AG$10:AG391)),"")</f>
        <v/>
      </c>
    </row>
    <row r="392" spans="1:34" x14ac:dyDescent="0.2">
      <c r="A392" s="526"/>
      <c r="B392" s="526"/>
      <c r="C392" s="532"/>
      <c r="D392" s="538"/>
      <c r="E392" s="526"/>
      <c r="F392" s="526"/>
      <c r="G392" s="526"/>
      <c r="H392" s="526"/>
      <c r="I392" s="532"/>
      <c r="J392" s="538"/>
      <c r="K392" s="526"/>
      <c r="L392" s="526"/>
      <c r="M392" s="526"/>
      <c r="N392" s="526"/>
      <c r="O392" s="526"/>
      <c r="P392" s="526"/>
      <c r="Q392" s="526"/>
      <c r="R392" s="526"/>
      <c r="S392" s="527"/>
      <c r="W392" s="543"/>
      <c r="X392" s="526"/>
      <c r="AB392" s="543"/>
      <c r="AC392" s="526"/>
      <c r="AD392" s="526"/>
      <c r="AE392" s="526"/>
      <c r="AF392" s="158">
        <f>ROWS(AE$10:$AE392)</f>
        <v>383</v>
      </c>
      <c r="AG392" s="158" t="str">
        <f>IF(ID!$A$83=AE392,AF392,"")</f>
        <v/>
      </c>
      <c r="AH392" s="158" t="str">
        <f>IFERROR(SMALL($AG$10:$AG$393,ROWS($AG$10:AG392)),"")</f>
        <v/>
      </c>
    </row>
    <row r="393" spans="1:34" x14ac:dyDescent="0.2">
      <c r="A393" s="526"/>
      <c r="B393" s="526"/>
      <c r="C393" s="532"/>
      <c r="D393" s="538"/>
      <c r="E393" s="526"/>
      <c r="F393" s="526"/>
      <c r="G393" s="526"/>
      <c r="H393" s="526"/>
      <c r="I393" s="532"/>
      <c r="J393" s="538"/>
      <c r="K393" s="526"/>
      <c r="L393" s="526"/>
      <c r="M393" s="526"/>
      <c r="N393" s="526"/>
      <c r="O393" s="526"/>
      <c r="P393" s="526"/>
      <c r="Q393" s="526"/>
      <c r="R393" s="526"/>
      <c r="S393" s="527"/>
      <c r="W393" s="543"/>
      <c r="X393" s="526"/>
      <c r="AB393" s="543"/>
      <c r="AC393" s="526"/>
      <c r="AD393" s="526"/>
      <c r="AE393" s="526"/>
      <c r="AF393" s="158">
        <f>ROWS(AE$10:$AE393)</f>
        <v>384</v>
      </c>
      <c r="AG393" s="158" t="str">
        <f>IF(ID!$A$83=AE393,AF393,"")</f>
        <v/>
      </c>
      <c r="AH393" s="158" t="str">
        <f>IFERROR(SMALL($AG$10:$AG$393,ROWS($AG$10:AG393)),"")</f>
        <v/>
      </c>
    </row>
  </sheetData>
  <sheetProtection algorithmName="SHA-512" hashValue="A5VTXYH4Pgs+nTQOZQgAUVzrK6tzmrZXgmB+YKjMFtCq3p7BxfVhkHTzAfZrFX9xIeKJkx9yOiepR2iiD3XE5g==" saltValue="JxGjmkmQE40LpnFuQaPNhw==" spinCount="100000" sheet="1" objects="1" scenarios="1"/>
  <mergeCells count="78">
    <mergeCell ref="K363:K369"/>
    <mergeCell ref="Q363:Q369"/>
    <mergeCell ref="K379:K385"/>
    <mergeCell ref="Q379:Q385"/>
    <mergeCell ref="K331:K337"/>
    <mergeCell ref="Q331:Q337"/>
    <mergeCell ref="K347:K353"/>
    <mergeCell ref="Q347:Q353"/>
    <mergeCell ref="Q283:Q289"/>
    <mergeCell ref="K283:K289"/>
    <mergeCell ref="K299:K305"/>
    <mergeCell ref="Q299:Q305"/>
    <mergeCell ref="K315:K321"/>
    <mergeCell ref="Q315:Q321"/>
    <mergeCell ref="K267:K273"/>
    <mergeCell ref="Q267:Q273"/>
    <mergeCell ref="K251:K257"/>
    <mergeCell ref="Q251:Q257"/>
    <mergeCell ref="K49:K55"/>
    <mergeCell ref="K64:K70"/>
    <mergeCell ref="Q64:Q70"/>
    <mergeCell ref="Q49:Q55"/>
    <mergeCell ref="K200:K206"/>
    <mergeCell ref="Q200:Q206"/>
    <mergeCell ref="K217:K223"/>
    <mergeCell ref="Q217:Q223"/>
    <mergeCell ref="K234:K240"/>
    <mergeCell ref="Q234:Q240"/>
    <mergeCell ref="K139:K145"/>
    <mergeCell ref="Q139:Q145"/>
    <mergeCell ref="K154:K160"/>
    <mergeCell ref="Q154:Q160"/>
    <mergeCell ref="K183:K189"/>
    <mergeCell ref="Q183:Q189"/>
    <mergeCell ref="Q168:Q174"/>
    <mergeCell ref="K168:K174"/>
    <mergeCell ref="K79:K85"/>
    <mergeCell ref="Q79:Q85"/>
    <mergeCell ref="K109:K115"/>
    <mergeCell ref="Q109:Q115"/>
    <mergeCell ref="K124:K130"/>
    <mergeCell ref="Q124:Q130"/>
    <mergeCell ref="K9:K16"/>
    <mergeCell ref="Q9:Q16"/>
    <mergeCell ref="K24:K30"/>
    <mergeCell ref="Q24:Q30"/>
    <mergeCell ref="K34:K40"/>
    <mergeCell ref="Q34:Q40"/>
    <mergeCell ref="S8:X8"/>
    <mergeCell ref="Z8:AC8"/>
    <mergeCell ref="H7:K7"/>
    <mergeCell ref="S6:AH7"/>
    <mergeCell ref="M7:Q7"/>
    <mergeCell ref="B7:E7"/>
    <mergeCell ref="E9:E16"/>
    <mergeCell ref="E24:E30"/>
    <mergeCell ref="E34:E40"/>
    <mergeCell ref="E49:E55"/>
    <mergeCell ref="E64:E70"/>
    <mergeCell ref="E79:E85"/>
    <mergeCell ref="E109:E115"/>
    <mergeCell ref="E124:E130"/>
    <mergeCell ref="E139:E145"/>
    <mergeCell ref="E154:E160"/>
    <mergeCell ref="E168:E174"/>
    <mergeCell ref="E183:E189"/>
    <mergeCell ref="E200:E206"/>
    <mergeCell ref="E217:E223"/>
    <mergeCell ref="E234:E240"/>
    <mergeCell ref="E251:E257"/>
    <mergeCell ref="E267:E273"/>
    <mergeCell ref="E283:E289"/>
    <mergeCell ref="E299:E305"/>
    <mergeCell ref="E315:E321"/>
    <mergeCell ref="E331:E337"/>
    <mergeCell ref="E347:E353"/>
    <mergeCell ref="E363:E369"/>
    <mergeCell ref="E379:E38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4:V237"/>
  <sheetViews>
    <sheetView topLeftCell="K12" zoomScale="110" zoomScaleNormal="110" workbookViewId="0">
      <selection activeCell="L225" sqref="L225"/>
    </sheetView>
  </sheetViews>
  <sheetFormatPr defaultRowHeight="12.75" x14ac:dyDescent="0.2"/>
  <cols>
    <col min="7" max="7" width="10.42578125" customWidth="1"/>
    <col min="10" max="10" width="0" hidden="1" customWidth="1"/>
    <col min="11" max="11" width="69.42578125" customWidth="1"/>
    <col min="12" max="12" width="44.140625" customWidth="1"/>
    <col min="20" max="20" width="0" hidden="1" customWidth="1"/>
    <col min="21" max="21" width="61.140625" customWidth="1"/>
  </cols>
  <sheetData>
    <row r="4" spans="8:22" ht="21" x14ac:dyDescent="0.35">
      <c r="H4" s="1153"/>
      <c r="I4" s="1153"/>
      <c r="J4" s="1153"/>
      <c r="K4" s="1153"/>
    </row>
    <row r="5" spans="8:22" ht="15" x14ac:dyDescent="0.25">
      <c r="H5" s="139"/>
      <c r="I5" s="134"/>
      <c r="J5" s="134"/>
      <c r="K5" s="134"/>
    </row>
    <row r="6" spans="8:22" ht="15.75" x14ac:dyDescent="0.2">
      <c r="H6" s="1074"/>
      <c r="I6" s="1074"/>
      <c r="J6" s="1154"/>
      <c r="K6" s="1154"/>
      <c r="N6" s="1122" t="s">
        <v>780</v>
      </c>
      <c r="U6" s="583"/>
      <c r="V6" s="34"/>
    </row>
    <row r="7" spans="8:22" ht="15.75" x14ac:dyDescent="0.2">
      <c r="H7" s="148"/>
      <c r="I7" s="1074"/>
      <c r="J7" s="1154"/>
      <c r="K7" s="1154"/>
      <c r="N7" s="153" t="s">
        <v>371</v>
      </c>
      <c r="U7" s="584"/>
      <c r="V7" s="59"/>
    </row>
    <row r="8" spans="8:22" ht="15.75" x14ac:dyDescent="0.2">
      <c r="H8" s="149"/>
      <c r="I8" s="141"/>
      <c r="J8" s="141"/>
      <c r="K8" s="141"/>
      <c r="N8" s="153" t="s">
        <v>730</v>
      </c>
      <c r="U8" s="583"/>
      <c r="V8" s="59"/>
    </row>
    <row r="9" spans="8:22" ht="15.75" x14ac:dyDescent="0.2">
      <c r="H9" s="149"/>
      <c r="I9" s="141"/>
      <c r="J9" s="141"/>
      <c r="K9" s="141"/>
      <c r="N9" s="153" t="s">
        <v>279</v>
      </c>
      <c r="U9" s="583"/>
      <c r="V9" s="34"/>
    </row>
    <row r="10" spans="8:22" ht="15.75" x14ac:dyDescent="0.2">
      <c r="H10" s="149"/>
      <c r="I10" s="141"/>
      <c r="J10" s="141"/>
      <c r="K10" s="141"/>
      <c r="N10" s="153"/>
      <c r="U10" s="583"/>
      <c r="V10" s="34"/>
    </row>
    <row r="11" spans="8:22" ht="15.75" x14ac:dyDescent="0.2">
      <c r="H11" s="150"/>
      <c r="I11" s="142"/>
      <c r="J11" s="141"/>
      <c r="K11" s="143"/>
      <c r="N11" s="153" t="s">
        <v>280</v>
      </c>
      <c r="U11" s="583"/>
      <c r="V11" s="34"/>
    </row>
    <row r="12" spans="8:22" ht="15.75" x14ac:dyDescent="0.2">
      <c r="H12" s="134"/>
      <c r="I12" s="134"/>
      <c r="J12" s="134"/>
      <c r="K12" s="134"/>
      <c r="N12" s="153" t="s">
        <v>281</v>
      </c>
      <c r="U12" s="585"/>
      <c r="V12" s="34"/>
    </row>
    <row r="13" spans="8:22" ht="15.75" x14ac:dyDescent="0.2">
      <c r="H13" s="144"/>
      <c r="I13" s="134"/>
      <c r="J13" s="134"/>
      <c r="K13" s="134"/>
      <c r="N13" s="153" t="s">
        <v>282</v>
      </c>
      <c r="U13" s="585"/>
      <c r="V13" s="34"/>
    </row>
    <row r="14" spans="8:22" ht="15.75" x14ac:dyDescent="0.2">
      <c r="H14" s="1074"/>
      <c r="I14" s="1074"/>
      <c r="J14" s="1154"/>
      <c r="K14" s="1154"/>
      <c r="N14" s="153" t="s">
        <v>283</v>
      </c>
      <c r="U14" s="585"/>
      <c r="V14" s="34"/>
    </row>
    <row r="15" spans="8:22" ht="15.75" x14ac:dyDescent="0.2">
      <c r="H15" s="148"/>
      <c r="I15" s="1074"/>
      <c r="J15" s="1154"/>
      <c r="K15" s="1154"/>
      <c r="N15" s="153" t="s">
        <v>284</v>
      </c>
      <c r="U15" s="585"/>
      <c r="V15" s="66"/>
    </row>
    <row r="16" spans="8:22" ht="15.75" x14ac:dyDescent="0.2">
      <c r="H16" s="149"/>
      <c r="I16" s="145"/>
      <c r="J16" s="145"/>
      <c r="K16" s="145"/>
      <c r="N16" s="153" t="s">
        <v>285</v>
      </c>
      <c r="V16" s="66"/>
    </row>
    <row r="17" spans="8:22" ht="15.75" x14ac:dyDescent="0.2">
      <c r="H17" s="149"/>
      <c r="I17" s="145"/>
      <c r="J17" s="145"/>
      <c r="K17" s="145"/>
      <c r="N17" s="153" t="s">
        <v>286</v>
      </c>
      <c r="V17" s="34"/>
    </row>
    <row r="18" spans="8:22" ht="15.75" x14ac:dyDescent="0.2">
      <c r="H18" s="149"/>
      <c r="I18" s="145"/>
      <c r="J18" s="145"/>
      <c r="K18" s="145"/>
      <c r="N18" s="153" t="s">
        <v>287</v>
      </c>
      <c r="V18" s="34"/>
    </row>
    <row r="19" spans="8:22" x14ac:dyDescent="0.2">
      <c r="H19" s="150"/>
      <c r="I19" s="146"/>
      <c r="J19" s="147"/>
      <c r="K19" s="147"/>
      <c r="N19" s="153" t="s">
        <v>288</v>
      </c>
    </row>
    <row r="20" spans="8:22" x14ac:dyDescent="0.2">
      <c r="H20" s="134"/>
      <c r="I20" s="134"/>
      <c r="J20" s="134"/>
      <c r="K20" s="134"/>
      <c r="N20" s="153" t="s">
        <v>289</v>
      </c>
    </row>
    <row r="21" spans="8:22" x14ac:dyDescent="0.2">
      <c r="H21" s="144"/>
      <c r="I21" s="134"/>
      <c r="J21" s="134"/>
      <c r="K21" s="134"/>
      <c r="N21" s="153" t="s">
        <v>290</v>
      </c>
    </row>
    <row r="22" spans="8:22" x14ac:dyDescent="0.2">
      <c r="H22" s="1074"/>
      <c r="I22" s="1074"/>
      <c r="J22" s="1154"/>
      <c r="K22" s="1154"/>
      <c r="N22" s="153" t="s">
        <v>312</v>
      </c>
    </row>
    <row r="23" spans="8:22" x14ac:dyDescent="0.2">
      <c r="H23" s="148"/>
      <c r="I23" s="1074"/>
      <c r="J23" s="1154"/>
      <c r="K23" s="1154"/>
    </row>
    <row r="24" spans="8:22" x14ac:dyDescent="0.2">
      <c r="H24" s="149"/>
      <c r="I24" s="146"/>
      <c r="J24" s="146"/>
      <c r="K24" s="146"/>
      <c r="O24" s="153"/>
    </row>
    <row r="25" spans="8:22" x14ac:dyDescent="0.2">
      <c r="H25" s="149"/>
      <c r="I25" s="146"/>
      <c r="J25" s="146"/>
      <c r="K25" s="146"/>
      <c r="O25" s="153"/>
    </row>
    <row r="26" spans="8:22" x14ac:dyDescent="0.2">
      <c r="H26" s="149"/>
      <c r="I26" s="146"/>
      <c r="J26" s="146"/>
      <c r="K26" s="146"/>
      <c r="O26" s="153"/>
    </row>
    <row r="27" spans="8:22" x14ac:dyDescent="0.2">
      <c r="H27" s="150"/>
      <c r="I27" s="146"/>
      <c r="J27" s="147"/>
      <c r="K27" s="147"/>
    </row>
    <row r="28" spans="8:22" x14ac:dyDescent="0.2">
      <c r="U28" s="151" t="s">
        <v>139</v>
      </c>
    </row>
    <row r="29" spans="8:22" x14ac:dyDescent="0.2">
      <c r="U29" s="1051">
        <f>FORECAST(ID!B54,'SERTIFIKAT STOPWATCH'!S37:S39,'SERTIFIKAT STOPWATCH'!R37:R39)</f>
        <v>4.0123809523809522E-3</v>
      </c>
    </row>
    <row r="31" spans="8:22" x14ac:dyDescent="0.2">
      <c r="K31" s="225"/>
    </row>
    <row r="33" spans="1:21" ht="21" x14ac:dyDescent="0.35">
      <c r="A33" s="1155" t="s">
        <v>151</v>
      </c>
      <c r="B33" s="1155"/>
      <c r="C33" s="1155"/>
      <c r="D33" s="1155"/>
      <c r="E33" s="1155"/>
      <c r="F33" s="1155"/>
      <c r="G33" s="1155"/>
      <c r="H33" s="1155"/>
      <c r="I33" s="1155"/>
      <c r="J33" s="1155"/>
      <c r="K33" s="1155"/>
      <c r="L33" s="1155"/>
      <c r="M33" s="1155"/>
      <c r="N33" s="1155"/>
      <c r="O33" s="1155"/>
    </row>
    <row r="34" spans="1:21" x14ac:dyDescent="0.2">
      <c r="I34" s="134"/>
      <c r="J34" s="134"/>
      <c r="K34" s="134"/>
    </row>
    <row r="35" spans="1:21" x14ac:dyDescent="0.2">
      <c r="B35" s="151"/>
      <c r="C35" s="151"/>
      <c r="D35" s="151"/>
      <c r="E35" s="151"/>
      <c r="F35" s="1150" t="s">
        <v>172</v>
      </c>
      <c r="G35" s="1150"/>
      <c r="H35" s="138"/>
      <c r="I35" s="1073" t="s">
        <v>172</v>
      </c>
      <c r="J35" s="138"/>
      <c r="K35" s="138"/>
    </row>
    <row r="36" spans="1:21" ht="33.75" x14ac:dyDescent="0.2">
      <c r="A36" s="217"/>
      <c r="B36" s="140"/>
      <c r="C36" s="218"/>
      <c r="D36" s="140"/>
      <c r="E36" s="140"/>
      <c r="F36" s="1151" t="s">
        <v>182</v>
      </c>
      <c r="G36" s="1152"/>
      <c r="H36" s="159" t="s">
        <v>149</v>
      </c>
      <c r="I36" s="216" t="s">
        <v>183</v>
      </c>
      <c r="J36" s="137" t="s">
        <v>148</v>
      </c>
      <c r="K36" s="215" t="s">
        <v>104</v>
      </c>
      <c r="L36" s="1073" t="s">
        <v>150</v>
      </c>
      <c r="M36" s="152" t="s">
        <v>100</v>
      </c>
      <c r="N36" s="6" t="s">
        <v>101</v>
      </c>
      <c r="O36" s="6" t="s">
        <v>102</v>
      </c>
      <c r="R36" s="159" t="s">
        <v>149</v>
      </c>
      <c r="S36" s="216" t="s">
        <v>183</v>
      </c>
      <c r="T36" s="137" t="s">
        <v>148</v>
      </c>
      <c r="U36" s="215" t="s">
        <v>104</v>
      </c>
    </row>
    <row r="37" spans="1:21" s="699" customFormat="1" x14ac:dyDescent="0.2">
      <c r="A37" s="694"/>
      <c r="B37" s="695"/>
      <c r="C37" s="694"/>
      <c r="D37" s="695"/>
      <c r="E37" s="696"/>
      <c r="F37" s="1109"/>
      <c r="G37" s="1110" t="s">
        <v>779</v>
      </c>
      <c r="H37" s="1111">
        <v>0</v>
      </c>
      <c r="I37" s="1112">
        <v>0</v>
      </c>
      <c r="J37" s="1113">
        <f>0.5*(MAX(I37:I37)-(MIN(I37:I37)))</f>
        <v>0</v>
      </c>
      <c r="K37" s="1114" t="s">
        <v>324</v>
      </c>
      <c r="L37" s="1121" t="s">
        <v>371</v>
      </c>
      <c r="M37" s="697">
        <f>ROWS(L$37:$L37)</f>
        <v>1</v>
      </c>
      <c r="N37" s="698">
        <f>IF(ID!$A$85=L37,M37,"")</f>
        <v>1</v>
      </c>
      <c r="O37" s="698">
        <f>IFERROR(SMALL($N$37:$N$237,ROWS($N$37:N37)),"")</f>
        <v>1</v>
      </c>
      <c r="R37" s="700">
        <f>IFERROR(INDEX($H$37:$K$237,$O37,COLUMNS(Q$37:$Q37)),"")</f>
        <v>0</v>
      </c>
      <c r="S37" s="700">
        <f>IFERROR(INDEX($H$37:$K$237,$O37,COLUMNS($Q$37:R37)),"")</f>
        <v>0</v>
      </c>
      <c r="T37" s="700">
        <f>IFERROR(INDEX($H$37:$K$237,$O37,COLUMNS($Q$37:S37)),"")</f>
        <v>0</v>
      </c>
      <c r="U37" s="700" t="str">
        <f>IFERROR(INDEX($H$37:$K$237,$O37,COLUMNS($Q$37:T37)),"")</f>
        <v xml:space="preserve">Hasil laju buang cepat tertelusur ke satuan SI melalui PT. KALIMAN </v>
      </c>
    </row>
    <row r="38" spans="1:21" s="699" customFormat="1" x14ac:dyDescent="0.2">
      <c r="A38" s="694"/>
      <c r="B38" s="695"/>
      <c r="C38" s="694"/>
      <c r="D38" s="695"/>
      <c r="E38" s="696"/>
      <c r="F38" s="1109"/>
      <c r="G38" s="1113"/>
      <c r="H38" s="1111">
        <v>60</v>
      </c>
      <c r="I38" s="1112">
        <v>0.01</v>
      </c>
      <c r="J38" s="1113">
        <f>0.5*(MAX(I38:I38)-(MIN(I38:I38)))</f>
        <v>0</v>
      </c>
      <c r="K38" s="1114"/>
      <c r="L38" s="1121" t="s">
        <v>371</v>
      </c>
      <c r="M38" s="697">
        <f>ROWS(L$37:$L38)</f>
        <v>2</v>
      </c>
      <c r="N38" s="698">
        <f>IF(ID!$A$85=L38,M38,"")</f>
        <v>2</v>
      </c>
      <c r="O38" s="698">
        <f>IFERROR(SMALL($N$37:$N$237,ROWS($N$37:N38)),"")</f>
        <v>2</v>
      </c>
      <c r="R38" s="700">
        <f>IFERROR(INDEX($H$37:$K$237,$O38,COLUMNS(Q$37:$Q38)),"")</f>
        <v>60</v>
      </c>
      <c r="S38" s="700">
        <f>IFERROR(INDEX($H$37:$K$237,$O38,COLUMNS($Q$37:R38)),"")</f>
        <v>0.01</v>
      </c>
      <c r="T38" s="700">
        <f>IFERROR(INDEX($H$37:$K$237,$O38,COLUMNS($Q$37:S38)),"")</f>
        <v>0</v>
      </c>
      <c r="U38" s="700"/>
    </row>
    <row r="39" spans="1:21" s="699" customFormat="1" x14ac:dyDescent="0.2">
      <c r="A39" s="694"/>
      <c r="B39" s="695"/>
      <c r="C39" s="694"/>
      <c r="D39" s="695"/>
      <c r="E39" s="696"/>
      <c r="F39" s="1109"/>
      <c r="G39" s="1113"/>
      <c r="H39" s="1111">
        <v>300</v>
      </c>
      <c r="I39" s="1112">
        <v>0.01</v>
      </c>
      <c r="J39" s="1113">
        <f>0.5*(MAX(I39:I39)-(MIN(I39:I39)))</f>
        <v>0</v>
      </c>
      <c r="K39" s="1114"/>
      <c r="L39" s="1121" t="s">
        <v>371</v>
      </c>
      <c r="M39" s="697">
        <f>ROWS(L$37:$L39)</f>
        <v>3</v>
      </c>
      <c r="N39" s="698">
        <f>IF(ID!$A$85=L39,M39,"")</f>
        <v>3</v>
      </c>
      <c r="O39" s="698">
        <f>IFERROR(SMALL($N$37:$N$237,ROWS($N$37:N39)),"")</f>
        <v>3</v>
      </c>
      <c r="R39" s="700">
        <f>IFERROR(INDEX($H$37:$K$237,$O39,COLUMNS(Q$37:$Q39)),"")</f>
        <v>300</v>
      </c>
      <c r="S39" s="700">
        <f>IFERROR(INDEX($H$37:$K$237,$O39,COLUMNS($Q$37:R39)),"")</f>
        <v>0.01</v>
      </c>
      <c r="T39" s="700">
        <f>IFERROR(INDEX($H$37:$K$237,$O39,COLUMNS($Q$37:S39)),"")</f>
        <v>0</v>
      </c>
      <c r="U39" s="700"/>
    </row>
    <row r="40" spans="1:21" s="699" customFormat="1" x14ac:dyDescent="0.2">
      <c r="A40" s="694"/>
      <c r="B40" s="701"/>
      <c r="C40" s="694"/>
      <c r="D40" s="701"/>
      <c r="E40" s="702"/>
      <c r="F40" s="1109"/>
      <c r="G40" s="1115"/>
      <c r="H40" s="1116"/>
      <c r="I40" s="1115"/>
      <c r="J40" s="1115">
        <f>0.5*(MAX(I40:I40)-(MIN(I40:I40)))</f>
        <v>0</v>
      </c>
      <c r="K40" s="1117"/>
      <c r="L40" s="706"/>
      <c r="M40" s="697">
        <f>ROWS(L$37:$L40)</f>
        <v>4</v>
      </c>
      <c r="N40" s="698" t="str">
        <f>IF(ID!$A$85=L40,M40,"")</f>
        <v/>
      </c>
      <c r="O40" s="698" t="str">
        <f>IFERROR(SMALL($N$37:$N$237,ROWS($N$37:N40)),"")</f>
        <v/>
      </c>
      <c r="R40" s="700" t="str">
        <f>IFERROR(INDEX($H$37:$K$237,$O40,COLUMNS(Q$37:$Q40)),"")</f>
        <v/>
      </c>
      <c r="S40" s="700" t="str">
        <f>IFERROR(INDEX($H$37:$K$237,$O40,COLUMNS($Q$37:R40)),"")</f>
        <v/>
      </c>
      <c r="T40" s="700" t="str">
        <f>IFERROR(INDEX($H$37:$K$237,$O40,COLUMNS($Q$37:S40)),"")</f>
        <v/>
      </c>
      <c r="U40" s="700"/>
    </row>
    <row r="41" spans="1:21" x14ac:dyDescent="0.2">
      <c r="A41" s="140"/>
      <c r="B41" s="146"/>
      <c r="C41" s="140"/>
      <c r="D41" s="146"/>
      <c r="E41" s="571"/>
      <c r="F41" s="136"/>
      <c r="G41" s="136"/>
      <c r="H41" s="574"/>
      <c r="I41" s="136"/>
      <c r="J41" s="135"/>
      <c r="K41" s="575"/>
      <c r="L41" s="153"/>
      <c r="M41" s="1">
        <f>ROWS(L$37:$L41)</f>
        <v>5</v>
      </c>
      <c r="N41" s="698" t="str">
        <f>IF(ID!$A$85=L41,M41,"")</f>
        <v/>
      </c>
      <c r="O41" s="698" t="str">
        <f>IFERROR(SMALL($N$37:$N$237,ROWS($N$37:N41)),"")</f>
        <v/>
      </c>
      <c r="R41" s="700" t="str">
        <f>IFERROR(INDEX($H$37:$K$237,$O41,COLUMNS(Q$37:$Q41)),"")</f>
        <v/>
      </c>
      <c r="S41" s="700" t="str">
        <f>IFERROR(INDEX($H$37:$K$237,$O41,COLUMNS($Q$37:R41)),"")</f>
        <v/>
      </c>
      <c r="T41" s="700" t="str">
        <f>IFERROR(INDEX($H$37:$K$237,$O41,COLUMNS($Q$37:S41)),"")</f>
        <v/>
      </c>
      <c r="U41" s="700"/>
    </row>
    <row r="42" spans="1:21" x14ac:dyDescent="0.2">
      <c r="A42" s="140"/>
      <c r="B42" s="146"/>
      <c r="C42" s="140"/>
      <c r="D42" s="146"/>
      <c r="E42" s="571"/>
      <c r="F42" s="136"/>
      <c r="G42" s="136"/>
      <c r="H42" s="574"/>
      <c r="I42" s="136"/>
      <c r="J42" s="135"/>
      <c r="K42" s="575"/>
      <c r="L42" s="153"/>
      <c r="M42" s="1">
        <f>ROWS(L$37:$L42)</f>
        <v>6</v>
      </c>
      <c r="N42" s="698" t="str">
        <f>IF(ID!$A$85=L42,M42,"")</f>
        <v/>
      </c>
      <c r="O42" s="698" t="str">
        <f>IFERROR(SMALL($N$37:$N$237,ROWS($N$37:N42)),"")</f>
        <v/>
      </c>
      <c r="R42" s="700" t="str">
        <f>IFERROR(INDEX($H$37:$K$237,$O42,COLUMNS(Q$37:$Q42)),"")</f>
        <v/>
      </c>
      <c r="S42" s="700" t="str">
        <f>IFERROR(INDEX($H$37:$K$237,$O42,COLUMNS($Q$37:R42)),"")</f>
        <v/>
      </c>
      <c r="T42" s="700" t="str">
        <f>IFERROR(INDEX($H$37:$K$237,$O42,COLUMNS($Q$37:S42)),"")</f>
        <v/>
      </c>
      <c r="U42" s="700"/>
    </row>
    <row r="43" spans="1:21" s="157" customFormat="1" x14ac:dyDescent="0.2">
      <c r="A43" s="219"/>
      <c r="B43" s="220"/>
      <c r="C43" s="219"/>
      <c r="D43" s="220"/>
      <c r="E43" s="572"/>
      <c r="F43" s="154"/>
      <c r="G43" s="154"/>
      <c r="H43" s="576"/>
      <c r="I43" s="154"/>
      <c r="J43" s="155"/>
      <c r="K43" s="577"/>
      <c r="L43" s="156"/>
      <c r="M43" s="1">
        <f>ROWS(L$37:$L43)</f>
        <v>7</v>
      </c>
      <c r="N43" s="698" t="str">
        <f>IF(ID!$A$85=L43,M43,"")</f>
        <v/>
      </c>
      <c r="O43" s="698" t="str">
        <f>IFERROR(SMALL($N$37:$N$237,ROWS($N$37:N43)),"")</f>
        <v/>
      </c>
      <c r="R43" s="700" t="str">
        <f>IFERROR(INDEX($H$37:$K$237,$O43,COLUMNS(Q$37:$Q43)),"")</f>
        <v/>
      </c>
      <c r="S43" s="700" t="str">
        <f>IFERROR(INDEX($H$37:$K$237,$O43,COLUMNS($Q$37:R43)),"")</f>
        <v/>
      </c>
      <c r="T43" s="700" t="str">
        <f>IFERROR(INDEX($H$37:$K$237,$O43,COLUMNS($Q$37:S43)),"")</f>
        <v/>
      </c>
      <c r="U43" s="700"/>
    </row>
    <row r="44" spans="1:21" s="699" customFormat="1" x14ac:dyDescent="0.2">
      <c r="A44" s="694"/>
      <c r="B44" s="695"/>
      <c r="C44" s="694"/>
      <c r="D44" s="695"/>
      <c r="E44" s="696"/>
      <c r="F44" s="1115"/>
      <c r="G44" s="1110" t="s">
        <v>779</v>
      </c>
      <c r="H44" s="1111">
        <v>0</v>
      </c>
      <c r="I44" s="1113">
        <v>0</v>
      </c>
      <c r="J44" s="1113">
        <f>0.5*(MAX(I44:I44)-(MIN(I44:I44)))</f>
        <v>0</v>
      </c>
      <c r="K44" s="1114" t="s">
        <v>324</v>
      </c>
      <c r="L44" s="1121" t="s">
        <v>730</v>
      </c>
      <c r="M44" s="697">
        <f>ROWS(L$37:$L44)</f>
        <v>8</v>
      </c>
      <c r="N44" s="698" t="str">
        <f>IF(ID!$A$85=L44,M44,"")</f>
        <v/>
      </c>
      <c r="O44" s="698" t="str">
        <f>IFERROR(SMALL($N$37:$N$237,ROWS($N$37:N44)),"")</f>
        <v/>
      </c>
      <c r="R44" s="700" t="str">
        <f>IFERROR(INDEX($H$37:$K$237,$O44,COLUMNS(Q$37:$Q44)),"")</f>
        <v/>
      </c>
      <c r="S44" s="700" t="str">
        <f>IFERROR(INDEX($H$37:$K$237,$O44,COLUMNS($Q$37:R44)),"")</f>
        <v/>
      </c>
      <c r="T44" s="700" t="str">
        <f>IFERROR(INDEX($H$37:$K$237,$O44,COLUMNS($Q$37:S44)),"")</f>
        <v/>
      </c>
      <c r="U44" s="700"/>
    </row>
    <row r="45" spans="1:21" s="699" customFormat="1" x14ac:dyDescent="0.2">
      <c r="A45" s="694"/>
      <c r="B45" s="695"/>
      <c r="C45" s="694"/>
      <c r="D45" s="695"/>
      <c r="E45" s="696"/>
      <c r="F45" s="1115"/>
      <c r="G45" s="1113"/>
      <c r="H45" s="1111">
        <v>60</v>
      </c>
      <c r="I45" s="1113">
        <v>0</v>
      </c>
      <c r="J45" s="1113">
        <f>0.5*(MAX(I45:I45)-(MIN(I45:I45)))</f>
        <v>0</v>
      </c>
      <c r="K45" s="1114"/>
      <c r="L45" s="1121" t="s">
        <v>730</v>
      </c>
      <c r="M45" s="697">
        <f>ROWS(L$37:$L45)</f>
        <v>9</v>
      </c>
      <c r="N45" s="698" t="str">
        <f>IF(ID!$A$85=L45,M45,"")</f>
        <v/>
      </c>
      <c r="O45" s="698" t="str">
        <f>IFERROR(SMALL($N$37:$N$237,ROWS($N$37:N45)),"")</f>
        <v/>
      </c>
      <c r="R45" s="700" t="str">
        <f>IFERROR(INDEX($H$37:$K$237,$O45,COLUMNS(Q$37:$Q45)),"")</f>
        <v/>
      </c>
      <c r="S45" s="700" t="str">
        <f>IFERROR(INDEX($H$37:$K$237,$O45,COLUMNS($Q$37:R45)),"")</f>
        <v/>
      </c>
      <c r="T45" s="700" t="str">
        <f>IFERROR(INDEX($H$37:$K$237,$O45,COLUMNS($Q$37:S45)),"")</f>
        <v/>
      </c>
      <c r="U45" s="700"/>
    </row>
    <row r="46" spans="1:21" s="699" customFormat="1" x14ac:dyDescent="0.2">
      <c r="A46" s="694"/>
      <c r="B46" s="695"/>
      <c r="C46" s="694"/>
      <c r="D46" s="695"/>
      <c r="E46" s="696"/>
      <c r="F46" s="1115"/>
      <c r="G46" s="1113"/>
      <c r="H46" s="1111">
        <v>300</v>
      </c>
      <c r="I46" s="1113">
        <v>1E-3</v>
      </c>
      <c r="J46" s="1113">
        <f>0.5*(MAX(I46:I46)-(MIN(I46:I46)))</f>
        <v>0</v>
      </c>
      <c r="K46" s="1114"/>
      <c r="L46" s="1121" t="s">
        <v>730</v>
      </c>
      <c r="M46" s="697">
        <f>ROWS(L$37:$L46)</f>
        <v>10</v>
      </c>
      <c r="N46" s="698" t="str">
        <f>IF(ID!$A$85=L46,M46,"")</f>
        <v/>
      </c>
      <c r="O46" s="698" t="str">
        <f>IFERROR(SMALL($N$37:$N$237,ROWS($N$37:N46)),"")</f>
        <v/>
      </c>
      <c r="R46" s="700" t="str">
        <f>IFERROR(INDEX($H$37:$K$237,$O46,COLUMNS(Q$37:$Q46)),"")</f>
        <v/>
      </c>
      <c r="S46" s="700" t="str">
        <f>IFERROR(INDEX($H$37:$K$237,$O46,COLUMNS($Q$37:R46)),"")</f>
        <v/>
      </c>
      <c r="T46" s="700" t="str">
        <f>IFERROR(INDEX($H$37:$K$237,$O46,COLUMNS($Q$37:S46)),"")</f>
        <v/>
      </c>
      <c r="U46" s="700"/>
    </row>
    <row r="47" spans="1:21" s="699" customFormat="1" x14ac:dyDescent="0.2">
      <c r="A47" s="694"/>
      <c r="B47" s="701"/>
      <c r="C47" s="694"/>
      <c r="D47" s="701"/>
      <c r="E47" s="702"/>
      <c r="F47" s="1115"/>
      <c r="G47" s="1118"/>
      <c r="H47" s="1119"/>
      <c r="I47" s="1115"/>
      <c r="J47" s="1115">
        <f>0.5*(MAX(I47:I47)-(MIN(I47:I47)))</f>
        <v>0</v>
      </c>
      <c r="K47" s="1117"/>
      <c r="L47" s="706"/>
      <c r="M47" s="697">
        <f>ROWS(L$37:$L47)</f>
        <v>11</v>
      </c>
      <c r="N47" s="698" t="str">
        <f>IF(ID!$A$85=L47,M47,"")</f>
        <v/>
      </c>
      <c r="O47" s="698" t="str">
        <f>IFERROR(SMALL($N$37:$N$237,ROWS($N$37:N47)),"")</f>
        <v/>
      </c>
      <c r="R47" s="700" t="str">
        <f>IFERROR(INDEX($H$37:$K$237,$O47,COLUMNS(Q$37:$Q47)),"")</f>
        <v/>
      </c>
      <c r="S47" s="700" t="str">
        <f>IFERROR(INDEX($H$37:$K$237,$O47,COLUMNS($Q$37:R47)),"")</f>
        <v/>
      </c>
      <c r="T47" s="700" t="str">
        <f>IFERROR(INDEX($H$37:$K$237,$O47,COLUMNS($Q$37:S47)),"")</f>
        <v/>
      </c>
      <c r="U47" s="700"/>
    </row>
    <row r="48" spans="1:21" x14ac:dyDescent="0.2">
      <c r="A48" s="140"/>
      <c r="B48" s="146"/>
      <c r="C48" s="140"/>
      <c r="D48" s="146"/>
      <c r="E48" s="571"/>
      <c r="F48" s="136"/>
      <c r="G48" s="136"/>
      <c r="H48" s="574"/>
      <c r="I48" s="136"/>
      <c r="J48" s="135"/>
      <c r="K48" s="575"/>
      <c r="L48" s="153"/>
      <c r="M48" s="1">
        <f>ROWS(L$37:$L48)</f>
        <v>12</v>
      </c>
      <c r="N48" s="698" t="str">
        <f>IF(ID!$A$85=L48,M48,"")</f>
        <v/>
      </c>
      <c r="O48" s="698" t="str">
        <f>IFERROR(SMALL($N$37:$N$237,ROWS($N$37:N48)),"")</f>
        <v/>
      </c>
      <c r="R48" t="str">
        <f>IFERROR(INDEX($H$37:$L$54,$N48,COLUMNS(Q$37:$Q48)),"")</f>
        <v/>
      </c>
      <c r="S48" t="str">
        <f>IFERROR(INDEX($H$37:$L$54,$N48,COLUMNS($Q$37:R48)),"")</f>
        <v/>
      </c>
      <c r="T48" t="str">
        <f>IFERROR(INDEX($H$37:$L$54,$N48,COLUMNS($Q$37:S48)),"")</f>
        <v/>
      </c>
    </row>
    <row r="49" spans="1:15" x14ac:dyDescent="0.2">
      <c r="A49" s="140"/>
      <c r="B49" s="146"/>
      <c r="C49" s="140"/>
      <c r="D49" s="146"/>
      <c r="E49" s="571"/>
      <c r="F49" s="136"/>
      <c r="G49" s="136"/>
      <c r="H49" s="574"/>
      <c r="I49" s="136"/>
      <c r="J49" s="135"/>
      <c r="K49" s="575"/>
      <c r="L49" s="153"/>
      <c r="M49" s="1">
        <f>ROWS(L$37:$L49)</f>
        <v>13</v>
      </c>
      <c r="N49" s="698" t="str">
        <f>IF(ID!$A$85=L49,M49,"")</f>
        <v/>
      </c>
      <c r="O49" s="698" t="str">
        <f>IFERROR(SMALL($N$37:$N$237,ROWS($N$37:N49)),"")</f>
        <v/>
      </c>
    </row>
    <row r="50" spans="1:15" s="157" customFormat="1" x14ac:dyDescent="0.2">
      <c r="A50" s="219"/>
      <c r="B50" s="220"/>
      <c r="C50" s="219"/>
      <c r="D50" s="220"/>
      <c r="E50" s="572"/>
      <c r="F50" s="154"/>
      <c r="G50" s="154"/>
      <c r="H50" s="576"/>
      <c r="I50" s="154"/>
      <c r="J50" s="155"/>
      <c r="K50" s="577"/>
      <c r="L50" s="156"/>
      <c r="M50" s="1">
        <f>ROWS(L$37:$L50)</f>
        <v>14</v>
      </c>
      <c r="N50" s="698" t="str">
        <f>IF(ID!$A$85=L50,M50,"")</f>
        <v/>
      </c>
      <c r="O50" s="698" t="str">
        <f>IFERROR(SMALL($N$37:$N$237,ROWS($N$37:N50)),"")</f>
        <v/>
      </c>
    </row>
    <row r="51" spans="1:15" x14ac:dyDescent="0.2">
      <c r="A51" s="140"/>
      <c r="B51" s="146"/>
      <c r="C51" s="140"/>
      <c r="D51" s="146"/>
      <c r="E51" s="571"/>
      <c r="F51" s="214"/>
      <c r="G51" s="214"/>
      <c r="H51" s="707"/>
      <c r="I51" s="221"/>
      <c r="J51" s="214"/>
      <c r="K51" s="708"/>
      <c r="L51" s="709"/>
      <c r="M51" s="1">
        <f>ROWS(L$37:$L51)</f>
        <v>15</v>
      </c>
      <c r="N51" s="698" t="str">
        <f>IF(ID!$A$85=L51,M51,"")</f>
        <v/>
      </c>
      <c r="O51" s="698" t="str">
        <f>IFERROR(SMALL($N$37:$N$237,ROWS($N$37:N51)),"")</f>
        <v/>
      </c>
    </row>
    <row r="52" spans="1:15" x14ac:dyDescent="0.2">
      <c r="A52" s="140"/>
      <c r="B52" s="146"/>
      <c r="C52" s="140"/>
      <c r="D52" s="146"/>
      <c r="E52" s="571"/>
      <c r="F52" s="214"/>
      <c r="G52" s="214"/>
      <c r="H52" s="707"/>
      <c r="I52" s="221"/>
      <c r="J52" s="214"/>
      <c r="K52" s="708"/>
      <c r="L52" s="709"/>
      <c r="M52" s="1">
        <f>ROWS(L$37:$L52)</f>
        <v>16</v>
      </c>
      <c r="N52" s="698" t="str">
        <f>IF(ID!$A$85=L52,M52,"")</f>
        <v/>
      </c>
      <c r="O52" s="698" t="str">
        <f>IFERROR(SMALL($N$37:$N$237,ROWS($N$37:N52)),"")</f>
        <v/>
      </c>
    </row>
    <row r="53" spans="1:15" x14ac:dyDescent="0.2">
      <c r="A53" s="140"/>
      <c r="B53" s="146"/>
      <c r="C53" s="140"/>
      <c r="D53" s="146"/>
      <c r="E53" s="571"/>
      <c r="F53" s="214"/>
      <c r="G53" s="214"/>
      <c r="H53" s="707"/>
      <c r="I53" s="221"/>
      <c r="J53" s="214"/>
      <c r="K53" s="708"/>
      <c r="L53" s="709"/>
      <c r="M53" s="1">
        <f>ROWS(L$37:$L53)</f>
        <v>17</v>
      </c>
      <c r="N53" s="698" t="str">
        <f>IF(ID!$A$85=L53,M53,"")</f>
        <v/>
      </c>
      <c r="O53" s="698" t="str">
        <f>IFERROR(SMALL($N$37:$N$237,ROWS($N$37:N53)),"")</f>
        <v/>
      </c>
    </row>
    <row r="54" spans="1:15" x14ac:dyDescent="0.2">
      <c r="A54" s="140"/>
      <c r="B54" s="146"/>
      <c r="C54" s="140"/>
      <c r="D54" s="146"/>
      <c r="E54" s="571"/>
      <c r="F54" s="214"/>
      <c r="G54" s="221"/>
      <c r="H54" s="710"/>
      <c r="I54" s="221"/>
      <c r="J54" s="214"/>
      <c r="K54" s="708"/>
      <c r="L54" s="709"/>
      <c r="M54" s="1">
        <f>ROWS(L$37:$L54)</f>
        <v>18</v>
      </c>
      <c r="N54" s="698" t="str">
        <f>IF(ID!$A$85=L54,M54,"")</f>
        <v/>
      </c>
      <c r="O54" s="698" t="str">
        <f>IFERROR(SMALL($N$37:$N$237,ROWS($N$37:N54)),"")</f>
        <v/>
      </c>
    </row>
    <row r="55" spans="1:15" x14ac:dyDescent="0.2">
      <c r="F55" s="573"/>
      <c r="G55" s="573"/>
      <c r="H55" s="573"/>
      <c r="I55" s="573"/>
      <c r="J55" s="573"/>
      <c r="K55" s="573"/>
      <c r="L55" s="573"/>
      <c r="M55" s="1">
        <f>ROWS(L$37:$L55)</f>
        <v>19</v>
      </c>
      <c r="N55" s="698" t="str">
        <f>IF(ID!$A$85=L55,M55,"")</f>
        <v/>
      </c>
      <c r="O55" s="698" t="str">
        <f>IFERROR(SMALL($N$37:$N$237,ROWS($N$37:N55)),"")</f>
        <v/>
      </c>
    </row>
    <row r="56" spans="1:15" x14ac:dyDescent="0.2">
      <c r="F56" s="573"/>
      <c r="G56" s="573"/>
      <c r="H56" s="573"/>
      <c r="I56" s="573"/>
      <c r="J56" s="573"/>
      <c r="K56" s="573"/>
      <c r="L56" s="573"/>
      <c r="M56" s="1">
        <f>ROWS(L$37:$L56)</f>
        <v>20</v>
      </c>
      <c r="N56" s="698" t="str">
        <f>IF(ID!$A$85=L56,M56,"")</f>
        <v/>
      </c>
      <c r="O56" s="698" t="str">
        <f>IFERROR(SMALL($N$37:$N$237,ROWS($N$37:N56)),"")</f>
        <v/>
      </c>
    </row>
    <row r="57" spans="1:15" x14ac:dyDescent="0.2">
      <c r="F57" s="573"/>
      <c r="G57" s="573"/>
      <c r="H57" s="573"/>
      <c r="I57" s="573"/>
      <c r="J57" s="573"/>
      <c r="K57" s="573"/>
      <c r="L57" s="573"/>
      <c r="M57" s="1">
        <f>ROWS(L$37:$L57)</f>
        <v>21</v>
      </c>
      <c r="N57" s="698" t="str">
        <f>IF(ID!$A$85=L57,M57,"")</f>
        <v/>
      </c>
      <c r="O57" s="698" t="str">
        <f>IFERROR(SMALL($N$37:$N$237,ROWS($N$37:N57)),"")</f>
        <v/>
      </c>
    </row>
    <row r="58" spans="1:15" x14ac:dyDescent="0.2">
      <c r="F58" s="573"/>
      <c r="G58" s="573"/>
      <c r="H58" s="573"/>
      <c r="I58" s="573"/>
      <c r="J58" s="573"/>
      <c r="K58" s="573"/>
      <c r="L58" s="573"/>
      <c r="M58" s="1">
        <f>ROWS(L$37:$L58)</f>
        <v>22</v>
      </c>
      <c r="N58" s="698" t="str">
        <f>IF(ID!$A$85=L58,M58,"")</f>
        <v/>
      </c>
      <c r="O58" s="698" t="str">
        <f>IFERROR(SMALL($N$37:$N$237,ROWS($N$37:N58)),"")</f>
        <v/>
      </c>
    </row>
    <row r="59" spans="1:15" x14ac:dyDescent="0.2">
      <c r="F59" s="573"/>
      <c r="G59" s="573"/>
      <c r="H59" s="573"/>
      <c r="I59" s="573"/>
      <c r="J59" s="573"/>
      <c r="K59" s="573"/>
      <c r="L59" s="573"/>
      <c r="M59" s="1">
        <f>ROWS(L$37:$L59)</f>
        <v>23</v>
      </c>
      <c r="N59" s="698" t="str">
        <f>IF(ID!$A$85=L59,M59,"")</f>
        <v/>
      </c>
      <c r="O59" s="698" t="str">
        <f>IFERROR(SMALL($N$37:$N$237,ROWS($N$37:N59)),"")</f>
        <v/>
      </c>
    </row>
    <row r="60" spans="1:15" x14ac:dyDescent="0.2">
      <c r="F60" s="573"/>
      <c r="G60" s="573"/>
      <c r="H60" s="573"/>
      <c r="I60" s="573"/>
      <c r="J60" s="573"/>
      <c r="K60" s="573"/>
      <c r="L60" s="573"/>
      <c r="M60" s="1">
        <f>ROWS(L$37:$L60)</f>
        <v>24</v>
      </c>
      <c r="N60" s="698" t="str">
        <f>IF(ID!$A$85=L60,M60,"")</f>
        <v/>
      </c>
      <c r="O60" s="698" t="str">
        <f>IFERROR(SMALL($N$37:$N$237,ROWS($N$37:N60)),"")</f>
        <v/>
      </c>
    </row>
    <row r="61" spans="1:15" x14ac:dyDescent="0.2">
      <c r="F61" s="573"/>
      <c r="G61" s="573"/>
      <c r="H61" s="573"/>
      <c r="I61" s="573"/>
      <c r="J61" s="573"/>
      <c r="K61" s="573"/>
      <c r="L61" s="573"/>
      <c r="M61" s="1">
        <f>ROWS(L$37:$L61)</f>
        <v>25</v>
      </c>
      <c r="N61" s="698" t="str">
        <f>IF(ID!$A$85=L61,M61,"")</f>
        <v/>
      </c>
      <c r="O61" s="698" t="str">
        <f>IFERROR(SMALL($N$37:$N$237,ROWS($N$37:N61)),"")</f>
        <v/>
      </c>
    </row>
    <row r="62" spans="1:15" x14ac:dyDescent="0.2">
      <c r="F62" s="578"/>
      <c r="G62" s="578"/>
      <c r="H62" s="578"/>
      <c r="I62" s="578"/>
      <c r="J62" s="578"/>
      <c r="K62" s="578"/>
      <c r="L62" s="578"/>
      <c r="M62" s="1">
        <f>ROWS(L$37:$L62)</f>
        <v>26</v>
      </c>
      <c r="N62" s="698" t="str">
        <f>IF(ID!$A$85=L62,M62,"")</f>
        <v/>
      </c>
      <c r="O62" s="698" t="str">
        <f>IFERROR(SMALL($N$37:$N$237,ROWS($N$37:N62)),"")</f>
        <v/>
      </c>
    </row>
    <row r="63" spans="1:15" x14ac:dyDescent="0.2">
      <c r="F63" s="579"/>
      <c r="G63" s="579"/>
      <c r="H63" s="579"/>
      <c r="I63" s="579"/>
      <c r="J63" s="579"/>
      <c r="K63" s="579"/>
      <c r="L63" s="579"/>
      <c r="M63" s="1">
        <f>ROWS(L$37:$L63)</f>
        <v>27</v>
      </c>
      <c r="N63" s="698" t="str">
        <f>IF(ID!$A$85=L63,M63,"")</f>
        <v/>
      </c>
      <c r="O63" s="698" t="str">
        <f>IFERROR(SMALL($N$37:$N$237,ROWS($N$37:N63)),"")</f>
        <v/>
      </c>
    </row>
    <row r="64" spans="1:15" s="699" customFormat="1" x14ac:dyDescent="0.2">
      <c r="F64" s="579"/>
      <c r="G64" s="977" t="s">
        <v>693</v>
      </c>
      <c r="H64" s="890">
        <v>0</v>
      </c>
      <c r="I64" s="1078">
        <v>0</v>
      </c>
      <c r="J64" s="890"/>
      <c r="K64" s="1114" t="s">
        <v>324</v>
      </c>
      <c r="L64" s="1121" t="s">
        <v>285</v>
      </c>
      <c r="M64" s="697">
        <f>ROWS(L$37:$L64)</f>
        <v>28</v>
      </c>
      <c r="N64" s="698" t="str">
        <f>IF(ID!$A$85=L64,M64,"")</f>
        <v/>
      </c>
      <c r="O64" s="698" t="str">
        <f>IFERROR(SMALL($N$37:$N$237,ROWS($N$37:N64)),"")</f>
        <v/>
      </c>
    </row>
    <row r="65" spans="6:15" s="699" customFormat="1" x14ac:dyDescent="0.2">
      <c r="F65" s="579"/>
      <c r="G65" s="890"/>
      <c r="H65" s="890">
        <v>60</v>
      </c>
      <c r="I65" s="1078">
        <v>0</v>
      </c>
      <c r="J65" s="890"/>
      <c r="K65" s="890"/>
      <c r="L65" s="1121" t="s">
        <v>285</v>
      </c>
      <c r="M65" s="697">
        <f>ROWS(L$37:$L65)</f>
        <v>29</v>
      </c>
      <c r="N65" s="698" t="str">
        <f>IF(ID!$A$85=L65,M65,"")</f>
        <v/>
      </c>
      <c r="O65" s="698" t="str">
        <f>IFERROR(SMALL($N$37:$N$237,ROWS($N$37:N65)),"")</f>
        <v/>
      </c>
    </row>
    <row r="66" spans="6:15" s="699" customFormat="1" x14ac:dyDescent="0.2">
      <c r="F66" s="579"/>
      <c r="G66" s="890"/>
      <c r="H66" s="890">
        <v>300</v>
      </c>
      <c r="I66" s="890">
        <v>0.01</v>
      </c>
      <c r="J66" s="890"/>
      <c r="K66" s="890"/>
      <c r="L66" s="1121" t="s">
        <v>285</v>
      </c>
      <c r="M66" s="697">
        <f>ROWS(L$37:$L66)</f>
        <v>30</v>
      </c>
      <c r="N66" s="698" t="str">
        <f>IF(ID!$A$85=L66,M66,"")</f>
        <v/>
      </c>
      <c r="O66" s="698" t="str">
        <f>IFERROR(SMALL($N$37:$N$237,ROWS($N$37:N66)),"")</f>
        <v/>
      </c>
    </row>
    <row r="67" spans="6:15" x14ac:dyDescent="0.2">
      <c r="F67" s="573"/>
      <c r="G67" s="573"/>
      <c r="H67" s="573"/>
      <c r="I67" s="573"/>
      <c r="J67" s="573"/>
      <c r="K67" s="573"/>
      <c r="L67" s="573"/>
      <c r="M67" s="1">
        <f>ROWS(L$37:$L67)</f>
        <v>31</v>
      </c>
      <c r="N67" s="698" t="str">
        <f>IF(ID!$A$85=L67,M67,"")</f>
        <v/>
      </c>
      <c r="O67" s="698" t="str">
        <f>IFERROR(SMALL($N$37:$N$237,ROWS($N$37:N67)),"")</f>
        <v/>
      </c>
    </row>
    <row r="68" spans="6:15" x14ac:dyDescent="0.2">
      <c r="F68" s="573"/>
      <c r="G68" s="573"/>
      <c r="H68" s="573"/>
      <c r="I68" s="573"/>
      <c r="J68" s="573"/>
      <c r="K68" s="573"/>
      <c r="L68" s="573"/>
      <c r="M68" s="1">
        <f>ROWS(L$37:$L68)</f>
        <v>32</v>
      </c>
      <c r="N68" s="698" t="str">
        <f>IF(ID!$A$85=L68,M68,"")</f>
        <v/>
      </c>
      <c r="O68" s="698" t="str">
        <f>IFERROR(SMALL($N$37:$N$237,ROWS($N$37:N68)),"")</f>
        <v/>
      </c>
    </row>
    <row r="69" spans="6:15" x14ac:dyDescent="0.2">
      <c r="F69" s="573"/>
      <c r="G69" s="573"/>
      <c r="H69" s="573"/>
      <c r="I69" s="573"/>
      <c r="J69" s="573"/>
      <c r="K69" s="573"/>
      <c r="L69" s="573"/>
      <c r="M69" s="1">
        <f>ROWS(L$37:$L69)</f>
        <v>33</v>
      </c>
      <c r="N69" s="698" t="str">
        <f>IF(ID!$A$85=L69,M69,"")</f>
        <v/>
      </c>
      <c r="O69" s="698" t="str">
        <f>IFERROR(SMALL($N$37:$N$237,ROWS($N$37:N69)),"")</f>
        <v/>
      </c>
    </row>
    <row r="70" spans="6:15" x14ac:dyDescent="0.2">
      <c r="F70" s="573"/>
      <c r="G70" s="573"/>
      <c r="H70" s="573"/>
      <c r="I70" s="573"/>
      <c r="J70" s="573"/>
      <c r="K70" s="573"/>
      <c r="L70" s="573"/>
      <c r="M70" s="1">
        <f>ROWS(L$37:$L70)</f>
        <v>34</v>
      </c>
      <c r="N70" s="698" t="str">
        <f>IF(ID!$A$85=L70,M70,"")</f>
        <v/>
      </c>
      <c r="O70" s="698" t="str">
        <f>IFERROR(SMALL($N$37:$N$237,ROWS($N$37:N70)),"")</f>
        <v/>
      </c>
    </row>
    <row r="71" spans="6:15" x14ac:dyDescent="0.2">
      <c r="F71" s="573"/>
      <c r="G71" s="573"/>
      <c r="H71" s="573"/>
      <c r="I71" s="573"/>
      <c r="J71" s="573"/>
      <c r="K71" s="573"/>
      <c r="L71" s="573"/>
      <c r="M71" s="1">
        <f>ROWS(L$37:$L71)</f>
        <v>35</v>
      </c>
      <c r="N71" s="698" t="str">
        <f>IF(ID!$A$85=L71,M71,"")</f>
        <v/>
      </c>
      <c r="O71" s="698" t="str">
        <f>IFERROR(SMALL($N$37:$N$237,ROWS($N$37:N71)),"")</f>
        <v/>
      </c>
    </row>
    <row r="72" spans="6:15" x14ac:dyDescent="0.2">
      <c r="F72" s="573"/>
      <c r="G72" s="573"/>
      <c r="H72" s="573"/>
      <c r="I72" s="573"/>
      <c r="J72" s="573"/>
      <c r="K72" s="573"/>
      <c r="L72" s="573"/>
      <c r="M72" s="1">
        <f>ROWS(L$37:$L72)</f>
        <v>36</v>
      </c>
      <c r="N72" s="698" t="str">
        <f>IF(ID!$A$85=L72,M72,"")</f>
        <v/>
      </c>
      <c r="O72" s="698" t="str">
        <f>IFERROR(SMALL($N$37:$N$237,ROWS($N$37:N72)),"")</f>
        <v/>
      </c>
    </row>
    <row r="73" spans="6:15" x14ac:dyDescent="0.2">
      <c r="F73" s="578"/>
      <c r="G73" s="578"/>
      <c r="H73" s="578"/>
      <c r="I73" s="578"/>
      <c r="J73" s="578"/>
      <c r="K73" s="578"/>
      <c r="L73" s="578"/>
      <c r="M73" s="1">
        <f>ROWS(L$37:$L73)</f>
        <v>37</v>
      </c>
      <c r="N73" s="698" t="str">
        <f>IF(ID!$A$85=L73,M73,"")</f>
        <v/>
      </c>
      <c r="O73" s="698" t="str">
        <f>IFERROR(SMALL($N$37:$N$237,ROWS($N$37:N73)),"")</f>
        <v/>
      </c>
    </row>
    <row r="74" spans="6:15" x14ac:dyDescent="0.2">
      <c r="F74" s="573"/>
      <c r="G74" s="573"/>
      <c r="H74" s="573"/>
      <c r="I74" s="573"/>
      <c r="J74" s="573"/>
      <c r="K74" s="573"/>
      <c r="L74" s="579"/>
      <c r="M74" s="1">
        <f>ROWS(L$37:$L74)</f>
        <v>38</v>
      </c>
      <c r="N74" s="698" t="str">
        <f>IF(ID!$A$85=L74,M74,"")</f>
        <v/>
      </c>
      <c r="O74" s="698" t="str">
        <f>IFERROR(SMALL($N$37:$N$237,ROWS($N$37:N74)),"")</f>
        <v/>
      </c>
    </row>
    <row r="75" spans="6:15" x14ac:dyDescent="0.2">
      <c r="F75" s="573"/>
      <c r="G75" s="977" t="s">
        <v>779</v>
      </c>
      <c r="H75" s="890">
        <v>0</v>
      </c>
      <c r="I75" s="1078">
        <v>0</v>
      </c>
      <c r="J75" s="890"/>
      <c r="K75" s="1114" t="s">
        <v>324</v>
      </c>
      <c r="L75" s="1121" t="s">
        <v>284</v>
      </c>
      <c r="M75" s="1">
        <f>ROWS(L$37:$L75)</f>
        <v>39</v>
      </c>
      <c r="N75" s="698" t="str">
        <f>IF(ID!$A$85=L75,M75,"")</f>
        <v/>
      </c>
      <c r="O75" s="698" t="str">
        <f>IFERROR(SMALL($N$37:$N$237,ROWS($N$37:N75)),"")</f>
        <v/>
      </c>
    </row>
    <row r="76" spans="6:15" x14ac:dyDescent="0.2">
      <c r="F76" s="573"/>
      <c r="G76" s="890"/>
      <c r="H76" s="890">
        <v>60</v>
      </c>
      <c r="I76" s="890">
        <v>0.01</v>
      </c>
      <c r="J76" s="890"/>
      <c r="K76" s="890"/>
      <c r="L76" s="1121" t="s">
        <v>284</v>
      </c>
      <c r="M76" s="1">
        <f>ROWS(L$37:$L76)</f>
        <v>40</v>
      </c>
      <c r="N76" s="698" t="str">
        <f>IF(ID!$A$85=L76,M76,"")</f>
        <v/>
      </c>
      <c r="O76" s="698" t="str">
        <f>IFERROR(SMALL($N$37:$N$237,ROWS($N$37:N76)),"")</f>
        <v/>
      </c>
    </row>
    <row r="77" spans="6:15" x14ac:dyDescent="0.2">
      <c r="F77" s="573"/>
      <c r="G77" s="890"/>
      <c r="H77" s="890">
        <v>300</v>
      </c>
      <c r="I77" s="890">
        <v>0.01</v>
      </c>
      <c r="J77" s="890"/>
      <c r="K77" s="890"/>
      <c r="L77" s="1121" t="s">
        <v>284</v>
      </c>
      <c r="M77" s="1">
        <f>ROWS(L$37:$L77)</f>
        <v>41</v>
      </c>
      <c r="N77" s="698" t="str">
        <f>IF(ID!$A$85=L77,M77,"")</f>
        <v/>
      </c>
      <c r="O77" s="698" t="str">
        <f>IFERROR(SMALL($N$37:$N$237,ROWS($N$37:N77)),"")</f>
        <v/>
      </c>
    </row>
    <row r="78" spans="6:15" x14ac:dyDescent="0.2">
      <c r="F78" s="573"/>
      <c r="G78" s="573"/>
      <c r="H78" s="573"/>
      <c r="I78" s="573"/>
      <c r="J78" s="573"/>
      <c r="K78" s="573"/>
      <c r="L78" s="573"/>
      <c r="M78" s="1">
        <f>ROWS(L$37:$L78)</f>
        <v>42</v>
      </c>
      <c r="N78" s="698" t="str">
        <f>IF(ID!$A$85=L78,M78,"")</f>
        <v/>
      </c>
      <c r="O78" s="698" t="str">
        <f>IFERROR(SMALL($N$37:$N$237,ROWS($N$37:N78)),"")</f>
        <v/>
      </c>
    </row>
    <row r="79" spans="6:15" x14ac:dyDescent="0.2">
      <c r="F79" s="573"/>
      <c r="G79" s="573"/>
      <c r="H79" s="573"/>
      <c r="I79" s="573"/>
      <c r="J79" s="573"/>
      <c r="K79" s="573"/>
      <c r="L79" s="573"/>
      <c r="M79" s="1">
        <f>ROWS(L$37:$L79)</f>
        <v>43</v>
      </c>
      <c r="N79" s="698" t="str">
        <f>IF(ID!$A$85=L79,M79,"")</f>
        <v/>
      </c>
      <c r="O79" s="698" t="str">
        <f>IFERROR(SMALL($N$37:$N$237,ROWS($N$37:N79)),"")</f>
        <v/>
      </c>
    </row>
    <row r="80" spans="6:15" x14ac:dyDescent="0.2">
      <c r="F80" s="573"/>
      <c r="G80" s="573"/>
      <c r="H80" s="573"/>
      <c r="I80" s="573"/>
      <c r="J80" s="573"/>
      <c r="K80" s="573"/>
      <c r="L80" s="573"/>
      <c r="M80" s="1">
        <f>ROWS(L$37:$L80)</f>
        <v>44</v>
      </c>
      <c r="N80" s="698" t="str">
        <f>IF(ID!$A$85=L80,M80,"")</f>
        <v/>
      </c>
      <c r="O80" s="698" t="str">
        <f>IFERROR(SMALL($N$37:$N$237,ROWS($N$37:N80)),"")</f>
        <v/>
      </c>
    </row>
    <row r="81" spans="6:15" x14ac:dyDescent="0.2">
      <c r="F81" s="573"/>
      <c r="G81" s="573"/>
      <c r="H81" s="573"/>
      <c r="I81" s="573"/>
      <c r="J81" s="573"/>
      <c r="K81" s="573"/>
      <c r="L81" s="573"/>
      <c r="M81" s="1">
        <f>ROWS(L$37:$L81)</f>
        <v>45</v>
      </c>
      <c r="N81" s="698" t="str">
        <f>IF(ID!$A$85=L81,M81,"")</f>
        <v/>
      </c>
      <c r="O81" s="698" t="str">
        <f>IFERROR(SMALL($N$37:$N$237,ROWS($N$37:N81)),"")</f>
        <v/>
      </c>
    </row>
    <row r="82" spans="6:15" x14ac:dyDescent="0.2">
      <c r="F82" s="573"/>
      <c r="G82" s="573"/>
      <c r="H82" s="573"/>
      <c r="I82" s="573"/>
      <c r="J82" s="573"/>
      <c r="K82" s="573"/>
      <c r="L82" s="573"/>
      <c r="M82" s="1">
        <f>ROWS(L$37:$L82)</f>
        <v>46</v>
      </c>
      <c r="N82" s="698" t="str">
        <f>IF(ID!$A$85=L82,M82,"")</f>
        <v/>
      </c>
      <c r="O82" s="698" t="str">
        <f>IFERROR(SMALL($N$37:$N$237,ROWS($N$37:N82)),"")</f>
        <v/>
      </c>
    </row>
    <row r="83" spans="6:15" x14ac:dyDescent="0.2">
      <c r="F83" s="573"/>
      <c r="G83" s="573"/>
      <c r="H83" s="573"/>
      <c r="I83" s="573"/>
      <c r="J83" s="573"/>
      <c r="K83" s="573"/>
      <c r="L83" s="573"/>
      <c r="M83" s="1">
        <f>ROWS(L$37:$L83)</f>
        <v>47</v>
      </c>
      <c r="N83" s="698" t="str">
        <f>IF(ID!$A$85=L83,M83,"")</f>
        <v/>
      </c>
      <c r="O83" s="698" t="str">
        <f>IFERROR(SMALL($N$37:$N$237,ROWS($N$37:N83)),"")</f>
        <v/>
      </c>
    </row>
    <row r="84" spans="6:15" x14ac:dyDescent="0.2">
      <c r="F84" s="578"/>
      <c r="G84" s="578"/>
      <c r="H84" s="578"/>
      <c r="I84" s="578"/>
      <c r="J84" s="578"/>
      <c r="K84" s="578"/>
      <c r="L84" s="578"/>
      <c r="M84" s="1">
        <f>ROWS(L$37:$L84)</f>
        <v>48</v>
      </c>
      <c r="N84" s="698" t="str">
        <f>IF(ID!$A$85=L84,M84,"")</f>
        <v/>
      </c>
      <c r="O84" s="698" t="str">
        <f>IFERROR(SMALL($N$37:$N$237,ROWS($N$37:N84)),"")</f>
        <v/>
      </c>
    </row>
    <row r="85" spans="6:15" x14ac:dyDescent="0.2">
      <c r="F85" s="573"/>
      <c r="G85" s="573"/>
      <c r="H85" s="573"/>
      <c r="I85" s="573"/>
      <c r="J85" s="573"/>
      <c r="K85" s="573"/>
      <c r="L85" s="573"/>
      <c r="M85" s="1">
        <f>ROWS(L$37:$L85)</f>
        <v>49</v>
      </c>
      <c r="N85" s="698" t="str">
        <f>IF(ID!$A$85=L85,M85,"")</f>
        <v/>
      </c>
      <c r="O85" s="698" t="str">
        <f>IFERROR(SMALL($N$37:$N$237,ROWS($N$37:N85)),"")</f>
        <v/>
      </c>
    </row>
    <row r="86" spans="6:15" x14ac:dyDescent="0.2">
      <c r="F86" s="573"/>
      <c r="G86" s="977" t="s">
        <v>693</v>
      </c>
      <c r="H86" s="890">
        <v>0</v>
      </c>
      <c r="I86" s="1078">
        <v>0</v>
      </c>
      <c r="J86" s="890"/>
      <c r="K86" s="1114" t="s">
        <v>324</v>
      </c>
      <c r="L86" s="1121" t="s">
        <v>286</v>
      </c>
      <c r="M86" s="1">
        <f>ROWS(L$37:$L86)</f>
        <v>50</v>
      </c>
      <c r="N86" s="698" t="str">
        <f>IF(ID!$A$85=L86,M86,"")</f>
        <v/>
      </c>
      <c r="O86" s="698" t="str">
        <f>IFERROR(SMALL($N$37:$N$237,ROWS($N$37:N86)),"")</f>
        <v/>
      </c>
    </row>
    <row r="87" spans="6:15" x14ac:dyDescent="0.2">
      <c r="F87" s="573"/>
      <c r="G87" s="890"/>
      <c r="H87" s="890">
        <v>60</v>
      </c>
      <c r="I87" s="1078">
        <v>0</v>
      </c>
      <c r="J87" s="890"/>
      <c r="K87" s="890"/>
      <c r="L87" s="1121" t="s">
        <v>286</v>
      </c>
      <c r="M87" s="1">
        <f>ROWS(L$37:$L87)</f>
        <v>51</v>
      </c>
      <c r="N87" s="698" t="str">
        <f>IF(ID!$A$85=L87,M87,"")</f>
        <v/>
      </c>
      <c r="O87" s="698" t="str">
        <f>IFERROR(SMALL($N$37:$N$237,ROWS($N$37:N87)),"")</f>
        <v/>
      </c>
    </row>
    <row r="88" spans="6:15" x14ac:dyDescent="0.2">
      <c r="F88" s="573"/>
      <c r="G88" s="890"/>
      <c r="H88" s="890">
        <v>300</v>
      </c>
      <c r="I88" s="1078">
        <v>0</v>
      </c>
      <c r="J88" s="890"/>
      <c r="K88" s="890"/>
      <c r="L88" s="1121" t="s">
        <v>286</v>
      </c>
      <c r="M88" s="1">
        <f>ROWS(L$37:$L88)</f>
        <v>52</v>
      </c>
      <c r="N88" s="698" t="str">
        <f>IF(ID!$A$85=L88,M88,"")</f>
        <v/>
      </c>
      <c r="O88" s="698" t="str">
        <f>IFERROR(SMALL($N$37:$N$237,ROWS($N$37:N88)),"")</f>
        <v/>
      </c>
    </row>
    <row r="89" spans="6:15" x14ac:dyDescent="0.2">
      <c r="F89" s="573"/>
      <c r="G89" s="573"/>
      <c r="H89" s="573"/>
      <c r="I89" s="573"/>
      <c r="J89" s="573"/>
      <c r="K89" s="573"/>
      <c r="L89" s="579"/>
      <c r="M89" s="1">
        <f>ROWS(L$37:$L89)</f>
        <v>53</v>
      </c>
      <c r="N89" s="698" t="str">
        <f>IF(ID!$A$85=L89,M89,"")</f>
        <v/>
      </c>
      <c r="O89" s="698" t="str">
        <f>IFERROR(SMALL($N$37:$N$237,ROWS($N$37:N89)),"")</f>
        <v/>
      </c>
    </row>
    <row r="90" spans="6:15" x14ac:dyDescent="0.2">
      <c r="F90" s="573"/>
      <c r="G90" s="573"/>
      <c r="H90" s="573"/>
      <c r="I90" s="573"/>
      <c r="J90" s="573"/>
      <c r="K90" s="573"/>
      <c r="L90" s="573"/>
      <c r="M90" s="1">
        <f>ROWS(L$37:$L90)</f>
        <v>54</v>
      </c>
      <c r="N90" s="698" t="str">
        <f>IF(ID!$A$85=L90,M90,"")</f>
        <v/>
      </c>
      <c r="O90" s="698" t="str">
        <f>IFERROR(SMALL($N$37:$N$237,ROWS($N$37:N90)),"")</f>
        <v/>
      </c>
    </row>
    <row r="91" spans="6:15" x14ac:dyDescent="0.2">
      <c r="F91" s="573"/>
      <c r="G91" s="573"/>
      <c r="H91" s="573"/>
      <c r="I91" s="573"/>
      <c r="J91" s="573"/>
      <c r="K91" s="573"/>
      <c r="L91" s="573"/>
      <c r="M91" s="1">
        <f>ROWS(L$37:$L91)</f>
        <v>55</v>
      </c>
      <c r="N91" s="698" t="str">
        <f>IF(ID!$A$85=L91,M91,"")</f>
        <v/>
      </c>
      <c r="O91" s="698" t="str">
        <f>IFERROR(SMALL($N$37:$N$237,ROWS($N$37:N91)),"")</f>
        <v/>
      </c>
    </row>
    <row r="92" spans="6:15" x14ac:dyDescent="0.2">
      <c r="F92" s="573"/>
      <c r="G92" s="573"/>
      <c r="H92" s="573"/>
      <c r="I92" s="573"/>
      <c r="J92" s="573"/>
      <c r="K92" s="573"/>
      <c r="L92" s="573"/>
      <c r="M92" s="1">
        <f>ROWS(L$37:$L92)</f>
        <v>56</v>
      </c>
      <c r="N92" s="698" t="str">
        <f>IF(ID!$A$85=L92,M92,"")</f>
        <v/>
      </c>
      <c r="O92" s="698" t="str">
        <f>IFERROR(SMALL($N$37:$N$237,ROWS($N$37:N92)),"")</f>
        <v/>
      </c>
    </row>
    <row r="93" spans="6:15" x14ac:dyDescent="0.2">
      <c r="F93" s="573"/>
      <c r="G93" s="573"/>
      <c r="H93" s="573"/>
      <c r="I93" s="573"/>
      <c r="J93" s="573"/>
      <c r="K93" s="573"/>
      <c r="L93" s="573"/>
      <c r="M93" s="1">
        <f>ROWS(L$37:$L93)</f>
        <v>57</v>
      </c>
      <c r="N93" s="698" t="str">
        <f>IF(ID!$A$85=L93,M93,"")</f>
        <v/>
      </c>
      <c r="O93" s="698" t="str">
        <f>IFERROR(SMALL($N$37:$N$237,ROWS($N$37:N93)),"")</f>
        <v/>
      </c>
    </row>
    <row r="94" spans="6:15" x14ac:dyDescent="0.2">
      <c r="F94" s="573"/>
      <c r="G94" s="573"/>
      <c r="H94" s="573"/>
      <c r="I94" s="573"/>
      <c r="J94" s="573"/>
      <c r="K94" s="573"/>
      <c r="L94" s="573"/>
      <c r="M94" s="1">
        <f>ROWS(L$37:$L94)</f>
        <v>58</v>
      </c>
      <c r="N94" s="698" t="str">
        <f>IF(ID!$A$85=L94,M94,"")</f>
        <v/>
      </c>
      <c r="O94" s="698" t="str">
        <f>IFERROR(SMALL($N$37:$N$237,ROWS($N$37:N94)),"")</f>
        <v/>
      </c>
    </row>
    <row r="95" spans="6:15" x14ac:dyDescent="0.2">
      <c r="F95" s="573"/>
      <c r="G95" s="573"/>
      <c r="H95" s="573"/>
      <c r="I95" s="573"/>
      <c r="J95" s="573"/>
      <c r="K95" s="573"/>
      <c r="L95" s="573"/>
      <c r="M95" s="1">
        <f>ROWS(L$37:$L95)</f>
        <v>59</v>
      </c>
      <c r="N95" s="698" t="str">
        <f>IF(ID!$A$85=L95,M95,"")</f>
        <v/>
      </c>
      <c r="O95" s="698" t="str">
        <f>IFERROR(SMALL($N$37:$N$237,ROWS($N$37:N95)),"")</f>
        <v/>
      </c>
    </row>
    <row r="96" spans="6:15" x14ac:dyDescent="0.2">
      <c r="F96" s="573"/>
      <c r="G96" s="573"/>
      <c r="H96" s="573"/>
      <c r="I96" s="573"/>
      <c r="J96" s="573"/>
      <c r="K96" s="573"/>
      <c r="L96" s="573"/>
      <c r="M96" s="1">
        <f>ROWS(L$37:$L96)</f>
        <v>60</v>
      </c>
      <c r="N96" s="698" t="str">
        <f>IF(ID!$A$85=L96,M96,"")</f>
        <v/>
      </c>
      <c r="O96" s="698" t="str">
        <f>IFERROR(SMALL($N$37:$N$237,ROWS($N$37:N96)),"")</f>
        <v/>
      </c>
    </row>
    <row r="97" spans="6:15" x14ac:dyDescent="0.2">
      <c r="F97" s="578"/>
      <c r="G97" s="578"/>
      <c r="H97" s="578"/>
      <c r="I97" s="578"/>
      <c r="J97" s="578"/>
      <c r="K97" s="578"/>
      <c r="L97" s="578"/>
      <c r="M97" s="1">
        <f>ROWS(L$37:$L97)</f>
        <v>61</v>
      </c>
      <c r="N97" s="698" t="str">
        <f>IF(ID!$A$85=L97,M97,"")</f>
        <v/>
      </c>
      <c r="O97" s="698" t="str">
        <f>IFERROR(SMALL($N$37:$N$237,ROWS($N$37:N97)),"")</f>
        <v/>
      </c>
    </row>
    <row r="98" spans="6:15" x14ac:dyDescent="0.2">
      <c r="F98" s="573"/>
      <c r="G98" s="573"/>
      <c r="H98" s="573"/>
      <c r="I98" s="573"/>
      <c r="J98" s="573"/>
      <c r="K98" s="573"/>
      <c r="L98" s="573"/>
      <c r="M98" s="1">
        <f>ROWS(L$37:$L98)</f>
        <v>62</v>
      </c>
      <c r="N98" s="698" t="str">
        <f>IF(ID!$A$85=L98,M98,"")</f>
        <v/>
      </c>
      <c r="O98" s="698" t="str">
        <f>IFERROR(SMALL($N$37:$N$237,ROWS($N$37:N98)),"")</f>
        <v/>
      </c>
    </row>
    <row r="99" spans="6:15" x14ac:dyDescent="0.2">
      <c r="F99" s="573"/>
      <c r="G99" s="977" t="s">
        <v>779</v>
      </c>
      <c r="H99" s="890">
        <v>0</v>
      </c>
      <c r="I99" s="1078">
        <v>0</v>
      </c>
      <c r="J99" s="890"/>
      <c r="K99" s="1114" t="s">
        <v>324</v>
      </c>
      <c r="L99" s="1121" t="s">
        <v>287</v>
      </c>
      <c r="M99" s="1">
        <f>ROWS(L$37:$L99)</f>
        <v>63</v>
      </c>
      <c r="N99" s="698" t="str">
        <f>IF(ID!$A$85=L99,M99,"")</f>
        <v/>
      </c>
      <c r="O99" s="698" t="str">
        <f>IFERROR(SMALL($N$37:$N$237,ROWS($N$37:N99)),"")</f>
        <v/>
      </c>
    </row>
    <row r="100" spans="6:15" x14ac:dyDescent="0.2">
      <c r="F100" s="573"/>
      <c r="G100" s="890"/>
      <c r="H100" s="890">
        <v>60</v>
      </c>
      <c r="I100" s="890">
        <v>0.01</v>
      </c>
      <c r="J100" s="890"/>
      <c r="K100" s="890"/>
      <c r="L100" s="1121" t="s">
        <v>287</v>
      </c>
      <c r="M100" s="1">
        <f>ROWS(L$37:$L100)</f>
        <v>64</v>
      </c>
      <c r="N100" s="698" t="str">
        <f>IF(ID!$A$85=L100,M100,"")</f>
        <v/>
      </c>
      <c r="O100" s="698" t="str">
        <f>IFERROR(SMALL($N$37:$N$237,ROWS($N$37:N100)),"")</f>
        <v/>
      </c>
    </row>
    <row r="101" spans="6:15" x14ac:dyDescent="0.2">
      <c r="F101" s="573"/>
      <c r="G101" s="890"/>
      <c r="H101" s="890">
        <v>300</v>
      </c>
      <c r="I101" s="890">
        <v>-0.01</v>
      </c>
      <c r="J101" s="890"/>
      <c r="K101" s="890"/>
      <c r="L101" s="1121" t="s">
        <v>287</v>
      </c>
      <c r="M101" s="1">
        <f>ROWS(L$37:$L101)</f>
        <v>65</v>
      </c>
      <c r="N101" s="698" t="str">
        <f>IF(ID!$A$85=L101,M101,"")</f>
        <v/>
      </c>
      <c r="O101" s="698" t="str">
        <f>IFERROR(SMALL($N$37:$N$237,ROWS($N$37:N101)),"")</f>
        <v/>
      </c>
    </row>
    <row r="102" spans="6:15" x14ac:dyDescent="0.2">
      <c r="F102" s="573"/>
      <c r="G102" s="573"/>
      <c r="H102" s="573"/>
      <c r="I102" s="573"/>
      <c r="J102" s="573"/>
      <c r="K102" s="573"/>
      <c r="L102" s="573"/>
      <c r="M102" s="1">
        <f>ROWS(L$37:$L102)</f>
        <v>66</v>
      </c>
      <c r="N102" s="698" t="str">
        <f>IF(ID!$A$85=L102,M102,"")</f>
        <v/>
      </c>
      <c r="O102" s="698" t="str">
        <f>IFERROR(SMALL($N$37:$N$237,ROWS($N$37:N102)),"")</f>
        <v/>
      </c>
    </row>
    <row r="103" spans="6:15" x14ac:dyDescent="0.2">
      <c r="F103" s="573"/>
      <c r="G103" s="573"/>
      <c r="H103" s="573"/>
      <c r="I103" s="573"/>
      <c r="J103" s="573"/>
      <c r="K103" s="573"/>
      <c r="L103" s="573"/>
      <c r="M103" s="1">
        <f>ROWS(L$37:$L103)</f>
        <v>67</v>
      </c>
      <c r="N103" s="698" t="str">
        <f>IF(ID!$A$85=L103,M103,"")</f>
        <v/>
      </c>
      <c r="O103" s="698" t="str">
        <f>IFERROR(SMALL($N$37:$N$237,ROWS($N$37:N103)),"")</f>
        <v/>
      </c>
    </row>
    <row r="104" spans="6:15" x14ac:dyDescent="0.2">
      <c r="F104" s="573"/>
      <c r="G104" s="573"/>
      <c r="H104" s="573"/>
      <c r="I104" s="573"/>
      <c r="J104" s="573"/>
      <c r="K104" s="573"/>
      <c r="L104" s="573"/>
      <c r="M104" s="1">
        <f>ROWS(L$37:$L104)</f>
        <v>68</v>
      </c>
      <c r="N104" s="698" t="str">
        <f>IF(ID!$A$85=L104,M104,"")</f>
        <v/>
      </c>
      <c r="O104" s="698" t="str">
        <f>IFERROR(SMALL($N$37:$N$237,ROWS($N$37:N104)),"")</f>
        <v/>
      </c>
    </row>
    <row r="105" spans="6:15" x14ac:dyDescent="0.2">
      <c r="F105" s="573"/>
      <c r="G105" s="573"/>
      <c r="H105" s="573"/>
      <c r="I105" s="573"/>
      <c r="J105" s="573"/>
      <c r="K105" s="573"/>
      <c r="L105" s="573"/>
      <c r="M105" s="1">
        <f>ROWS(L$37:$L105)</f>
        <v>69</v>
      </c>
      <c r="N105" s="698" t="str">
        <f>IF(ID!$A$85=L105,M105,"")</f>
        <v/>
      </c>
      <c r="O105" s="698" t="str">
        <f>IFERROR(SMALL($N$37:$N$237,ROWS($N$37:N105)),"")</f>
        <v/>
      </c>
    </row>
    <row r="106" spans="6:15" x14ac:dyDescent="0.2">
      <c r="F106" s="573"/>
      <c r="G106" s="573"/>
      <c r="H106" s="573"/>
      <c r="I106" s="573"/>
      <c r="J106" s="573"/>
      <c r="K106" s="573"/>
      <c r="L106" s="573"/>
      <c r="M106" s="1">
        <f>ROWS(L$37:$L106)</f>
        <v>70</v>
      </c>
      <c r="N106" s="698" t="str">
        <f>IF(ID!$A$85=L106,M106,"")</f>
        <v/>
      </c>
      <c r="O106" s="698" t="str">
        <f>IFERROR(SMALL($N$37:$N$237,ROWS($N$37:N106)),"")</f>
        <v/>
      </c>
    </row>
    <row r="107" spans="6:15" x14ac:dyDescent="0.2">
      <c r="F107" s="573"/>
      <c r="G107" s="573"/>
      <c r="H107" s="573"/>
      <c r="I107" s="573"/>
      <c r="J107" s="573"/>
      <c r="K107" s="573"/>
      <c r="L107" s="573"/>
      <c r="M107" s="1">
        <f>ROWS(L$37:$L107)</f>
        <v>71</v>
      </c>
      <c r="N107" s="698" t="str">
        <f>IF(ID!$A$85=L107,M107,"")</f>
        <v/>
      </c>
      <c r="O107" s="698" t="str">
        <f>IFERROR(SMALL($N$37:$N$237,ROWS($N$37:N107)),"")</f>
        <v/>
      </c>
    </row>
    <row r="108" spans="6:15" x14ac:dyDescent="0.2">
      <c r="F108" s="573"/>
      <c r="G108" s="573"/>
      <c r="H108" s="573"/>
      <c r="I108" s="573"/>
      <c r="J108" s="573"/>
      <c r="K108" s="573"/>
      <c r="L108" s="573"/>
      <c r="M108" s="1">
        <f>ROWS(L$37:$L108)</f>
        <v>72</v>
      </c>
      <c r="N108" s="698" t="str">
        <f>IF(ID!$A$85=L108,M108,"")</f>
        <v/>
      </c>
      <c r="O108" s="698" t="str">
        <f>IFERROR(SMALL($N$37:$N$237,ROWS($N$37:N108)),"")</f>
        <v/>
      </c>
    </row>
    <row r="109" spans="6:15" x14ac:dyDescent="0.2">
      <c r="F109" s="573"/>
      <c r="G109" s="573"/>
      <c r="H109" s="573"/>
      <c r="I109" s="573"/>
      <c r="J109" s="573"/>
      <c r="K109" s="573"/>
      <c r="L109" s="573"/>
      <c r="M109" s="1">
        <f>ROWS(L$37:$L109)</f>
        <v>73</v>
      </c>
      <c r="N109" s="698" t="str">
        <f>IF(ID!$A$85=L109,M109,"")</f>
        <v/>
      </c>
      <c r="O109" s="698" t="str">
        <f>IFERROR(SMALL($N$37:$N$237,ROWS($N$37:N109)),"")</f>
        <v/>
      </c>
    </row>
    <row r="110" spans="6:15" x14ac:dyDescent="0.2">
      <c r="F110" s="578"/>
      <c r="G110" s="578"/>
      <c r="H110" s="578"/>
      <c r="I110" s="578"/>
      <c r="J110" s="578"/>
      <c r="K110" s="578"/>
      <c r="L110" s="578"/>
      <c r="M110" s="1">
        <f>ROWS(L$37:$L110)</f>
        <v>74</v>
      </c>
      <c r="N110" s="698" t="str">
        <f>IF(ID!$A$85=L110,M110,"")</f>
        <v/>
      </c>
      <c r="O110" s="698" t="str">
        <f>IFERROR(SMALL($N$37:$N$237,ROWS($N$37:N110)),"")</f>
        <v/>
      </c>
    </row>
    <row r="111" spans="6:15" x14ac:dyDescent="0.2">
      <c r="F111" s="573"/>
      <c r="G111" s="573"/>
      <c r="H111" s="573"/>
      <c r="I111" s="573"/>
      <c r="J111" s="573"/>
      <c r="K111" s="573"/>
      <c r="L111" s="573"/>
      <c r="M111" s="1">
        <f>ROWS(L$37:$L111)</f>
        <v>75</v>
      </c>
      <c r="N111" s="698" t="str">
        <f>IF(ID!$A$85=L111,M111,"")</f>
        <v/>
      </c>
      <c r="O111" s="698" t="str">
        <f>IFERROR(SMALL($N$37:$N$237,ROWS($N$37:N111)),"")</f>
        <v/>
      </c>
    </row>
    <row r="112" spans="6:15" x14ac:dyDescent="0.2">
      <c r="F112" s="890"/>
      <c r="G112" s="977" t="s">
        <v>443</v>
      </c>
      <c r="H112" s="890">
        <v>0</v>
      </c>
      <c r="I112" s="1078">
        <v>0</v>
      </c>
      <c r="J112" s="890"/>
      <c r="K112" s="1114" t="s">
        <v>324</v>
      </c>
      <c r="L112" s="1121" t="s">
        <v>281</v>
      </c>
      <c r="M112" s="1">
        <f>ROWS(L$37:$L112)</f>
        <v>76</v>
      </c>
      <c r="N112" s="698" t="str">
        <f>IF(ID!$A$85=L112,M112,"")</f>
        <v/>
      </c>
      <c r="O112" s="698" t="str">
        <f>IFERROR(SMALL($N$37:$N$237,ROWS($N$37:N112)),"")</f>
        <v/>
      </c>
    </row>
    <row r="113" spans="6:15" x14ac:dyDescent="0.2">
      <c r="F113" s="890"/>
      <c r="G113" s="890"/>
      <c r="H113" s="890">
        <v>60</v>
      </c>
      <c r="I113" s="1078">
        <v>0</v>
      </c>
      <c r="J113" s="890"/>
      <c r="K113" s="890"/>
      <c r="L113" s="1121" t="s">
        <v>281</v>
      </c>
      <c r="M113" s="1">
        <f>ROWS(L$37:$L113)</f>
        <v>77</v>
      </c>
      <c r="N113" s="698" t="str">
        <f>IF(ID!$A$85=L113,M113,"")</f>
        <v/>
      </c>
      <c r="O113" s="698" t="str">
        <f>IFERROR(SMALL($N$37:$N$237,ROWS($N$37:N113)),"")</f>
        <v/>
      </c>
    </row>
    <row r="114" spans="6:15" x14ac:dyDescent="0.2">
      <c r="F114" s="890"/>
      <c r="G114" s="890"/>
      <c r="H114" s="890">
        <v>300</v>
      </c>
      <c r="I114" s="1078">
        <v>0</v>
      </c>
      <c r="J114" s="890"/>
      <c r="K114" s="890"/>
      <c r="L114" s="1121" t="s">
        <v>281</v>
      </c>
      <c r="M114" s="1">
        <f>ROWS(L$37:$L114)</f>
        <v>78</v>
      </c>
      <c r="N114" s="698" t="str">
        <f>IF(ID!$A$85=L114,M114,"")</f>
        <v/>
      </c>
      <c r="O114" s="698" t="str">
        <f>IFERROR(SMALL($N$37:$N$237,ROWS($N$37:N114)),"")</f>
        <v/>
      </c>
    </row>
    <row r="115" spans="6:15" x14ac:dyDescent="0.2">
      <c r="F115" s="573"/>
      <c r="G115" s="573"/>
      <c r="H115" s="573"/>
      <c r="I115" s="573"/>
      <c r="J115" s="573"/>
      <c r="K115" s="573"/>
      <c r="L115" s="573"/>
      <c r="M115" s="1">
        <f>ROWS(L$37:$L115)</f>
        <v>79</v>
      </c>
      <c r="N115" s="698" t="str">
        <f>IF(ID!$A$85=L115,M115,"")</f>
        <v/>
      </c>
      <c r="O115" s="698" t="str">
        <f>IFERROR(SMALL($N$37:$N$237,ROWS($N$37:N115)),"")</f>
        <v/>
      </c>
    </row>
    <row r="116" spans="6:15" x14ac:dyDescent="0.2">
      <c r="F116" s="573"/>
      <c r="G116" s="573"/>
      <c r="H116" s="573"/>
      <c r="I116" s="573"/>
      <c r="J116" s="573"/>
      <c r="K116" s="573"/>
      <c r="L116" s="573"/>
      <c r="M116" s="1">
        <f>ROWS(L$37:$L116)</f>
        <v>80</v>
      </c>
      <c r="N116" s="698" t="str">
        <f>IF(ID!$A$85=L116,M116,"")</f>
        <v/>
      </c>
      <c r="O116" s="698" t="str">
        <f>IFERROR(SMALL($N$37:$N$237,ROWS($N$37:N116)),"")</f>
        <v/>
      </c>
    </row>
    <row r="117" spans="6:15" x14ac:dyDescent="0.2">
      <c r="F117" s="573"/>
      <c r="G117" s="573"/>
      <c r="H117" s="573"/>
      <c r="I117" s="573"/>
      <c r="J117" s="573"/>
      <c r="K117" s="573"/>
      <c r="L117" s="573"/>
      <c r="M117" s="1">
        <f>ROWS(L$37:$L117)</f>
        <v>81</v>
      </c>
      <c r="N117" s="698" t="str">
        <f>IF(ID!$A$85=L117,M117,"")</f>
        <v/>
      </c>
      <c r="O117" s="698" t="str">
        <f>IFERROR(SMALL($N$37:$N$237,ROWS($N$37:N117)),"")</f>
        <v/>
      </c>
    </row>
    <row r="118" spans="6:15" x14ac:dyDescent="0.2">
      <c r="F118" s="573"/>
      <c r="G118" s="573"/>
      <c r="H118" s="573"/>
      <c r="I118" s="573"/>
      <c r="J118" s="573"/>
      <c r="K118" s="573"/>
      <c r="L118" s="573"/>
      <c r="M118" s="1">
        <f>ROWS(L$37:$L118)</f>
        <v>82</v>
      </c>
      <c r="N118" s="698" t="str">
        <f>IF(ID!$A$85=L118,M118,"")</f>
        <v/>
      </c>
      <c r="O118" s="698" t="str">
        <f>IFERROR(SMALL($N$37:$N$237,ROWS($N$37:N118)),"")</f>
        <v/>
      </c>
    </row>
    <row r="119" spans="6:15" x14ac:dyDescent="0.2">
      <c r="F119" s="573"/>
      <c r="G119" s="573"/>
      <c r="H119" s="573"/>
      <c r="I119" s="573"/>
      <c r="J119" s="573"/>
      <c r="K119" s="573"/>
      <c r="L119" s="573"/>
      <c r="M119" s="1">
        <f>ROWS(L$37:$L119)</f>
        <v>83</v>
      </c>
      <c r="N119" s="698" t="str">
        <f>IF(ID!$A$85=L119,M119,"")</f>
        <v/>
      </c>
      <c r="O119" s="698" t="str">
        <f>IFERROR(SMALL($N$37:$N$237,ROWS($N$37:N119)),"")</f>
        <v/>
      </c>
    </row>
    <row r="120" spans="6:15" x14ac:dyDescent="0.2">
      <c r="F120" s="573"/>
      <c r="G120" s="573"/>
      <c r="H120" s="573"/>
      <c r="I120" s="573"/>
      <c r="J120" s="573"/>
      <c r="K120" s="573"/>
      <c r="L120" s="573"/>
      <c r="M120" s="1">
        <f>ROWS(L$37:$L120)</f>
        <v>84</v>
      </c>
      <c r="N120" s="698" t="str">
        <f>IF(ID!$A$85=L120,M120,"")</f>
        <v/>
      </c>
      <c r="O120" s="698" t="str">
        <f>IFERROR(SMALL($N$37:$N$237,ROWS($N$37:N120)),"")</f>
        <v/>
      </c>
    </row>
    <row r="121" spans="6:15" x14ac:dyDescent="0.2">
      <c r="F121" s="573"/>
      <c r="G121" s="573"/>
      <c r="H121" s="573"/>
      <c r="I121" s="573"/>
      <c r="J121" s="573"/>
      <c r="K121" s="573"/>
      <c r="L121" s="573"/>
      <c r="M121" s="1">
        <f>ROWS(L$37:$L121)</f>
        <v>85</v>
      </c>
      <c r="N121" s="698" t="str">
        <f>IF(ID!$A$85=L121,M121,"")</f>
        <v/>
      </c>
      <c r="O121" s="698" t="str">
        <f>IFERROR(SMALL($N$37:$N$237,ROWS($N$37:N121)),"")</f>
        <v/>
      </c>
    </row>
    <row r="122" spans="6:15" x14ac:dyDescent="0.2">
      <c r="F122" s="578"/>
      <c r="G122" s="578"/>
      <c r="H122" s="578"/>
      <c r="I122" s="578"/>
      <c r="J122" s="578"/>
      <c r="K122" s="578"/>
      <c r="L122" s="578"/>
      <c r="M122" s="1">
        <f>ROWS(L$37:$L122)</f>
        <v>86</v>
      </c>
      <c r="N122" s="698" t="str">
        <f>IF(ID!$A$85=L122,M122,"")</f>
        <v/>
      </c>
      <c r="O122" s="698" t="str">
        <f>IFERROR(SMALL($N$37:$N$237,ROWS($N$37:N122)),"")</f>
        <v/>
      </c>
    </row>
    <row r="123" spans="6:15" x14ac:dyDescent="0.2">
      <c r="F123" s="573"/>
      <c r="G123" s="573"/>
      <c r="H123" s="573"/>
      <c r="I123" s="573"/>
      <c r="J123" s="573"/>
      <c r="K123" s="573"/>
      <c r="L123" s="573"/>
      <c r="M123" s="1">
        <f>ROWS(L$37:$L123)</f>
        <v>87</v>
      </c>
      <c r="N123" s="698" t="str">
        <f>IF(ID!$A$85=L123,M123,"")</f>
        <v/>
      </c>
      <c r="O123" s="698" t="str">
        <f>IFERROR(SMALL($N$37:$N$237,ROWS($N$37:N123)),"")</f>
        <v/>
      </c>
    </row>
    <row r="124" spans="6:15" x14ac:dyDescent="0.2">
      <c r="F124" s="890"/>
      <c r="G124" s="977" t="s">
        <v>779</v>
      </c>
      <c r="H124" s="890">
        <v>0</v>
      </c>
      <c r="I124" s="890">
        <v>0</v>
      </c>
      <c r="J124" s="890"/>
      <c r="K124" s="1114" t="s">
        <v>324</v>
      </c>
      <c r="L124" s="1121" t="s">
        <v>282</v>
      </c>
      <c r="M124" s="1">
        <f>ROWS(L$37:$L124)</f>
        <v>88</v>
      </c>
      <c r="N124" s="698" t="str">
        <f>IF(ID!$A$85=L124,M124,"")</f>
        <v/>
      </c>
      <c r="O124" s="698" t="str">
        <f>IFERROR(SMALL($N$37:$N$237,ROWS($N$37:N124)),"")</f>
        <v/>
      </c>
    </row>
    <row r="125" spans="6:15" x14ac:dyDescent="0.2">
      <c r="F125" s="890"/>
      <c r="G125" s="890"/>
      <c r="H125" s="890">
        <v>60</v>
      </c>
      <c r="I125" s="890">
        <v>-0.02</v>
      </c>
      <c r="J125" s="890"/>
      <c r="K125" s="890"/>
      <c r="L125" s="1121" t="s">
        <v>282</v>
      </c>
      <c r="M125" s="1">
        <f>ROWS(L$37:$L125)</f>
        <v>89</v>
      </c>
      <c r="N125" s="698" t="str">
        <f>IF(ID!$A$85=L125,M125,"")</f>
        <v/>
      </c>
      <c r="O125" s="698" t="str">
        <f>IFERROR(SMALL($N$37:$N$237,ROWS($N$37:N125)),"")</f>
        <v/>
      </c>
    </row>
    <row r="126" spans="6:15" x14ac:dyDescent="0.2">
      <c r="F126" s="890"/>
      <c r="G126" s="890"/>
      <c r="H126" s="890">
        <v>300</v>
      </c>
      <c r="I126" s="890">
        <v>-0.01</v>
      </c>
      <c r="J126" s="890"/>
      <c r="K126" s="890"/>
      <c r="L126" s="1121" t="s">
        <v>282</v>
      </c>
      <c r="M126" s="1">
        <f>ROWS(L$37:$L126)</f>
        <v>90</v>
      </c>
      <c r="N126" s="698" t="str">
        <f>IF(ID!$A$85=L126,M126,"")</f>
        <v/>
      </c>
      <c r="O126" s="698" t="str">
        <f>IFERROR(SMALL($N$37:$N$237,ROWS($N$37:N126)),"")</f>
        <v/>
      </c>
    </row>
    <row r="127" spans="6:15" x14ac:dyDescent="0.2">
      <c r="F127" s="573"/>
      <c r="G127" s="573"/>
      <c r="H127" s="573"/>
      <c r="I127" s="573"/>
      <c r="J127" s="573"/>
      <c r="K127" s="573"/>
      <c r="L127" s="573"/>
      <c r="M127" s="1">
        <f>ROWS(L$37:$L127)</f>
        <v>91</v>
      </c>
      <c r="N127" s="698" t="str">
        <f>IF(ID!$A$85=L127,M127,"")</f>
        <v/>
      </c>
      <c r="O127" s="698" t="str">
        <f>IFERROR(SMALL($N$37:$N$237,ROWS($N$37:N127)),"")</f>
        <v/>
      </c>
    </row>
    <row r="128" spans="6:15" x14ac:dyDescent="0.2">
      <c r="F128" s="573"/>
      <c r="G128" s="573"/>
      <c r="H128" s="573"/>
      <c r="I128" s="573"/>
      <c r="J128" s="573"/>
      <c r="K128" s="573"/>
      <c r="L128" s="573"/>
      <c r="M128" s="1">
        <f>ROWS(L$37:$L128)</f>
        <v>92</v>
      </c>
      <c r="N128" s="698" t="str">
        <f>IF(ID!$A$85=L128,M128,"")</f>
        <v/>
      </c>
      <c r="O128" s="698" t="str">
        <f>IFERROR(SMALL($N$37:$N$237,ROWS($N$37:N128)),"")</f>
        <v/>
      </c>
    </row>
    <row r="129" spans="6:15" x14ac:dyDescent="0.2">
      <c r="F129" s="573"/>
      <c r="G129" s="573"/>
      <c r="H129" s="573"/>
      <c r="I129" s="573"/>
      <c r="J129" s="573"/>
      <c r="K129" s="573"/>
      <c r="L129" s="573"/>
      <c r="M129" s="1">
        <f>ROWS(L$37:$L129)</f>
        <v>93</v>
      </c>
      <c r="N129" s="698" t="str">
        <f>IF(ID!$A$85=L129,M129,"")</f>
        <v/>
      </c>
      <c r="O129" s="698" t="str">
        <f>IFERROR(SMALL($N$37:$N$237,ROWS($N$37:N129)),"")</f>
        <v/>
      </c>
    </row>
    <row r="130" spans="6:15" x14ac:dyDescent="0.2">
      <c r="F130" s="573"/>
      <c r="G130" s="573"/>
      <c r="H130" s="573"/>
      <c r="I130" s="573"/>
      <c r="J130" s="573"/>
      <c r="K130" s="573"/>
      <c r="L130" s="573"/>
      <c r="M130" s="1">
        <f>ROWS(L$37:$L130)</f>
        <v>94</v>
      </c>
      <c r="N130" s="698" t="str">
        <f>IF(ID!$A$85=L130,M130,"")</f>
        <v/>
      </c>
      <c r="O130" s="698" t="str">
        <f>IFERROR(SMALL($N$37:$N$237,ROWS($N$37:N130)),"")</f>
        <v/>
      </c>
    </row>
    <row r="131" spans="6:15" x14ac:dyDescent="0.2">
      <c r="F131" s="573"/>
      <c r="G131" s="573"/>
      <c r="H131" s="573"/>
      <c r="I131" s="573"/>
      <c r="J131" s="573"/>
      <c r="K131" s="573"/>
      <c r="L131" s="573"/>
      <c r="M131" s="1">
        <f>ROWS(L$37:$L131)</f>
        <v>95</v>
      </c>
      <c r="N131" s="698" t="str">
        <f>IF(ID!$A$85=L131,M131,"")</f>
        <v/>
      </c>
      <c r="O131" s="698" t="str">
        <f>IFERROR(SMALL($N$37:$N$237,ROWS($N$37:N131)),"")</f>
        <v/>
      </c>
    </row>
    <row r="132" spans="6:15" x14ac:dyDescent="0.2">
      <c r="F132" s="573"/>
      <c r="G132" s="573"/>
      <c r="H132" s="573"/>
      <c r="I132" s="573"/>
      <c r="J132" s="573"/>
      <c r="K132" s="573"/>
      <c r="L132" s="573"/>
      <c r="M132" s="1">
        <f>ROWS(L$37:$L132)</f>
        <v>96</v>
      </c>
      <c r="N132" s="698" t="str">
        <f>IF(ID!$A$85=L132,M132,"")</f>
        <v/>
      </c>
      <c r="O132" s="698" t="str">
        <f>IFERROR(SMALL($N$37:$N$237,ROWS($N$37:N132)),"")</f>
        <v/>
      </c>
    </row>
    <row r="133" spans="6:15" x14ac:dyDescent="0.2">
      <c r="F133" s="578"/>
      <c r="G133" s="578"/>
      <c r="H133" s="578"/>
      <c r="I133" s="578"/>
      <c r="J133" s="578"/>
      <c r="K133" s="578"/>
      <c r="L133" s="578"/>
      <c r="M133" s="1">
        <f>ROWS(L$37:$L133)</f>
        <v>97</v>
      </c>
      <c r="N133" s="698" t="str">
        <f>IF(ID!$A$85=L133,M133,"")</f>
        <v/>
      </c>
      <c r="O133" s="698" t="str">
        <f>IFERROR(SMALL($N$37:$N$237,ROWS($N$37:N133)),"")</f>
        <v/>
      </c>
    </row>
    <row r="134" spans="6:15" x14ac:dyDescent="0.2">
      <c r="F134" s="573"/>
      <c r="G134" s="573"/>
      <c r="H134" s="573"/>
      <c r="I134" s="573"/>
      <c r="J134" s="573"/>
      <c r="K134" s="573"/>
      <c r="L134" s="573"/>
      <c r="M134" s="1">
        <f>ROWS(L$37:$L134)</f>
        <v>98</v>
      </c>
      <c r="N134" s="698" t="str">
        <f>IF(ID!$A$85=L134,M134,"")</f>
        <v/>
      </c>
      <c r="O134" s="698" t="str">
        <f>IFERROR(SMALL($N$37:$N$237,ROWS($N$37:N134)),"")</f>
        <v/>
      </c>
    </row>
    <row r="135" spans="6:15" x14ac:dyDescent="0.2">
      <c r="F135" s="890"/>
      <c r="G135" s="977" t="s">
        <v>779</v>
      </c>
      <c r="H135" s="890">
        <v>0</v>
      </c>
      <c r="I135" s="890">
        <v>0</v>
      </c>
      <c r="J135" s="890"/>
      <c r="K135" s="1114" t="s">
        <v>324</v>
      </c>
      <c r="L135" s="1121" t="s">
        <v>280</v>
      </c>
      <c r="M135" s="1">
        <f>ROWS(L$37:$L135)</f>
        <v>99</v>
      </c>
      <c r="N135" s="698" t="str">
        <f>IF(ID!$A$85=L135,M135,"")</f>
        <v/>
      </c>
      <c r="O135" s="698" t="str">
        <f>IFERROR(SMALL($N$37:$N$237,ROWS($N$37:N135)),"")</f>
        <v/>
      </c>
    </row>
    <row r="136" spans="6:15" x14ac:dyDescent="0.2">
      <c r="F136" s="890"/>
      <c r="G136" s="890"/>
      <c r="H136" s="890">
        <v>60</v>
      </c>
      <c r="I136" s="890">
        <v>0.01</v>
      </c>
      <c r="J136" s="890"/>
      <c r="K136" s="890"/>
      <c r="L136" s="1121" t="s">
        <v>280</v>
      </c>
      <c r="M136" s="1">
        <f>ROWS(L$37:$L136)</f>
        <v>100</v>
      </c>
      <c r="N136" s="698" t="str">
        <f>IF(ID!$A$85=L136,M136,"")</f>
        <v/>
      </c>
      <c r="O136" s="698" t="str">
        <f>IFERROR(SMALL($N$37:$N$237,ROWS($N$37:N136)),"")</f>
        <v/>
      </c>
    </row>
    <row r="137" spans="6:15" x14ac:dyDescent="0.2">
      <c r="F137" s="890"/>
      <c r="G137" s="890"/>
      <c r="H137" s="890">
        <v>300</v>
      </c>
      <c r="I137" s="890">
        <v>0.01</v>
      </c>
      <c r="J137" s="890"/>
      <c r="K137" s="890"/>
      <c r="L137" s="1121" t="s">
        <v>280</v>
      </c>
      <c r="M137" s="1">
        <f>ROWS(L$37:$L137)</f>
        <v>101</v>
      </c>
      <c r="N137" s="698" t="str">
        <f>IF(ID!$A$85=L137,M137,"")</f>
        <v/>
      </c>
      <c r="O137" s="698" t="str">
        <f>IFERROR(SMALL($N$37:$N$237,ROWS($N$37:N137)),"")</f>
        <v/>
      </c>
    </row>
    <row r="138" spans="6:15" x14ac:dyDescent="0.2">
      <c r="F138" s="573"/>
      <c r="G138" s="573"/>
      <c r="H138" s="573"/>
      <c r="I138" s="573"/>
      <c r="J138" s="573"/>
      <c r="K138" s="573"/>
      <c r="L138" s="573"/>
      <c r="M138" s="1">
        <f>ROWS(L$37:$L138)</f>
        <v>102</v>
      </c>
      <c r="N138" s="698" t="str">
        <f>IF(ID!$A$85=L138,M138,"")</f>
        <v/>
      </c>
      <c r="O138" s="698" t="str">
        <f>IFERROR(SMALL($N$37:$N$237,ROWS($N$37:N138)),"")</f>
        <v/>
      </c>
    </row>
    <row r="139" spans="6:15" x14ac:dyDescent="0.2">
      <c r="F139" s="573"/>
      <c r="G139" s="573"/>
      <c r="H139" s="573"/>
      <c r="I139" s="573"/>
      <c r="J139" s="573"/>
      <c r="K139" s="573"/>
      <c r="L139" s="573"/>
      <c r="M139" s="1">
        <f>ROWS(L$37:$L139)</f>
        <v>103</v>
      </c>
      <c r="N139" s="698" t="str">
        <f>IF(ID!$A$85=L139,M139,"")</f>
        <v/>
      </c>
      <c r="O139" s="698" t="str">
        <f>IFERROR(SMALL($N$37:$N$237,ROWS($N$37:N139)),"")</f>
        <v/>
      </c>
    </row>
    <row r="140" spans="6:15" x14ac:dyDescent="0.2">
      <c r="F140" s="573"/>
      <c r="G140" s="573"/>
      <c r="H140" s="573"/>
      <c r="I140" s="573"/>
      <c r="J140" s="573"/>
      <c r="K140" s="573"/>
      <c r="L140" s="573"/>
      <c r="M140" s="1">
        <f>ROWS(L$37:$L140)</f>
        <v>104</v>
      </c>
      <c r="N140" s="698" t="str">
        <f>IF(ID!$A$85=L140,M140,"")</f>
        <v/>
      </c>
      <c r="O140" s="698" t="str">
        <f>IFERROR(SMALL($N$37:$N$237,ROWS($N$37:N140)),"")</f>
        <v/>
      </c>
    </row>
    <row r="141" spans="6:15" x14ac:dyDescent="0.2">
      <c r="F141" s="573"/>
      <c r="G141" s="573"/>
      <c r="H141" s="573"/>
      <c r="I141" s="573"/>
      <c r="J141" s="573"/>
      <c r="K141" s="573"/>
      <c r="L141" s="573"/>
      <c r="M141" s="1">
        <f>ROWS(L$37:$L141)</f>
        <v>105</v>
      </c>
      <c r="N141" s="698" t="str">
        <f>IF(ID!$A$85=L141,M141,"")</f>
        <v/>
      </c>
      <c r="O141" s="698" t="str">
        <f>IFERROR(SMALL($N$37:$N$237,ROWS($N$37:N141)),"")</f>
        <v/>
      </c>
    </row>
    <row r="142" spans="6:15" x14ac:dyDescent="0.2">
      <c r="F142" s="573"/>
      <c r="G142" s="573"/>
      <c r="H142" s="573"/>
      <c r="I142" s="573"/>
      <c r="J142" s="573"/>
      <c r="K142" s="573"/>
      <c r="L142" s="573"/>
      <c r="M142" s="1">
        <f>ROWS(L$37:$L142)</f>
        <v>106</v>
      </c>
      <c r="N142" s="698" t="str">
        <f>IF(ID!$A$85=L142,M142,"")</f>
        <v/>
      </c>
      <c r="O142" s="698" t="str">
        <f>IFERROR(SMALL($N$37:$N$237,ROWS($N$37:N142)),"")</f>
        <v/>
      </c>
    </row>
    <row r="143" spans="6:15" x14ac:dyDescent="0.2">
      <c r="F143" s="573"/>
      <c r="G143" s="573"/>
      <c r="H143" s="573"/>
      <c r="I143" s="573"/>
      <c r="J143" s="573"/>
      <c r="K143" s="573"/>
      <c r="L143" s="573"/>
      <c r="M143" s="1">
        <f>ROWS(L$37:$L143)</f>
        <v>107</v>
      </c>
      <c r="N143" s="698" t="str">
        <f>IF(ID!$A$85=L143,M143,"")</f>
        <v/>
      </c>
      <c r="O143" s="698" t="str">
        <f>IFERROR(SMALL($N$37:$N$237,ROWS($N$37:N143)),"")</f>
        <v/>
      </c>
    </row>
    <row r="144" spans="6:15" x14ac:dyDescent="0.2">
      <c r="F144" s="578"/>
      <c r="G144" s="578"/>
      <c r="H144" s="578"/>
      <c r="I144" s="578"/>
      <c r="J144" s="578"/>
      <c r="K144" s="578"/>
      <c r="L144" s="578"/>
      <c r="M144" s="1">
        <f>ROWS(L$37:$L144)</f>
        <v>108</v>
      </c>
      <c r="N144" s="698" t="str">
        <f>IF(ID!$A$85=L144,M144,"")</f>
        <v/>
      </c>
      <c r="O144" s="698" t="str">
        <f>IFERROR(SMALL($N$37:$N$237,ROWS($N$37:N144)),"")</f>
        <v/>
      </c>
    </row>
    <row r="145" spans="6:15" x14ac:dyDescent="0.2">
      <c r="F145" s="573"/>
      <c r="G145" s="573"/>
      <c r="H145" s="573"/>
      <c r="I145" s="573"/>
      <c r="J145" s="573"/>
      <c r="K145" s="573"/>
      <c r="L145" s="573"/>
      <c r="M145" s="1">
        <f>ROWS(L$37:$L145)</f>
        <v>109</v>
      </c>
      <c r="N145" s="698" t="str">
        <f>IF(ID!$A$85=L145,M145,"")</f>
        <v/>
      </c>
      <c r="O145" s="698" t="str">
        <f>IFERROR(SMALL($N$37:$N$237,ROWS($N$37:N145)),"")</f>
        <v/>
      </c>
    </row>
    <row r="146" spans="6:15" x14ac:dyDescent="0.2">
      <c r="F146" s="890"/>
      <c r="G146" s="977" t="s">
        <v>779</v>
      </c>
      <c r="H146" s="890">
        <v>0</v>
      </c>
      <c r="I146" s="890">
        <v>0</v>
      </c>
      <c r="J146" s="890"/>
      <c r="K146" s="1114" t="s">
        <v>324</v>
      </c>
      <c r="L146" s="1121" t="s">
        <v>283</v>
      </c>
      <c r="M146" s="1">
        <f>ROWS(L$37:$L146)</f>
        <v>110</v>
      </c>
      <c r="N146" s="698" t="str">
        <f>IF(ID!$A$85=L146,M146,"")</f>
        <v/>
      </c>
      <c r="O146" s="698" t="str">
        <f>IFERROR(SMALL($N$37:$N$237,ROWS($N$37:N146)),"")</f>
        <v/>
      </c>
    </row>
    <row r="147" spans="6:15" x14ac:dyDescent="0.2">
      <c r="F147" s="890"/>
      <c r="G147" s="890"/>
      <c r="H147" s="890">
        <v>60</v>
      </c>
      <c r="I147" s="890">
        <v>0</v>
      </c>
      <c r="J147" s="890"/>
      <c r="K147" s="890"/>
      <c r="L147" s="1121" t="s">
        <v>283</v>
      </c>
      <c r="M147" s="1">
        <f>ROWS(L$37:$L147)</f>
        <v>111</v>
      </c>
      <c r="N147" s="698" t="str">
        <f>IF(ID!$A$85=L147,M147,"")</f>
        <v/>
      </c>
      <c r="O147" s="698" t="str">
        <f>IFERROR(SMALL($N$37:$N$237,ROWS($N$37:N147)),"")</f>
        <v/>
      </c>
    </row>
    <row r="148" spans="6:15" x14ac:dyDescent="0.2">
      <c r="F148" s="890"/>
      <c r="G148" s="890"/>
      <c r="H148" s="890">
        <v>300</v>
      </c>
      <c r="I148" s="890">
        <v>0.01</v>
      </c>
      <c r="J148" s="890"/>
      <c r="K148" s="890"/>
      <c r="L148" s="1121" t="s">
        <v>283</v>
      </c>
      <c r="M148" s="1">
        <f>ROWS(L$37:$L148)</f>
        <v>112</v>
      </c>
      <c r="N148" s="698" t="str">
        <f>IF(ID!$A$85=L148,M148,"")</f>
        <v/>
      </c>
      <c r="O148" s="698" t="str">
        <f>IFERROR(SMALL($N$37:$N$237,ROWS($N$37:N148)),"")</f>
        <v/>
      </c>
    </row>
    <row r="149" spans="6:15" x14ac:dyDescent="0.2">
      <c r="F149" s="573"/>
      <c r="G149" s="573"/>
      <c r="H149" s="573"/>
      <c r="I149" s="573"/>
      <c r="J149" s="573"/>
      <c r="K149" s="573"/>
      <c r="L149" s="573"/>
      <c r="M149" s="1">
        <f>ROWS(L$37:$L149)</f>
        <v>113</v>
      </c>
      <c r="N149" s="698" t="str">
        <f>IF(ID!$A$85=L149,M149,"")</f>
        <v/>
      </c>
      <c r="O149" s="698" t="str">
        <f>IFERROR(SMALL($N$37:$N$237,ROWS($N$37:N149)),"")</f>
        <v/>
      </c>
    </row>
    <row r="150" spans="6:15" x14ac:dyDescent="0.2">
      <c r="F150" s="573"/>
      <c r="G150" s="573"/>
      <c r="H150" s="573"/>
      <c r="I150" s="573"/>
      <c r="J150" s="573"/>
      <c r="K150" s="573"/>
      <c r="L150" s="573"/>
      <c r="M150" s="1">
        <f>ROWS(L$37:$L150)</f>
        <v>114</v>
      </c>
      <c r="N150" s="698" t="str">
        <f>IF(ID!$A$85=L150,M150,"")</f>
        <v/>
      </c>
      <c r="O150" s="698" t="str">
        <f>IFERROR(SMALL($N$37:$N$237,ROWS($N$37:N150)),"")</f>
        <v/>
      </c>
    </row>
    <row r="151" spans="6:15" x14ac:dyDescent="0.2">
      <c r="F151" s="573"/>
      <c r="G151" s="573"/>
      <c r="H151" s="573"/>
      <c r="I151" s="573"/>
      <c r="J151" s="573"/>
      <c r="K151" s="573"/>
      <c r="L151" s="573"/>
      <c r="M151" s="1">
        <f>ROWS(L$37:$L151)</f>
        <v>115</v>
      </c>
      <c r="N151" s="698" t="str">
        <f>IF(ID!$A$85=L151,M151,"")</f>
        <v/>
      </c>
      <c r="O151" s="698" t="str">
        <f>IFERROR(SMALL($N$37:$N$237,ROWS($N$37:N151)),"")</f>
        <v/>
      </c>
    </row>
    <row r="152" spans="6:15" x14ac:dyDescent="0.2">
      <c r="F152" s="573"/>
      <c r="G152" s="573"/>
      <c r="H152" s="573"/>
      <c r="I152" s="573"/>
      <c r="J152" s="573"/>
      <c r="K152" s="573"/>
      <c r="L152" s="573"/>
      <c r="M152" s="1">
        <f>ROWS(L$37:$L152)</f>
        <v>116</v>
      </c>
      <c r="N152" s="698" t="str">
        <f>IF(ID!$A$85=L152,M152,"")</f>
        <v/>
      </c>
      <c r="O152" s="698" t="str">
        <f>IFERROR(SMALL($N$37:$N$237,ROWS($N$37:N152)),"")</f>
        <v/>
      </c>
    </row>
    <row r="153" spans="6:15" x14ac:dyDescent="0.2">
      <c r="F153" s="573"/>
      <c r="G153" s="573"/>
      <c r="H153" s="573"/>
      <c r="I153" s="573"/>
      <c r="J153" s="573"/>
      <c r="K153" s="573"/>
      <c r="L153" s="573"/>
      <c r="M153" s="1">
        <f>ROWS(L$37:$L153)</f>
        <v>117</v>
      </c>
      <c r="N153" s="698" t="str">
        <f>IF(ID!$A$85=L153,M153,"")</f>
        <v/>
      </c>
      <c r="O153" s="698" t="str">
        <f>IFERROR(SMALL($N$37:$N$237,ROWS($N$37:N153)),"")</f>
        <v/>
      </c>
    </row>
    <row r="154" spans="6:15" x14ac:dyDescent="0.2">
      <c r="F154" s="573"/>
      <c r="G154" s="573"/>
      <c r="H154" s="573"/>
      <c r="I154" s="573"/>
      <c r="J154" s="573"/>
      <c r="K154" s="573"/>
      <c r="L154" s="573"/>
      <c r="M154" s="1">
        <f>ROWS(L$37:$L154)</f>
        <v>118</v>
      </c>
      <c r="N154" s="698" t="str">
        <f>IF(ID!$A$85=L154,M154,"")</f>
        <v/>
      </c>
      <c r="O154" s="698" t="str">
        <f>IFERROR(SMALL($N$37:$N$237,ROWS($N$37:N154)),"")</f>
        <v/>
      </c>
    </row>
    <row r="155" spans="6:15" x14ac:dyDescent="0.2">
      <c r="F155" s="573"/>
      <c r="G155" s="573"/>
      <c r="H155" s="573"/>
      <c r="I155" s="573"/>
      <c r="J155" s="573"/>
      <c r="K155" s="573"/>
      <c r="L155" s="573"/>
      <c r="M155" s="1">
        <f>ROWS(L$37:$L155)</f>
        <v>119</v>
      </c>
      <c r="N155" s="698" t="str">
        <f>IF(ID!$A$85=L155,M155,"")</f>
        <v/>
      </c>
      <c r="O155" s="698" t="str">
        <f>IFERROR(SMALL($N$37:$N$237,ROWS($N$37:N155)),"")</f>
        <v/>
      </c>
    </row>
    <row r="156" spans="6:15" x14ac:dyDescent="0.2">
      <c r="F156" s="578"/>
      <c r="G156" s="578"/>
      <c r="H156" s="578"/>
      <c r="I156" s="578"/>
      <c r="J156" s="578"/>
      <c r="K156" s="578"/>
      <c r="L156" s="578"/>
      <c r="M156" s="1">
        <f>ROWS(L$37:$L156)</f>
        <v>120</v>
      </c>
      <c r="N156" s="698" t="str">
        <f>IF(ID!$A$85=L156,M156,"")</f>
        <v/>
      </c>
      <c r="O156" s="698" t="str">
        <f>IFERROR(SMALL($N$37:$N$237,ROWS($N$37:N156)),"")</f>
        <v/>
      </c>
    </row>
    <row r="157" spans="6:15" x14ac:dyDescent="0.2">
      <c r="F157" s="573"/>
      <c r="G157" s="573"/>
      <c r="H157" s="573"/>
      <c r="I157" s="573"/>
      <c r="J157" s="573"/>
      <c r="K157" s="573"/>
      <c r="L157" s="573"/>
      <c r="M157" s="1">
        <f>ROWS(L$37:$L157)</f>
        <v>121</v>
      </c>
      <c r="N157" s="698" t="str">
        <f>IF(ID!$A$85=L157,M157,"")</f>
        <v/>
      </c>
      <c r="O157" s="698" t="str">
        <f>IFERROR(SMALL($N$37:$N$237,ROWS($N$37:N157)),"")</f>
        <v/>
      </c>
    </row>
    <row r="158" spans="6:15" x14ac:dyDescent="0.2">
      <c r="F158" s="890"/>
      <c r="G158" s="977" t="s">
        <v>779</v>
      </c>
      <c r="H158" s="890">
        <v>0</v>
      </c>
      <c r="I158" s="1078">
        <v>0</v>
      </c>
      <c r="J158" s="890"/>
      <c r="K158" s="1114" t="s">
        <v>324</v>
      </c>
      <c r="L158" s="1121" t="s">
        <v>288</v>
      </c>
      <c r="M158" s="1">
        <f>ROWS(L$37:$L158)</f>
        <v>122</v>
      </c>
      <c r="N158" s="698" t="str">
        <f>IF(ID!$A$85=L158,M158,"")</f>
        <v/>
      </c>
      <c r="O158" s="698" t="str">
        <f>IFERROR(SMALL($N$37:$N$237,ROWS($N$37:N158)),"")</f>
        <v/>
      </c>
    </row>
    <row r="159" spans="6:15" x14ac:dyDescent="0.2">
      <c r="F159" s="890"/>
      <c r="G159" s="890"/>
      <c r="H159" s="890">
        <v>10</v>
      </c>
      <c r="I159" s="1078">
        <v>0</v>
      </c>
      <c r="J159" s="890"/>
      <c r="K159" s="890"/>
      <c r="L159" s="1121" t="s">
        <v>288</v>
      </c>
      <c r="M159" s="1">
        <f>ROWS(L$37:$L159)</f>
        <v>123</v>
      </c>
      <c r="N159" s="698" t="str">
        <f>IF(ID!$A$85=L159,M159,"")</f>
        <v/>
      </c>
      <c r="O159" s="698" t="str">
        <f>IFERROR(SMALL($N$37:$N$237,ROWS($N$37:N159)),"")</f>
        <v/>
      </c>
    </row>
    <row r="160" spans="6:15" x14ac:dyDescent="0.2">
      <c r="F160" s="890"/>
      <c r="G160" s="890"/>
      <c r="H160" s="890">
        <v>300</v>
      </c>
      <c r="I160" s="1078">
        <v>0</v>
      </c>
      <c r="J160" s="890"/>
      <c r="K160" s="890"/>
      <c r="L160" s="1121" t="s">
        <v>288</v>
      </c>
      <c r="M160" s="1">
        <f>ROWS(L$37:$L160)</f>
        <v>124</v>
      </c>
      <c r="N160" s="698" t="str">
        <f>IF(ID!$A$85=L160,M160,"")</f>
        <v/>
      </c>
      <c r="O160" s="698" t="str">
        <f>IFERROR(SMALL($N$37:$N$237,ROWS($N$37:N160)),"")</f>
        <v/>
      </c>
    </row>
    <row r="161" spans="6:15" x14ac:dyDescent="0.2">
      <c r="F161" s="573"/>
      <c r="G161" s="573"/>
      <c r="H161" s="573"/>
      <c r="I161" s="573"/>
      <c r="J161" s="573"/>
      <c r="K161" s="573"/>
      <c r="L161" s="573"/>
      <c r="M161" s="1">
        <f>ROWS(L$37:$L161)</f>
        <v>125</v>
      </c>
      <c r="N161" s="698" t="str">
        <f>IF(ID!$A$85=L161,M161,"")</f>
        <v/>
      </c>
      <c r="O161" s="698" t="str">
        <f>IFERROR(SMALL($N$37:$N$237,ROWS($N$37:N161)),"")</f>
        <v/>
      </c>
    </row>
    <row r="162" spans="6:15" x14ac:dyDescent="0.2">
      <c r="F162" s="573"/>
      <c r="G162" s="573"/>
      <c r="H162" s="573"/>
      <c r="I162" s="573"/>
      <c r="J162" s="573"/>
      <c r="K162" s="573"/>
      <c r="L162" s="573"/>
      <c r="M162" s="1">
        <f>ROWS(L$37:$L162)</f>
        <v>126</v>
      </c>
      <c r="N162" s="698" t="str">
        <f>IF(ID!$A$85=L162,M162,"")</f>
        <v/>
      </c>
      <c r="O162" s="698" t="str">
        <f>IFERROR(SMALL($N$37:$N$237,ROWS($N$37:N162)),"")</f>
        <v/>
      </c>
    </row>
    <row r="163" spans="6:15" x14ac:dyDescent="0.2">
      <c r="F163" s="573"/>
      <c r="G163" s="573"/>
      <c r="H163" s="573"/>
      <c r="I163" s="573"/>
      <c r="J163" s="573"/>
      <c r="K163" s="573"/>
      <c r="L163" s="573"/>
      <c r="M163" s="1">
        <f>ROWS(L$37:$L163)</f>
        <v>127</v>
      </c>
      <c r="N163" s="698" t="str">
        <f>IF(ID!$A$85=L163,M163,"")</f>
        <v/>
      </c>
      <c r="O163" s="698" t="str">
        <f>IFERROR(SMALL($N$37:$N$237,ROWS($N$37:N163)),"")</f>
        <v/>
      </c>
    </row>
    <row r="164" spans="6:15" x14ac:dyDescent="0.2">
      <c r="F164" s="573"/>
      <c r="G164" s="573"/>
      <c r="H164" s="573"/>
      <c r="I164" s="573"/>
      <c r="J164" s="573"/>
      <c r="K164" s="573"/>
      <c r="L164" s="573"/>
      <c r="M164" s="1">
        <f>ROWS(L$37:$L164)</f>
        <v>128</v>
      </c>
      <c r="N164" s="698" t="str">
        <f>IF(ID!$A$85=L164,M164,"")</f>
        <v/>
      </c>
      <c r="O164" s="698" t="str">
        <f>IFERROR(SMALL($N$37:$N$237,ROWS($N$37:N164)),"")</f>
        <v/>
      </c>
    </row>
    <row r="165" spans="6:15" x14ac:dyDescent="0.2">
      <c r="F165" s="573"/>
      <c r="G165" s="573"/>
      <c r="H165" s="573"/>
      <c r="I165" s="573"/>
      <c r="J165" s="573"/>
      <c r="K165" s="573"/>
      <c r="L165" s="573"/>
      <c r="M165" s="1">
        <f>ROWS(L$37:$L165)</f>
        <v>129</v>
      </c>
      <c r="N165" s="698" t="str">
        <f>IF(ID!$A$85=L165,M165,"")</f>
        <v/>
      </c>
      <c r="O165" s="698" t="str">
        <f>IFERROR(SMALL($N$37:$N$237,ROWS($N$37:N165)),"")</f>
        <v/>
      </c>
    </row>
    <row r="166" spans="6:15" x14ac:dyDescent="0.2">
      <c r="F166" s="573"/>
      <c r="G166" s="573"/>
      <c r="H166" s="573"/>
      <c r="I166" s="573"/>
      <c r="J166" s="573"/>
      <c r="K166" s="573"/>
      <c r="L166" s="573"/>
      <c r="M166" s="1">
        <f>ROWS(L$37:$L166)</f>
        <v>130</v>
      </c>
      <c r="N166" s="698" t="str">
        <f>IF(ID!$A$85=L166,M166,"")</f>
        <v/>
      </c>
      <c r="O166" s="698" t="str">
        <f>IFERROR(SMALL($N$37:$N$237,ROWS($N$37:N166)),"")</f>
        <v/>
      </c>
    </row>
    <row r="167" spans="6:15" x14ac:dyDescent="0.2">
      <c r="F167" s="573"/>
      <c r="G167" s="573"/>
      <c r="H167" s="573"/>
      <c r="I167" s="573"/>
      <c r="J167" s="573"/>
      <c r="K167" s="573"/>
      <c r="L167" s="573"/>
      <c r="M167" s="1">
        <f>ROWS(L$37:$L167)</f>
        <v>131</v>
      </c>
      <c r="N167" s="698" t="str">
        <f>IF(ID!$A$85=L167,M167,"")</f>
        <v/>
      </c>
      <c r="O167" s="698" t="str">
        <f>IFERROR(SMALL($N$37:$N$237,ROWS($N$37:N167)),"")</f>
        <v/>
      </c>
    </row>
    <row r="168" spans="6:15" x14ac:dyDescent="0.2">
      <c r="F168" s="573"/>
      <c r="G168" s="573"/>
      <c r="H168" s="573"/>
      <c r="I168" s="573"/>
      <c r="J168" s="573"/>
      <c r="K168" s="573"/>
      <c r="L168" s="573"/>
      <c r="M168" s="1">
        <f>ROWS(L$37:$L168)</f>
        <v>132</v>
      </c>
      <c r="N168" s="698" t="str">
        <f>IF(ID!$A$85=L168,M168,"")</f>
        <v/>
      </c>
      <c r="O168" s="698" t="str">
        <f>IFERROR(SMALL($N$37:$N$237,ROWS($N$37:N168)),"")</f>
        <v/>
      </c>
    </row>
    <row r="169" spans="6:15" x14ac:dyDescent="0.2">
      <c r="F169" s="578"/>
      <c r="G169" s="578"/>
      <c r="H169" s="578"/>
      <c r="I169" s="578"/>
      <c r="J169" s="578"/>
      <c r="K169" s="578"/>
      <c r="L169" s="578"/>
      <c r="M169" s="1">
        <f>ROWS(L$37:$L169)</f>
        <v>133</v>
      </c>
      <c r="N169" s="698" t="str">
        <f>IF(ID!$A$85=L169,M169,"")</f>
        <v/>
      </c>
      <c r="O169" s="698" t="str">
        <f>IFERROR(SMALL($N$37:$N$237,ROWS($N$37:N169)),"")</f>
        <v/>
      </c>
    </row>
    <row r="170" spans="6:15" x14ac:dyDescent="0.2">
      <c r="F170" s="573"/>
      <c r="G170" s="573"/>
      <c r="H170" s="573"/>
      <c r="I170" s="573"/>
      <c r="J170" s="573"/>
      <c r="K170" s="573"/>
      <c r="L170" s="573"/>
      <c r="M170" s="1">
        <f>ROWS(L$37:$L170)</f>
        <v>134</v>
      </c>
      <c r="N170" s="698" t="str">
        <f>IF(ID!$A$85=L170,M170,"")</f>
        <v/>
      </c>
      <c r="O170" s="698" t="str">
        <f>IFERROR(SMALL($N$37:$N$237,ROWS($N$37:N170)),"")</f>
        <v/>
      </c>
    </row>
    <row r="171" spans="6:15" x14ac:dyDescent="0.2">
      <c r="F171" s="573"/>
      <c r="G171" s="891" t="s">
        <v>393</v>
      </c>
      <c r="H171" s="891">
        <v>0</v>
      </c>
      <c r="I171" s="891">
        <v>0</v>
      </c>
      <c r="J171" s="891"/>
      <c r="K171" s="708" t="s">
        <v>324</v>
      </c>
      <c r="L171" s="709" t="s">
        <v>279</v>
      </c>
      <c r="M171" s="1">
        <f>ROWS(L$37:$L171)</f>
        <v>135</v>
      </c>
      <c r="N171" s="698" t="str">
        <f>IF(ID!$A$85=L171,M171,"")</f>
        <v/>
      </c>
      <c r="O171" s="698" t="str">
        <f>IFERROR(SMALL($N$37:$N$237,ROWS($N$37:N171)),"")</f>
        <v/>
      </c>
    </row>
    <row r="172" spans="6:15" x14ac:dyDescent="0.2">
      <c r="F172" s="573"/>
      <c r="G172" s="891"/>
      <c r="H172" s="891">
        <v>60</v>
      </c>
      <c r="I172" s="891">
        <f>59.99-60</f>
        <v>-9.9999999999980105E-3</v>
      </c>
      <c r="J172" s="891"/>
      <c r="K172" s="891"/>
      <c r="L172" s="709" t="s">
        <v>279</v>
      </c>
      <c r="M172" s="1">
        <f>ROWS(L$37:$L172)</f>
        <v>136</v>
      </c>
      <c r="N172" s="698" t="str">
        <f>IF(ID!$A$85=L172,M172,"")</f>
        <v/>
      </c>
      <c r="O172" s="698" t="str">
        <f>IFERROR(SMALL($N$37:$N$237,ROWS($N$37:N172)),"")</f>
        <v/>
      </c>
    </row>
    <row r="173" spans="6:15" x14ac:dyDescent="0.2">
      <c r="F173" s="573"/>
      <c r="G173" s="891"/>
      <c r="H173" s="891">
        <v>300</v>
      </c>
      <c r="I173" s="891">
        <f>((4*60)+59.99)-300</f>
        <v>-9.9999999999909051E-3</v>
      </c>
      <c r="J173" s="891"/>
      <c r="K173" s="891"/>
      <c r="L173" s="709" t="s">
        <v>279</v>
      </c>
      <c r="M173" s="1">
        <f>ROWS(L$37:$L173)</f>
        <v>137</v>
      </c>
      <c r="N173" s="698" t="str">
        <f>IF(ID!$A$85=L173,M173,"")</f>
        <v/>
      </c>
      <c r="O173" s="698" t="str">
        <f>IFERROR(SMALL($N$37:$N$237,ROWS($N$37:N173)),"")</f>
        <v/>
      </c>
    </row>
    <row r="174" spans="6:15" x14ac:dyDescent="0.2">
      <c r="F174" s="573"/>
      <c r="G174" s="573"/>
      <c r="H174" s="573"/>
      <c r="I174" s="573"/>
      <c r="J174" s="573"/>
      <c r="K174" s="573"/>
      <c r="L174" s="573"/>
      <c r="M174" s="1">
        <f>ROWS(L$37:$L174)</f>
        <v>138</v>
      </c>
      <c r="N174" s="698" t="str">
        <f>IF(ID!$A$85=L174,M174,"")</f>
        <v/>
      </c>
      <c r="O174" s="698" t="str">
        <f>IFERROR(SMALL($N$37:$N$237,ROWS($N$37:N174)),"")</f>
        <v/>
      </c>
    </row>
    <row r="175" spans="6:15" x14ac:dyDescent="0.2">
      <c r="F175" s="573"/>
      <c r="G175" s="573"/>
      <c r="H175" s="573"/>
      <c r="I175" s="573"/>
      <c r="J175" s="573"/>
      <c r="K175" s="573"/>
      <c r="L175" s="573"/>
      <c r="M175" s="1">
        <f>ROWS(L$37:$L175)</f>
        <v>139</v>
      </c>
      <c r="N175" s="698" t="str">
        <f>IF(ID!$A$85=L175,M175,"")</f>
        <v/>
      </c>
      <c r="O175" s="698" t="str">
        <f>IFERROR(SMALL($N$37:$N$237,ROWS($N$37:N175)),"")</f>
        <v/>
      </c>
    </row>
    <row r="176" spans="6:15" x14ac:dyDescent="0.2">
      <c r="F176" s="573"/>
      <c r="G176" s="573"/>
      <c r="H176" s="573"/>
      <c r="I176" s="573"/>
      <c r="J176" s="573"/>
      <c r="K176" s="573"/>
      <c r="L176" s="573"/>
      <c r="M176" s="1">
        <f>ROWS(L$37:$L176)</f>
        <v>140</v>
      </c>
      <c r="N176" s="698" t="str">
        <f>IF(ID!$A$85=L176,M176,"")</f>
        <v/>
      </c>
      <c r="O176" s="698" t="str">
        <f>IFERROR(SMALL($N$37:$N$237,ROWS($N$37:N176)),"")</f>
        <v/>
      </c>
    </row>
    <row r="177" spans="6:15" x14ac:dyDescent="0.2">
      <c r="F177" s="573"/>
      <c r="G177" s="573"/>
      <c r="H177" s="573"/>
      <c r="I177" s="573"/>
      <c r="J177" s="573"/>
      <c r="K177" s="573"/>
      <c r="L177" s="573"/>
      <c r="M177" s="1">
        <f>ROWS(L$37:$L177)</f>
        <v>141</v>
      </c>
      <c r="N177" s="698" t="str">
        <f>IF(ID!$A$85=L177,M177,"")</f>
        <v/>
      </c>
      <c r="O177" s="698" t="str">
        <f>IFERROR(SMALL($N$37:$N$237,ROWS($N$37:N177)),"")</f>
        <v/>
      </c>
    </row>
    <row r="178" spans="6:15" x14ac:dyDescent="0.2">
      <c r="F178" s="573"/>
      <c r="G178" s="573"/>
      <c r="H178" s="573"/>
      <c r="I178" s="573"/>
      <c r="J178" s="573"/>
      <c r="K178" s="573"/>
      <c r="L178" s="573"/>
      <c r="M178" s="1">
        <f>ROWS(L$37:$L178)</f>
        <v>142</v>
      </c>
      <c r="N178" s="698" t="str">
        <f>IF(ID!$A$85=L178,M178,"")</f>
        <v/>
      </c>
      <c r="O178" s="698" t="str">
        <f>IFERROR(SMALL($N$37:$N$237,ROWS($N$37:N178)),"")</f>
        <v/>
      </c>
    </row>
    <row r="179" spans="6:15" x14ac:dyDescent="0.2">
      <c r="F179" s="573"/>
      <c r="G179" s="573"/>
      <c r="H179" s="573"/>
      <c r="I179" s="573"/>
      <c r="J179" s="573"/>
      <c r="K179" s="573"/>
      <c r="L179" s="573"/>
      <c r="M179" s="1">
        <f>ROWS(L$37:$L179)</f>
        <v>143</v>
      </c>
      <c r="N179" s="698" t="str">
        <f>IF(ID!$A$85=L179,M179,"")</f>
        <v/>
      </c>
      <c r="O179" s="698" t="str">
        <f>IFERROR(SMALL($N$37:$N$237,ROWS($N$37:N179)),"")</f>
        <v/>
      </c>
    </row>
    <row r="180" spans="6:15" x14ac:dyDescent="0.2">
      <c r="F180" s="573"/>
      <c r="G180" s="573"/>
      <c r="H180" s="573"/>
      <c r="I180" s="573"/>
      <c r="J180" s="573"/>
      <c r="K180" s="573"/>
      <c r="L180" s="573"/>
      <c r="M180" s="1">
        <f>ROWS(L$37:$L180)</f>
        <v>144</v>
      </c>
      <c r="N180" s="698" t="str">
        <f>IF(ID!$A$85=L180,M180,"")</f>
        <v/>
      </c>
      <c r="O180" s="698" t="str">
        <f>IFERROR(SMALL($N$37:$N$237,ROWS($N$37:N180)),"")</f>
        <v/>
      </c>
    </row>
    <row r="181" spans="6:15" x14ac:dyDescent="0.2">
      <c r="F181" s="573"/>
      <c r="G181" s="573"/>
      <c r="H181" s="573"/>
      <c r="I181" s="573"/>
      <c r="J181" s="573"/>
      <c r="K181" s="573"/>
      <c r="L181" s="573"/>
      <c r="M181" s="1">
        <f>ROWS(L$37:$L181)</f>
        <v>145</v>
      </c>
      <c r="N181" s="698" t="str">
        <f>IF(ID!$A$85=L181,M181,"")</f>
        <v/>
      </c>
      <c r="O181" s="698" t="str">
        <f>IFERROR(SMALL($N$37:$N$237,ROWS($N$37:N181)),"")</f>
        <v/>
      </c>
    </row>
    <row r="182" spans="6:15" x14ac:dyDescent="0.2">
      <c r="F182" s="578"/>
      <c r="G182" s="578"/>
      <c r="H182" s="578"/>
      <c r="I182" s="578"/>
      <c r="J182" s="578"/>
      <c r="K182" s="578"/>
      <c r="L182" s="578"/>
      <c r="M182" s="1">
        <f>ROWS(L$37:$L182)</f>
        <v>146</v>
      </c>
      <c r="N182" s="698" t="str">
        <f>IF(ID!$A$85=L182,M182,"")</f>
        <v/>
      </c>
      <c r="O182" s="698" t="str">
        <f>IFERROR(SMALL($N$37:$N$237,ROWS($N$37:N182)),"")</f>
        <v/>
      </c>
    </row>
    <row r="183" spans="6:15" x14ac:dyDescent="0.2">
      <c r="F183" s="573"/>
      <c r="G183" s="573"/>
      <c r="H183" s="573"/>
      <c r="I183" s="573"/>
      <c r="J183" s="573"/>
      <c r="K183" s="573"/>
      <c r="L183" s="573"/>
      <c r="M183" s="1">
        <f>ROWS(L$37:$L183)</f>
        <v>147</v>
      </c>
      <c r="N183" s="698" t="str">
        <f>IF(ID!$A$85=L183,M183,"")</f>
        <v/>
      </c>
      <c r="O183" s="698" t="str">
        <f>IFERROR(SMALL($N$37:$N$237,ROWS($N$37:N183)),"")</f>
        <v/>
      </c>
    </row>
    <row r="184" spans="6:15" x14ac:dyDescent="0.2">
      <c r="F184" s="573"/>
      <c r="G184" s="977" t="s">
        <v>693</v>
      </c>
      <c r="H184" s="890">
        <v>0</v>
      </c>
      <c r="I184" s="890">
        <v>0</v>
      </c>
      <c r="J184" s="890"/>
      <c r="K184" s="1114" t="s">
        <v>324</v>
      </c>
      <c r="L184" s="1121" t="s">
        <v>289</v>
      </c>
      <c r="M184" s="1">
        <f>ROWS(L$37:$L184)</f>
        <v>148</v>
      </c>
      <c r="N184" s="698" t="str">
        <f>IF(ID!$A$85=L184,M184,"")</f>
        <v/>
      </c>
      <c r="O184" s="698" t="str">
        <f>IFERROR(SMALL($N$37:$N$237,ROWS($N$37:N184)),"")</f>
        <v/>
      </c>
    </row>
    <row r="185" spans="6:15" x14ac:dyDescent="0.2">
      <c r="F185" s="573"/>
      <c r="G185" s="890"/>
      <c r="H185" s="890">
        <v>60</v>
      </c>
      <c r="I185" s="890">
        <v>0.01</v>
      </c>
      <c r="J185" s="890"/>
      <c r="K185" s="890"/>
      <c r="L185" s="1121" t="s">
        <v>289</v>
      </c>
      <c r="M185" s="1">
        <f>ROWS(L$37:$L185)</f>
        <v>149</v>
      </c>
      <c r="N185" s="698" t="str">
        <f>IF(ID!$A$85=L185,M185,"")</f>
        <v/>
      </c>
      <c r="O185" s="698" t="str">
        <f>IFERROR(SMALL($N$37:$N$237,ROWS($N$37:N185)),"")</f>
        <v/>
      </c>
    </row>
    <row r="186" spans="6:15" x14ac:dyDescent="0.2">
      <c r="F186" s="573"/>
      <c r="G186" s="890"/>
      <c r="H186" s="890">
        <v>300</v>
      </c>
      <c r="I186" s="890">
        <v>0.01</v>
      </c>
      <c r="J186" s="890"/>
      <c r="K186" s="890"/>
      <c r="L186" s="1121" t="s">
        <v>289</v>
      </c>
      <c r="M186" s="1">
        <f>ROWS(L$37:$L186)</f>
        <v>150</v>
      </c>
      <c r="N186" s="698" t="str">
        <f>IF(ID!$A$85=L186,M186,"")</f>
        <v/>
      </c>
      <c r="O186" s="698" t="str">
        <f>IFERROR(SMALL($N$37:$N$237,ROWS($N$37:N186)),"")</f>
        <v/>
      </c>
    </row>
    <row r="187" spans="6:15" x14ac:dyDescent="0.2">
      <c r="F187" s="573"/>
      <c r="G187" s="573"/>
      <c r="H187" s="573"/>
      <c r="I187" s="573"/>
      <c r="J187" s="573"/>
      <c r="K187" s="573"/>
      <c r="L187" s="573"/>
      <c r="M187" s="1">
        <f>ROWS(L$37:$L187)</f>
        <v>151</v>
      </c>
      <c r="N187" s="698" t="str">
        <f>IF(ID!$A$85=L187,M187,"")</f>
        <v/>
      </c>
      <c r="O187" s="698" t="str">
        <f>IFERROR(SMALL($N$37:$N$237,ROWS($N$37:N187)),"")</f>
        <v/>
      </c>
    </row>
    <row r="188" spans="6:15" x14ac:dyDescent="0.2">
      <c r="F188" s="573"/>
      <c r="G188" s="573"/>
      <c r="H188" s="573"/>
      <c r="I188" s="573"/>
      <c r="J188" s="573"/>
      <c r="K188" s="573"/>
      <c r="L188" s="573"/>
      <c r="M188" s="1">
        <f>ROWS(L$37:$L188)</f>
        <v>152</v>
      </c>
      <c r="N188" s="698" t="str">
        <f>IF(ID!$A$85=L188,M188,"")</f>
        <v/>
      </c>
      <c r="O188" s="698" t="str">
        <f>IFERROR(SMALL($N$37:$N$237,ROWS($N$37:N188)),"")</f>
        <v/>
      </c>
    </row>
    <row r="189" spans="6:15" x14ac:dyDescent="0.2">
      <c r="F189" s="573"/>
      <c r="G189" s="573"/>
      <c r="H189" s="573"/>
      <c r="I189" s="573"/>
      <c r="J189" s="573"/>
      <c r="K189" s="573"/>
      <c r="L189" s="573"/>
      <c r="M189" s="1">
        <f>ROWS(L$37:$L189)</f>
        <v>153</v>
      </c>
      <c r="N189" s="698" t="str">
        <f>IF(ID!$A$85=L189,M189,"")</f>
        <v/>
      </c>
      <c r="O189" s="698" t="str">
        <f>IFERROR(SMALL($N$37:$N$237,ROWS($N$37:N189)),"")</f>
        <v/>
      </c>
    </row>
    <row r="190" spans="6:15" x14ac:dyDescent="0.2">
      <c r="F190" s="573"/>
      <c r="G190" s="573"/>
      <c r="H190" s="573"/>
      <c r="I190" s="573"/>
      <c r="J190" s="573"/>
      <c r="K190" s="573"/>
      <c r="L190" s="573"/>
      <c r="M190" s="1">
        <f>ROWS(L$37:$L190)</f>
        <v>154</v>
      </c>
      <c r="N190" s="698" t="str">
        <f>IF(ID!$A$85=L190,M190,"")</f>
        <v/>
      </c>
      <c r="O190" s="698" t="str">
        <f>IFERROR(SMALL($N$37:$N$237,ROWS($N$37:N190)),"")</f>
        <v/>
      </c>
    </row>
    <row r="191" spans="6:15" x14ac:dyDescent="0.2">
      <c r="F191" s="573"/>
      <c r="G191" s="573"/>
      <c r="H191" s="573"/>
      <c r="I191" s="573"/>
      <c r="J191" s="573"/>
      <c r="K191" s="573"/>
      <c r="L191" s="573"/>
      <c r="M191" s="1">
        <f>ROWS(L$37:$L191)</f>
        <v>155</v>
      </c>
      <c r="N191" s="698" t="str">
        <f>IF(ID!$A$85=L191,M191,"")</f>
        <v/>
      </c>
      <c r="O191" s="698" t="str">
        <f>IFERROR(SMALL($N$37:$N$237,ROWS($N$37:N191)),"")</f>
        <v/>
      </c>
    </row>
    <row r="192" spans="6:15" x14ac:dyDescent="0.2">
      <c r="F192" s="573"/>
      <c r="G192" s="573"/>
      <c r="H192" s="573"/>
      <c r="I192" s="573"/>
      <c r="J192" s="573"/>
      <c r="K192" s="573"/>
      <c r="L192" s="573"/>
      <c r="M192" s="1">
        <f>ROWS(L$37:$L192)</f>
        <v>156</v>
      </c>
      <c r="N192" s="698" t="str">
        <f>IF(ID!$A$85=L192,M192,"")</f>
        <v/>
      </c>
      <c r="O192" s="698" t="str">
        <f>IFERROR(SMALL($N$37:$N$237,ROWS($N$37:N192)),"")</f>
        <v/>
      </c>
    </row>
    <row r="193" spans="6:15" x14ac:dyDescent="0.2">
      <c r="F193" s="573"/>
      <c r="G193" s="573"/>
      <c r="H193" s="573"/>
      <c r="I193" s="573"/>
      <c r="J193" s="573"/>
      <c r="K193" s="573"/>
      <c r="L193" s="573"/>
      <c r="M193" s="1">
        <f>ROWS(L$37:$L193)</f>
        <v>157</v>
      </c>
      <c r="N193" s="698" t="str">
        <f>IF(ID!$A$85=L193,M193,"")</f>
        <v/>
      </c>
      <c r="O193" s="698" t="str">
        <f>IFERROR(SMALL($N$37:$N$237,ROWS($N$37:N193)),"")</f>
        <v/>
      </c>
    </row>
    <row r="194" spans="6:15" x14ac:dyDescent="0.2">
      <c r="F194" s="578"/>
      <c r="G194" s="578"/>
      <c r="H194" s="578"/>
      <c r="I194" s="578"/>
      <c r="J194" s="578"/>
      <c r="K194" s="578"/>
      <c r="L194" s="578"/>
      <c r="M194" s="1">
        <f>ROWS(L$37:$L194)</f>
        <v>158</v>
      </c>
      <c r="N194" s="698" t="str">
        <f>IF(ID!$A$85=L194,M194,"")</f>
        <v/>
      </c>
      <c r="O194" s="698" t="str">
        <f>IFERROR(SMALL($N$37:$N$237,ROWS($N$37:N194)),"")</f>
        <v/>
      </c>
    </row>
    <row r="195" spans="6:15" x14ac:dyDescent="0.2">
      <c r="F195" s="573"/>
      <c r="G195" s="573"/>
      <c r="H195" s="573"/>
      <c r="I195" s="573"/>
      <c r="J195" s="573"/>
      <c r="K195" s="573"/>
      <c r="L195" s="573"/>
      <c r="M195" s="1">
        <f>ROWS(L$37:$L195)</f>
        <v>159</v>
      </c>
      <c r="N195" s="698" t="str">
        <f>IF(ID!$A$85=L195,M195,"")</f>
        <v/>
      </c>
      <c r="O195" s="698" t="str">
        <f>IFERROR(SMALL($N$37:$N$237,ROWS($N$37:N195)),"")</f>
        <v/>
      </c>
    </row>
    <row r="196" spans="6:15" x14ac:dyDescent="0.2">
      <c r="F196" s="573"/>
      <c r="G196" s="977" t="s">
        <v>779</v>
      </c>
      <c r="H196" s="890">
        <v>0</v>
      </c>
      <c r="I196" s="1078">
        <v>0</v>
      </c>
      <c r="J196" s="890"/>
      <c r="K196" s="1114" t="s">
        <v>324</v>
      </c>
      <c r="L196" s="1121" t="s">
        <v>290</v>
      </c>
      <c r="M196" s="1">
        <f>ROWS(L$37:$L196)</f>
        <v>160</v>
      </c>
      <c r="N196" s="698" t="str">
        <f>IF(ID!$A$85=L196,M196,"")</f>
        <v/>
      </c>
      <c r="O196" s="698" t="str">
        <f>IFERROR(SMALL($N$37:$N$237,ROWS($N$37:N196)),"")</f>
        <v/>
      </c>
    </row>
    <row r="197" spans="6:15" x14ac:dyDescent="0.2">
      <c r="F197" s="573"/>
      <c r="G197" s="890"/>
      <c r="H197" s="890">
        <v>60</v>
      </c>
      <c r="I197" s="1078">
        <v>0</v>
      </c>
      <c r="J197" s="890"/>
      <c r="K197" s="890"/>
      <c r="L197" s="1121" t="s">
        <v>290</v>
      </c>
      <c r="M197" s="1">
        <f>ROWS(L$37:$L197)</f>
        <v>161</v>
      </c>
      <c r="N197" s="698" t="str">
        <f>IF(ID!$A$85=L197,M197,"")</f>
        <v/>
      </c>
      <c r="O197" s="698" t="str">
        <f>IFERROR(SMALL($N$37:$N$237,ROWS($N$37:N197)),"")</f>
        <v/>
      </c>
    </row>
    <row r="198" spans="6:15" x14ac:dyDescent="0.2">
      <c r="F198" s="573"/>
      <c r="G198" s="890"/>
      <c r="H198" s="890">
        <v>300</v>
      </c>
      <c r="I198" s="1078">
        <v>0</v>
      </c>
      <c r="J198" s="890"/>
      <c r="K198" s="890"/>
      <c r="L198" s="1121" t="s">
        <v>290</v>
      </c>
      <c r="M198" s="1">
        <f>ROWS(L$37:$L198)</f>
        <v>162</v>
      </c>
      <c r="N198" s="698" t="str">
        <f>IF(ID!$A$85=L198,M198,"")</f>
        <v/>
      </c>
      <c r="O198" s="698" t="str">
        <f>IFERROR(SMALL($N$37:$N$237,ROWS($N$37:N198)),"")</f>
        <v/>
      </c>
    </row>
    <row r="199" spans="6:15" x14ac:dyDescent="0.2">
      <c r="F199" s="573"/>
      <c r="G199" s="573"/>
      <c r="H199" s="573"/>
      <c r="I199" s="573"/>
      <c r="J199" s="573"/>
      <c r="K199" s="573"/>
      <c r="L199" s="573"/>
      <c r="M199" s="1">
        <f>ROWS(L$37:$L199)</f>
        <v>163</v>
      </c>
      <c r="N199" s="698" t="str">
        <f>IF(ID!$A$85=L199,M199,"")</f>
        <v/>
      </c>
      <c r="O199" s="698" t="str">
        <f>IFERROR(SMALL($N$37:$N$237,ROWS($N$37:N199)),"")</f>
        <v/>
      </c>
    </row>
    <row r="200" spans="6:15" x14ac:dyDescent="0.2">
      <c r="F200" s="573"/>
      <c r="G200" s="573"/>
      <c r="H200" s="573"/>
      <c r="I200" s="573"/>
      <c r="J200" s="573"/>
      <c r="K200" s="573"/>
      <c r="L200" s="573"/>
      <c r="M200" s="1">
        <f>ROWS(L$37:$L200)</f>
        <v>164</v>
      </c>
      <c r="N200" s="698" t="str">
        <f>IF(ID!$A$85=L200,M200,"")</f>
        <v/>
      </c>
      <c r="O200" s="698" t="str">
        <f>IFERROR(SMALL($N$37:$N$237,ROWS($N$37:N200)),"")</f>
        <v/>
      </c>
    </row>
    <row r="201" spans="6:15" x14ac:dyDescent="0.2">
      <c r="F201" s="573"/>
      <c r="G201" s="573"/>
      <c r="H201" s="573"/>
      <c r="I201" s="573"/>
      <c r="J201" s="573"/>
      <c r="K201" s="573"/>
      <c r="L201" s="573"/>
      <c r="M201" s="1">
        <f>ROWS(L$37:$L201)</f>
        <v>165</v>
      </c>
      <c r="N201" s="698" t="str">
        <f>IF(ID!$A$85=L201,M201,"")</f>
        <v/>
      </c>
      <c r="O201" s="698" t="str">
        <f>IFERROR(SMALL($N$37:$N$237,ROWS($N$37:N201)),"")</f>
        <v/>
      </c>
    </row>
    <row r="202" spans="6:15" x14ac:dyDescent="0.2">
      <c r="F202" s="573"/>
      <c r="G202" s="573"/>
      <c r="H202" s="573"/>
      <c r="I202" s="573"/>
      <c r="J202" s="573"/>
      <c r="K202" s="573"/>
      <c r="L202" s="573"/>
      <c r="M202" s="1">
        <f>ROWS(L$37:$L202)</f>
        <v>166</v>
      </c>
      <c r="N202" s="698" t="str">
        <f>IF(ID!$A$85=L202,M202,"")</f>
        <v/>
      </c>
      <c r="O202" s="698" t="str">
        <f>IFERROR(SMALL($N$37:$N$237,ROWS($N$37:N202)),"")</f>
        <v/>
      </c>
    </row>
    <row r="203" spans="6:15" x14ac:dyDescent="0.2">
      <c r="F203" s="573"/>
      <c r="G203" s="573"/>
      <c r="H203" s="573"/>
      <c r="I203" s="573"/>
      <c r="J203" s="573"/>
      <c r="K203" s="573"/>
      <c r="L203" s="573"/>
      <c r="M203" s="1">
        <f>ROWS(L$37:$L203)</f>
        <v>167</v>
      </c>
      <c r="N203" s="698" t="str">
        <f>IF(ID!$A$85=L203,M203,"")</f>
        <v/>
      </c>
      <c r="O203" s="698" t="str">
        <f>IFERROR(SMALL($N$37:$N$237,ROWS($N$37:N203)),"")</f>
        <v/>
      </c>
    </row>
    <row r="204" spans="6:15" x14ac:dyDescent="0.2">
      <c r="F204" s="573"/>
      <c r="G204" s="573"/>
      <c r="H204" s="573"/>
      <c r="I204" s="573"/>
      <c r="J204" s="573"/>
      <c r="K204" s="573"/>
      <c r="L204" s="573"/>
      <c r="M204" s="1">
        <f>ROWS(L$37:$L204)</f>
        <v>168</v>
      </c>
      <c r="N204" s="698" t="str">
        <f>IF(ID!$A$85=L204,M204,"")</f>
        <v/>
      </c>
      <c r="O204" s="698" t="str">
        <f>IFERROR(SMALL($N$37:$N$237,ROWS($N$37:N204)),"")</f>
        <v/>
      </c>
    </row>
    <row r="205" spans="6:15" x14ac:dyDescent="0.2">
      <c r="F205" s="573"/>
      <c r="G205" s="573"/>
      <c r="H205" s="573"/>
      <c r="I205" s="573"/>
      <c r="J205" s="573"/>
      <c r="K205" s="573"/>
      <c r="L205" s="573"/>
      <c r="M205" s="1">
        <f>ROWS(L$37:$L205)</f>
        <v>169</v>
      </c>
      <c r="N205" s="698" t="str">
        <f>IF(ID!$A$85=L205,M205,"")</f>
        <v/>
      </c>
      <c r="O205" s="698" t="str">
        <f>IFERROR(SMALL($N$37:$N$237,ROWS($N$37:N205)),"")</f>
        <v/>
      </c>
    </row>
    <row r="206" spans="6:15" x14ac:dyDescent="0.2">
      <c r="F206" s="573"/>
      <c r="G206" s="573"/>
      <c r="H206" s="573"/>
      <c r="I206" s="573"/>
      <c r="J206" s="573"/>
      <c r="K206" s="573"/>
      <c r="L206" s="573"/>
      <c r="M206" s="1">
        <f>ROWS(L$37:$L206)</f>
        <v>170</v>
      </c>
      <c r="N206" s="698" t="str">
        <f>IF(ID!$A$85=L206,M206,"")</f>
        <v/>
      </c>
      <c r="O206" s="698" t="str">
        <f>IFERROR(SMALL($N$37:$N$237,ROWS($N$37:N206)),"")</f>
        <v/>
      </c>
    </row>
    <row r="207" spans="6:15" x14ac:dyDescent="0.2">
      <c r="F207" s="573"/>
      <c r="G207" s="573"/>
      <c r="H207" s="573"/>
      <c r="I207" s="573"/>
      <c r="J207" s="573"/>
      <c r="K207" s="573"/>
      <c r="L207" s="573"/>
      <c r="M207" s="1">
        <f>ROWS(L$37:$L207)</f>
        <v>171</v>
      </c>
      <c r="N207" s="698" t="str">
        <f>IF(ID!$A$85=L207,M207,"")</f>
        <v/>
      </c>
      <c r="O207" s="698" t="str">
        <f>IFERROR(SMALL($N$37:$N$237,ROWS($N$37:N207)),"")</f>
        <v/>
      </c>
    </row>
    <row r="208" spans="6:15" x14ac:dyDescent="0.2">
      <c r="F208" s="578"/>
      <c r="G208" s="578"/>
      <c r="H208" s="578"/>
      <c r="I208" s="578"/>
      <c r="J208" s="578"/>
      <c r="K208" s="578"/>
      <c r="L208" s="578"/>
      <c r="M208" s="1">
        <f>ROWS(L$37:$L208)</f>
        <v>172</v>
      </c>
      <c r="N208" s="698" t="str">
        <f>IF(ID!$A$85=L208,M208,"")</f>
        <v/>
      </c>
      <c r="O208" s="698" t="str">
        <f>IFERROR(SMALL($N$37:$N$237,ROWS($N$37:N208)),"")</f>
        <v/>
      </c>
    </row>
    <row r="209" spans="6:15" x14ac:dyDescent="0.2">
      <c r="F209" s="573"/>
      <c r="G209" s="573"/>
      <c r="H209" s="573"/>
      <c r="I209" s="573"/>
      <c r="J209" s="573"/>
      <c r="K209" s="573"/>
      <c r="L209" s="573"/>
      <c r="M209" s="1">
        <f>ROWS(L$37:$L209)</f>
        <v>173</v>
      </c>
      <c r="N209" s="698" t="str">
        <f>IF(ID!$A$85=L209,M209,"")</f>
        <v/>
      </c>
      <c r="O209" s="698" t="str">
        <f>IFERROR(SMALL($N$37:$N$237,ROWS($N$37:N209)),"")</f>
        <v/>
      </c>
    </row>
    <row r="210" spans="6:15" x14ac:dyDescent="0.2">
      <c r="F210" s="573"/>
      <c r="G210" s="977" t="s">
        <v>779</v>
      </c>
      <c r="H210" s="890">
        <v>0</v>
      </c>
      <c r="I210" s="1078">
        <v>0</v>
      </c>
      <c r="J210" s="890"/>
      <c r="K210" s="1114" t="s">
        <v>324</v>
      </c>
      <c r="L210" s="1121" t="s">
        <v>312</v>
      </c>
      <c r="M210" s="1">
        <f>ROWS(L$37:$L210)</f>
        <v>174</v>
      </c>
      <c r="N210" s="698" t="str">
        <f>IF(ID!$A$85=L210,M210,"")</f>
        <v/>
      </c>
      <c r="O210" s="698" t="str">
        <f>IFERROR(SMALL($N$37:$N$237,ROWS($N$37:N210)),"")</f>
        <v/>
      </c>
    </row>
    <row r="211" spans="6:15" x14ac:dyDescent="0.2">
      <c r="F211" s="573"/>
      <c r="G211" s="890"/>
      <c r="H211" s="890">
        <v>60</v>
      </c>
      <c r="I211" s="890">
        <v>0.01</v>
      </c>
      <c r="J211" s="890"/>
      <c r="K211" s="890"/>
      <c r="L211" s="1121" t="s">
        <v>312</v>
      </c>
      <c r="M211" s="1">
        <f>ROWS(L$37:$L211)</f>
        <v>175</v>
      </c>
      <c r="N211" s="698" t="str">
        <f>IF(ID!$A$85=L211,M211,"")</f>
        <v/>
      </c>
      <c r="O211" s="698" t="str">
        <f>IFERROR(SMALL($N$37:$N$237,ROWS($N$37:N211)),"")</f>
        <v/>
      </c>
    </row>
    <row r="212" spans="6:15" x14ac:dyDescent="0.2">
      <c r="F212" s="573"/>
      <c r="G212" s="890"/>
      <c r="H212" s="890">
        <v>300</v>
      </c>
      <c r="I212" s="890">
        <v>0.01</v>
      </c>
      <c r="J212" s="890"/>
      <c r="K212" s="890"/>
      <c r="L212" s="1121" t="s">
        <v>312</v>
      </c>
      <c r="M212" s="1">
        <f>ROWS(L$37:$L212)</f>
        <v>176</v>
      </c>
      <c r="N212" s="698" t="str">
        <f>IF(ID!$A$85=L212,M212,"")</f>
        <v/>
      </c>
      <c r="O212" s="698" t="str">
        <f>IFERROR(SMALL($N$37:$N$237,ROWS($N$37:N212)),"")</f>
        <v/>
      </c>
    </row>
    <row r="213" spans="6:15" x14ac:dyDescent="0.2">
      <c r="F213" s="573"/>
      <c r="G213" s="573"/>
      <c r="H213" s="573"/>
      <c r="I213" s="573"/>
      <c r="J213" s="573"/>
      <c r="K213" s="573"/>
      <c r="L213" s="573"/>
      <c r="M213" s="1">
        <f>ROWS(L$37:$L213)</f>
        <v>177</v>
      </c>
      <c r="N213" s="698" t="str">
        <f>IF(ID!$A$85=L213,M213,"")</f>
        <v/>
      </c>
      <c r="O213" s="698" t="str">
        <f>IFERROR(SMALL($N$37:$N$237,ROWS($N$37:N213)),"")</f>
        <v/>
      </c>
    </row>
    <row r="214" spans="6:15" x14ac:dyDescent="0.2">
      <c r="F214" s="573"/>
      <c r="G214" s="573"/>
      <c r="H214" s="573"/>
      <c r="I214" s="573"/>
      <c r="J214" s="573"/>
      <c r="K214" s="573"/>
      <c r="L214" s="573"/>
      <c r="M214" s="1">
        <f>ROWS(L$37:$L214)</f>
        <v>178</v>
      </c>
      <c r="N214" s="698" t="str">
        <f>IF(ID!$A$85=L214,M214,"")</f>
        <v/>
      </c>
      <c r="O214" s="698" t="str">
        <f>IFERROR(SMALL($N$37:$N$237,ROWS($N$37:N214)),"")</f>
        <v/>
      </c>
    </row>
    <row r="215" spans="6:15" x14ac:dyDescent="0.2">
      <c r="F215" s="573"/>
      <c r="G215" s="573"/>
      <c r="H215" s="573"/>
      <c r="I215" s="573"/>
      <c r="J215" s="573"/>
      <c r="K215" s="573"/>
      <c r="L215" s="573"/>
      <c r="M215" s="1">
        <f>ROWS(L$37:$L215)</f>
        <v>179</v>
      </c>
      <c r="N215" s="698" t="str">
        <f>IF(ID!$A$85=L215,M215,"")</f>
        <v/>
      </c>
      <c r="O215" s="698" t="str">
        <f>IFERROR(SMALL($N$37:$N$237,ROWS($N$37:N215)),"")</f>
        <v/>
      </c>
    </row>
    <row r="216" spans="6:15" x14ac:dyDescent="0.2">
      <c r="F216" s="573"/>
      <c r="G216" s="573"/>
      <c r="H216" s="573"/>
      <c r="I216" s="573"/>
      <c r="J216" s="573"/>
      <c r="K216" s="573"/>
      <c r="L216" s="573"/>
      <c r="M216" s="1">
        <f>ROWS(L$37:$L216)</f>
        <v>180</v>
      </c>
      <c r="N216" s="698" t="str">
        <f>IF(ID!$A$85=L216,M216,"")</f>
        <v/>
      </c>
      <c r="O216" s="698" t="str">
        <f>IFERROR(SMALL($N$37:$N$237,ROWS($N$37:N216)),"")</f>
        <v/>
      </c>
    </row>
    <row r="217" spans="6:15" x14ac:dyDescent="0.2">
      <c r="F217" s="573"/>
      <c r="G217" s="573"/>
      <c r="H217" s="573"/>
      <c r="I217" s="573"/>
      <c r="J217" s="573"/>
      <c r="K217" s="573"/>
      <c r="L217" s="573"/>
      <c r="M217" s="1">
        <f>ROWS(L$37:$L217)</f>
        <v>181</v>
      </c>
      <c r="N217" s="698" t="str">
        <f>IF(ID!$A$85=L217,M217,"")</f>
        <v/>
      </c>
      <c r="O217" s="698" t="str">
        <f>IFERROR(SMALL($N$37:$N$237,ROWS($N$37:N217)),"")</f>
        <v/>
      </c>
    </row>
    <row r="218" spans="6:15" x14ac:dyDescent="0.2">
      <c r="F218" s="573"/>
      <c r="G218" s="573"/>
      <c r="H218" s="573"/>
      <c r="I218" s="573"/>
      <c r="J218" s="573"/>
      <c r="K218" s="573"/>
      <c r="L218" s="573"/>
      <c r="M218" s="1">
        <f>ROWS(L$37:$L218)</f>
        <v>182</v>
      </c>
      <c r="N218" s="698" t="str">
        <f>IF(ID!$A$85=L218,M218,"")</f>
        <v/>
      </c>
      <c r="O218" s="698" t="str">
        <f>IFERROR(SMALL($N$37:$N$237,ROWS($N$37:N218)),"")</f>
        <v/>
      </c>
    </row>
    <row r="219" spans="6:15" x14ac:dyDescent="0.2">
      <c r="F219" s="573"/>
      <c r="G219" s="573"/>
      <c r="H219" s="573"/>
      <c r="I219" s="573"/>
      <c r="J219" s="573"/>
      <c r="K219" s="573"/>
      <c r="L219" s="573"/>
      <c r="M219" s="1">
        <f>ROWS(L$37:$L219)</f>
        <v>183</v>
      </c>
      <c r="N219" s="698" t="str">
        <f>IF(ID!$A$85=L219,M219,"")</f>
        <v/>
      </c>
      <c r="O219" s="698" t="str">
        <f>IFERROR(SMALL($N$37:$N$237,ROWS($N$37:N219)),"")</f>
        <v/>
      </c>
    </row>
    <row r="220" spans="6:15" x14ac:dyDescent="0.2">
      <c r="F220" s="573"/>
      <c r="G220" s="573"/>
      <c r="H220" s="573"/>
      <c r="I220" s="573"/>
      <c r="J220" s="573"/>
      <c r="K220" s="573"/>
      <c r="L220" s="573"/>
      <c r="M220" s="1">
        <f>ROWS(L$37:$L220)</f>
        <v>184</v>
      </c>
      <c r="N220" s="698" t="str">
        <f>IF(ID!$A$85=L220,M220,"")</f>
        <v/>
      </c>
      <c r="O220" s="698" t="str">
        <f>IFERROR(SMALL($N$37:$N$237,ROWS($N$37:N220)),"")</f>
        <v/>
      </c>
    </row>
    <row r="221" spans="6:15" x14ac:dyDescent="0.2">
      <c r="F221" s="573"/>
      <c r="G221" s="573"/>
      <c r="H221" s="573"/>
      <c r="I221" s="573"/>
      <c r="J221" s="573"/>
      <c r="K221" s="573"/>
      <c r="L221" s="573"/>
      <c r="M221" s="1">
        <f>ROWS(L$37:$L221)</f>
        <v>185</v>
      </c>
      <c r="N221" s="698" t="str">
        <f>IF(ID!$A$85=L221,M221,"")</f>
        <v/>
      </c>
      <c r="O221" s="698" t="str">
        <f>IFERROR(SMALL($N$37:$N$237,ROWS($N$37:N221)),"")</f>
        <v/>
      </c>
    </row>
    <row r="222" spans="6:15" x14ac:dyDescent="0.2">
      <c r="F222" s="578"/>
      <c r="G222" s="578"/>
      <c r="H222" s="578"/>
      <c r="I222" s="578"/>
      <c r="J222" s="578"/>
      <c r="K222" s="578"/>
      <c r="L222" s="578"/>
      <c r="M222" s="1">
        <f>ROWS(L$37:$L222)</f>
        <v>186</v>
      </c>
      <c r="N222" s="698" t="str">
        <f>IF(ID!$A$85=L222,M222,"")</f>
        <v/>
      </c>
      <c r="O222" s="698" t="str">
        <f>IFERROR(SMALL($N$37:$N$237,ROWS($N$37:N222)),"")</f>
        <v/>
      </c>
    </row>
    <row r="223" spans="6:15" x14ac:dyDescent="0.2">
      <c r="F223" s="578"/>
      <c r="G223" s="578"/>
      <c r="H223" s="578"/>
      <c r="I223" s="578"/>
      <c r="J223" s="578"/>
      <c r="K223" s="578"/>
      <c r="L223" s="578"/>
      <c r="M223" s="1">
        <f>ROWS(L$37:$L223)</f>
        <v>187</v>
      </c>
      <c r="N223" s="698" t="str">
        <f>IF(ID!$A$85=L223,M223,"")</f>
        <v/>
      </c>
      <c r="O223" s="698" t="str">
        <f>IFERROR(SMALL($N$37:$N$237,ROWS($N$37:N223)),"")</f>
        <v/>
      </c>
    </row>
    <row r="224" spans="6:15" x14ac:dyDescent="0.2">
      <c r="F224" s="573"/>
      <c r="G224" s="573"/>
      <c r="H224" s="573"/>
      <c r="I224" s="573"/>
      <c r="J224" s="573"/>
      <c r="K224" s="573"/>
      <c r="L224" s="573"/>
      <c r="M224" s="1">
        <f>ROWS(L$37:$L224)</f>
        <v>188</v>
      </c>
      <c r="N224" s="698" t="str">
        <f>IF(ID!$A$85=L224,M224,"")</f>
        <v/>
      </c>
      <c r="O224" s="698" t="str">
        <f>IFERROR(SMALL($N$37:$N$237,ROWS($N$37:N224)),"")</f>
        <v/>
      </c>
    </row>
    <row r="225" spans="6:15" x14ac:dyDescent="0.2">
      <c r="F225" s="573"/>
      <c r="G225" s="977" t="s">
        <v>693</v>
      </c>
      <c r="H225" s="890">
        <v>0</v>
      </c>
      <c r="I225" s="1120">
        <v>0</v>
      </c>
      <c r="J225" s="890"/>
      <c r="K225" s="1114" t="s">
        <v>324</v>
      </c>
      <c r="L225" s="1121" t="s">
        <v>780</v>
      </c>
      <c r="M225" s="1">
        <f>ROWS(L$37:$L225)</f>
        <v>189</v>
      </c>
      <c r="N225" s="698" t="str">
        <f>IF(ID!$A$85=L225,M225,"")</f>
        <v/>
      </c>
      <c r="O225" s="698" t="str">
        <f>IFERROR(SMALL($N$37:$N$237,ROWS($N$37:N225)),"")</f>
        <v/>
      </c>
    </row>
    <row r="226" spans="6:15" x14ac:dyDescent="0.2">
      <c r="F226" s="573"/>
      <c r="G226" s="890"/>
      <c r="H226" s="890">
        <v>60</v>
      </c>
      <c r="I226" s="890">
        <v>1E-3</v>
      </c>
      <c r="J226" s="890"/>
      <c r="K226" s="890"/>
      <c r="L226" s="1121" t="s">
        <v>780</v>
      </c>
      <c r="M226" s="1">
        <f>ROWS(L$37:$L226)</f>
        <v>190</v>
      </c>
      <c r="N226" s="698" t="str">
        <f>IF(ID!$A$85=L226,M226,"")</f>
        <v/>
      </c>
      <c r="O226" s="698" t="str">
        <f>IFERROR(SMALL($N$37:$N$237,ROWS($N$37:N226)),"")</f>
        <v/>
      </c>
    </row>
    <row r="227" spans="6:15" x14ac:dyDescent="0.2">
      <c r="F227" s="573"/>
      <c r="G227" s="890"/>
      <c r="H227" s="890">
        <v>300</v>
      </c>
      <c r="I227" s="890">
        <v>1E-3</v>
      </c>
      <c r="J227" s="890"/>
      <c r="K227" s="890"/>
      <c r="L227" s="1121" t="s">
        <v>780</v>
      </c>
      <c r="M227" s="1">
        <f>ROWS(L$37:$L227)</f>
        <v>191</v>
      </c>
      <c r="N227" s="698" t="str">
        <f>IF(ID!$A$85=L227,M227,"")</f>
        <v/>
      </c>
      <c r="O227" s="698" t="str">
        <f>IFERROR(SMALL($N$37:$N$237,ROWS($N$37:N227)),"")</f>
        <v/>
      </c>
    </row>
    <row r="228" spans="6:15" x14ac:dyDescent="0.2">
      <c r="F228" s="573"/>
      <c r="G228" s="573"/>
      <c r="H228" s="573"/>
      <c r="I228" s="573"/>
      <c r="J228" s="573"/>
      <c r="K228" s="573"/>
      <c r="L228" s="573"/>
      <c r="M228" s="1">
        <f>ROWS(L$37:$L228)</f>
        <v>192</v>
      </c>
      <c r="N228" s="698" t="str">
        <f>IF(ID!$A$85=L228,M228,"")</f>
        <v/>
      </c>
      <c r="O228" s="698" t="str">
        <f>IFERROR(SMALL($N$37:$N$237,ROWS($N$37:N228)),"")</f>
        <v/>
      </c>
    </row>
    <row r="229" spans="6:15" x14ac:dyDescent="0.2">
      <c r="F229" s="573"/>
      <c r="G229" s="573"/>
      <c r="H229" s="573"/>
      <c r="I229" s="573"/>
      <c r="J229" s="573"/>
      <c r="K229" s="573"/>
      <c r="L229" s="573"/>
      <c r="M229" s="1">
        <f>ROWS(L$37:$L229)</f>
        <v>193</v>
      </c>
      <c r="N229" s="698" t="str">
        <f>IF(ID!$A$85=L229,M229,"")</f>
        <v/>
      </c>
      <c r="O229" s="698" t="str">
        <f>IFERROR(SMALL($N$37:$N$237,ROWS($N$37:N229)),"")</f>
        <v/>
      </c>
    </row>
    <row r="230" spans="6:15" x14ac:dyDescent="0.2">
      <c r="F230" s="573"/>
      <c r="G230" s="573"/>
      <c r="H230" s="573"/>
      <c r="I230" s="573"/>
      <c r="J230" s="573"/>
      <c r="K230" s="573"/>
      <c r="L230" s="573"/>
      <c r="M230" s="1">
        <f>ROWS(L$37:$L230)</f>
        <v>194</v>
      </c>
      <c r="N230" s="698" t="str">
        <f>IF(ID!$A$85=L230,M230,"")</f>
        <v/>
      </c>
      <c r="O230" s="698" t="str">
        <f>IFERROR(SMALL($N$37:$N$237,ROWS($N$37:N230)),"")</f>
        <v/>
      </c>
    </row>
    <row r="231" spans="6:15" x14ac:dyDescent="0.2">
      <c r="F231" s="573"/>
      <c r="G231" s="573"/>
      <c r="H231" s="573"/>
      <c r="I231" s="573"/>
      <c r="J231" s="573"/>
      <c r="K231" s="573"/>
      <c r="L231" s="573"/>
      <c r="M231" s="1">
        <f>ROWS(L$37:$L231)</f>
        <v>195</v>
      </c>
      <c r="N231" s="698" t="str">
        <f>IF(ID!$A$85=L231,M231,"")</f>
        <v/>
      </c>
      <c r="O231" s="698" t="str">
        <f>IFERROR(SMALL($N$37:$N$237,ROWS($N$37:N231)),"")</f>
        <v/>
      </c>
    </row>
    <row r="232" spans="6:15" x14ac:dyDescent="0.2">
      <c r="F232" s="573"/>
      <c r="G232" s="573"/>
      <c r="H232" s="573"/>
      <c r="I232" s="573"/>
      <c r="J232" s="573"/>
      <c r="K232" s="573"/>
      <c r="L232" s="573"/>
      <c r="M232" s="1">
        <f>ROWS(L$37:$L232)</f>
        <v>196</v>
      </c>
      <c r="N232" s="698" t="str">
        <f>IF(ID!$A$85=L232,M232,"")</f>
        <v/>
      </c>
      <c r="O232" s="698" t="str">
        <f>IFERROR(SMALL($N$37:$N$237,ROWS($N$37:N232)),"")</f>
        <v/>
      </c>
    </row>
    <row r="233" spans="6:15" x14ac:dyDescent="0.2">
      <c r="F233" s="573"/>
      <c r="G233" s="573"/>
      <c r="H233" s="573"/>
      <c r="I233" s="573"/>
      <c r="J233" s="573"/>
      <c r="K233" s="573"/>
      <c r="L233" s="573"/>
      <c r="M233" s="1">
        <f>ROWS(L$37:$L233)</f>
        <v>197</v>
      </c>
      <c r="N233" s="698" t="str">
        <f>IF(ID!$A$85=L233,M233,"")</f>
        <v/>
      </c>
      <c r="O233" s="698" t="str">
        <f>IFERROR(SMALL($N$37:$N$237,ROWS($N$37:N233)),"")</f>
        <v/>
      </c>
    </row>
    <row r="234" spans="6:15" x14ac:dyDescent="0.2">
      <c r="F234" s="573"/>
      <c r="G234" s="573"/>
      <c r="H234" s="573"/>
      <c r="I234" s="573"/>
      <c r="J234" s="573"/>
      <c r="K234" s="573"/>
      <c r="L234" s="573"/>
      <c r="M234" s="1">
        <f>ROWS(L$37:$L234)</f>
        <v>198</v>
      </c>
      <c r="N234" s="698" t="str">
        <f>IF(ID!$A$85=L234,M234,"")</f>
        <v/>
      </c>
      <c r="O234" s="698" t="str">
        <f>IFERROR(SMALL($N$37:$N$237,ROWS($N$37:N234)),"")</f>
        <v/>
      </c>
    </row>
    <row r="235" spans="6:15" x14ac:dyDescent="0.2">
      <c r="F235" s="573"/>
      <c r="G235" s="573"/>
      <c r="H235" s="573"/>
      <c r="I235" s="573"/>
      <c r="J235" s="573"/>
      <c r="K235" s="573"/>
      <c r="L235" s="573"/>
      <c r="M235" s="1">
        <f>ROWS(L$37:$L235)</f>
        <v>199</v>
      </c>
      <c r="N235" s="698" t="str">
        <f>IF(ID!$A$85=L235,M235,"")</f>
        <v/>
      </c>
      <c r="O235" s="698" t="str">
        <f>IFERROR(SMALL($N$37:$N$237,ROWS($N$37:N235)),"")</f>
        <v/>
      </c>
    </row>
    <row r="236" spans="6:15" x14ac:dyDescent="0.2">
      <c r="F236" s="573"/>
      <c r="G236" s="573"/>
      <c r="H236" s="573"/>
      <c r="I236" s="573"/>
      <c r="J236" s="573"/>
      <c r="K236" s="573"/>
      <c r="L236" s="573"/>
      <c r="M236" s="1">
        <f>ROWS(L$37:$L236)</f>
        <v>200</v>
      </c>
      <c r="N236" s="698" t="str">
        <f>IF(ID!$A$85=L236,M236,"")</f>
        <v/>
      </c>
      <c r="O236" s="698" t="str">
        <f>IFERROR(SMALL($N$37:$N$237,ROWS($N$37:N236)),"")</f>
        <v/>
      </c>
    </row>
    <row r="237" spans="6:15" x14ac:dyDescent="0.2">
      <c r="F237" s="578"/>
      <c r="G237" s="578"/>
      <c r="H237" s="578"/>
      <c r="I237" s="578"/>
      <c r="J237" s="578"/>
      <c r="K237" s="578"/>
      <c r="L237" s="578"/>
      <c r="M237" s="1">
        <f>ROWS(L$37:$L237)</f>
        <v>201</v>
      </c>
      <c r="N237" s="698" t="str">
        <f>IF(ID!$A$85=L237,M237,"")</f>
        <v/>
      </c>
      <c r="O237" s="698" t="str">
        <f>IFERROR(SMALL($N$37:$N$237,ROWS($N$37:N237)),"")</f>
        <v/>
      </c>
    </row>
  </sheetData>
  <sheetProtection algorithmName="SHA-512" hashValue="qjL6qlumBoDH8y2Wmhak7dMUghrzPkQVWNcB5EyJKjD0NhAF0aRnbJkU9ZkM7z5+jCLvWQ31dWDiJKCMRWLBPg==" saltValue="pHRpHBDQ9ysqD7g7iluGUA==" spinCount="100000" sheet="1" objects="1" scenarios="1"/>
  <mergeCells count="10">
    <mergeCell ref="F35:G35"/>
    <mergeCell ref="F36:G36"/>
    <mergeCell ref="H4:K4"/>
    <mergeCell ref="J6:J7"/>
    <mergeCell ref="K6:K7"/>
    <mergeCell ref="A33:O33"/>
    <mergeCell ref="J22:J23"/>
    <mergeCell ref="K22:K23"/>
    <mergeCell ref="K14:K15"/>
    <mergeCell ref="J14:J15"/>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A99"/>
  <sheetViews>
    <sheetView view="pageBreakPreview" topLeftCell="A73" zoomScale="90" zoomScaleNormal="100" zoomScaleSheetLayoutView="90" workbookViewId="0">
      <selection activeCell="C104" sqref="C104"/>
    </sheetView>
  </sheetViews>
  <sheetFormatPr defaultColWidth="9.140625" defaultRowHeight="15.75" x14ac:dyDescent="0.2"/>
  <cols>
    <col min="1" max="1" width="29.7109375" style="249" customWidth="1"/>
    <col min="2" max="2" width="12.28515625" style="249" customWidth="1"/>
    <col min="3" max="3" width="11.85546875" style="249" customWidth="1"/>
    <col min="4" max="5" width="10" style="249" customWidth="1"/>
    <col min="6" max="8" width="9.7109375" style="249" customWidth="1"/>
    <col min="9" max="10" width="9.140625" style="249" customWidth="1"/>
    <col min="11" max="11" width="9.28515625" style="249" customWidth="1"/>
    <col min="12" max="13" width="12" style="34" customWidth="1"/>
    <col min="14" max="14" width="8.5703125" style="34" customWidth="1"/>
    <col min="15" max="15" width="11.5703125" style="34" customWidth="1"/>
    <col min="16" max="16" width="11.85546875" style="34" customWidth="1"/>
    <col min="17" max="17" width="13.28515625" style="34" customWidth="1"/>
    <col min="18" max="18" width="7.7109375" style="34" customWidth="1"/>
    <col min="19" max="19" width="9.140625" style="34" customWidth="1"/>
    <col min="20" max="20" width="11.140625" style="34" customWidth="1"/>
    <col min="21" max="235" width="9.140625" style="34" customWidth="1"/>
    <col min="236" max="236" width="7.7109375" style="34" customWidth="1"/>
    <col min="237" max="240" width="8.7109375" style="34" customWidth="1"/>
    <col min="241" max="241" width="0.28515625" style="34" customWidth="1"/>
    <col min="242" max="242" width="8.5703125" style="34" customWidth="1"/>
    <col min="243" max="248" width="8.7109375" style="34" customWidth="1"/>
    <col min="249" max="16384" width="9.140625" style="34"/>
  </cols>
  <sheetData>
    <row r="1" spans="1:27" ht="18.75" x14ac:dyDescent="0.2">
      <c r="A1" s="1178" t="s">
        <v>232</v>
      </c>
      <c r="B1" s="1178"/>
      <c r="C1" s="1178"/>
      <c r="D1" s="1178"/>
      <c r="E1" s="1178"/>
      <c r="F1" s="1178"/>
      <c r="G1" s="1178"/>
      <c r="H1" s="1178"/>
      <c r="I1" s="1178"/>
      <c r="J1" s="1178"/>
      <c r="K1" s="1178"/>
      <c r="L1" s="32"/>
      <c r="M1" s="32"/>
      <c r="N1" s="32"/>
      <c r="O1" s="32"/>
      <c r="P1" s="32"/>
      <c r="Q1" s="33"/>
      <c r="R1" s="33"/>
      <c r="V1" s="35" t="s">
        <v>64</v>
      </c>
      <c r="X1" s="36" t="s">
        <v>106</v>
      </c>
    </row>
    <row r="2" spans="1:27" ht="19.5" x14ac:dyDescent="0.2">
      <c r="A2" s="1179" t="s">
        <v>367</v>
      </c>
      <c r="B2" s="1179"/>
      <c r="C2" s="1179"/>
      <c r="D2" s="1179"/>
      <c r="E2" s="1179"/>
      <c r="F2" s="1179"/>
      <c r="G2" s="1179"/>
      <c r="H2" s="1179"/>
      <c r="I2" s="1179"/>
      <c r="J2" s="1179"/>
      <c r="K2" s="1179"/>
      <c r="L2" s="185"/>
      <c r="M2" s="185"/>
      <c r="N2" s="185"/>
      <c r="O2" s="185"/>
      <c r="P2" s="37"/>
      <c r="Q2" s="37"/>
      <c r="R2" s="37"/>
      <c r="V2" s="35" t="s">
        <v>65</v>
      </c>
      <c r="W2" s="38"/>
      <c r="Y2" s="38"/>
      <c r="Z2" s="38"/>
      <c r="AA2" s="38"/>
    </row>
    <row r="3" spans="1:27" ht="17.25" customHeight="1" x14ac:dyDescent="0.2">
      <c r="A3" s="1179"/>
      <c r="B3" s="1179"/>
      <c r="C3" s="1179"/>
      <c r="D3" s="1179"/>
      <c r="E3" s="1179"/>
      <c r="F3" s="1179"/>
      <c r="G3" s="1179"/>
      <c r="H3" s="1179"/>
      <c r="I3" s="1179"/>
      <c r="J3" s="1179"/>
      <c r="K3" s="1179"/>
      <c r="L3" s="39"/>
      <c r="M3" s="39"/>
      <c r="N3" s="39"/>
      <c r="O3" s="39"/>
      <c r="P3" s="37"/>
      <c r="Q3" s="37"/>
      <c r="R3" s="37"/>
      <c r="V3" s="35"/>
      <c r="W3" s="38"/>
      <c r="Y3" s="38"/>
      <c r="Z3" s="38"/>
      <c r="AA3" s="38"/>
    </row>
    <row r="4" spans="1:27" ht="17.25" x14ac:dyDescent="0.2">
      <c r="A4" s="245"/>
      <c r="B4" s="244"/>
      <c r="C4" s="244"/>
      <c r="D4" s="244"/>
      <c r="E4" s="244"/>
      <c r="F4" s="244"/>
      <c r="G4" s="244"/>
      <c r="H4" s="244"/>
      <c r="I4" s="244"/>
      <c r="J4" s="244"/>
      <c r="K4" s="244"/>
      <c r="L4" s="39"/>
      <c r="M4" s="39"/>
      <c r="N4" s="39"/>
      <c r="O4" s="39"/>
      <c r="P4" s="37"/>
      <c r="Q4" s="37"/>
      <c r="R4" s="37"/>
      <c r="V4" s="35"/>
      <c r="W4" s="38"/>
      <c r="Y4" s="38"/>
      <c r="Z4" s="38"/>
      <c r="AA4" s="38"/>
    </row>
    <row r="5" spans="1:27" hidden="1" x14ac:dyDescent="0.2">
      <c r="A5" s="246" t="s">
        <v>22</v>
      </c>
      <c r="B5" s="247" t="s">
        <v>0</v>
      </c>
      <c r="C5" s="248" t="s">
        <v>187</v>
      </c>
      <c r="F5" s="250"/>
      <c r="G5" s="250"/>
      <c r="H5" s="250"/>
      <c r="I5" s="251"/>
      <c r="J5" s="251"/>
    </row>
    <row r="6" spans="1:27" ht="17.25" x14ac:dyDescent="0.2">
      <c r="A6" s="246" t="s">
        <v>21</v>
      </c>
      <c r="C6" s="247" t="s">
        <v>0</v>
      </c>
      <c r="D6" s="248" t="s">
        <v>187</v>
      </c>
      <c r="F6" s="252"/>
      <c r="G6" s="252"/>
      <c r="H6" s="252"/>
      <c r="I6" s="252"/>
      <c r="J6" s="252"/>
      <c r="K6" s="252"/>
      <c r="L6" s="170"/>
      <c r="M6" s="170"/>
      <c r="N6" s="170"/>
      <c r="O6" s="170"/>
      <c r="P6" s="37"/>
      <c r="Q6" s="37"/>
      <c r="R6" s="37"/>
      <c r="V6" s="35"/>
      <c r="W6" s="38"/>
      <c r="Y6" s="38"/>
      <c r="Z6" s="38"/>
      <c r="AA6" s="38"/>
    </row>
    <row r="7" spans="1:27" x14ac:dyDescent="0.2">
      <c r="A7" s="246" t="s">
        <v>138</v>
      </c>
      <c r="C7" s="247" t="s">
        <v>0</v>
      </c>
      <c r="D7" s="248" t="s">
        <v>187</v>
      </c>
      <c r="E7" s="252"/>
      <c r="F7" s="252"/>
      <c r="G7" s="252"/>
      <c r="H7" s="252"/>
      <c r="I7" s="252"/>
      <c r="J7" s="252"/>
      <c r="K7" s="252"/>
      <c r="L7" s="170"/>
      <c r="M7" s="170"/>
      <c r="N7" s="170"/>
      <c r="O7" s="170"/>
      <c r="U7" s="38"/>
      <c r="V7" s="38"/>
      <c r="W7" s="38"/>
      <c r="X7" s="38"/>
      <c r="Z7" s="38"/>
      <c r="AA7" s="38"/>
    </row>
    <row r="8" spans="1:27" x14ac:dyDescent="0.2">
      <c r="A8" s="246" t="s">
        <v>9</v>
      </c>
      <c r="C8" s="247" t="s">
        <v>0</v>
      </c>
      <c r="D8" s="248" t="s">
        <v>187</v>
      </c>
      <c r="E8" s="252"/>
      <c r="F8" s="252"/>
      <c r="G8" s="252"/>
      <c r="H8" s="252"/>
      <c r="I8" s="252"/>
      <c r="J8" s="252"/>
      <c r="K8" s="252"/>
      <c r="L8" s="170"/>
      <c r="M8" s="170"/>
      <c r="N8" s="170"/>
      <c r="O8" s="170"/>
    </row>
    <row r="9" spans="1:27" x14ac:dyDescent="0.2">
      <c r="A9" s="246" t="s">
        <v>76</v>
      </c>
      <c r="C9" s="247" t="s">
        <v>0</v>
      </c>
      <c r="D9" s="248" t="s">
        <v>241</v>
      </c>
      <c r="E9" s="252"/>
      <c r="F9" s="252"/>
      <c r="G9" s="252"/>
      <c r="H9" s="252"/>
      <c r="I9" s="252"/>
      <c r="J9" s="252"/>
      <c r="K9" s="252"/>
      <c r="L9" s="170"/>
      <c r="M9" s="170"/>
      <c r="N9" s="170"/>
      <c r="O9" s="170"/>
    </row>
    <row r="10" spans="1:27" x14ac:dyDescent="0.2">
      <c r="A10" s="249" t="s">
        <v>137</v>
      </c>
      <c r="C10" s="377" t="s">
        <v>0</v>
      </c>
      <c r="D10" s="248" t="s">
        <v>187</v>
      </c>
      <c r="E10" s="252"/>
      <c r="F10" s="252"/>
      <c r="G10" s="252"/>
      <c r="H10" s="252"/>
      <c r="I10" s="252"/>
      <c r="J10" s="252"/>
      <c r="K10" s="252"/>
      <c r="L10" s="170"/>
      <c r="M10" s="170"/>
      <c r="N10" s="170"/>
      <c r="O10" s="170"/>
    </row>
    <row r="11" spans="1:27" x14ac:dyDescent="0.2">
      <c r="A11" s="246" t="s">
        <v>1</v>
      </c>
      <c r="C11" s="247" t="s">
        <v>0</v>
      </c>
      <c r="D11" s="248" t="s">
        <v>187</v>
      </c>
      <c r="E11" s="250"/>
    </row>
    <row r="12" spans="1:27" x14ac:dyDescent="0.2">
      <c r="A12" s="246" t="s">
        <v>2</v>
      </c>
      <c r="C12" s="247" t="s">
        <v>0</v>
      </c>
      <c r="D12" s="248" t="s">
        <v>187</v>
      </c>
      <c r="L12" s="170"/>
      <c r="M12" s="170"/>
      <c r="N12" s="170"/>
      <c r="O12" s="170"/>
    </row>
    <row r="13" spans="1:27" x14ac:dyDescent="0.2">
      <c r="A13" s="254" t="s">
        <v>23</v>
      </c>
      <c r="C13" s="247" t="s">
        <v>0</v>
      </c>
      <c r="D13" s="248" t="s">
        <v>187</v>
      </c>
      <c r="E13" s="250"/>
      <c r="U13" s="19"/>
      <c r="V13" s="19"/>
      <c r="W13" s="19"/>
      <c r="X13" s="19"/>
    </row>
    <row r="14" spans="1:27" hidden="1" x14ac:dyDescent="0.2">
      <c r="A14" s="246" t="s">
        <v>66</v>
      </c>
      <c r="B14" s="247" t="s">
        <v>0</v>
      </c>
      <c r="C14" s="255" t="s">
        <v>112</v>
      </c>
      <c r="D14" s="256"/>
      <c r="E14" s="257"/>
      <c r="F14" s="250"/>
      <c r="G14" s="250"/>
      <c r="H14" s="250"/>
      <c r="I14" s="251"/>
      <c r="J14" s="251"/>
    </row>
    <row r="15" spans="1:27" hidden="1" x14ac:dyDescent="0.2">
      <c r="A15" s="246" t="s">
        <v>69</v>
      </c>
      <c r="B15" s="247" t="s">
        <v>0</v>
      </c>
      <c r="C15" s="258" t="e">
        <f>(1/5)*D9</f>
        <v>#VALUE!</v>
      </c>
      <c r="D15" s="254" t="s">
        <v>46</v>
      </c>
      <c r="E15" s="259"/>
      <c r="F15" s="246"/>
      <c r="G15" s="246"/>
      <c r="H15" s="246"/>
      <c r="I15" s="260"/>
      <c r="J15" s="260"/>
      <c r="K15" s="254"/>
      <c r="L15" s="35"/>
      <c r="M15" s="35"/>
      <c r="N15" s="35"/>
      <c r="O15" s="35"/>
      <c r="P15" s="35"/>
    </row>
    <row r="16" spans="1:27" x14ac:dyDescent="0.2">
      <c r="A16" s="246" t="s">
        <v>210</v>
      </c>
      <c r="B16" s="247"/>
      <c r="C16" s="324" t="s">
        <v>0</v>
      </c>
      <c r="D16" s="254" t="s">
        <v>349</v>
      </c>
      <c r="E16" s="259"/>
      <c r="F16" s="246"/>
      <c r="G16" s="246"/>
      <c r="H16" s="246"/>
      <c r="I16" s="260"/>
      <c r="J16" s="260"/>
      <c r="K16" s="254"/>
      <c r="L16" s="35"/>
      <c r="M16" s="35"/>
      <c r="N16" s="35"/>
      <c r="O16" s="35"/>
      <c r="P16" s="35"/>
    </row>
    <row r="17" spans="1:18" ht="23.25" customHeight="1" x14ac:dyDescent="0.25">
      <c r="A17" s="1184" t="s">
        <v>214</v>
      </c>
      <c r="B17" s="1184"/>
      <c r="C17" s="1184"/>
      <c r="D17" s="1185"/>
      <c r="E17" s="1185"/>
      <c r="F17" s="1185"/>
      <c r="G17" s="254"/>
      <c r="H17" s="254"/>
      <c r="I17" s="254"/>
      <c r="J17" s="254"/>
      <c r="K17" s="254"/>
      <c r="L17" s="35"/>
      <c r="M17" s="35"/>
      <c r="N17" s="35"/>
      <c r="O17" s="35"/>
      <c r="P17" s="46"/>
      <c r="Q17" s="48"/>
      <c r="R17" s="48"/>
    </row>
    <row r="18" spans="1:18" ht="12.75" customHeight="1" x14ac:dyDescent="0.2">
      <c r="A18" s="1186" t="s">
        <v>53</v>
      </c>
      <c r="B18" s="1188" t="s">
        <v>72</v>
      </c>
      <c r="C18" s="1188" t="s">
        <v>72</v>
      </c>
      <c r="D18" s="261"/>
      <c r="N18" s="48"/>
      <c r="O18" s="48"/>
    </row>
    <row r="19" spans="1:18" ht="12.75" customHeight="1" x14ac:dyDescent="0.2">
      <c r="A19" s="1187"/>
      <c r="B19" s="1189"/>
      <c r="C19" s="1189"/>
      <c r="D19" s="254"/>
      <c r="N19" s="48"/>
      <c r="O19" s="48"/>
    </row>
    <row r="20" spans="1:18" ht="15.75" customHeight="1" x14ac:dyDescent="0.2">
      <c r="A20" s="262"/>
      <c r="B20" s="263" t="s">
        <v>44</v>
      </c>
      <c r="C20" s="263" t="s">
        <v>45</v>
      </c>
      <c r="D20" s="254"/>
      <c r="J20" s="1176"/>
      <c r="N20" s="48"/>
      <c r="O20" s="48"/>
    </row>
    <row r="21" spans="1:18" ht="15.75" customHeight="1" x14ac:dyDescent="0.2">
      <c r="A21" s="264" t="s">
        <v>26</v>
      </c>
      <c r="B21" s="265"/>
      <c r="C21" s="265"/>
      <c r="D21" s="266"/>
      <c r="J21" s="1176"/>
      <c r="N21" s="48"/>
      <c r="O21" s="48"/>
    </row>
    <row r="22" spans="1:18" ht="15.75" customHeight="1" x14ac:dyDescent="0.2">
      <c r="A22" s="264" t="s">
        <v>24</v>
      </c>
      <c r="B22" s="265"/>
      <c r="C22" s="265"/>
      <c r="D22" s="266"/>
      <c r="J22" s="1176"/>
      <c r="N22" s="48"/>
      <c r="O22" s="48"/>
    </row>
    <row r="23" spans="1:18" ht="15.75" hidden="1" customHeight="1" x14ac:dyDescent="0.2">
      <c r="A23" s="254"/>
      <c r="B23" s="267"/>
      <c r="C23" s="267"/>
      <c r="D23" s="267"/>
      <c r="E23" s="267"/>
      <c r="F23" s="267"/>
      <c r="G23" s="266"/>
      <c r="H23" s="266"/>
      <c r="I23" s="268"/>
      <c r="J23" s="1176"/>
      <c r="K23" s="267"/>
      <c r="L23" s="51"/>
      <c r="M23" s="51"/>
      <c r="N23" s="53"/>
      <c r="O23" s="53"/>
      <c r="P23" s="54"/>
      <c r="Q23" s="48"/>
      <c r="R23" s="48"/>
    </row>
    <row r="24" spans="1:18" hidden="1" x14ac:dyDescent="0.2">
      <c r="J24" s="1176"/>
    </row>
    <row r="25" spans="1:18" hidden="1" x14ac:dyDescent="0.2"/>
    <row r="26" spans="1:18" hidden="1" x14ac:dyDescent="0.2"/>
    <row r="27" spans="1:18" hidden="1" x14ac:dyDescent="0.2"/>
    <row r="28" spans="1:18" hidden="1" x14ac:dyDescent="0.2"/>
    <row r="29" spans="1:18" hidden="1" x14ac:dyDescent="0.2"/>
    <row r="30" spans="1:18" hidden="1" x14ac:dyDescent="0.2"/>
    <row r="31" spans="1:18" hidden="1" x14ac:dyDescent="0.2"/>
    <row r="32" spans="1:18" hidden="1" x14ac:dyDescent="0.2"/>
    <row r="33" spans="1:18" hidden="1" x14ac:dyDescent="0.2"/>
    <row r="34" spans="1:18" hidden="1" x14ac:dyDescent="0.2"/>
    <row r="35" spans="1:18" ht="21" customHeight="1" x14ac:dyDescent="0.25">
      <c r="A35" s="378" t="s">
        <v>249</v>
      </c>
      <c r="B35" s="270"/>
      <c r="C35" s="270"/>
      <c r="D35" s="270"/>
      <c r="E35" s="373"/>
      <c r="F35" s="271"/>
      <c r="G35" s="272"/>
      <c r="H35" s="272"/>
      <c r="I35" s="273"/>
      <c r="K35" s="321" t="s">
        <v>209</v>
      </c>
      <c r="L35" s="16"/>
      <c r="M35" s="16"/>
      <c r="N35" s="46"/>
      <c r="O35" s="47"/>
      <c r="P35" s="35"/>
    </row>
    <row r="36" spans="1:18" ht="15.75" customHeight="1" x14ac:dyDescent="0.2">
      <c r="A36" s="383" t="s">
        <v>67</v>
      </c>
      <c r="B36" s="384" t="s">
        <v>0</v>
      </c>
      <c r="C36" s="385" t="s">
        <v>199</v>
      </c>
      <c r="D36" s="385"/>
      <c r="F36" s="250"/>
      <c r="G36" s="250"/>
      <c r="H36" s="250"/>
      <c r="I36" s="251"/>
      <c r="K36" s="274">
        <v>5</v>
      </c>
    </row>
    <row r="37" spans="1:18" ht="15.75" customHeight="1" x14ac:dyDescent="0.2">
      <c r="A37" s="383" t="s">
        <v>68</v>
      </c>
      <c r="B37" s="384" t="s">
        <v>0</v>
      </c>
      <c r="C37" s="385" t="s">
        <v>199</v>
      </c>
      <c r="D37" s="385"/>
      <c r="F37" s="250"/>
      <c r="G37" s="250"/>
      <c r="H37" s="250"/>
      <c r="I37" s="251"/>
      <c r="K37" s="274">
        <v>5</v>
      </c>
    </row>
    <row r="38" spans="1:18" ht="22.5" customHeight="1" x14ac:dyDescent="0.25">
      <c r="A38" s="371" t="s">
        <v>215</v>
      </c>
      <c r="B38" s="247"/>
      <c r="F38" s="250"/>
      <c r="G38" s="250"/>
      <c r="H38" s="250"/>
      <c r="I38" s="251"/>
      <c r="K38" s="253"/>
    </row>
    <row r="39" spans="1:18" ht="18" customHeight="1" x14ac:dyDescent="0.25">
      <c r="A39" s="319" t="s">
        <v>216</v>
      </c>
      <c r="B39" s="275"/>
      <c r="C39" s="275"/>
      <c r="D39" s="275"/>
      <c r="E39" s="275"/>
      <c r="F39" s="254"/>
      <c r="G39" s="266"/>
      <c r="H39" s="266"/>
      <c r="I39" s="268"/>
      <c r="K39" s="276"/>
      <c r="L39" s="51"/>
      <c r="M39" s="51"/>
      <c r="N39" s="53"/>
      <c r="O39" s="53"/>
      <c r="P39" s="54"/>
      <c r="Q39" s="48"/>
      <c r="R39" s="48"/>
    </row>
    <row r="40" spans="1:18" ht="12.75" customHeight="1" x14ac:dyDescent="0.2">
      <c r="A40" s="1180" t="s">
        <v>53</v>
      </c>
      <c r="B40" s="1181" t="s">
        <v>354</v>
      </c>
      <c r="C40" s="1181"/>
      <c r="D40" s="1181" t="s">
        <v>37</v>
      </c>
      <c r="E40" s="266"/>
      <c r="F40" s="268"/>
      <c r="G40" s="268"/>
      <c r="H40" s="268"/>
      <c r="I40" s="267"/>
      <c r="K40" s="277"/>
      <c r="L40" s="53"/>
      <c r="M40" s="53"/>
      <c r="N40" s="54"/>
      <c r="O40" s="48"/>
      <c r="P40" s="48"/>
    </row>
    <row r="41" spans="1:18" ht="25.5" customHeight="1" x14ac:dyDescent="0.2">
      <c r="A41" s="1180"/>
      <c r="B41" s="1181"/>
      <c r="C41" s="1181"/>
      <c r="D41" s="1181"/>
      <c r="E41" s="266"/>
      <c r="F41" s="268"/>
      <c r="G41" s="268"/>
      <c r="H41" s="268"/>
      <c r="I41" s="267"/>
      <c r="K41" s="322" t="s">
        <v>209</v>
      </c>
      <c r="L41" s="53"/>
      <c r="M41" s="53"/>
      <c r="N41" s="54"/>
      <c r="O41" s="48"/>
      <c r="P41" s="48"/>
    </row>
    <row r="42" spans="1:18" x14ac:dyDescent="0.2">
      <c r="A42" s="1181" t="s">
        <v>140</v>
      </c>
      <c r="B42" s="1190"/>
      <c r="C42" s="1191"/>
      <c r="D42" s="1169" t="s">
        <v>207</v>
      </c>
      <c r="E42" s="266"/>
      <c r="F42" s="268"/>
      <c r="G42" s="268"/>
      <c r="H42" s="268"/>
      <c r="I42" s="267"/>
      <c r="K42" s="1158">
        <v>20</v>
      </c>
      <c r="L42" s="53"/>
      <c r="M42" s="53"/>
      <c r="N42" s="54"/>
      <c r="O42" s="48"/>
      <c r="P42" s="48"/>
    </row>
    <row r="43" spans="1:18" ht="12.75" customHeight="1" x14ac:dyDescent="0.2">
      <c r="A43" s="1181"/>
      <c r="B43" s="1192"/>
      <c r="C43" s="1193"/>
      <c r="D43" s="1169"/>
      <c r="E43" s="266"/>
      <c r="F43" s="268"/>
      <c r="G43" s="268"/>
      <c r="H43" s="268"/>
      <c r="I43" s="267"/>
      <c r="K43" s="1158"/>
      <c r="L43" s="53"/>
      <c r="M43" s="53"/>
      <c r="N43" s="54"/>
      <c r="O43" s="48"/>
      <c r="P43" s="48"/>
    </row>
    <row r="44" spans="1:18" hidden="1" x14ac:dyDescent="0.2">
      <c r="A44" s="254"/>
      <c r="B44" s="267"/>
      <c r="C44" s="267"/>
      <c r="D44" s="267"/>
      <c r="E44" s="267"/>
      <c r="F44" s="267"/>
      <c r="G44" s="266"/>
      <c r="H44" s="266"/>
      <c r="I44" s="268"/>
      <c r="K44" s="279"/>
      <c r="L44" s="51"/>
      <c r="M44" s="51"/>
      <c r="N44" s="53"/>
      <c r="O44" s="53"/>
      <c r="P44" s="54"/>
      <c r="Q44" s="48"/>
      <c r="R44" s="48"/>
    </row>
    <row r="45" spans="1:18" ht="12.75" hidden="1" customHeight="1" x14ac:dyDescent="0.2">
      <c r="A45" s="1186" t="s">
        <v>53</v>
      </c>
      <c r="B45" s="1195" t="s">
        <v>77</v>
      </c>
      <c r="C45" s="1196"/>
      <c r="D45" s="1188" t="s">
        <v>37</v>
      </c>
      <c r="E45" s="266"/>
      <c r="F45" s="268"/>
      <c r="G45" s="268"/>
      <c r="H45" s="268"/>
      <c r="I45" s="267"/>
      <c r="K45" s="278"/>
      <c r="L45" s="53"/>
      <c r="M45" s="53"/>
      <c r="N45" s="54"/>
      <c r="O45" s="48"/>
      <c r="P45" s="48"/>
    </row>
    <row r="46" spans="1:18" ht="12.75" hidden="1" customHeight="1" x14ac:dyDescent="0.2">
      <c r="A46" s="1194"/>
      <c r="B46" s="1197"/>
      <c r="C46" s="1198"/>
      <c r="D46" s="1199"/>
      <c r="E46" s="266"/>
      <c r="F46" s="268"/>
      <c r="G46" s="268"/>
      <c r="H46" s="268"/>
      <c r="I46" s="267"/>
      <c r="K46" s="278"/>
      <c r="L46" s="53"/>
      <c r="M46" s="53"/>
      <c r="N46" s="54"/>
      <c r="O46" s="48"/>
      <c r="P46" s="48"/>
    </row>
    <row r="47" spans="1:18" hidden="1" x14ac:dyDescent="0.2">
      <c r="A47" s="280" t="s">
        <v>54</v>
      </c>
      <c r="B47" s="281">
        <v>9</v>
      </c>
      <c r="C47" s="282"/>
      <c r="D47" s="283" t="s">
        <v>207</v>
      </c>
      <c r="E47" s="266"/>
      <c r="F47" s="268"/>
      <c r="G47" s="268"/>
      <c r="H47" s="268"/>
      <c r="I47" s="267"/>
      <c r="K47" s="278"/>
      <c r="L47" s="53"/>
      <c r="M47" s="53"/>
      <c r="N47" s="54"/>
      <c r="O47" s="48"/>
      <c r="P47" s="48"/>
    </row>
    <row r="48" spans="1:18" hidden="1" x14ac:dyDescent="0.2">
      <c r="A48" s="284"/>
      <c r="B48" s="285"/>
      <c r="C48" s="286"/>
      <c r="D48" s="287"/>
      <c r="E48" s="266"/>
      <c r="F48" s="268"/>
      <c r="G48" s="268"/>
      <c r="H48" s="268"/>
      <c r="I48" s="267"/>
      <c r="K48" s="278"/>
      <c r="L48" s="53"/>
      <c r="M48" s="53"/>
      <c r="N48" s="54"/>
      <c r="O48" s="48"/>
      <c r="P48" s="48"/>
    </row>
    <row r="49" spans="1:18" hidden="1" x14ac:dyDescent="0.2">
      <c r="A49" s="288"/>
      <c r="B49" s="289"/>
      <c r="C49" s="289"/>
      <c r="D49" s="290"/>
      <c r="E49" s="291"/>
      <c r="F49" s="292"/>
      <c r="G49" s="266"/>
      <c r="H49" s="266"/>
      <c r="I49" s="268"/>
      <c r="K49" s="279"/>
      <c r="L49" s="51"/>
      <c r="M49" s="51"/>
      <c r="N49" s="53"/>
      <c r="O49" s="53"/>
      <c r="P49" s="54"/>
      <c r="Q49" s="48"/>
      <c r="R49" s="48"/>
    </row>
    <row r="50" spans="1:18" ht="22.5" customHeight="1" x14ac:dyDescent="0.25">
      <c r="A50" s="1200" t="s">
        <v>217</v>
      </c>
      <c r="B50" s="1200"/>
      <c r="C50" s="1200"/>
      <c r="D50" s="1200"/>
      <c r="E50" s="291"/>
      <c r="F50" s="292"/>
      <c r="G50" s="266"/>
      <c r="H50" s="266"/>
      <c r="I50" s="268"/>
      <c r="K50" s="279"/>
      <c r="L50" s="51"/>
      <c r="M50" s="51"/>
      <c r="N50" s="53"/>
      <c r="O50" s="53"/>
      <c r="P50" s="54"/>
      <c r="Q50" s="48"/>
      <c r="R50" s="48"/>
    </row>
    <row r="51" spans="1:18" ht="12.75" customHeight="1" x14ac:dyDescent="0.2">
      <c r="A51" s="1180" t="s">
        <v>53</v>
      </c>
      <c r="B51" s="1181" t="s">
        <v>141</v>
      </c>
      <c r="C51" s="1181"/>
      <c r="D51" s="1181" t="s">
        <v>37</v>
      </c>
      <c r="E51" s="266"/>
      <c r="F51" s="268"/>
      <c r="G51" s="268"/>
      <c r="H51" s="268"/>
      <c r="I51" s="267"/>
      <c r="K51" s="278"/>
      <c r="L51" s="53"/>
      <c r="M51" s="53"/>
      <c r="N51" s="54"/>
      <c r="O51" s="48"/>
      <c r="P51" s="48"/>
    </row>
    <row r="52" spans="1:18" ht="38.25" customHeight="1" x14ac:dyDescent="0.2">
      <c r="A52" s="1180"/>
      <c r="B52" s="1181"/>
      <c r="C52" s="1181"/>
      <c r="D52" s="1181"/>
      <c r="E52" s="266"/>
      <c r="F52" s="268"/>
      <c r="G52" s="268"/>
      <c r="H52" s="268"/>
      <c r="I52" s="267"/>
      <c r="K52" s="322" t="s">
        <v>209</v>
      </c>
      <c r="L52" s="53"/>
      <c r="M52" s="53"/>
      <c r="N52" s="54"/>
      <c r="O52" s="48"/>
      <c r="P52" s="48"/>
    </row>
    <row r="53" spans="1:18" x14ac:dyDescent="0.2">
      <c r="A53" s="1181" t="s">
        <v>139</v>
      </c>
      <c r="B53" s="1165"/>
      <c r="C53" s="1166"/>
      <c r="D53" s="1169" t="s">
        <v>208</v>
      </c>
      <c r="E53" s="266"/>
      <c r="F53" s="268"/>
      <c r="G53" s="268"/>
      <c r="H53" s="268"/>
      <c r="I53" s="267"/>
      <c r="K53" s="1158">
        <v>20</v>
      </c>
      <c r="L53" s="53"/>
      <c r="M53" s="53"/>
      <c r="N53" s="54"/>
      <c r="O53" s="48"/>
      <c r="P53" s="48"/>
    </row>
    <row r="54" spans="1:18" ht="12.75" customHeight="1" x14ac:dyDescent="0.2">
      <c r="A54" s="1181"/>
      <c r="B54" s="1167"/>
      <c r="C54" s="1168"/>
      <c r="D54" s="1169"/>
      <c r="E54" s="266"/>
      <c r="F54" s="268"/>
      <c r="G54" s="268"/>
      <c r="H54" s="268"/>
      <c r="I54" s="267"/>
      <c r="K54" s="1158"/>
      <c r="L54" s="53"/>
      <c r="M54" s="53"/>
      <c r="N54" s="54"/>
      <c r="O54" s="48"/>
      <c r="P54" s="48"/>
    </row>
    <row r="55" spans="1:18" hidden="1" x14ac:dyDescent="0.2">
      <c r="A55" s="294"/>
      <c r="B55" s="293"/>
      <c r="C55" s="293"/>
      <c r="D55" s="291"/>
      <c r="E55" s="291"/>
      <c r="F55" s="292"/>
      <c r="G55" s="266"/>
      <c r="H55" s="266"/>
      <c r="I55" s="268"/>
      <c r="J55" s="276"/>
      <c r="K55" s="277"/>
      <c r="L55" s="51"/>
      <c r="M55" s="51"/>
      <c r="N55" s="53"/>
      <c r="O55" s="53"/>
      <c r="P55" s="54"/>
      <c r="Q55" s="48"/>
      <c r="R55" s="48"/>
    </row>
    <row r="56" spans="1:18" hidden="1" x14ac:dyDescent="0.2">
      <c r="A56" s="294"/>
      <c r="B56" s="293"/>
      <c r="C56" s="293"/>
      <c r="D56" s="291"/>
      <c r="E56" s="291"/>
      <c r="F56" s="292"/>
      <c r="G56" s="266"/>
      <c r="H56" s="266"/>
      <c r="I56" s="268"/>
      <c r="J56" s="276"/>
      <c r="K56" s="277"/>
      <c r="L56" s="51"/>
      <c r="M56" s="51"/>
      <c r="N56" s="53"/>
      <c r="O56" s="53"/>
      <c r="P56" s="54"/>
      <c r="Q56" s="48"/>
      <c r="R56" s="48"/>
    </row>
    <row r="57" spans="1:18" hidden="1" x14ac:dyDescent="0.2">
      <c r="A57" s="294"/>
      <c r="B57" s="293"/>
      <c r="C57" s="293"/>
      <c r="D57" s="291"/>
      <c r="E57" s="291"/>
      <c r="F57" s="292"/>
      <c r="G57" s="266"/>
      <c r="H57" s="266"/>
      <c r="I57" s="268"/>
      <c r="J57" s="276"/>
      <c r="K57" s="277"/>
      <c r="L57" s="51"/>
      <c r="M57" s="51"/>
      <c r="N57" s="53"/>
      <c r="O57" s="53"/>
      <c r="P57" s="54"/>
      <c r="Q57" s="48"/>
      <c r="R57" s="48"/>
    </row>
    <row r="58" spans="1:18" hidden="1" x14ac:dyDescent="0.2">
      <c r="A58" s="294"/>
      <c r="B58" s="293"/>
      <c r="C58" s="293"/>
      <c r="D58" s="291"/>
      <c r="E58" s="291"/>
      <c r="F58" s="292"/>
      <c r="G58" s="266"/>
      <c r="H58" s="266"/>
      <c r="I58" s="268"/>
      <c r="J58" s="276"/>
      <c r="K58" s="277"/>
      <c r="L58" s="51"/>
      <c r="M58" s="51"/>
      <c r="N58" s="53"/>
      <c r="O58" s="53"/>
      <c r="P58" s="54"/>
      <c r="Q58" s="48"/>
      <c r="R58" s="48"/>
    </row>
    <row r="59" spans="1:18" hidden="1" x14ac:dyDescent="0.2">
      <c r="A59" s="294"/>
      <c r="B59" s="293"/>
      <c r="C59" s="293"/>
      <c r="D59" s="291"/>
      <c r="E59" s="291"/>
      <c r="F59" s="292"/>
      <c r="G59" s="266"/>
      <c r="H59" s="266"/>
      <c r="I59" s="268"/>
      <c r="J59" s="276"/>
      <c r="K59" s="277"/>
      <c r="L59" s="51"/>
      <c r="M59" s="51"/>
      <c r="N59" s="53"/>
      <c r="O59" s="53"/>
      <c r="P59" s="54"/>
      <c r="Q59" s="48"/>
      <c r="R59" s="48"/>
    </row>
    <row r="60" spans="1:18" hidden="1" x14ac:dyDescent="0.2">
      <c r="A60" s="294"/>
      <c r="B60" s="293"/>
      <c r="C60" s="293"/>
      <c r="D60" s="291"/>
      <c r="E60" s="291"/>
      <c r="F60" s="292"/>
      <c r="G60" s="266"/>
      <c r="H60" s="266"/>
      <c r="I60" s="268"/>
      <c r="J60" s="276"/>
      <c r="K60" s="277"/>
      <c r="L60" s="51"/>
      <c r="M60" s="51"/>
      <c r="N60" s="53"/>
      <c r="O60" s="53"/>
      <c r="P60" s="54"/>
      <c r="Q60" s="48"/>
      <c r="R60" s="48"/>
    </row>
    <row r="61" spans="1:18" hidden="1" x14ac:dyDescent="0.2">
      <c r="A61" s="294"/>
      <c r="B61" s="293"/>
      <c r="C61" s="293"/>
      <c r="D61" s="291"/>
      <c r="E61" s="291"/>
      <c r="F61" s="292"/>
      <c r="G61" s="266"/>
      <c r="H61" s="266"/>
      <c r="I61" s="268"/>
      <c r="J61" s="276"/>
      <c r="K61" s="277"/>
      <c r="L61" s="51"/>
      <c r="M61" s="51"/>
      <c r="N61" s="53"/>
      <c r="O61" s="53"/>
      <c r="P61" s="54"/>
      <c r="Q61" s="48"/>
      <c r="R61" s="48"/>
    </row>
    <row r="62" spans="1:18" hidden="1" x14ac:dyDescent="0.2">
      <c r="A62" s="294"/>
      <c r="B62" s="293"/>
      <c r="C62" s="293"/>
      <c r="D62" s="291"/>
      <c r="E62" s="291"/>
      <c r="F62" s="292"/>
      <c r="G62" s="266"/>
      <c r="H62" s="266"/>
      <c r="I62" s="268"/>
      <c r="J62" s="276"/>
      <c r="K62" s="277"/>
      <c r="L62" s="51"/>
      <c r="M62" s="51"/>
      <c r="N62" s="53"/>
      <c r="O62" s="53"/>
      <c r="P62" s="54"/>
      <c r="Q62" s="48"/>
      <c r="R62" s="48"/>
    </row>
    <row r="63" spans="1:18" ht="23.25" customHeight="1" x14ac:dyDescent="0.25">
      <c r="A63" s="320" t="s">
        <v>218</v>
      </c>
      <c r="B63" s="295"/>
      <c r="C63" s="295"/>
      <c r="D63" s="295"/>
      <c r="E63" s="295"/>
      <c r="F63" s="295"/>
      <c r="G63" s="254"/>
      <c r="H63" s="254"/>
      <c r="I63" s="254"/>
      <c r="J63" s="296"/>
      <c r="K63" s="296"/>
      <c r="L63" s="35"/>
      <c r="M63" s="35"/>
      <c r="N63" s="35"/>
      <c r="O63" s="35"/>
      <c r="P63" s="46"/>
      <c r="Q63" s="48"/>
      <c r="R63" s="48"/>
    </row>
    <row r="64" spans="1:18" ht="12.75" customHeight="1" x14ac:dyDescent="0.2">
      <c r="A64" s="1182" t="s">
        <v>52</v>
      </c>
      <c r="B64" s="1170" t="s">
        <v>81</v>
      </c>
      <c r="C64" s="1171"/>
      <c r="D64" s="1171"/>
      <c r="E64" s="1171"/>
      <c r="F64" s="1171"/>
      <c r="G64" s="1172"/>
      <c r="H64" s="1157" t="s">
        <v>188</v>
      </c>
      <c r="J64" s="253"/>
      <c r="K64" s="253"/>
    </row>
    <row r="65" spans="1:18" ht="12.75" customHeight="1" x14ac:dyDescent="0.2">
      <c r="A65" s="1183"/>
      <c r="B65" s="1173"/>
      <c r="C65" s="1174"/>
      <c r="D65" s="1174"/>
      <c r="E65" s="1174"/>
      <c r="F65" s="1174"/>
      <c r="G65" s="1175"/>
      <c r="H65" s="1157"/>
      <c r="I65" s="1159"/>
      <c r="J65" s="1160"/>
      <c r="K65" s="1160"/>
    </row>
    <row r="66" spans="1:18" ht="12.75" hidden="1" customHeight="1" x14ac:dyDescent="0.2">
      <c r="A66" s="456"/>
      <c r="B66" s="453"/>
      <c r="C66" s="454"/>
      <c r="D66" s="454"/>
      <c r="E66" s="454"/>
      <c r="F66" s="454"/>
      <c r="G66" s="455"/>
      <c r="H66" s="1157"/>
      <c r="I66" s="598"/>
      <c r="J66" s="599"/>
      <c r="K66" s="599"/>
    </row>
    <row r="67" spans="1:18" x14ac:dyDescent="0.2">
      <c r="A67" s="459"/>
      <c r="B67" s="386" t="s">
        <v>144</v>
      </c>
      <c r="C67" s="387" t="s">
        <v>145</v>
      </c>
      <c r="D67" s="386" t="s">
        <v>146</v>
      </c>
      <c r="E67" s="387" t="s">
        <v>236</v>
      </c>
      <c r="F67" s="386" t="s">
        <v>237</v>
      </c>
      <c r="G67" s="323" t="s">
        <v>147</v>
      </c>
      <c r="H67" s="1157"/>
      <c r="I67" s="598"/>
      <c r="J67" s="600"/>
      <c r="K67" s="323" t="s">
        <v>209</v>
      </c>
    </row>
    <row r="68" spans="1:18" x14ac:dyDescent="0.2">
      <c r="A68" s="457"/>
      <c r="B68" s="458"/>
      <c r="C68" s="457"/>
      <c r="D68" s="458"/>
      <c r="E68" s="457"/>
      <c r="F68" s="458"/>
      <c r="G68" s="452"/>
      <c r="H68" s="1162" t="s">
        <v>171</v>
      </c>
      <c r="I68" s="601"/>
      <c r="J68" s="602"/>
      <c r="K68" s="1161">
        <v>50</v>
      </c>
    </row>
    <row r="69" spans="1:18" x14ac:dyDescent="0.2">
      <c r="A69" s="457"/>
      <c r="B69" s="458"/>
      <c r="C69" s="457"/>
      <c r="D69" s="458"/>
      <c r="E69" s="457"/>
      <c r="F69" s="458"/>
      <c r="G69" s="452"/>
      <c r="H69" s="1163"/>
      <c r="I69" s="601"/>
      <c r="J69" s="603"/>
      <c r="K69" s="1161"/>
    </row>
    <row r="70" spans="1:18" x14ac:dyDescent="0.2">
      <c r="A70" s="388"/>
      <c r="B70" s="389"/>
      <c r="C70" s="389"/>
      <c r="D70" s="389"/>
      <c r="E70" s="389"/>
      <c r="F70" s="389"/>
      <c r="G70" s="390"/>
      <c r="H70" s="1163"/>
      <c r="I70" s="604"/>
      <c r="J70" s="603"/>
      <c r="K70" s="1161"/>
    </row>
    <row r="71" spans="1:18" x14ac:dyDescent="0.2">
      <c r="A71" s="388"/>
      <c r="B71" s="389"/>
      <c r="C71" s="389"/>
      <c r="D71" s="389"/>
      <c r="E71" s="389"/>
      <c r="F71" s="389"/>
      <c r="G71" s="390"/>
      <c r="H71" s="1163"/>
      <c r="I71" s="604"/>
      <c r="J71" s="603"/>
      <c r="K71" s="1161"/>
    </row>
    <row r="72" spans="1:18" x14ac:dyDescent="0.2">
      <c r="A72" s="388"/>
      <c r="B72" s="389"/>
      <c r="C72" s="389"/>
      <c r="D72" s="389"/>
      <c r="E72" s="389"/>
      <c r="F72" s="389"/>
      <c r="G72" s="390"/>
      <c r="H72" s="1163"/>
      <c r="I72" s="604"/>
      <c r="J72" s="602"/>
      <c r="K72" s="1161"/>
    </row>
    <row r="73" spans="1:18" x14ac:dyDescent="0.2">
      <c r="A73" s="391"/>
      <c r="B73" s="392"/>
      <c r="C73" s="392"/>
      <c r="D73" s="392"/>
      <c r="E73" s="392"/>
      <c r="F73" s="392"/>
      <c r="G73" s="392"/>
      <c r="H73" s="1164"/>
      <c r="I73" s="601"/>
      <c r="J73" s="602"/>
      <c r="K73" s="1161"/>
    </row>
    <row r="74" spans="1:18" hidden="1" x14ac:dyDescent="0.2">
      <c r="A74" s="268"/>
      <c r="B74" s="298"/>
      <c r="C74" s="299"/>
      <c r="D74" s="298"/>
      <c r="E74" s="299"/>
      <c r="F74" s="298"/>
      <c r="G74" s="299"/>
      <c r="H74" s="299"/>
      <c r="I74" s="298"/>
      <c r="J74" s="298"/>
      <c r="K74" s="299"/>
      <c r="L74" s="59"/>
      <c r="M74" s="59"/>
      <c r="N74" s="60"/>
      <c r="O74" s="59"/>
      <c r="P74" s="60"/>
      <c r="Q74" s="1156"/>
      <c r="R74" s="1156"/>
    </row>
    <row r="75" spans="1:18" ht="28.5" customHeight="1" x14ac:dyDescent="0.2">
      <c r="A75" s="269" t="s">
        <v>105</v>
      </c>
      <c r="B75" s="297"/>
      <c r="C75" s="297"/>
      <c r="D75" s="297"/>
      <c r="E75" s="297"/>
      <c r="F75" s="297"/>
      <c r="G75" s="297"/>
      <c r="H75" s="297"/>
      <c r="I75" s="302"/>
      <c r="J75" s="1177"/>
      <c r="K75" s="1177"/>
      <c r="P75" s="60"/>
      <c r="Q75" s="102"/>
      <c r="R75" s="102"/>
    </row>
    <row r="76" spans="1:18" ht="19.5" customHeight="1" x14ac:dyDescent="0.2">
      <c r="A76" s="303" t="s">
        <v>189</v>
      </c>
      <c r="D76" s="304"/>
      <c r="E76" s="304"/>
      <c r="F76" s="304"/>
      <c r="G76" s="304"/>
      <c r="H76" s="304"/>
      <c r="J76" s="305"/>
      <c r="P76" s="60"/>
      <c r="Q76" s="102"/>
      <c r="R76" s="102"/>
    </row>
    <row r="77" spans="1:18" ht="15.75" customHeight="1" x14ac:dyDescent="0.2">
      <c r="A77" s="303"/>
      <c r="D77" s="304"/>
      <c r="E77" s="304"/>
      <c r="F77" s="304"/>
      <c r="G77" s="304"/>
      <c r="H77" s="304"/>
      <c r="J77" s="305"/>
      <c r="P77" s="60"/>
      <c r="Q77" s="725"/>
      <c r="R77" s="725"/>
    </row>
    <row r="78" spans="1:18" ht="18" x14ac:dyDescent="0.2">
      <c r="A78" s="587" t="s">
        <v>248</v>
      </c>
      <c r="B78" s="18"/>
      <c r="C78" s="306"/>
      <c r="D78" s="307"/>
      <c r="E78" s="306"/>
      <c r="F78" s="306"/>
      <c r="G78" s="306"/>
      <c r="H78" s="306"/>
      <c r="J78" s="379"/>
      <c r="P78" s="60"/>
      <c r="Q78" s="102"/>
      <c r="R78" s="102"/>
    </row>
    <row r="79" spans="1:18" x14ac:dyDescent="0.2">
      <c r="A79" s="583" t="s">
        <v>325</v>
      </c>
      <c r="C79" s="306"/>
      <c r="D79" s="308"/>
      <c r="E79" s="308"/>
      <c r="F79" s="308"/>
      <c r="G79" s="308"/>
      <c r="H79" s="308"/>
      <c r="J79" s="380"/>
      <c r="P79" s="60"/>
      <c r="Q79" s="102"/>
      <c r="R79" s="102"/>
    </row>
    <row r="80" spans="1:18" ht="16.5" customHeight="1" x14ac:dyDescent="0.2">
      <c r="A80" s="584" t="s">
        <v>326</v>
      </c>
      <c r="C80" s="306"/>
      <c r="D80" s="308"/>
      <c r="E80" s="308"/>
      <c r="F80" s="308"/>
      <c r="G80" s="308"/>
      <c r="H80" s="308"/>
      <c r="P80" s="60"/>
      <c r="Q80" s="102"/>
      <c r="R80" s="102"/>
    </row>
    <row r="81" spans="1:18" hidden="1" x14ac:dyDescent="0.2">
      <c r="A81" s="583" t="s">
        <v>327</v>
      </c>
      <c r="C81" s="306"/>
      <c r="D81" s="308"/>
      <c r="E81" s="308"/>
      <c r="F81" s="308"/>
      <c r="G81" s="308"/>
      <c r="H81" s="308"/>
      <c r="I81" s="298"/>
      <c r="J81" s="298"/>
      <c r="K81" s="299"/>
      <c r="L81" s="59"/>
      <c r="M81" s="59"/>
      <c r="P81" s="60"/>
      <c r="Q81" s="102"/>
      <c r="R81" s="102"/>
    </row>
    <row r="82" spans="1:18" hidden="1" x14ac:dyDescent="0.2">
      <c r="A82" s="688" t="s">
        <v>347</v>
      </c>
      <c r="C82" s="306"/>
      <c r="D82" s="308"/>
      <c r="E82" s="308"/>
      <c r="F82" s="308"/>
      <c r="G82" s="308"/>
      <c r="H82" s="308"/>
      <c r="I82" s="309"/>
      <c r="J82" s="309"/>
      <c r="K82" s="310"/>
      <c r="L82" s="62"/>
      <c r="M82" s="62"/>
      <c r="P82" s="60"/>
      <c r="Q82" s="102"/>
      <c r="R82" s="102"/>
    </row>
    <row r="83" spans="1:18" hidden="1" x14ac:dyDescent="0.2">
      <c r="A83" s="583" t="s">
        <v>265</v>
      </c>
      <c r="C83" s="306"/>
      <c r="D83" s="308"/>
      <c r="E83" s="308"/>
      <c r="F83" s="308"/>
      <c r="G83" s="308"/>
      <c r="H83" s="308"/>
    </row>
    <row r="84" spans="1:18" hidden="1" x14ac:dyDescent="0.2">
      <c r="A84" s="583" t="s">
        <v>292</v>
      </c>
      <c r="C84" s="306"/>
      <c r="D84" s="308"/>
      <c r="E84" s="308"/>
      <c r="F84" s="308"/>
      <c r="G84" s="308"/>
      <c r="H84" s="308"/>
    </row>
    <row r="85" spans="1:18" hidden="1" x14ac:dyDescent="0.2">
      <c r="A85" s="583" t="s">
        <v>263</v>
      </c>
      <c r="C85" s="306"/>
      <c r="D85" s="308"/>
      <c r="E85" s="308"/>
      <c r="F85" s="308"/>
      <c r="G85" s="308"/>
      <c r="H85" s="308"/>
    </row>
    <row r="86" spans="1:18" hidden="1" x14ac:dyDescent="0.2">
      <c r="A86" s="688" t="s">
        <v>353</v>
      </c>
      <c r="C86" s="306"/>
      <c r="D86" s="308"/>
      <c r="E86" s="308"/>
      <c r="F86" s="308"/>
      <c r="G86" s="308"/>
      <c r="H86" s="308"/>
    </row>
    <row r="87" spans="1:18" x14ac:dyDescent="0.2">
      <c r="A87" s="608" t="s">
        <v>328</v>
      </c>
      <c r="C87" s="306"/>
      <c r="D87" s="306"/>
      <c r="E87" s="306"/>
      <c r="F87" s="306"/>
      <c r="G87" s="306"/>
      <c r="H87" s="306"/>
    </row>
    <row r="88" spans="1:18" x14ac:dyDescent="0.2">
      <c r="A88" s="608" t="s">
        <v>270</v>
      </c>
      <c r="C88" s="306"/>
      <c r="D88" s="306"/>
      <c r="E88" s="306"/>
      <c r="F88" s="306"/>
      <c r="G88" s="306"/>
      <c r="H88" s="306"/>
      <c r="M88" s="724"/>
    </row>
    <row r="89" spans="1:18" x14ac:dyDescent="0.2">
      <c r="A89" s="608" t="s">
        <v>329</v>
      </c>
      <c r="C89" s="306"/>
      <c r="D89" s="306"/>
      <c r="E89" s="306"/>
      <c r="H89" s="306"/>
      <c r="M89" s="724"/>
    </row>
    <row r="90" spans="1:18" x14ac:dyDescent="0.2">
      <c r="A90" s="608" t="s">
        <v>414</v>
      </c>
      <c r="D90" s="311"/>
      <c r="E90" s="312"/>
      <c r="H90" s="313"/>
      <c r="M90" s="724"/>
      <c r="P90" s="66"/>
    </row>
    <row r="91" spans="1:18" x14ac:dyDescent="0.2">
      <c r="A91" s="608" t="s">
        <v>403</v>
      </c>
      <c r="D91" s="314"/>
      <c r="E91" s="314"/>
      <c r="F91" s="315"/>
      <c r="G91" s="313"/>
      <c r="H91" s="313"/>
      <c r="M91" s="724"/>
      <c r="P91" s="66"/>
    </row>
    <row r="92" spans="1:18" x14ac:dyDescent="0.2">
      <c r="A92" s="586" t="s">
        <v>278</v>
      </c>
      <c r="B92" s="316"/>
      <c r="C92" s="223"/>
      <c r="D92" s="317"/>
      <c r="E92" s="318"/>
      <c r="F92" s="313"/>
      <c r="G92" s="313"/>
      <c r="H92" s="313"/>
    </row>
    <row r="93" spans="1:18" x14ac:dyDescent="0.2">
      <c r="A93" s="586" t="s">
        <v>297</v>
      </c>
      <c r="B93" s="316"/>
      <c r="C93" s="223"/>
      <c r="D93" s="317"/>
      <c r="E93" s="318"/>
      <c r="F93" s="313"/>
      <c r="G93" s="313"/>
      <c r="H93" s="313"/>
    </row>
    <row r="94" spans="1:18" x14ac:dyDescent="0.2">
      <c r="A94" s="586" t="s">
        <v>330</v>
      </c>
      <c r="B94" s="316"/>
      <c r="C94" s="223"/>
      <c r="D94" s="317"/>
      <c r="E94" s="318"/>
      <c r="F94" s="313"/>
      <c r="G94" s="313"/>
      <c r="H94" s="313"/>
    </row>
    <row r="95" spans="1:18" x14ac:dyDescent="0.2">
      <c r="A95" s="586"/>
      <c r="B95" s="316"/>
      <c r="C95" s="223"/>
      <c r="D95" s="317"/>
      <c r="E95" s="318"/>
      <c r="F95" s="313"/>
      <c r="G95" s="313"/>
      <c r="H95" s="313"/>
    </row>
    <row r="96" spans="1:18" x14ac:dyDescent="0.2">
      <c r="A96" s="586"/>
      <c r="B96" s="316"/>
      <c r="C96" s="223"/>
      <c r="D96" s="317"/>
      <c r="E96" s="318"/>
      <c r="F96" s="313"/>
      <c r="G96" s="313"/>
      <c r="H96" s="313"/>
    </row>
    <row r="97" spans="1:8" x14ac:dyDescent="0.2">
      <c r="A97" s="586"/>
      <c r="B97" s="316"/>
      <c r="C97" s="223"/>
      <c r="D97" s="317"/>
      <c r="E97" s="318"/>
      <c r="F97" s="313"/>
      <c r="G97" s="313"/>
      <c r="H97" s="313"/>
    </row>
    <row r="98" spans="1:8" x14ac:dyDescent="0.25">
      <c r="A98" s="319" t="s">
        <v>211</v>
      </c>
      <c r="B98" s="300" t="s">
        <v>0</v>
      </c>
      <c r="C98" s="301" t="s">
        <v>233</v>
      </c>
      <c r="H98" s="381"/>
    </row>
    <row r="99" spans="1:8" x14ac:dyDescent="0.2">
      <c r="H99" s="382"/>
    </row>
  </sheetData>
  <sheetProtection algorithmName="SHA-512" hashValue="m5wD0zfRbdREIOGlGBzL79Ze8EtNyFoaN34NeZnjObiGAAx5p26oxZxxOERkS+K4XY8/+MtfmxHBVFLrJKB8NA==" saltValue="qbXxSzpwo/B9uAyCxRL+iw==" spinCount="100000" sheet="1" objects="1" scenarios="1"/>
  <mergeCells count="34">
    <mergeCell ref="A64:A65"/>
    <mergeCell ref="A17:F17"/>
    <mergeCell ref="A18:A19"/>
    <mergeCell ref="B18:B19"/>
    <mergeCell ref="C18:C19"/>
    <mergeCell ref="A42:A43"/>
    <mergeCell ref="B42:C43"/>
    <mergeCell ref="D42:D43"/>
    <mergeCell ref="A45:A46"/>
    <mergeCell ref="B45:C46"/>
    <mergeCell ref="D45:D46"/>
    <mergeCell ref="A51:A52"/>
    <mergeCell ref="B51:C52"/>
    <mergeCell ref="D51:D52"/>
    <mergeCell ref="A50:D50"/>
    <mergeCell ref="A53:A54"/>
    <mergeCell ref="A1:K1"/>
    <mergeCell ref="A2:K2"/>
    <mergeCell ref="A3:K3"/>
    <mergeCell ref="A40:A41"/>
    <mergeCell ref="B40:C41"/>
    <mergeCell ref="D40:D41"/>
    <mergeCell ref="B53:C54"/>
    <mergeCell ref="D53:D54"/>
    <mergeCell ref="B64:G65"/>
    <mergeCell ref="J20:J24"/>
    <mergeCell ref="J75:K75"/>
    <mergeCell ref="Q74:R74"/>
    <mergeCell ref="H64:H67"/>
    <mergeCell ref="K42:K43"/>
    <mergeCell ref="K53:K54"/>
    <mergeCell ref="I65:K65"/>
    <mergeCell ref="K68:K73"/>
    <mergeCell ref="H68:H73"/>
  </mergeCells>
  <dataValidations count="3">
    <dataValidation type="list" allowBlank="1" showInputMessage="1" showErrorMessage="1" sqref="K14:K16" xr:uid="{00000000-0002-0000-0100-000000000000}">
      <formula1>$IA$1:$IA$12</formula1>
    </dataValidation>
    <dataValidation type="list" allowBlank="1" showInputMessage="1" showErrorMessage="1" sqref="C38" xr:uid="{00000000-0002-0000-0100-000001000000}">
      <formula1>$V$1:$V$2</formula1>
    </dataValidation>
    <dataValidation type="list" allowBlank="1" showInputMessage="1" showErrorMessage="1" sqref="L7:O7" xr:uid="{00000000-0002-0000-0100-000002000000}">
      <formula1>$BC$4:$BC$15</formula1>
    </dataValidation>
  </dataValidations>
  <printOptions horizontalCentered="1"/>
  <pageMargins left="0.511811023622047" right="0.23622047244094499" top="0.74803149606299202" bottom="0.55118110236220497" header="0.23622047244094499" footer="0.23622047244094499"/>
  <pageSetup paperSize="9" scale="72" orientation="portrait" r:id="rId1"/>
  <headerFooter>
    <oddHeader>&amp;R&amp;8T.042-18</oddHeader>
  </headerFooter>
  <drawing r:id="rId2"/>
  <extLst>
    <ext xmlns:x14="http://schemas.microsoft.com/office/spreadsheetml/2009/9/main" uri="{78C0D931-6437-407d-A8EE-F0AAD7539E65}">
      <x14:conditionalFormattings>
        <x14:conditionalFormatting xmlns:xm="http://schemas.microsoft.com/office/excel/2006/main">
          <x14:cfRule type="iconSet" priority="2" id="{4DE42F6A-6E0C-491A-9BFB-5718132FDBF3}">
            <x14:iconSet custom="1">
              <x14:cfvo type="percent">
                <xm:f>0</xm:f>
              </x14:cfvo>
              <x14:cfvo type="num">
                <xm:f>3</xm:f>
              </x14:cfvo>
              <x14:cfvo type="num" gte="0">
                <xm:f>3</xm:f>
              </x14:cfvo>
              <x14:cfIcon iconSet="3Symbols" iconId="2"/>
              <x14:cfIcon iconSet="3Symbols" iconId="2"/>
              <x14:cfIcon iconSet="3Symbols" iconId="0"/>
            </x14:iconSet>
          </x14:cfRule>
          <xm:sqref>D91:E91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00000000-0002-0000-0100-000004000000}">
          <x14:formula1>
            <xm:f>KETERANGAN!$F$8:$F$9</xm:f>
          </x14:formula1>
          <xm:sqref>P6 P2:P4</xm:sqref>
        </x14:dataValidation>
        <x14:dataValidation type="list" allowBlank="1" showInputMessage="1" xr:uid="{00000000-0002-0000-0100-000005000000}">
          <x14:formula1>
            <xm:f>KETERANGAN!$G$26:$G$33</xm:f>
          </x14:formula1>
          <xm:sqref>A76:A77</xm:sqref>
        </x14:dataValidation>
        <x14:dataValidation type="list" allowBlank="1" showInputMessage="1" showErrorMessage="1" xr:uid="{00000000-0002-0000-0100-000006000000}">
          <x14:formula1>
            <xm:f>'SERTIFIKAT DPM'!$BN$4:$BN$5</xm:f>
          </x14:formula1>
          <xm:sqref>E7</xm:sqref>
        </x14:dataValidation>
        <x14:dataValidation type="list" allowBlank="1" showInputMessage="1" showErrorMessage="1" xr:uid="{00000000-0002-0000-0100-000003000000}">
          <x14:formula1>
            <xm:f>'SERTIFIKAT THERMOHYGROMETER'!$W$3:$W$12</xm:f>
          </x14:formula1>
          <xm:sqref>E8 L8:O8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150"/>
  <sheetViews>
    <sheetView showGridLines="0" view="pageBreakPreview" topLeftCell="A23" zoomScaleNormal="100" zoomScaleSheetLayoutView="100" workbookViewId="0">
      <selection activeCell="D43" sqref="D43:E44"/>
    </sheetView>
  </sheetViews>
  <sheetFormatPr defaultColWidth="9.140625" defaultRowHeight="15.75" x14ac:dyDescent="0.2"/>
  <cols>
    <col min="1" max="1" width="30.28515625" style="34" customWidth="1"/>
    <col min="2" max="2" width="11.5703125" style="34" customWidth="1"/>
    <col min="3" max="3" width="12.85546875" style="34" customWidth="1"/>
    <col min="4" max="5" width="10" style="34" customWidth="1"/>
    <col min="6" max="7" width="9.7109375" style="34" customWidth="1"/>
    <col min="8" max="9" width="9.140625" style="34" customWidth="1"/>
    <col min="10" max="11" width="9.28515625" style="34" customWidth="1"/>
    <col min="12" max="12" width="12" style="34" customWidth="1"/>
    <col min="13" max="13" width="17.140625" style="34" customWidth="1"/>
    <col min="14" max="14" width="8.5703125" style="34" customWidth="1"/>
    <col min="15" max="15" width="9.85546875" style="34" customWidth="1"/>
    <col min="16" max="16" width="16" style="34" customWidth="1"/>
    <col min="17" max="17" width="13.28515625" style="34" customWidth="1"/>
    <col min="18" max="18" width="7.7109375" style="34" customWidth="1"/>
    <col min="19" max="19" width="9.140625" style="34" customWidth="1"/>
    <col min="20" max="20" width="12.7109375" style="34" customWidth="1"/>
    <col min="21" max="21" width="17.42578125" style="34" customWidth="1"/>
    <col min="22" max="22" width="16.42578125" style="34" customWidth="1"/>
    <col min="23" max="23" width="9.140625" style="34" customWidth="1"/>
    <col min="24" max="24" width="17.7109375" style="34" customWidth="1"/>
    <col min="25" max="28" width="9.140625" style="34" customWidth="1"/>
    <col min="29" max="29" width="14.28515625" style="34" customWidth="1"/>
    <col min="30" max="30" width="21.140625" style="34" customWidth="1"/>
    <col min="31" max="225" width="9.140625" style="34" customWidth="1"/>
    <col min="226" max="226" width="7.7109375" style="34" customWidth="1"/>
    <col min="227" max="230" width="8.7109375" style="34" customWidth="1"/>
    <col min="231" max="231" width="0.28515625" style="34" customWidth="1"/>
    <col min="232" max="232" width="8.5703125" style="34" customWidth="1"/>
    <col min="233" max="238" width="8.7109375" style="34" customWidth="1"/>
    <col min="239" max="16384" width="9.140625" style="34"/>
  </cols>
  <sheetData>
    <row r="1" spans="1:18" ht="18.75" x14ac:dyDescent="0.2">
      <c r="A1" s="1241" t="s">
        <v>190</v>
      </c>
      <c r="B1" s="1241"/>
      <c r="C1" s="1241"/>
      <c r="D1" s="1241"/>
      <c r="E1" s="1241"/>
      <c r="F1" s="1241"/>
      <c r="G1" s="1241"/>
      <c r="H1" s="1241"/>
      <c r="I1" s="1241"/>
      <c r="J1" s="1241"/>
      <c r="K1" s="1241"/>
      <c r="L1" s="32"/>
      <c r="M1" s="32"/>
      <c r="N1" s="32"/>
      <c r="O1" s="32"/>
      <c r="P1" s="32"/>
      <c r="Q1" s="33"/>
      <c r="R1" s="33"/>
    </row>
    <row r="2" spans="1:18" ht="17.25" x14ac:dyDescent="0.2">
      <c r="A2" s="185"/>
      <c r="B2" s="185"/>
      <c r="C2" s="185"/>
      <c r="D2" s="691" t="str">
        <f>IF(PENYELIA!M73&gt;=70,KETERANGAN!F8,KETERANGAN!F9)</f>
        <v>Nomor Sertifikat : 44 /</v>
      </c>
      <c r="F2" s="185"/>
      <c r="G2" s="185"/>
      <c r="H2" s="185"/>
      <c r="I2" s="1055" t="s">
        <v>377</v>
      </c>
      <c r="J2" s="1056"/>
      <c r="K2" s="1056"/>
      <c r="L2" s="185"/>
      <c r="M2" s="185"/>
      <c r="N2" s="185"/>
      <c r="O2" s="185"/>
      <c r="P2" s="37"/>
      <c r="Q2" s="37"/>
      <c r="R2" s="37"/>
    </row>
    <row r="3" spans="1:18" ht="17.25" x14ac:dyDescent="0.2">
      <c r="A3" s="39"/>
      <c r="B3" s="39"/>
      <c r="F3" s="39"/>
      <c r="G3" s="39"/>
      <c r="H3" s="39"/>
      <c r="I3" s="39"/>
      <c r="J3" s="39"/>
      <c r="K3" s="39"/>
      <c r="L3" s="39"/>
      <c r="M3" s="39"/>
      <c r="N3" s="39"/>
      <c r="O3" s="39"/>
      <c r="P3" s="37"/>
      <c r="Q3" s="37"/>
      <c r="R3" s="37"/>
    </row>
    <row r="4" spans="1:18" ht="9.75" customHeight="1" x14ac:dyDescent="0.2">
      <c r="A4" s="103"/>
      <c r="B4" s="39"/>
      <c r="C4" s="39"/>
      <c r="E4" s="39"/>
      <c r="F4" s="39"/>
      <c r="G4" s="39"/>
      <c r="H4" s="39"/>
      <c r="I4" s="39"/>
      <c r="J4" s="39"/>
      <c r="K4" s="39"/>
      <c r="L4" s="39"/>
      <c r="M4" s="39"/>
      <c r="N4" s="39"/>
      <c r="O4" s="39"/>
      <c r="P4" s="37"/>
      <c r="Q4" s="37"/>
      <c r="R4" s="37"/>
    </row>
    <row r="5" spans="1:18" ht="6.75" customHeight="1" x14ac:dyDescent="0.2">
      <c r="F5" s="64"/>
      <c r="G5" s="64"/>
      <c r="H5" s="42"/>
      <c r="I5" s="42"/>
    </row>
    <row r="6" spans="1:18" ht="17.25" x14ac:dyDescent="0.2">
      <c r="A6" s="40" t="s">
        <v>21</v>
      </c>
      <c r="B6" s="41" t="s">
        <v>0</v>
      </c>
      <c r="C6" s="981" t="s">
        <v>235</v>
      </c>
      <c r="D6" s="39"/>
      <c r="L6" s="170"/>
      <c r="M6" s="170"/>
      <c r="N6" s="170"/>
      <c r="O6" s="170"/>
      <c r="P6" s="37"/>
      <c r="Q6" s="37"/>
      <c r="R6" s="37"/>
    </row>
    <row r="7" spans="1:18" x14ac:dyDescent="0.2">
      <c r="A7" s="104" t="s">
        <v>138</v>
      </c>
      <c r="B7" s="41" t="s">
        <v>0</v>
      </c>
      <c r="C7" s="981" t="s">
        <v>136</v>
      </c>
      <c r="D7" s="99"/>
      <c r="L7" s="170"/>
      <c r="M7" s="170"/>
      <c r="N7" s="170"/>
      <c r="O7" s="170"/>
    </row>
    <row r="8" spans="1:18" ht="15.75" customHeight="1" x14ac:dyDescent="0.2">
      <c r="A8" s="40" t="s">
        <v>9</v>
      </c>
      <c r="B8" s="41" t="s">
        <v>0</v>
      </c>
      <c r="C8" s="982" t="s">
        <v>136</v>
      </c>
      <c r="D8" s="99"/>
      <c r="L8" s="170"/>
      <c r="M8" s="170"/>
      <c r="N8" s="170"/>
      <c r="O8" s="170"/>
    </row>
    <row r="9" spans="1:18" x14ac:dyDescent="0.2">
      <c r="A9" s="40" t="s">
        <v>76</v>
      </c>
      <c r="B9" s="41" t="s">
        <v>0</v>
      </c>
      <c r="C9" s="983">
        <v>2</v>
      </c>
      <c r="D9" s="99"/>
      <c r="L9" s="170"/>
      <c r="M9" s="372" t="s">
        <v>204</v>
      </c>
      <c r="N9" s="170"/>
      <c r="O9" s="170"/>
    </row>
    <row r="10" spans="1:18" x14ac:dyDescent="0.2">
      <c r="A10" s="99" t="s">
        <v>137</v>
      </c>
      <c r="B10" s="100" t="s">
        <v>0</v>
      </c>
      <c r="C10" s="1103">
        <v>44641</v>
      </c>
      <c r="D10" s="99"/>
      <c r="E10" s="170"/>
      <c r="F10" s="170"/>
      <c r="G10" s="170"/>
      <c r="H10" s="170"/>
      <c r="I10" s="170"/>
      <c r="J10" s="170"/>
      <c r="K10" s="170"/>
      <c r="L10" s="170"/>
      <c r="M10" s="99" t="s">
        <v>205</v>
      </c>
      <c r="N10" s="170"/>
      <c r="O10" s="170"/>
    </row>
    <row r="11" spans="1:18" x14ac:dyDescent="0.2">
      <c r="A11" s="40" t="s">
        <v>1</v>
      </c>
      <c r="B11" s="41" t="s">
        <v>0</v>
      </c>
      <c r="C11" s="1103">
        <f>C10</f>
        <v>44641</v>
      </c>
      <c r="D11" s="99"/>
      <c r="E11" s="170"/>
      <c r="F11" s="170"/>
      <c r="G11" s="170"/>
      <c r="H11" s="170"/>
      <c r="I11" s="170"/>
      <c r="J11" s="170"/>
      <c r="K11" s="170"/>
      <c r="L11" s="170"/>
      <c r="M11" s="99" t="s">
        <v>206</v>
      </c>
      <c r="N11" s="170"/>
      <c r="O11" s="170"/>
    </row>
    <row r="12" spans="1:18" x14ac:dyDescent="0.2">
      <c r="A12" s="40" t="s">
        <v>2</v>
      </c>
      <c r="B12" s="41" t="s">
        <v>0</v>
      </c>
      <c r="C12" s="984" t="s">
        <v>234</v>
      </c>
      <c r="D12" s="99"/>
      <c r="E12" s="64"/>
    </row>
    <row r="13" spans="1:18" x14ac:dyDescent="0.2">
      <c r="A13" s="35" t="s">
        <v>23</v>
      </c>
      <c r="B13" s="41" t="s">
        <v>0</v>
      </c>
      <c r="C13" s="981" t="s">
        <v>691</v>
      </c>
      <c r="D13" s="99"/>
      <c r="L13" s="170"/>
      <c r="M13" s="170"/>
      <c r="N13" s="170"/>
      <c r="O13" s="170"/>
    </row>
    <row r="14" spans="1:18" x14ac:dyDescent="0.2">
      <c r="A14" s="104" t="s">
        <v>210</v>
      </c>
      <c r="B14" s="41" t="s">
        <v>0</v>
      </c>
      <c r="C14" s="1242" t="s">
        <v>205</v>
      </c>
      <c r="D14" s="1242"/>
      <c r="E14" s="64"/>
    </row>
    <row r="15" spans="1:18" hidden="1" x14ac:dyDescent="0.2">
      <c r="A15" s="40" t="s">
        <v>66</v>
      </c>
      <c r="B15" s="41" t="s">
        <v>0</v>
      </c>
      <c r="C15" s="36" t="s">
        <v>112</v>
      </c>
      <c r="D15" s="186"/>
      <c r="E15" s="43"/>
      <c r="F15" s="64"/>
      <c r="G15" s="64"/>
      <c r="H15" s="42"/>
      <c r="I15" s="42"/>
    </row>
    <row r="16" spans="1:18" hidden="1" x14ac:dyDescent="0.2">
      <c r="A16" s="40" t="s">
        <v>69</v>
      </c>
      <c r="B16" s="41" t="s">
        <v>0</v>
      </c>
      <c r="C16" s="44">
        <f>(1/5)*C9</f>
        <v>0.4</v>
      </c>
      <c r="D16" s="35" t="s">
        <v>46</v>
      </c>
      <c r="E16" s="45"/>
      <c r="F16" s="40"/>
      <c r="G16" s="40"/>
      <c r="H16" s="101"/>
      <c r="I16" s="101"/>
      <c r="J16" s="35"/>
      <c r="K16" s="35"/>
      <c r="L16" s="35"/>
      <c r="M16" s="35"/>
      <c r="N16" s="35"/>
      <c r="O16" s="35"/>
      <c r="P16" s="35"/>
    </row>
    <row r="17" spans="1:39" x14ac:dyDescent="0.2">
      <c r="E17" s="45"/>
      <c r="F17" s="40"/>
      <c r="G17" s="40"/>
      <c r="H17" s="101"/>
      <c r="I17" s="101"/>
      <c r="J17" s="35"/>
      <c r="K17" s="35"/>
      <c r="L17" s="35"/>
      <c r="M17" s="35"/>
      <c r="N17" s="35"/>
      <c r="O17" s="35"/>
      <c r="P17" s="35"/>
    </row>
    <row r="18" spans="1:39" ht="24.75" customHeight="1" x14ac:dyDescent="0.2">
      <c r="A18" s="517" t="str">
        <f>LK!A17</f>
        <v>I. Kondisi Ruang</v>
      </c>
      <c r="B18" s="517"/>
      <c r="C18" s="517"/>
      <c r="D18" s="517"/>
      <c r="E18" s="517"/>
      <c r="F18" s="517"/>
      <c r="G18" s="35"/>
      <c r="H18" s="35"/>
      <c r="I18" s="35"/>
      <c r="J18" s="35"/>
      <c r="K18" s="35"/>
      <c r="L18" s="35"/>
      <c r="M18" s="99"/>
      <c r="N18" s="372"/>
      <c r="O18" s="35"/>
      <c r="P18" s="46"/>
      <c r="Q18" s="48"/>
      <c r="R18" s="48"/>
      <c r="W18" s="791"/>
      <c r="X18" s="791"/>
      <c r="Y18" s="505"/>
      <c r="Z18" s="505"/>
      <c r="AA18" s="505"/>
      <c r="AB18" s="505"/>
      <c r="AC18" s="505"/>
      <c r="AD18" s="505"/>
    </row>
    <row r="19" spans="1:39" ht="26.25" customHeight="1" x14ac:dyDescent="0.15">
      <c r="A19" s="1228" t="s">
        <v>53</v>
      </c>
      <c r="B19" s="1210" t="s">
        <v>72</v>
      </c>
      <c r="C19" s="1210" t="s">
        <v>72</v>
      </c>
      <c r="D19" s="1210" t="s">
        <v>73</v>
      </c>
      <c r="E19" s="1210" t="s">
        <v>74</v>
      </c>
      <c r="F19" s="1210" t="s">
        <v>75</v>
      </c>
      <c r="G19" s="35"/>
      <c r="M19" s="505"/>
      <c r="N19" s="505"/>
      <c r="O19" s="790"/>
      <c r="P19" s="505"/>
      <c r="Q19" s="504"/>
      <c r="R19" s="504"/>
      <c r="S19" s="504"/>
      <c r="T19" s="504"/>
      <c r="U19" s="791"/>
      <c r="W19" s="800"/>
      <c r="X19" s="801"/>
      <c r="Y19" s="790"/>
      <c r="Z19" s="505"/>
      <c r="AA19" s="504"/>
      <c r="AB19" s="504"/>
      <c r="AC19" s="504"/>
      <c r="AD19" s="791"/>
      <c r="AE19" s="504"/>
      <c r="AF19" s="504"/>
      <c r="AG19" s="504"/>
      <c r="AH19" s="504"/>
      <c r="AI19" s="504"/>
      <c r="AJ19" s="504"/>
      <c r="AK19" s="504"/>
      <c r="AL19" s="504"/>
      <c r="AM19" s="504"/>
    </row>
    <row r="20" spans="1:39" ht="26.25" customHeight="1" x14ac:dyDescent="0.15">
      <c r="A20" s="1230"/>
      <c r="B20" s="1211"/>
      <c r="C20" s="1211"/>
      <c r="D20" s="1211"/>
      <c r="E20" s="1211"/>
      <c r="F20" s="1211"/>
      <c r="G20" s="35"/>
      <c r="M20" s="792"/>
      <c r="N20" s="793"/>
      <c r="O20" s="790"/>
      <c r="P20" s="505"/>
      <c r="Q20" s="794"/>
      <c r="R20" s="794"/>
      <c r="S20" s="505"/>
      <c r="T20" s="795"/>
      <c r="U20" s="506"/>
      <c r="W20" s="800"/>
      <c r="X20" s="802"/>
      <c r="Y20" s="790"/>
      <c r="Z20" s="505"/>
      <c r="AA20" s="794"/>
      <c r="AB20" s="794"/>
      <c r="AC20" s="795"/>
      <c r="AD20" s="1213"/>
      <c r="AE20" s="505"/>
      <c r="AF20" s="505"/>
      <c r="AG20" s="505"/>
      <c r="AH20" s="505"/>
      <c r="AI20" s="505"/>
      <c r="AJ20" s="505"/>
      <c r="AK20" s="505"/>
      <c r="AL20" s="505"/>
      <c r="AM20" s="505"/>
    </row>
    <row r="21" spans="1:39" ht="17.25" customHeight="1" x14ac:dyDescent="0.15">
      <c r="A21" s="49"/>
      <c r="B21" s="397" t="s">
        <v>44</v>
      </c>
      <c r="C21" s="397" t="s">
        <v>45</v>
      </c>
      <c r="D21" s="397" t="s">
        <v>50</v>
      </c>
      <c r="E21" s="397" t="s">
        <v>47</v>
      </c>
      <c r="F21" s="397" t="s">
        <v>47</v>
      </c>
      <c r="G21" s="35"/>
      <c r="M21" s="792"/>
      <c r="N21" s="796"/>
      <c r="O21" s="790"/>
      <c r="P21" s="505"/>
      <c r="Q21" s="794"/>
      <c r="R21" s="794"/>
      <c r="S21" s="505"/>
      <c r="T21" s="795"/>
      <c r="U21" s="506"/>
      <c r="W21" s="800"/>
      <c r="X21" s="802"/>
      <c r="Y21" s="790"/>
      <c r="Z21" s="505"/>
      <c r="AA21" s="794"/>
      <c r="AB21" s="794"/>
      <c r="AC21" s="795"/>
      <c r="AD21" s="1213"/>
      <c r="AE21" s="505"/>
      <c r="AF21" s="505"/>
      <c r="AG21" s="505"/>
      <c r="AH21" s="505"/>
      <c r="AI21" s="505"/>
      <c r="AJ21" s="505"/>
      <c r="AK21" s="505"/>
      <c r="AL21" s="505"/>
      <c r="AM21" s="505"/>
    </row>
    <row r="22" spans="1:39" ht="17.25" customHeight="1" x14ac:dyDescent="0.2">
      <c r="A22" s="50" t="s">
        <v>26</v>
      </c>
      <c r="B22" s="985">
        <v>25.6</v>
      </c>
      <c r="C22" s="985">
        <v>24.8</v>
      </c>
      <c r="D22" s="803">
        <f>B22+'INTERPOLASI  '!CH18</f>
        <v>25.788</v>
      </c>
      <c r="E22" s="803">
        <f>C22+'INTERPOLASI  '!CH24</f>
        <v>25.004000000000001</v>
      </c>
      <c r="F22" s="979">
        <f>(D22+E22)/2</f>
        <v>25.396000000000001</v>
      </c>
      <c r="G22" s="994" t="s">
        <v>698</v>
      </c>
      <c r="L22" s="100"/>
      <c r="U22" s="799" t="s">
        <v>427</v>
      </c>
      <c r="V22" s="815">
        <v>24.6</v>
      </c>
      <c r="W22" s="816">
        <v>24.8</v>
      </c>
      <c r="X22" s="817">
        <f>AVERAGE(V22:W22)</f>
        <v>24.700000000000003</v>
      </c>
      <c r="Y22" s="818">
        <v>20</v>
      </c>
      <c r="Z22" s="819">
        <v>0.7</v>
      </c>
      <c r="AA22" s="820">
        <v>25</v>
      </c>
      <c r="AB22" s="821">
        <v>0.5</v>
      </c>
      <c r="AC22" s="805">
        <f>((((AB22-Z22)*(X22-Y22)))/(AA22-Y22))+Z22</f>
        <v>0.5119999999999999</v>
      </c>
      <c r="AD22" s="822">
        <f>X22+AC22</f>
        <v>25.212000000000003</v>
      </c>
    </row>
    <row r="23" spans="1:39" ht="17.25" customHeight="1" x14ac:dyDescent="0.15">
      <c r="A23" s="50" t="s">
        <v>24</v>
      </c>
      <c r="B23" s="985">
        <v>82.3</v>
      </c>
      <c r="C23" s="985">
        <v>82.5</v>
      </c>
      <c r="D23" s="803">
        <f>B23+'INTERPOLASI  '!CS18</f>
        <v>76.253</v>
      </c>
      <c r="E23" s="803">
        <f>C23+'INTERPOLASI  '!CS24</f>
        <v>76.474999999999994</v>
      </c>
      <c r="F23" s="979">
        <f>(D23+E23)/2</f>
        <v>76.364000000000004</v>
      </c>
      <c r="G23" s="995" t="s">
        <v>700</v>
      </c>
      <c r="U23" s="792"/>
      <c r="V23" s="815">
        <v>82.3</v>
      </c>
      <c r="W23" s="816">
        <v>82.5</v>
      </c>
      <c r="X23" s="817">
        <f>AVERAGE(V23:W23)</f>
        <v>82.4</v>
      </c>
      <c r="Y23" s="818">
        <v>80</v>
      </c>
      <c r="Z23" s="819">
        <v>-0.5</v>
      </c>
      <c r="AA23" s="820">
        <v>90</v>
      </c>
      <c r="AB23" s="821">
        <v>1.7</v>
      </c>
      <c r="AC23" s="804">
        <f>((((AB23-Z23)*(X23-Y23)))/(AA23-Y23))+Z23</f>
        <v>2.8000000000001246E-2</v>
      </c>
      <c r="AD23" s="822">
        <f>X23+AC23</f>
        <v>82.428000000000011</v>
      </c>
    </row>
    <row r="24" spans="1:39" ht="17.25" customHeight="1" x14ac:dyDescent="0.15">
      <c r="A24" s="35"/>
      <c r="B24" s="393"/>
      <c r="C24" s="51"/>
      <c r="D24" s="51"/>
      <c r="E24" s="51"/>
      <c r="F24" s="51"/>
      <c r="G24" s="19"/>
      <c r="H24" s="52"/>
      <c r="I24" s="52"/>
      <c r="J24" s="51"/>
      <c r="K24" s="51"/>
      <c r="L24" s="51"/>
      <c r="U24" s="797"/>
      <c r="V24" s="796"/>
      <c r="W24" s="790"/>
      <c r="X24" s="798"/>
      <c r="Y24" s="794"/>
      <c r="Z24" s="794"/>
      <c r="AA24" s="505"/>
      <c r="AB24" s="505"/>
      <c r="AC24" s="505"/>
    </row>
    <row r="25" spans="1:39" ht="15.75" hidden="1" customHeight="1" x14ac:dyDescent="0.15">
      <c r="U25" s="787"/>
      <c r="V25" s="788"/>
      <c r="W25" s="789"/>
    </row>
    <row r="26" spans="1:39" ht="15.75" hidden="1" customHeight="1" x14ac:dyDescent="0.2"/>
    <row r="27" spans="1:39" ht="15.75" hidden="1" customHeight="1" x14ac:dyDescent="0.2"/>
    <row r="28" spans="1:39" ht="15.75" hidden="1" customHeight="1" x14ac:dyDescent="0.2"/>
    <row r="29" spans="1:39" ht="15.75" hidden="1" customHeight="1" x14ac:dyDescent="0.2"/>
    <row r="30" spans="1:39" ht="15.75" hidden="1" customHeight="1" x14ac:dyDescent="0.2"/>
    <row r="31" spans="1:39" ht="15.75" hidden="1" customHeight="1" x14ac:dyDescent="0.2"/>
    <row r="32" spans="1:39" ht="15.75" hidden="1" customHeight="1" x14ac:dyDescent="0.2"/>
    <row r="33" spans="1:34" ht="15.75" hidden="1" customHeight="1" x14ac:dyDescent="0.2"/>
    <row r="34" spans="1:34" ht="15.75" hidden="1" customHeight="1" x14ac:dyDescent="0.2"/>
    <row r="35" spans="1:34" ht="15.75" hidden="1" customHeight="1" x14ac:dyDescent="0.2"/>
    <row r="36" spans="1:34" ht="25.5" customHeight="1" x14ac:dyDescent="0.2">
      <c r="A36" s="243" t="str">
        <f>LK!A35</f>
        <v>II. Pemeriksaan Kondisi Fisik dan Fungsi Alat</v>
      </c>
      <c r="B36" s="105"/>
      <c r="C36" s="105"/>
      <c r="D36" s="105"/>
      <c r="E36" s="47"/>
      <c r="F36" s="47"/>
      <c r="G36" s="16"/>
      <c r="H36" s="46"/>
      <c r="I36" s="46"/>
      <c r="J36" s="47"/>
      <c r="K36" s="47"/>
      <c r="L36" s="16"/>
      <c r="U36" s="16"/>
      <c r="V36" s="46"/>
      <c r="W36" s="47"/>
      <c r="X36" s="35"/>
    </row>
    <row r="37" spans="1:34" x14ac:dyDescent="0.2">
      <c r="A37" s="35" t="s">
        <v>67</v>
      </c>
      <c r="B37" s="41" t="s">
        <v>0</v>
      </c>
      <c r="C37" s="980" t="s">
        <v>64</v>
      </c>
      <c r="F37" s="64"/>
      <c r="G37" s="64"/>
      <c r="H37" s="42"/>
      <c r="I37" s="42"/>
    </row>
    <row r="38" spans="1:34" x14ac:dyDescent="0.2">
      <c r="A38" s="35" t="s">
        <v>68</v>
      </c>
      <c r="B38" s="41" t="s">
        <v>0</v>
      </c>
      <c r="C38" s="980" t="s">
        <v>64</v>
      </c>
      <c r="F38" s="64"/>
      <c r="G38" s="64"/>
      <c r="H38" s="42"/>
      <c r="I38" s="42"/>
      <c r="U38" s="791"/>
      <c r="V38" s="791"/>
      <c r="W38" s="505"/>
      <c r="X38" s="505"/>
      <c r="Y38" s="505"/>
      <c r="Z38" s="505"/>
      <c r="AA38" s="505"/>
      <c r="AB38" s="505"/>
      <c r="AC38" s="505"/>
      <c r="AD38" s="505"/>
      <c r="AE38" s="505"/>
      <c r="AF38" s="505"/>
      <c r="AG38" s="505"/>
      <c r="AH38" s="505"/>
    </row>
    <row r="39" spans="1:34" ht="27" customHeight="1" x14ac:dyDescent="0.2">
      <c r="A39" s="243" t="str">
        <f>LK!A38</f>
        <v>III. Pengujian Kinerja</v>
      </c>
      <c r="B39" s="41"/>
      <c r="F39" s="64"/>
      <c r="G39" s="64"/>
      <c r="H39" s="42"/>
      <c r="I39" s="42"/>
      <c r="U39" s="806"/>
      <c r="V39" s="807"/>
      <c r="W39" s="808"/>
      <c r="X39" s="505"/>
      <c r="Y39" s="504"/>
      <c r="Z39" s="504"/>
      <c r="AA39" s="504"/>
      <c r="AB39" s="504"/>
      <c r="AC39" s="791"/>
      <c r="AD39" s="505"/>
      <c r="AE39" s="505"/>
      <c r="AF39" s="505"/>
      <c r="AG39" s="505"/>
      <c r="AH39" s="505"/>
    </row>
    <row r="40" spans="1:34" ht="17.25" customHeight="1" x14ac:dyDescent="0.2">
      <c r="A40" s="101" t="str">
        <f>LK!A39</f>
        <v>A. Pengujian Kebocoran</v>
      </c>
      <c r="B40" s="55"/>
      <c r="C40" s="55"/>
      <c r="D40" s="55"/>
      <c r="E40" s="55"/>
      <c r="F40" s="35"/>
      <c r="G40" s="19"/>
      <c r="H40" s="52"/>
      <c r="I40" s="52"/>
      <c r="J40" s="51"/>
      <c r="K40" s="51"/>
      <c r="L40" s="51"/>
      <c r="U40" s="806"/>
      <c r="V40" s="807"/>
      <c r="W40" s="808"/>
      <c r="X40" s="798"/>
      <c r="Y40" s="794"/>
      <c r="Z40" s="794"/>
      <c r="AA40" s="505"/>
      <c r="AB40" s="795"/>
      <c r="AC40" s="506"/>
      <c r="AD40" s="505"/>
      <c r="AE40" s="505"/>
      <c r="AF40" s="505"/>
      <c r="AG40" s="505"/>
      <c r="AH40" s="505"/>
    </row>
    <row r="41" spans="1:34" ht="21.75" customHeight="1" x14ac:dyDescent="0.2">
      <c r="A41" s="1212" t="s">
        <v>53</v>
      </c>
      <c r="B41" s="1231" t="s">
        <v>354</v>
      </c>
      <c r="C41" s="1231"/>
      <c r="D41" s="1218" t="str">
        <f>IF(B41=KETERANGAN!F39,KETERANGAN!G39,KETERANGAN!G38)</f>
        <v>Laju Kebocoran tekanan 250 mmHg Terkoreksi dalam 1 menit</v>
      </c>
      <c r="E41" s="1219"/>
      <c r="F41" s="1231" t="s">
        <v>37</v>
      </c>
      <c r="G41" s="19"/>
      <c r="H41" s="52"/>
      <c r="I41" s="52"/>
      <c r="J41" s="51"/>
      <c r="K41" s="51"/>
      <c r="L41" s="51"/>
      <c r="U41" s="806"/>
      <c r="V41" s="807"/>
      <c r="W41" s="808"/>
      <c r="X41" s="798"/>
      <c r="Y41" s="794"/>
      <c r="Z41" s="794"/>
      <c r="AA41" s="505"/>
      <c r="AB41" s="795"/>
      <c r="AC41" s="506"/>
      <c r="AD41" s="505"/>
      <c r="AE41" s="505"/>
      <c r="AF41" s="505"/>
      <c r="AG41" s="505"/>
      <c r="AH41" s="505"/>
    </row>
    <row r="42" spans="1:34" ht="24" customHeight="1" x14ac:dyDescent="0.2">
      <c r="A42" s="1212"/>
      <c r="B42" s="1231"/>
      <c r="C42" s="1231"/>
      <c r="D42" s="1220"/>
      <c r="E42" s="1221"/>
      <c r="F42" s="1231"/>
      <c r="G42" s="19"/>
      <c r="H42" s="52"/>
      <c r="I42" s="52"/>
      <c r="J42" s="51"/>
      <c r="K42" s="51"/>
      <c r="L42" s="51"/>
      <c r="U42" s="806"/>
      <c r="V42" s="807"/>
      <c r="W42" s="808"/>
      <c r="X42" s="798"/>
      <c r="Y42" s="794"/>
      <c r="Z42" s="794"/>
      <c r="AA42" s="505"/>
      <c r="AB42" s="505"/>
      <c r="AC42" s="505"/>
      <c r="AD42" s="505"/>
      <c r="AE42" s="505"/>
      <c r="AF42" s="505"/>
      <c r="AG42" s="505"/>
      <c r="AH42" s="505"/>
    </row>
    <row r="43" spans="1:34" ht="17.25" customHeight="1" x14ac:dyDescent="0.2">
      <c r="A43" s="1231" t="s">
        <v>140</v>
      </c>
      <c r="B43" s="1247">
        <v>8.1999999999999993</v>
      </c>
      <c r="C43" s="1248"/>
      <c r="D43" s="1243">
        <f>B43+'INTERPOLASI  '!DG18</f>
        <v>8.2492008309840159</v>
      </c>
      <c r="E43" s="1244"/>
      <c r="F43" s="1240" t="s">
        <v>113</v>
      </c>
      <c r="G43" s="19"/>
      <c r="H43" s="52"/>
      <c r="I43" s="52"/>
      <c r="J43" s="51"/>
      <c r="K43" s="51"/>
      <c r="L43" s="51"/>
      <c r="U43" s="799" t="s">
        <v>428</v>
      </c>
      <c r="V43" s="815"/>
      <c r="W43" s="816"/>
      <c r="X43" s="823">
        <v>8.1999999999999993</v>
      </c>
      <c r="Y43" s="818">
        <v>0</v>
      </c>
      <c r="Z43" s="819">
        <v>0</v>
      </c>
      <c r="AA43" s="820">
        <v>50</v>
      </c>
      <c r="AB43" s="821">
        <v>0.2</v>
      </c>
      <c r="AC43" s="805">
        <f>((((AB43-Z43)*(X43-Y43)))/(AA43-Y43))+Z43</f>
        <v>3.2799999999999996E-2</v>
      </c>
      <c r="AD43" s="822">
        <f>X43+AC43</f>
        <v>8.2327999999999992</v>
      </c>
      <c r="AE43" s="505"/>
      <c r="AF43" s="505"/>
      <c r="AG43" s="505"/>
      <c r="AH43" s="505"/>
    </row>
    <row r="44" spans="1:34" ht="17.25" customHeight="1" x14ac:dyDescent="0.2">
      <c r="A44" s="1231"/>
      <c r="B44" s="1249"/>
      <c r="C44" s="1250"/>
      <c r="D44" s="1245"/>
      <c r="E44" s="1246"/>
      <c r="F44" s="1240"/>
      <c r="G44" s="19"/>
      <c r="H44" s="52"/>
      <c r="I44" s="52"/>
      <c r="J44" s="51"/>
      <c r="K44" s="51"/>
      <c r="L44" s="51"/>
      <c r="U44" s="806"/>
      <c r="V44" s="807"/>
      <c r="W44" s="808"/>
      <c r="X44" s="798"/>
      <c r="Y44" s="794"/>
      <c r="Z44" s="794"/>
      <c r="AA44" s="505"/>
      <c r="AB44" s="505"/>
      <c r="AC44" s="505"/>
      <c r="AD44" s="505"/>
      <c r="AE44" s="505"/>
      <c r="AF44" s="505"/>
      <c r="AG44" s="505"/>
      <c r="AH44" s="505"/>
    </row>
    <row r="45" spans="1:34" ht="17.25" hidden="1" customHeight="1" x14ac:dyDescent="0.2">
      <c r="A45" s="35"/>
      <c r="B45" s="51"/>
      <c r="C45" s="51"/>
      <c r="D45" s="51"/>
      <c r="E45" s="51"/>
      <c r="F45" s="51"/>
      <c r="G45" s="19"/>
      <c r="H45" s="52"/>
      <c r="I45" s="52"/>
      <c r="J45" s="51"/>
      <c r="K45" s="51"/>
      <c r="L45" s="51"/>
      <c r="U45" s="806"/>
      <c r="V45" s="809"/>
      <c r="W45" s="810"/>
      <c r="X45" s="798"/>
      <c r="Y45" s="794"/>
      <c r="Z45" s="794"/>
      <c r="AA45" s="505"/>
      <c r="AB45" s="505"/>
      <c r="AC45" s="505"/>
      <c r="AD45" s="505"/>
      <c r="AE45" s="505"/>
      <c r="AF45" s="505"/>
      <c r="AG45" s="505"/>
      <c r="AH45" s="505"/>
    </row>
    <row r="46" spans="1:34" ht="21.75" hidden="1" customHeight="1" x14ac:dyDescent="0.2">
      <c r="A46" s="1228" t="s">
        <v>53</v>
      </c>
      <c r="B46" s="1218" t="s">
        <v>77</v>
      </c>
      <c r="C46" s="1219"/>
      <c r="D46" s="518" t="s">
        <v>78</v>
      </c>
      <c r="E46" s="519"/>
      <c r="F46" s="1210" t="s">
        <v>37</v>
      </c>
      <c r="G46" s="19"/>
      <c r="H46" s="52"/>
      <c r="I46" s="52"/>
      <c r="J46" s="51"/>
      <c r="K46" s="51"/>
      <c r="L46" s="51"/>
      <c r="U46" s="811"/>
      <c r="V46" s="812"/>
      <c r="W46" s="812"/>
      <c r="X46" s="798"/>
      <c r="Y46" s="794"/>
      <c r="Z46" s="794"/>
      <c r="AA46" s="505"/>
      <c r="AB46" s="505"/>
      <c r="AC46" s="505"/>
      <c r="AD46" s="505"/>
      <c r="AE46" s="505"/>
      <c r="AF46" s="505"/>
      <c r="AG46" s="505"/>
      <c r="AH46" s="505"/>
    </row>
    <row r="47" spans="1:34" ht="24" hidden="1" customHeight="1" x14ac:dyDescent="0.2">
      <c r="A47" s="1229"/>
      <c r="B47" s="1220"/>
      <c r="C47" s="1221"/>
      <c r="D47" s="520"/>
      <c r="E47" s="521"/>
      <c r="F47" s="1224"/>
      <c r="G47" s="19"/>
      <c r="H47" s="52"/>
      <c r="I47" s="52"/>
      <c r="J47" s="51"/>
      <c r="K47" s="51"/>
      <c r="L47" s="51"/>
      <c r="U47" s="811"/>
      <c r="V47" s="812"/>
      <c r="W47" s="812"/>
      <c r="X47" s="798"/>
      <c r="Y47" s="794"/>
      <c r="Z47" s="794"/>
      <c r="AA47" s="505"/>
      <c r="AB47" s="505"/>
      <c r="AC47" s="505"/>
      <c r="AD47" s="505"/>
      <c r="AE47" s="505"/>
      <c r="AF47" s="505"/>
      <c r="AG47" s="505"/>
      <c r="AH47" s="505"/>
    </row>
    <row r="48" spans="1:34" ht="17.25" hidden="1" customHeight="1" x14ac:dyDescent="0.2">
      <c r="A48" s="106" t="s">
        <v>54</v>
      </c>
      <c r="B48" s="187">
        <v>9</v>
      </c>
      <c r="C48" s="188"/>
      <c r="D48" s="107">
        <f ca="1">(FORECAST(B48,OFFSET('DATA 1'!$C$6:$C$12,MATCH(B48,'DATA 1'!$B$6:$B$12,1)-1,0,2),OFFSET('DATA 1'!$B$6:$B$12,MATCH(B48,'DATA 1'!$B$6:$B$12,1)-1,0,2)))+$B$43</f>
        <v>8.218</v>
      </c>
      <c r="E48" s="108"/>
      <c r="F48" s="109" t="s">
        <v>113</v>
      </c>
      <c r="G48" s="19"/>
      <c r="H48" s="52"/>
      <c r="I48" s="52"/>
      <c r="J48" s="51"/>
      <c r="K48" s="51"/>
      <c r="L48" s="51"/>
      <c r="U48" s="811"/>
      <c r="V48" s="812"/>
      <c r="W48" s="812"/>
      <c r="X48" s="798"/>
      <c r="Y48" s="794"/>
      <c r="Z48" s="794"/>
      <c r="AA48" s="505"/>
      <c r="AB48" s="505"/>
      <c r="AC48" s="505"/>
      <c r="AD48" s="505"/>
      <c r="AE48" s="505"/>
      <c r="AF48" s="505"/>
      <c r="AG48" s="505"/>
      <c r="AH48" s="505"/>
    </row>
    <row r="49" spans="1:34" ht="17.25" hidden="1" customHeight="1" x14ac:dyDescent="0.2">
      <c r="A49" s="110"/>
      <c r="B49" s="189"/>
      <c r="C49" s="190"/>
      <c r="D49" s="111"/>
      <c r="E49" s="112"/>
      <c r="F49" s="113"/>
      <c r="G49" s="19"/>
      <c r="H49" s="52"/>
      <c r="I49" s="52"/>
      <c r="J49" s="51"/>
      <c r="K49" s="51"/>
      <c r="L49" s="51"/>
      <c r="U49" s="811"/>
      <c r="V49" s="812"/>
      <c r="W49" s="812"/>
      <c r="X49" s="798"/>
      <c r="Y49" s="794"/>
      <c r="Z49" s="794"/>
      <c r="AA49" s="505"/>
      <c r="AB49" s="505"/>
      <c r="AC49" s="505"/>
      <c r="AD49" s="505"/>
      <c r="AE49" s="505"/>
      <c r="AF49" s="505"/>
      <c r="AG49" s="505"/>
      <c r="AH49" s="505"/>
    </row>
    <row r="50" spans="1:34" ht="17.25" customHeight="1" x14ac:dyDescent="0.2">
      <c r="A50" s="114"/>
      <c r="B50" s="191"/>
      <c r="C50" s="191"/>
      <c r="D50" s="115"/>
      <c r="E50" s="115"/>
      <c r="F50" s="116"/>
      <c r="G50" s="19"/>
      <c r="H50" s="52"/>
      <c r="I50" s="52"/>
      <c r="J50" s="51"/>
      <c r="K50" s="51"/>
      <c r="L50" s="51"/>
      <c r="U50" s="811"/>
      <c r="V50" s="812"/>
      <c r="W50" s="812"/>
      <c r="X50" s="798"/>
      <c r="Y50" s="794"/>
      <c r="Z50" s="794"/>
      <c r="AA50" s="505"/>
      <c r="AB50" s="505"/>
      <c r="AC50" s="505"/>
      <c r="AD50" s="505"/>
      <c r="AE50" s="505"/>
      <c r="AF50" s="505"/>
      <c r="AG50" s="505"/>
      <c r="AH50" s="505"/>
    </row>
    <row r="51" spans="1:34" ht="17.25" customHeight="1" x14ac:dyDescent="0.2">
      <c r="A51" s="133" t="str">
        <f>LK!A50</f>
        <v>B. Laju Buang Cepat</v>
      </c>
      <c r="B51" s="192"/>
      <c r="C51" s="192"/>
      <c r="D51" s="131"/>
      <c r="E51" s="131"/>
      <c r="F51" s="132"/>
      <c r="G51" s="19"/>
      <c r="H51" s="52"/>
      <c r="I51" s="52"/>
      <c r="J51" s="51"/>
      <c r="K51" s="51"/>
      <c r="L51" s="51"/>
      <c r="U51" s="813"/>
      <c r="V51" s="814"/>
      <c r="W51" s="812"/>
      <c r="X51" s="798"/>
      <c r="Y51" s="794"/>
      <c r="Z51" s="794"/>
      <c r="AA51" s="505"/>
      <c r="AB51" s="505"/>
      <c r="AC51" s="505"/>
      <c r="AD51" s="505"/>
      <c r="AE51" s="505"/>
      <c r="AF51" s="505"/>
      <c r="AG51" s="505"/>
      <c r="AH51" s="505"/>
    </row>
    <row r="52" spans="1:34" ht="25.5" customHeight="1" x14ac:dyDescent="0.2">
      <c r="A52" s="1212" t="s">
        <v>53</v>
      </c>
      <c r="B52" s="1231" t="s">
        <v>141</v>
      </c>
      <c r="C52" s="1231"/>
      <c r="D52" s="1218" t="str">
        <f>IF(B52=KETERANGAN!F42,KETERANGAN!G42,KETERANGAN!G41)</f>
        <v>Laju Buang Cepat tekanan 260 mmHg sampai dengan 15 mmHg Terkoreksi</v>
      </c>
      <c r="E52" s="1219"/>
      <c r="F52" s="1231" t="s">
        <v>37</v>
      </c>
      <c r="G52" s="19"/>
      <c r="H52" s="52"/>
      <c r="I52" s="52"/>
      <c r="J52" s="51"/>
      <c r="K52" s="51"/>
      <c r="L52" s="51"/>
      <c r="U52" s="824"/>
      <c r="V52" s="825"/>
      <c r="W52" s="505"/>
      <c r="X52" s="798"/>
      <c r="Y52" s="504"/>
      <c r="Z52" s="504"/>
      <c r="AA52" s="504"/>
      <c r="AB52" s="504"/>
      <c r="AC52" s="505"/>
      <c r="AD52" s="505"/>
    </row>
    <row r="53" spans="1:34" ht="25.5" customHeight="1" x14ac:dyDescent="0.2">
      <c r="A53" s="1212"/>
      <c r="B53" s="1231"/>
      <c r="C53" s="1231"/>
      <c r="D53" s="1220"/>
      <c r="E53" s="1221"/>
      <c r="F53" s="1231"/>
      <c r="G53" s="19"/>
      <c r="H53" s="52"/>
      <c r="I53" s="52"/>
      <c r="J53" s="51"/>
      <c r="K53" s="51"/>
      <c r="L53" s="51"/>
      <c r="U53" s="824"/>
      <c r="V53" s="825"/>
      <c r="W53" s="505"/>
      <c r="X53" s="798"/>
      <c r="Y53" s="794"/>
      <c r="Z53" s="794"/>
      <c r="AA53" s="505"/>
      <c r="AB53" s="826"/>
      <c r="AC53" s="505"/>
      <c r="AD53" s="505"/>
    </row>
    <row r="54" spans="1:34" ht="17.25" customHeight="1" x14ac:dyDescent="0.2">
      <c r="A54" s="1231" t="s">
        <v>139</v>
      </c>
      <c r="B54" s="1232">
        <v>8.52</v>
      </c>
      <c r="C54" s="1233"/>
      <c r="D54" s="1236">
        <f>B54+'INTERPOLASI  '!DR18</f>
        <v>8.5711208246224153</v>
      </c>
      <c r="E54" s="1237"/>
      <c r="F54" s="1240" t="s">
        <v>143</v>
      </c>
      <c r="G54" s="19"/>
      <c r="H54" s="52"/>
      <c r="I54" s="52"/>
      <c r="J54" s="51"/>
      <c r="K54" s="51"/>
      <c r="L54" s="51"/>
      <c r="U54" s="799" t="s">
        <v>429</v>
      </c>
      <c r="V54" s="815"/>
      <c r="W54" s="816"/>
      <c r="X54" s="830">
        <v>3.16</v>
      </c>
      <c r="Y54" s="818">
        <v>0</v>
      </c>
      <c r="Z54" s="819">
        <v>0</v>
      </c>
      <c r="AA54" s="820">
        <v>10</v>
      </c>
      <c r="AB54" s="829">
        <v>1E-3</v>
      </c>
      <c r="AC54" s="805">
        <f>((((AB54-Z54)*(X54-Y54)))/(AA54-Y54))+Z54</f>
        <v>3.1599999999999998E-4</v>
      </c>
      <c r="AD54" s="822">
        <f>X54+AC54</f>
        <v>3.1603160000000003</v>
      </c>
    </row>
    <row r="55" spans="1:34" ht="17.25" customHeight="1" x14ac:dyDescent="0.2">
      <c r="A55" s="1231"/>
      <c r="B55" s="1234"/>
      <c r="C55" s="1235"/>
      <c r="D55" s="1238"/>
      <c r="E55" s="1239"/>
      <c r="F55" s="1240"/>
      <c r="G55" s="19"/>
      <c r="H55" s="52"/>
      <c r="I55" s="52"/>
      <c r="J55" s="51"/>
      <c r="K55" s="51"/>
      <c r="L55" s="51"/>
      <c r="M55" s="827"/>
      <c r="N55" s="828"/>
      <c r="O55" s="505"/>
      <c r="P55" s="798"/>
      <c r="Q55" s="794"/>
      <c r="R55" s="794"/>
      <c r="S55" s="505"/>
      <c r="T55" s="505"/>
      <c r="U55" s="505"/>
      <c r="V55" s="505"/>
    </row>
    <row r="56" spans="1:34" ht="17.25" customHeight="1" x14ac:dyDescent="0.2">
      <c r="A56" s="130"/>
      <c r="B56" s="192"/>
      <c r="C56" s="192"/>
      <c r="D56" s="131"/>
      <c r="E56" s="131"/>
      <c r="F56" s="132"/>
      <c r="G56" s="19"/>
      <c r="H56" s="52"/>
      <c r="I56" s="52"/>
      <c r="J56" s="51"/>
      <c r="K56" s="51"/>
      <c r="L56" s="51"/>
      <c r="M56" s="51"/>
      <c r="N56" s="53"/>
      <c r="O56" s="53"/>
      <c r="P56" s="54"/>
      <c r="Q56" s="48"/>
      <c r="R56" s="48"/>
    </row>
    <row r="57" spans="1:34" ht="17.25" hidden="1" customHeight="1" x14ac:dyDescent="0.2">
      <c r="A57" s="130"/>
      <c r="B57" s="192"/>
      <c r="C57" s="192"/>
      <c r="D57" s="131"/>
      <c r="E57" s="131"/>
      <c r="F57" s="132"/>
      <c r="G57" s="19"/>
      <c r="H57" s="52"/>
      <c r="I57" s="52"/>
      <c r="J57" s="51"/>
      <c r="K57" s="51"/>
      <c r="L57" s="51"/>
      <c r="M57" s="51"/>
      <c r="N57" s="53"/>
      <c r="O57" s="53"/>
      <c r="P57" s="54"/>
      <c r="Q57" s="48"/>
      <c r="R57" s="48"/>
    </row>
    <row r="58" spans="1:34" ht="17.25" hidden="1" customHeight="1" x14ac:dyDescent="0.2">
      <c r="A58" s="130"/>
      <c r="B58" s="192"/>
      <c r="C58" s="192"/>
      <c r="D58" s="131"/>
      <c r="E58" s="131"/>
      <c r="F58" s="132"/>
      <c r="G58" s="19"/>
      <c r="H58" s="52"/>
      <c r="I58" s="52"/>
      <c r="J58" s="51"/>
      <c r="K58" s="51"/>
      <c r="L58" s="51"/>
      <c r="M58" s="51"/>
      <c r="N58" s="53"/>
      <c r="O58" s="53"/>
      <c r="P58" s="54"/>
      <c r="Q58" s="48"/>
      <c r="R58" s="48"/>
    </row>
    <row r="59" spans="1:34" ht="17.25" hidden="1" customHeight="1" x14ac:dyDescent="0.2">
      <c r="A59" s="130"/>
      <c r="B59" s="192"/>
      <c r="C59" s="192"/>
      <c r="D59" s="131"/>
      <c r="E59" s="131"/>
      <c r="F59" s="132"/>
      <c r="G59" s="19"/>
      <c r="H59" s="52"/>
      <c r="I59" s="52"/>
      <c r="J59" s="51"/>
      <c r="K59" s="51"/>
      <c r="L59" s="51"/>
      <c r="M59" s="51"/>
      <c r="N59" s="53"/>
      <c r="O59" s="53"/>
      <c r="P59" s="54"/>
      <c r="Q59" s="48"/>
      <c r="R59" s="48"/>
    </row>
    <row r="60" spans="1:34" ht="17.25" hidden="1" customHeight="1" x14ac:dyDescent="0.2">
      <c r="A60" s="130"/>
      <c r="B60" s="192"/>
      <c r="C60" s="192"/>
      <c r="D60" s="131"/>
      <c r="E60" s="131"/>
      <c r="F60" s="132"/>
      <c r="G60" s="19"/>
      <c r="H60" s="52"/>
      <c r="I60" s="52"/>
      <c r="J60" s="51"/>
      <c r="K60" s="51"/>
      <c r="L60" s="51"/>
      <c r="M60" s="51"/>
      <c r="N60" s="53"/>
      <c r="O60" s="53"/>
      <c r="P60" s="54"/>
      <c r="Q60" s="48"/>
      <c r="R60" s="48"/>
    </row>
    <row r="61" spans="1:34" ht="17.25" hidden="1" customHeight="1" x14ac:dyDescent="0.2">
      <c r="A61" s="130"/>
      <c r="B61" s="192"/>
      <c r="C61" s="192"/>
      <c r="D61" s="131"/>
      <c r="E61" s="131"/>
      <c r="F61" s="132"/>
      <c r="G61" s="19"/>
      <c r="H61" s="52"/>
      <c r="I61" s="52"/>
      <c r="J61" s="51"/>
      <c r="K61" s="51"/>
      <c r="L61" s="51"/>
      <c r="M61" s="51"/>
      <c r="N61" s="53"/>
      <c r="O61" s="53"/>
      <c r="P61" s="54"/>
      <c r="Q61" s="48"/>
      <c r="R61" s="48"/>
    </row>
    <row r="62" spans="1:34" ht="17.25" hidden="1" customHeight="1" x14ac:dyDescent="0.2">
      <c r="A62" s="130"/>
      <c r="B62" s="192"/>
      <c r="C62" s="192"/>
      <c r="D62" s="131"/>
      <c r="E62" s="131"/>
      <c r="F62" s="132"/>
      <c r="G62" s="19"/>
      <c r="H62" s="52"/>
      <c r="I62" s="52"/>
      <c r="J62" s="51"/>
      <c r="K62" s="51"/>
      <c r="L62" s="51"/>
      <c r="M62" s="51"/>
      <c r="N62" s="53"/>
      <c r="O62" s="53"/>
      <c r="P62" s="54"/>
      <c r="Q62" s="48"/>
      <c r="R62" s="48"/>
    </row>
    <row r="63" spans="1:34" ht="17.25" hidden="1" customHeight="1" x14ac:dyDescent="0.2">
      <c r="A63" s="130"/>
      <c r="B63" s="192"/>
      <c r="C63" s="192"/>
      <c r="D63" s="131"/>
      <c r="E63" s="131"/>
      <c r="F63" s="132"/>
      <c r="G63" s="19"/>
      <c r="H63" s="52"/>
      <c r="I63" s="52"/>
      <c r="J63" s="51"/>
      <c r="K63" s="51"/>
      <c r="L63" s="51"/>
      <c r="M63" s="51"/>
      <c r="N63" s="53"/>
      <c r="O63" s="53"/>
      <c r="P63" s="54"/>
      <c r="Q63" s="48"/>
      <c r="R63" s="48"/>
    </row>
    <row r="64" spans="1:34" ht="17.25" customHeight="1" x14ac:dyDescent="0.2">
      <c r="A64" s="86" t="str">
        <f>LK!A63</f>
        <v>C. Kalibrasi Akurasi Tekanan</v>
      </c>
      <c r="B64" s="86"/>
      <c r="C64" s="86"/>
      <c r="D64" s="86"/>
      <c r="E64" s="86"/>
      <c r="F64" s="86"/>
      <c r="G64" s="35"/>
      <c r="H64" s="35"/>
      <c r="I64" s="35"/>
      <c r="J64" s="35"/>
      <c r="K64" s="35"/>
      <c r="L64" s="35"/>
      <c r="M64" s="35"/>
      <c r="N64" s="35"/>
      <c r="O64" s="35"/>
      <c r="P64" s="46"/>
      <c r="Q64" s="48"/>
      <c r="R64" s="48"/>
      <c r="T64" s="791"/>
      <c r="U64" s="791"/>
      <c r="V64" s="505"/>
      <c r="W64" s="505"/>
      <c r="X64" s="505"/>
      <c r="Y64" s="505"/>
      <c r="Z64" s="505"/>
      <c r="AA64" s="505"/>
      <c r="AB64" s="505"/>
      <c r="AC64" s="505"/>
      <c r="AD64" s="505"/>
      <c r="AE64" s="505"/>
    </row>
    <row r="65" spans="1:31" ht="16.5" customHeight="1" x14ac:dyDescent="0.2">
      <c r="A65" s="1228" t="s">
        <v>52</v>
      </c>
      <c r="B65" s="1225" t="s">
        <v>81</v>
      </c>
      <c r="C65" s="1226"/>
      <c r="D65" s="1226"/>
      <c r="E65" s="1226"/>
      <c r="F65" s="1226"/>
      <c r="G65" s="1227"/>
      <c r="H65" s="1205" t="s">
        <v>173</v>
      </c>
      <c r="I65" s="1222"/>
      <c r="J65" s="1205" t="s">
        <v>157</v>
      </c>
      <c r="K65" s="1206"/>
      <c r="L65" s="1209" t="s">
        <v>83</v>
      </c>
      <c r="M65" s="1209"/>
      <c r="N65" s="1205" t="s">
        <v>49</v>
      </c>
      <c r="O65" s="1206"/>
      <c r="P65" s="1204" t="s">
        <v>114</v>
      </c>
      <c r="Q65" s="1204"/>
      <c r="T65" s="806"/>
      <c r="U65" s="831"/>
      <c r="V65" s="832"/>
      <c r="W65" s="832"/>
      <c r="X65" s="833"/>
      <c r="Y65" s="833"/>
      <c r="Z65" s="832"/>
      <c r="AA65" s="832"/>
      <c r="AB65" s="832"/>
      <c r="AC65" s="832"/>
      <c r="AD65" s="833"/>
      <c r="AE65" s="833"/>
    </row>
    <row r="66" spans="1:31" x14ac:dyDescent="0.2">
      <c r="A66" s="1230"/>
      <c r="B66" s="56" t="s">
        <v>10</v>
      </c>
      <c r="C66" s="56" t="s">
        <v>10</v>
      </c>
      <c r="D66" s="396" t="s">
        <v>10</v>
      </c>
      <c r="E66" s="56" t="s">
        <v>10</v>
      </c>
      <c r="F66" s="396" t="s">
        <v>10</v>
      </c>
      <c r="G66" s="57" t="s">
        <v>10</v>
      </c>
      <c r="H66" s="1207"/>
      <c r="I66" s="1223"/>
      <c r="J66" s="1207"/>
      <c r="K66" s="1208"/>
      <c r="L66" s="1209"/>
      <c r="M66" s="1209"/>
      <c r="N66" s="1207"/>
      <c r="O66" s="1208"/>
      <c r="P66" s="1204"/>
      <c r="Q66" s="1204"/>
      <c r="T66" s="806"/>
      <c r="U66" s="831"/>
      <c r="V66" s="832"/>
      <c r="W66" s="832"/>
      <c r="X66" s="833"/>
      <c r="Y66" s="833"/>
      <c r="Z66" s="832"/>
      <c r="AA66" s="832"/>
      <c r="AB66" s="832"/>
      <c r="AC66" s="832"/>
      <c r="AD66" s="833"/>
      <c r="AE66" s="833"/>
    </row>
    <row r="67" spans="1:31" x14ac:dyDescent="0.2">
      <c r="A67" s="1229"/>
      <c r="B67" s="85" t="s">
        <v>144</v>
      </c>
      <c r="C67" s="85" t="s">
        <v>145</v>
      </c>
      <c r="D67" s="85" t="s">
        <v>146</v>
      </c>
      <c r="E67" s="85" t="s">
        <v>236</v>
      </c>
      <c r="F67" s="85" t="s">
        <v>237</v>
      </c>
      <c r="G67" s="85" t="s">
        <v>147</v>
      </c>
      <c r="H67" s="167" t="s">
        <v>158</v>
      </c>
      <c r="I67" s="167" t="s">
        <v>159</v>
      </c>
      <c r="J67" s="167" t="s">
        <v>158</v>
      </c>
      <c r="K67" s="167" t="s">
        <v>159</v>
      </c>
      <c r="L67" s="167" t="s">
        <v>158</v>
      </c>
      <c r="M67" s="167" t="s">
        <v>159</v>
      </c>
      <c r="N67" s="168" t="s">
        <v>160</v>
      </c>
      <c r="O67" s="168" t="s">
        <v>159</v>
      </c>
      <c r="P67" s="168" t="s">
        <v>160</v>
      </c>
      <c r="Q67" s="168" t="s">
        <v>159</v>
      </c>
      <c r="X67" s="835"/>
      <c r="Y67" s="835"/>
      <c r="Z67" s="835"/>
      <c r="AA67" s="835"/>
      <c r="AB67" s="834"/>
      <c r="AC67" s="834"/>
      <c r="AD67" s="835"/>
      <c r="AE67" s="835"/>
    </row>
    <row r="68" spans="1:31" x14ac:dyDescent="0.2">
      <c r="A68" s="58">
        <v>0</v>
      </c>
      <c r="B68" s="986">
        <v>0</v>
      </c>
      <c r="C68" s="986">
        <v>0</v>
      </c>
      <c r="D68" s="986">
        <v>0</v>
      </c>
      <c r="E68" s="986">
        <v>0</v>
      </c>
      <c r="F68" s="986">
        <v>0</v>
      </c>
      <c r="G68" s="986">
        <v>0</v>
      </c>
      <c r="H68" s="840">
        <f>AVERAGE(B68,D68,F68)</f>
        <v>0</v>
      </c>
      <c r="I68" s="840">
        <f>AVERAGE(C68,E68,G68)</f>
        <v>0</v>
      </c>
      <c r="J68" s="1062">
        <f>H68+'INTERPOLASI  '!K18</f>
        <v>9.9999999999999995E-7</v>
      </c>
      <c r="K68" s="1062">
        <f>I68+'INTERPOLASI  '!V18</f>
        <v>1.00199998E-6</v>
      </c>
      <c r="L68" s="507">
        <f>STDEV(B68,D68,F68)</f>
        <v>0</v>
      </c>
      <c r="M68" s="507">
        <f>STDEV(C68,E68,G68)</f>
        <v>0</v>
      </c>
      <c r="N68" s="508">
        <f>J68-A68</f>
        <v>9.9999999999999995E-7</v>
      </c>
      <c r="O68" s="508">
        <f t="shared" ref="O68:O73" si="0">K68-A68</f>
        <v>1.00199998E-6</v>
      </c>
      <c r="P68" s="208">
        <f>'BUDGET NAIK'!L21</f>
        <v>0.47284983442043033</v>
      </c>
      <c r="Q68" s="193">
        <f>'BUDGET TURUN'!L21</f>
        <v>0.55315145964114765</v>
      </c>
      <c r="T68" s="806"/>
      <c r="U68" s="799" t="s">
        <v>428</v>
      </c>
      <c r="V68" s="815"/>
      <c r="W68" s="815" t="s">
        <v>430</v>
      </c>
      <c r="X68" s="838">
        <v>0</v>
      </c>
      <c r="Y68" s="818">
        <v>0</v>
      </c>
      <c r="Z68" s="819">
        <v>0</v>
      </c>
      <c r="AA68" s="820">
        <v>50</v>
      </c>
      <c r="AB68" s="821">
        <v>0.1</v>
      </c>
      <c r="AC68" s="805">
        <f t="shared" ref="AC68:AC79" si="1">((((AB68-Z68)*(X68-Y68)))/(AA68-Y68))+Z68</f>
        <v>0</v>
      </c>
      <c r="AD68" s="841">
        <f>X68+AC68</f>
        <v>0</v>
      </c>
      <c r="AE68" s="837"/>
    </row>
    <row r="69" spans="1:31" x14ac:dyDescent="0.2">
      <c r="A69" s="58">
        <v>50</v>
      </c>
      <c r="B69" s="986">
        <v>50</v>
      </c>
      <c r="C69" s="986">
        <v>50</v>
      </c>
      <c r="D69" s="986">
        <v>50</v>
      </c>
      <c r="E69" s="986">
        <v>50</v>
      </c>
      <c r="F69" s="986">
        <v>50</v>
      </c>
      <c r="G69" s="986">
        <v>50</v>
      </c>
      <c r="H69" s="840">
        <f t="shared" ref="H69:H73" si="2">AVERAGE(B69,D69,F69)</f>
        <v>50</v>
      </c>
      <c r="I69" s="840">
        <f>AVERAGE(C69,E69,G69)</f>
        <v>50</v>
      </c>
      <c r="J69" s="1062">
        <f>H69+'INTERPOLASI  '!K19</f>
        <v>50.1</v>
      </c>
      <c r="K69" s="1062">
        <f>I69+'INTERPOLASI  '!V19</f>
        <v>50.1</v>
      </c>
      <c r="L69" s="507">
        <f t="shared" ref="L69:L73" si="3">STDEV(B69,D69,F69)</f>
        <v>0</v>
      </c>
      <c r="M69" s="507">
        <f t="shared" ref="M69:M73" si="4">STDEV(C69,E69,G69)</f>
        <v>0</v>
      </c>
      <c r="N69" s="508">
        <f t="shared" ref="N69:N73" si="5">J69-A69</f>
        <v>0.10000000000000142</v>
      </c>
      <c r="O69" s="508">
        <f t="shared" si="0"/>
        <v>0.10000000000000142</v>
      </c>
      <c r="P69" s="184">
        <f>'BUDGET NAIK'!L36</f>
        <v>0.55316336713855274</v>
      </c>
      <c r="Q69" s="193">
        <f>'BUDGET TURUN'!L36</f>
        <v>0.57527207033174854</v>
      </c>
      <c r="T69" s="806"/>
      <c r="U69" s="807"/>
      <c r="V69" s="836"/>
      <c r="W69" s="815" t="s">
        <v>430</v>
      </c>
      <c r="X69" s="838">
        <v>48</v>
      </c>
      <c r="Y69" s="818">
        <v>0</v>
      </c>
      <c r="Z69" s="819">
        <v>0</v>
      </c>
      <c r="AA69" s="820">
        <v>50</v>
      </c>
      <c r="AB69" s="821">
        <v>0.1</v>
      </c>
      <c r="AC69" s="805">
        <f t="shared" si="1"/>
        <v>9.6000000000000016E-2</v>
      </c>
      <c r="AD69" s="841">
        <f t="shared" ref="AD69:AD73" si="6">X69+AC69</f>
        <v>48.095999999999997</v>
      </c>
      <c r="AE69" s="837"/>
    </row>
    <row r="70" spans="1:31" ht="18.75" customHeight="1" x14ac:dyDescent="0.2">
      <c r="A70" s="58">
        <f>IF($C$14=$M$9,70,100)</f>
        <v>100</v>
      </c>
      <c r="B70" s="986">
        <v>98</v>
      </c>
      <c r="C70" s="986">
        <v>98</v>
      </c>
      <c r="D70" s="986">
        <v>98</v>
      </c>
      <c r="E70" s="986">
        <v>98</v>
      </c>
      <c r="F70" s="986">
        <v>98</v>
      </c>
      <c r="G70" s="986">
        <v>98</v>
      </c>
      <c r="H70" s="840">
        <f t="shared" si="2"/>
        <v>98</v>
      </c>
      <c r="I70" s="840">
        <f t="shared" ref="I70:I73" si="7">AVERAGE(C70,E70,G70)</f>
        <v>98</v>
      </c>
      <c r="J70" s="1062">
        <f>H70+'INTERPOLASI  '!K20</f>
        <v>97.908000000000001</v>
      </c>
      <c r="K70" s="1062">
        <f>I70+'INTERPOLASI  '!V20</f>
        <v>97.908000000000001</v>
      </c>
      <c r="L70" s="507">
        <f t="shared" si="3"/>
        <v>0</v>
      </c>
      <c r="M70" s="507">
        <f t="shared" si="4"/>
        <v>0</v>
      </c>
      <c r="N70" s="508">
        <f t="shared" si="5"/>
        <v>-2.0919999999999987</v>
      </c>
      <c r="O70" s="508">
        <f t="shared" si="0"/>
        <v>-2.0919999999999987</v>
      </c>
      <c r="P70" s="184">
        <f>'BUDGET NAIK'!L51</f>
        <v>0.56110622725718295</v>
      </c>
      <c r="Q70" s="193">
        <f>'BUDGET TURUN'!L51</f>
        <v>0.55039094910184039</v>
      </c>
      <c r="T70" s="806"/>
      <c r="U70" s="807"/>
      <c r="V70" s="836"/>
      <c r="W70" s="815" t="s">
        <v>431</v>
      </c>
      <c r="X70" s="838">
        <v>98</v>
      </c>
      <c r="Y70" s="818">
        <v>50</v>
      </c>
      <c r="Z70" s="819">
        <v>0.1</v>
      </c>
      <c r="AA70" s="820">
        <v>100</v>
      </c>
      <c r="AB70" s="821">
        <v>-0.2</v>
      </c>
      <c r="AC70" s="805">
        <f t="shared" si="1"/>
        <v>-0.18800000000000003</v>
      </c>
      <c r="AD70" s="841">
        <f t="shared" si="6"/>
        <v>97.811999999999998</v>
      </c>
      <c r="AE70" s="837"/>
    </row>
    <row r="71" spans="1:31" x14ac:dyDescent="0.2">
      <c r="A71" s="58">
        <f>IF($C$14=$M$9,100,150)</f>
        <v>150</v>
      </c>
      <c r="B71" s="987">
        <v>148</v>
      </c>
      <c r="C71" s="987">
        <v>148</v>
      </c>
      <c r="D71" s="987">
        <v>148</v>
      </c>
      <c r="E71" s="987">
        <v>148</v>
      </c>
      <c r="F71" s="987">
        <v>148</v>
      </c>
      <c r="G71" s="987">
        <v>148</v>
      </c>
      <c r="H71" s="840">
        <f t="shared" si="2"/>
        <v>148</v>
      </c>
      <c r="I71" s="840">
        <f t="shared" si="7"/>
        <v>148</v>
      </c>
      <c r="J71" s="1062">
        <f>H71+'INTERPOLASI  '!K21</f>
        <v>147.9</v>
      </c>
      <c r="K71" s="1062">
        <f>I71+'INTERPOLASI  '!V21</f>
        <v>147.9</v>
      </c>
      <c r="L71" s="507">
        <f t="shared" si="3"/>
        <v>0</v>
      </c>
      <c r="M71" s="507">
        <f t="shared" si="4"/>
        <v>0</v>
      </c>
      <c r="N71" s="508">
        <f t="shared" si="5"/>
        <v>-2.0999999999999943</v>
      </c>
      <c r="O71" s="508">
        <f t="shared" si="0"/>
        <v>-2.0999999999999943</v>
      </c>
      <c r="P71" s="184">
        <f>'BUDGET NAIK'!X21</f>
        <v>0.5615137787744543</v>
      </c>
      <c r="Q71" s="193">
        <f>'BUDGET TURUN'!X21</f>
        <v>0.55034381273390953</v>
      </c>
      <c r="T71" s="806"/>
      <c r="U71" s="807"/>
      <c r="V71" s="836"/>
      <c r="W71" s="815" t="s">
        <v>432</v>
      </c>
      <c r="X71" s="838">
        <v>148</v>
      </c>
      <c r="Y71" s="818">
        <v>100</v>
      </c>
      <c r="Z71" s="819">
        <v>-0.2</v>
      </c>
      <c r="AA71" s="820">
        <v>150</v>
      </c>
      <c r="AB71" s="821">
        <v>-0.2</v>
      </c>
      <c r="AC71" s="805">
        <f t="shared" si="1"/>
        <v>-0.2</v>
      </c>
      <c r="AD71" s="841">
        <f t="shared" si="6"/>
        <v>147.80000000000001</v>
      </c>
      <c r="AE71" s="837"/>
    </row>
    <row r="72" spans="1:31" x14ac:dyDescent="0.2">
      <c r="A72" s="58">
        <f>IF($C$14=$M$9,120,200)</f>
        <v>200</v>
      </c>
      <c r="B72" s="987">
        <v>199</v>
      </c>
      <c r="C72" s="987">
        <v>198</v>
      </c>
      <c r="D72" s="987">
        <v>199</v>
      </c>
      <c r="E72" s="987">
        <v>198</v>
      </c>
      <c r="F72" s="987">
        <v>199</v>
      </c>
      <c r="G72" s="987">
        <v>198</v>
      </c>
      <c r="H72" s="840">
        <f t="shared" si="2"/>
        <v>199</v>
      </c>
      <c r="I72" s="840">
        <f t="shared" si="7"/>
        <v>198</v>
      </c>
      <c r="J72" s="1062">
        <f>H72+'INTERPOLASI  '!K22</f>
        <v>198.80199999999999</v>
      </c>
      <c r="K72" s="1062">
        <f>I72+'INTERPOLASI  '!V22</f>
        <v>197.804</v>
      </c>
      <c r="L72" s="507">
        <f t="shared" si="3"/>
        <v>0</v>
      </c>
      <c r="M72" s="507">
        <f t="shared" si="4"/>
        <v>0</v>
      </c>
      <c r="N72" s="508">
        <f t="shared" si="5"/>
        <v>-1.1980000000000075</v>
      </c>
      <c r="O72" s="508">
        <f t="shared" si="0"/>
        <v>-2.195999999999998</v>
      </c>
      <c r="P72" s="184">
        <f>'BUDGET NAIK'!X36</f>
        <v>0.5615137787744543</v>
      </c>
      <c r="Q72" s="193">
        <f>'BUDGET TURUN'!X36</f>
        <v>0.55289591198453314</v>
      </c>
      <c r="T72" s="505"/>
      <c r="U72" s="505"/>
      <c r="V72" s="836"/>
      <c r="W72" s="815" t="s">
        <v>432</v>
      </c>
      <c r="X72" s="838">
        <v>132.333</v>
      </c>
      <c r="Y72" s="818">
        <v>100</v>
      </c>
      <c r="Z72" s="819">
        <v>-0.2</v>
      </c>
      <c r="AA72" s="820">
        <v>150</v>
      </c>
      <c r="AB72" s="821">
        <v>-0.2</v>
      </c>
      <c r="AC72" s="805">
        <f t="shared" si="1"/>
        <v>-0.2</v>
      </c>
      <c r="AD72" s="841">
        <f t="shared" si="6"/>
        <v>132.13300000000001</v>
      </c>
      <c r="AE72" s="837"/>
    </row>
    <row r="73" spans="1:31" x14ac:dyDescent="0.2">
      <c r="A73" s="58">
        <f>IF($C$14=$M$9,150,250)</f>
        <v>250</v>
      </c>
      <c r="B73" s="987">
        <v>247.9</v>
      </c>
      <c r="C73" s="987">
        <v>248</v>
      </c>
      <c r="D73" s="987">
        <v>248</v>
      </c>
      <c r="E73" s="987">
        <v>248</v>
      </c>
      <c r="F73" s="987">
        <v>248</v>
      </c>
      <c r="G73" s="987">
        <v>248</v>
      </c>
      <c r="H73" s="840">
        <f t="shared" si="2"/>
        <v>247.96666666666667</v>
      </c>
      <c r="I73" s="840">
        <f t="shared" si="7"/>
        <v>248</v>
      </c>
      <c r="J73" s="1062">
        <f>H73+'INTERPOLASI  '!K23</f>
        <v>247.86260000000001</v>
      </c>
      <c r="K73" s="1062">
        <f>I73+'INTERPOLASI  '!V23</f>
        <v>247.89599999999999</v>
      </c>
      <c r="L73" s="507">
        <f t="shared" si="3"/>
        <v>5.7735026918959292E-2</v>
      </c>
      <c r="M73" s="507">
        <f t="shared" si="4"/>
        <v>0</v>
      </c>
      <c r="N73" s="508">
        <f t="shared" si="5"/>
        <v>-2.1373999999999853</v>
      </c>
      <c r="O73" s="508">
        <f t="shared" si="0"/>
        <v>-2.1040000000000134</v>
      </c>
      <c r="P73" s="184">
        <f>'BUDGET NAIK'!X51</f>
        <v>0.55711006504170457</v>
      </c>
      <c r="Q73" s="193">
        <f>'BUDGET TURUN'!X51</f>
        <v>0.55315145964067181</v>
      </c>
      <c r="T73" s="505"/>
      <c r="U73" s="505"/>
      <c r="V73" s="836"/>
      <c r="W73" s="815" t="s">
        <v>433</v>
      </c>
      <c r="X73" s="838">
        <v>165.667</v>
      </c>
      <c r="Y73" s="818">
        <v>150</v>
      </c>
      <c r="Z73" s="819">
        <v>-0.2</v>
      </c>
      <c r="AA73" s="820">
        <v>200</v>
      </c>
      <c r="AB73" s="821">
        <v>-0.5</v>
      </c>
      <c r="AC73" s="805">
        <f t="shared" si="1"/>
        <v>-0.29400199999999999</v>
      </c>
      <c r="AD73" s="841">
        <f t="shared" si="6"/>
        <v>165.372998</v>
      </c>
      <c r="AE73" s="837"/>
    </row>
    <row r="74" spans="1:31" ht="15.75" customHeight="1" x14ac:dyDescent="0.2">
      <c r="F74" s="166"/>
      <c r="G74" s="169"/>
      <c r="H74" s="166"/>
      <c r="I74" s="166"/>
      <c r="J74" s="169"/>
      <c r="K74" s="169"/>
      <c r="L74" s="59"/>
      <c r="M74" s="59"/>
      <c r="N74" s="60"/>
      <c r="O74" s="59"/>
      <c r="P74" s="60"/>
      <c r="Q74" s="1156"/>
      <c r="R74" s="1156"/>
      <c r="V74" s="815"/>
      <c r="W74" s="815" t="s">
        <v>430</v>
      </c>
      <c r="X74" s="839">
        <v>0</v>
      </c>
      <c r="Y74" s="818">
        <v>0</v>
      </c>
      <c r="Z74" s="819">
        <v>0</v>
      </c>
      <c r="AA74" s="820">
        <v>50</v>
      </c>
      <c r="AB74" s="821">
        <v>0.2</v>
      </c>
      <c r="AC74" s="805">
        <f t="shared" si="1"/>
        <v>0</v>
      </c>
      <c r="AD74" s="841">
        <f>X74+AC74</f>
        <v>0</v>
      </c>
    </row>
    <row r="75" spans="1:31" ht="24.75" customHeight="1" x14ac:dyDescent="0.2">
      <c r="A75" s="243" t="s">
        <v>105</v>
      </c>
      <c r="B75" s="130"/>
      <c r="C75" s="130"/>
      <c r="D75" s="130"/>
      <c r="E75" s="130"/>
      <c r="F75" s="130"/>
      <c r="H75" s="203"/>
      <c r="I75" s="203"/>
      <c r="L75" s="1202" t="s">
        <v>185</v>
      </c>
      <c r="M75" s="1202"/>
      <c r="R75" s="374"/>
      <c r="W75" s="815" t="s">
        <v>430</v>
      </c>
      <c r="X75" s="839">
        <v>48</v>
      </c>
      <c r="Y75" s="818">
        <v>0</v>
      </c>
      <c r="Z75" s="819">
        <v>0</v>
      </c>
      <c r="AA75" s="820">
        <v>50</v>
      </c>
      <c r="AB75" s="821">
        <v>0.2</v>
      </c>
      <c r="AC75" s="805">
        <f t="shared" si="1"/>
        <v>0.19200000000000003</v>
      </c>
      <c r="AD75" s="841">
        <f t="shared" ref="AD75:AD79" si="8">X75+AC75</f>
        <v>48.192</v>
      </c>
    </row>
    <row r="76" spans="1:31" ht="15.75" customHeight="1" x14ac:dyDescent="0.25">
      <c r="A76" s="1061" t="s">
        <v>732</v>
      </c>
      <c r="B76" s="204"/>
      <c r="C76" s="204"/>
      <c r="D76" s="204"/>
      <c r="E76" s="204"/>
      <c r="F76" s="204"/>
      <c r="G76" s="204"/>
      <c r="H76" s="205"/>
      <c r="I76" s="205"/>
      <c r="J76" s="1071"/>
      <c r="L76" s="425" t="s">
        <v>152</v>
      </c>
      <c r="M76" s="425" t="s">
        <v>153</v>
      </c>
      <c r="N76" s="99"/>
      <c r="R76" s="1052"/>
      <c r="W76" s="815" t="s">
        <v>431</v>
      </c>
      <c r="X76" s="839">
        <v>98</v>
      </c>
      <c r="Y76" s="818">
        <v>50</v>
      </c>
      <c r="Z76" s="819">
        <v>0.2</v>
      </c>
      <c r="AA76" s="820">
        <v>100</v>
      </c>
      <c r="AB76" s="821">
        <v>-0.1</v>
      </c>
      <c r="AC76" s="805">
        <f t="shared" si="1"/>
        <v>-8.8000000000000023E-2</v>
      </c>
      <c r="AD76" s="841">
        <f t="shared" si="8"/>
        <v>97.912000000000006</v>
      </c>
    </row>
    <row r="77" spans="1:31" ht="15.75" customHeight="1" x14ac:dyDescent="0.25">
      <c r="A77" s="992"/>
      <c r="D77" s="207"/>
      <c r="E77" s="207"/>
      <c r="F77" s="207"/>
      <c r="G77" s="207"/>
      <c r="L77" s="432">
        <f>PENYELIA!T48</f>
        <v>0.60000100000000001</v>
      </c>
      <c r="M77" s="432">
        <f>PENYELIA!U48</f>
        <v>0.60000100199997997</v>
      </c>
      <c r="R77" s="398"/>
      <c r="W77" s="815" t="s">
        <v>432</v>
      </c>
      <c r="X77" s="839">
        <v>148</v>
      </c>
      <c r="Y77" s="818">
        <v>100</v>
      </c>
      <c r="Z77" s="819">
        <v>-0.1</v>
      </c>
      <c r="AA77" s="820">
        <v>150</v>
      </c>
      <c r="AB77" s="821">
        <v>-0.1</v>
      </c>
      <c r="AC77" s="805">
        <f t="shared" si="1"/>
        <v>-0.1</v>
      </c>
      <c r="AD77" s="841">
        <f t="shared" si="8"/>
        <v>147.9</v>
      </c>
    </row>
    <row r="78" spans="1:31" ht="15.75" customHeight="1" x14ac:dyDescent="0.25">
      <c r="A78" s="206"/>
      <c r="B78" s="207"/>
      <c r="C78" s="207"/>
      <c r="D78" s="207"/>
      <c r="E78" s="207"/>
      <c r="F78" s="207"/>
      <c r="G78" s="207"/>
      <c r="L78" s="432">
        <f>PENYELIA!T49</f>
        <v>0.7000000000000014</v>
      </c>
      <c r="M78" s="432">
        <f>PENYELIA!U49</f>
        <v>0.7000000000000014</v>
      </c>
      <c r="R78" s="449"/>
      <c r="W78" s="815" t="s">
        <v>433</v>
      </c>
      <c r="X78" s="839">
        <v>198</v>
      </c>
      <c r="Y78" s="818">
        <v>150</v>
      </c>
      <c r="Z78" s="819">
        <v>-0.1</v>
      </c>
      <c r="AA78" s="820">
        <v>200</v>
      </c>
      <c r="AB78" s="821">
        <v>-0.3</v>
      </c>
      <c r="AC78" s="805">
        <f t="shared" si="1"/>
        <v>-0.29200000000000004</v>
      </c>
      <c r="AD78" s="841">
        <f t="shared" si="8"/>
        <v>197.708</v>
      </c>
    </row>
    <row r="79" spans="1:31" ht="15.75" customHeight="1" x14ac:dyDescent="0.25">
      <c r="A79" s="206"/>
      <c r="B79" s="207"/>
      <c r="C79" s="207"/>
      <c r="D79" s="207"/>
      <c r="E79" s="207"/>
      <c r="F79" s="207"/>
      <c r="G79" s="207"/>
      <c r="L79" s="432">
        <f>PENYELIA!T50</f>
        <v>2.6919999999999988</v>
      </c>
      <c r="M79" s="432">
        <f>PENYELIA!U50</f>
        <v>2.6919999999999988</v>
      </c>
      <c r="R79" s="394"/>
      <c r="W79" s="815" t="s">
        <v>434</v>
      </c>
      <c r="X79" s="839">
        <v>248</v>
      </c>
      <c r="Y79" s="818">
        <v>200</v>
      </c>
      <c r="Z79" s="819">
        <v>-0.3</v>
      </c>
      <c r="AA79" s="820">
        <v>250</v>
      </c>
      <c r="AB79" s="821">
        <v>-0.2</v>
      </c>
      <c r="AC79" s="805">
        <f t="shared" si="1"/>
        <v>-0.20400000000000001</v>
      </c>
      <c r="AD79" s="841">
        <f t="shared" si="8"/>
        <v>247.79599999999999</v>
      </c>
    </row>
    <row r="80" spans="1:31" ht="15.75" customHeight="1" x14ac:dyDescent="0.25">
      <c r="A80" s="101" t="s">
        <v>211</v>
      </c>
      <c r="B80" s="41"/>
      <c r="F80" s="207"/>
      <c r="G80" s="207"/>
      <c r="L80" s="432">
        <f>PENYELIA!T51</f>
        <v>2.6999999999999944</v>
      </c>
      <c r="M80" s="432">
        <f>PENYELIA!U51</f>
        <v>2.6999999999999944</v>
      </c>
      <c r="R80" s="394"/>
    </row>
    <row r="81" spans="1:23" ht="15.75" customHeight="1" x14ac:dyDescent="0.25">
      <c r="A81" s="1217" t="s">
        <v>341</v>
      </c>
      <c r="B81" s="1217"/>
      <c r="C81" s="1217"/>
      <c r="D81" s="207"/>
      <c r="E81" s="207"/>
      <c r="F81" s="207"/>
      <c r="G81" s="207"/>
      <c r="L81" s="432">
        <f>PENYELIA!T52</f>
        <v>1.7980000000000076</v>
      </c>
      <c r="M81" s="432">
        <f>PENYELIA!U52</f>
        <v>2.795999999999998</v>
      </c>
      <c r="R81" s="394"/>
      <c r="S81" s="1070" t="s">
        <v>746</v>
      </c>
      <c r="T81" s="1070" t="s">
        <v>747</v>
      </c>
      <c r="U81" s="807" t="s">
        <v>748</v>
      </c>
      <c r="V81" s="834" t="s">
        <v>749</v>
      </c>
      <c r="W81" s="1065" t="s">
        <v>750</v>
      </c>
    </row>
    <row r="82" spans="1:23" ht="15.75" customHeight="1" x14ac:dyDescent="0.25">
      <c r="A82" s="580" t="s">
        <v>250</v>
      </c>
      <c r="B82" s="170"/>
      <c r="C82" s="170"/>
      <c r="D82" s="170"/>
      <c r="E82" s="170"/>
      <c r="F82" s="170"/>
      <c r="G82" s="170"/>
      <c r="L82" s="432">
        <f>PENYELIA!T53</f>
        <v>2.7373999999999854</v>
      </c>
      <c r="M82" s="432">
        <f>PENYELIA!U53</f>
        <v>2.7040000000000135</v>
      </c>
      <c r="R82" s="394"/>
      <c r="S82" s="1064">
        <f>INDEX('DATA 1'!$C$6:$C$14,MATCH(H69,'DATA 1'!$B$6:$B$14,1))</f>
        <v>0.1</v>
      </c>
      <c r="T82" s="1064">
        <f>INDEX('DATA 1'!$C$6:$C$14,MATCH(H69,'DATA 1'!$B$6:$B$14,1)+1)</f>
        <v>-0.1</v>
      </c>
      <c r="U82" s="807">
        <f>INDEX('DATA 1'!$B$6:$B$14,MATCH(H69,'DATA 1'!$B$6:$B$14,1))</f>
        <v>50</v>
      </c>
      <c r="V82" s="834">
        <f>INDEX('DATA 1'!$B$6:$B$14,MATCH(H69,'DATA 1'!$B$6:$B$14,1)+1)</f>
        <v>100</v>
      </c>
      <c r="W82" s="1065">
        <f t="shared" ref="W82:W85" si="9">FORECAST(H69,S82:T82,U82:V82)</f>
        <v>9.9999999999999978E-2</v>
      </c>
    </row>
    <row r="83" spans="1:23" ht="15.75" customHeight="1" x14ac:dyDescent="0.2">
      <c r="A83" s="1215" t="s">
        <v>291</v>
      </c>
      <c r="B83" s="1216"/>
      <c r="C83" s="1216"/>
      <c r="D83" s="1216"/>
      <c r="E83" s="1216"/>
      <c r="F83" s="1216"/>
      <c r="G83" s="1216"/>
      <c r="H83" s="59"/>
      <c r="I83" s="59"/>
      <c r="J83" s="60"/>
      <c r="K83" s="60"/>
      <c r="L83" s="59"/>
      <c r="M83" s="59"/>
      <c r="N83" s="60"/>
      <c r="O83" s="59"/>
      <c r="R83" s="394"/>
      <c r="S83" s="1064">
        <f>INDEX('DATA 1'!$C$6:$C$14,MATCH(H70,'DATA 1'!$B$6:$B$14,1))</f>
        <v>0.1</v>
      </c>
      <c r="T83" s="1064">
        <f>INDEX('DATA 1'!$C$6:$C$14,MATCH(H70,'DATA 1'!$B$6:$B$14,1)+1)</f>
        <v>-0.1</v>
      </c>
      <c r="U83" s="807">
        <f>INDEX('DATA 1'!$B$6:$B$14,MATCH(H70,'DATA 1'!$B$6:$B$14,1))</f>
        <v>50</v>
      </c>
      <c r="V83" s="834">
        <f>INDEX('DATA 1'!$B$6:$B$14,MATCH(H70,'DATA 1'!$B$6:$B$14,1)+1)</f>
        <v>100</v>
      </c>
      <c r="W83" s="1065">
        <f t="shared" si="9"/>
        <v>-9.2000000000000026E-2</v>
      </c>
    </row>
    <row r="84" spans="1:23" ht="15.75" customHeight="1" x14ac:dyDescent="0.2">
      <c r="A84" s="1215" t="s">
        <v>726</v>
      </c>
      <c r="B84" s="1216"/>
      <c r="C84" s="1216"/>
      <c r="D84" s="1216"/>
      <c r="E84" s="1216"/>
      <c r="F84" s="1216"/>
      <c r="G84" s="1216"/>
      <c r="H84" s="62"/>
      <c r="I84" s="62"/>
      <c r="J84" s="63"/>
      <c r="K84" s="63"/>
      <c r="L84" s="1214" t="s">
        <v>203</v>
      </c>
      <c r="M84" s="1214"/>
      <c r="N84" s="395" t="s">
        <v>186</v>
      </c>
      <c r="O84" s="59"/>
      <c r="P84" s="60"/>
      <c r="Q84" s="394"/>
      <c r="R84" s="394"/>
      <c r="S84" s="1064">
        <f>INDEX('DATA 1'!$C$6:$C$14,MATCH(H71,'DATA 1'!$B$6:$B$14,1))</f>
        <v>-0.1</v>
      </c>
      <c r="T84" s="1064">
        <f>INDEX('DATA 1'!$C$6:$C$14,MATCH(H71,'DATA 1'!$B$6:$B$14,1)+1)</f>
        <v>-0.1</v>
      </c>
      <c r="U84" s="807">
        <f>INDEX('DATA 1'!$B$6:$B$14,MATCH(H71,'DATA 1'!$B$6:$B$14,1))</f>
        <v>100</v>
      </c>
      <c r="V84" s="834">
        <f>INDEX('DATA 1'!$B$6:$B$14,MATCH(H71,'DATA 1'!$B$6:$B$14,1)+1)</f>
        <v>150</v>
      </c>
      <c r="W84" s="1065">
        <f t="shared" si="9"/>
        <v>-0.1</v>
      </c>
    </row>
    <row r="85" spans="1:23" x14ac:dyDescent="0.2">
      <c r="A85" s="1215" t="s">
        <v>371</v>
      </c>
      <c r="B85" s="1216"/>
      <c r="C85" s="1216"/>
      <c r="D85" s="1216"/>
      <c r="E85" s="1216"/>
      <c r="F85" s="1216"/>
      <c r="G85" s="1216"/>
      <c r="L85" s="1201" t="str">
        <f>IF(N85&gt;=70,"HIJAU","MERAH")</f>
        <v>HIJAU</v>
      </c>
      <c r="M85" s="1201"/>
      <c r="N85" s="1203">
        <f>PENYELIA!M73</f>
        <v>100</v>
      </c>
      <c r="S85" s="1064">
        <f>INDEX('DATA 1'!$C$6:$C$14,MATCH(H72,'DATA 1'!$B$6:$B$14,1))</f>
        <v>-0.1</v>
      </c>
      <c r="T85" s="1064">
        <f>INDEX('DATA 1'!$C$6:$C$14,MATCH(H72,'DATA 1'!$B$6:$B$14,1)+1)</f>
        <v>-0.2</v>
      </c>
      <c r="U85" s="807">
        <f>INDEX('DATA 1'!$B$6:$B$14,MATCH(H72,'DATA 1'!$B$6:$B$14,1))</f>
        <v>150</v>
      </c>
      <c r="V85" s="834">
        <f>INDEX('DATA 1'!$B$6:$B$14,MATCH(H72,'DATA 1'!$B$6:$B$14,1)+1)</f>
        <v>200</v>
      </c>
      <c r="W85" s="1065">
        <f t="shared" si="9"/>
        <v>-0.19800000000000001</v>
      </c>
    </row>
    <row r="86" spans="1:23" ht="19.5" customHeight="1" x14ac:dyDescent="0.2">
      <c r="A86" s="206"/>
      <c r="B86" s="207"/>
      <c r="C86" s="207"/>
      <c r="D86" s="207"/>
      <c r="E86" s="207"/>
      <c r="F86" s="207"/>
      <c r="G86" s="207"/>
      <c r="L86" s="1201"/>
      <c r="M86" s="1201"/>
      <c r="N86" s="1203"/>
      <c r="S86" s="1064">
        <f>INDEX('DATA 1'!$C$6:$C$14,MATCH(H73,'DATA 1'!$B$6:$B$14,1))</f>
        <v>-0.2</v>
      </c>
      <c r="T86" s="1064">
        <f>INDEX('DATA 1'!$C$6:$C$14,MATCH(H73,'DATA 1'!$B$6:$B$14,1)+1)</f>
        <v>-0.1</v>
      </c>
      <c r="U86" s="807">
        <f>INDEX('DATA 1'!$B$6:$B$14,MATCH(H73,'DATA 1'!$B$6:$B$14,1))</f>
        <v>200</v>
      </c>
      <c r="V86" s="834">
        <f>INDEX('DATA 1'!$B$6:$B$14,MATCH(H73,'DATA 1'!$B$6:$B$14,1)+1)</f>
        <v>250</v>
      </c>
      <c r="W86" s="1065">
        <f>FORECAST(H73,S86:T86,U86:V86)</f>
        <v>-0.10406666666666675</v>
      </c>
    </row>
    <row r="87" spans="1:23" ht="18.75" customHeight="1" x14ac:dyDescent="0.2">
      <c r="A87" s="52"/>
      <c r="B87" s="59"/>
      <c r="C87" s="60"/>
      <c r="D87" s="59"/>
      <c r="E87" s="60"/>
      <c r="F87" s="59"/>
      <c r="G87" s="60"/>
      <c r="S87" s="1064"/>
      <c r="T87" s="1064"/>
      <c r="U87" s="807"/>
      <c r="V87" s="834"/>
      <c r="W87" s="1065"/>
    </row>
    <row r="88" spans="1:23" ht="63.75" x14ac:dyDescent="0.2">
      <c r="D88" s="61"/>
      <c r="E88" s="61"/>
      <c r="F88" s="61"/>
      <c r="G88" s="61"/>
      <c r="S88" s="1066" t="s">
        <v>752</v>
      </c>
      <c r="T88" s="1066" t="s">
        <v>753</v>
      </c>
      <c r="U88" s="1067" t="s">
        <v>754</v>
      </c>
      <c r="V88" s="1068" t="s">
        <v>755</v>
      </c>
      <c r="W88" s="1069" t="s">
        <v>756</v>
      </c>
    </row>
    <row r="89" spans="1:23" x14ac:dyDescent="0.2">
      <c r="S89" s="1066">
        <f>INDEX('DATA 1'!$C$6:$C$14,MATCH(I69,'DATA 1'!$B$6:$B$14,1))</f>
        <v>0.1</v>
      </c>
      <c r="T89" s="1066">
        <f>INDEX('DATA 1'!$C$6:$C$14,MATCH(I69,'DATA 1'!$B$6:$B$14,1)+1)</f>
        <v>-0.1</v>
      </c>
      <c r="U89" s="1067">
        <f>INDEX('DATA 1'!$B$6:$B$14,MATCH(I69,'DATA 1'!$B$6:$B$14,1))</f>
        <v>50</v>
      </c>
      <c r="V89" s="1068">
        <f>INDEX('DATA 1'!$B$6:$B$14,MATCH(I69,'DATA 1'!$B$6:$B$14,1)+1)</f>
        <v>100</v>
      </c>
      <c r="W89" s="1069">
        <f t="shared" ref="W89:W93" si="10">FORECAST(I69,S89:T89,U89:V89)</f>
        <v>9.9999999999999978E-2</v>
      </c>
    </row>
    <row r="90" spans="1:23" x14ac:dyDescent="0.2">
      <c r="O90" s="66"/>
      <c r="P90" s="66"/>
      <c r="S90" s="1066">
        <f>INDEX('DATA 1'!$C$6:$C$14,MATCH(I70,'DATA 1'!$B$6:$B$14,1))</f>
        <v>0.1</v>
      </c>
      <c r="T90" s="1066">
        <f>INDEX('DATA 1'!$C$6:$C$14,MATCH(I70,'DATA 1'!$B$6:$B$14,1)+1)</f>
        <v>-0.1</v>
      </c>
      <c r="U90" s="1067">
        <f>INDEX('DATA 1'!$B$6:$B$14,MATCH(I70,'DATA 1'!$B$6:$B$14,1))</f>
        <v>50</v>
      </c>
      <c r="V90" s="1068">
        <f>INDEX('DATA 1'!$B$6:$B$14,MATCH(I70,'DATA 1'!$B$6:$B$14,1)+1)</f>
        <v>100</v>
      </c>
      <c r="W90" s="1069">
        <f t="shared" si="10"/>
        <v>-9.2000000000000026E-2</v>
      </c>
    </row>
    <row r="91" spans="1:23" x14ac:dyDescent="0.25">
      <c r="A91" s="42" t="s">
        <v>240</v>
      </c>
      <c r="B91" s="451" t="s">
        <v>0</v>
      </c>
      <c r="C91" s="516">
        <v>44116</v>
      </c>
      <c r="O91" s="66"/>
      <c r="P91" s="66"/>
      <c r="S91" s="1066">
        <f>INDEX('DATA 1'!$C$6:$C$14,MATCH(I71,'DATA 1'!$B$6:$B$14,1))</f>
        <v>-0.1</v>
      </c>
      <c r="T91" s="1066">
        <f>INDEX('DATA 1'!$C$6:$C$14,MATCH(I71,'DATA 1'!$B$6:$B$14,1)+1)</f>
        <v>-0.1</v>
      </c>
      <c r="U91" s="1067">
        <f>INDEX('DATA 1'!$B$6:$B$14,MATCH(I71,'DATA 1'!$B$6:$B$14,1))</f>
        <v>100</v>
      </c>
      <c r="V91" s="1068">
        <f>INDEX('DATA 1'!$B$6:$B$14,MATCH(I71,'DATA 1'!$B$6:$B$14,1)+1)</f>
        <v>150</v>
      </c>
      <c r="W91" s="1069">
        <f t="shared" si="10"/>
        <v>-0.1</v>
      </c>
    </row>
    <row r="92" spans="1:23" x14ac:dyDescent="0.2">
      <c r="A92" s="64"/>
      <c r="B92" s="171"/>
      <c r="C92" s="171"/>
      <c r="D92" s="171"/>
      <c r="E92" s="171"/>
      <c r="F92" s="171"/>
      <c r="G92" s="171"/>
      <c r="S92" s="1066">
        <f>INDEX('DATA 1'!$C$6:$C$14,MATCH(I72,'DATA 1'!$B$6:$B$14,1))</f>
        <v>-0.1</v>
      </c>
      <c r="T92" s="1066">
        <f>INDEX('DATA 1'!$C$6:$C$14,MATCH(I72,'DATA 1'!$B$6:$B$14,1)+1)</f>
        <v>-0.2</v>
      </c>
      <c r="U92" s="1067">
        <f>INDEX('DATA 1'!$B$6:$B$14,MATCH(I72,'DATA 1'!$B$6:$B$14,1))</f>
        <v>150</v>
      </c>
      <c r="V92" s="1068">
        <f>INDEX('DATA 1'!$B$6:$B$14,MATCH(I72,'DATA 1'!$B$6:$B$14,1)+1)</f>
        <v>200</v>
      </c>
      <c r="W92" s="1069">
        <f t="shared" si="10"/>
        <v>-0.19600000000000001</v>
      </c>
    </row>
    <row r="93" spans="1:23" x14ac:dyDescent="0.2">
      <c r="A93" s="65"/>
      <c r="B93" s="172" t="s">
        <v>87</v>
      </c>
      <c r="C93" s="173"/>
      <c r="D93" s="174"/>
      <c r="E93" s="174"/>
      <c r="F93" s="174"/>
      <c r="G93" s="171"/>
      <c r="S93" s="1066">
        <f>INDEX('DATA 1'!$C$6:$C$14,MATCH(I73,'DATA 1'!$B$6:$B$14,1))</f>
        <v>-0.2</v>
      </c>
      <c r="T93" s="1066">
        <f>INDEX('DATA 1'!$C$6:$C$14,MATCH(I73,'DATA 1'!$B$6:$B$14,1)+1)</f>
        <v>-0.1</v>
      </c>
      <c r="U93" s="1067">
        <f>INDEX('DATA 1'!$B$6:$B$14,MATCH(I73,'DATA 1'!$B$6:$B$14,1))</f>
        <v>200</v>
      </c>
      <c r="V93" s="1068">
        <f>INDEX('DATA 1'!$B$6:$B$14,MATCH(I73,'DATA 1'!$B$6:$B$14,1)+1)</f>
        <v>250</v>
      </c>
      <c r="W93" s="1069">
        <f t="shared" si="10"/>
        <v>-0.10400000000000009</v>
      </c>
    </row>
    <row r="94" spans="1:23" ht="25.5" x14ac:dyDescent="0.2">
      <c r="A94" s="66"/>
      <c r="B94" s="175" t="s">
        <v>52</v>
      </c>
      <c r="C94" s="176">
        <f>A68</f>
        <v>0</v>
      </c>
      <c r="D94" s="176">
        <f>A69</f>
        <v>50</v>
      </c>
      <c r="E94" s="177">
        <f>A70</f>
        <v>100</v>
      </c>
      <c r="F94" s="175" t="str">
        <f>PENYELIA!H38</f>
        <v>Toleransi</v>
      </c>
      <c r="G94" s="171"/>
    </row>
    <row r="95" spans="1:23" x14ac:dyDescent="0.2">
      <c r="A95" s="64"/>
      <c r="B95" s="178" t="s">
        <v>164</v>
      </c>
      <c r="C95" s="178" t="e">
        <f>ABS(#REF!)+ABS(#REF!)</f>
        <v>#REF!</v>
      </c>
      <c r="D95" s="178" t="e">
        <f>ABS(#REF!)+ABS(#REF!)</f>
        <v>#REF!</v>
      </c>
      <c r="E95" s="178" t="e">
        <f>ABS(#REF!)+ABS(#REF!)</f>
        <v>#REF!</v>
      </c>
      <c r="F95" s="179" t="s">
        <v>89</v>
      </c>
      <c r="G95" s="171"/>
    </row>
    <row r="96" spans="1:23" x14ac:dyDescent="0.2">
      <c r="A96" s="64"/>
      <c r="B96" s="180"/>
      <c r="C96" s="181"/>
      <c r="D96" s="182"/>
      <c r="E96" s="183"/>
      <c r="F96" s="171"/>
      <c r="G96" s="171"/>
    </row>
    <row r="150" spans="1:1" x14ac:dyDescent="0.2">
      <c r="A150" s="99" t="s">
        <v>300</v>
      </c>
    </row>
  </sheetData>
  <sheetProtection algorithmName="SHA-512" hashValue="cbdq5BLdWiHgTbUxKbpZ4A2+QQyUacoH3B1iXs+o6Py+SxeSxHcnmlIrAzLyBf0XWZrthelNgGBaiJYrPzenYQ==" saltValue="D3BTT6RlZUUE/tYXV0Om0A==" spinCount="100000" sheet="1" formatCells="0" formatColumns="0" formatRows="0" insertColumns="0" insertRows="0" deleteColumns="0" deleteRows="0"/>
  <mergeCells count="44">
    <mergeCell ref="A1:K1"/>
    <mergeCell ref="A83:G83"/>
    <mergeCell ref="A84:G84"/>
    <mergeCell ref="C14:D14"/>
    <mergeCell ref="D41:E42"/>
    <mergeCell ref="F41:F42"/>
    <mergeCell ref="F43:F44"/>
    <mergeCell ref="A43:A44"/>
    <mergeCell ref="D19:D20"/>
    <mergeCell ref="E19:E20"/>
    <mergeCell ref="F19:F20"/>
    <mergeCell ref="D43:E44"/>
    <mergeCell ref="B43:C44"/>
    <mergeCell ref="B41:C42"/>
    <mergeCell ref="A19:A20"/>
    <mergeCell ref="B19:B20"/>
    <mergeCell ref="A85:G85"/>
    <mergeCell ref="A81:C81"/>
    <mergeCell ref="B46:C47"/>
    <mergeCell ref="H65:I66"/>
    <mergeCell ref="F46:F47"/>
    <mergeCell ref="B65:G65"/>
    <mergeCell ref="A46:A47"/>
    <mergeCell ref="A65:A67"/>
    <mergeCell ref="A52:A53"/>
    <mergeCell ref="B52:C53"/>
    <mergeCell ref="D52:E53"/>
    <mergeCell ref="F52:F53"/>
    <mergeCell ref="A54:A55"/>
    <mergeCell ref="B54:C55"/>
    <mergeCell ref="D54:E55"/>
    <mergeCell ref="F54:F55"/>
    <mergeCell ref="C19:C20"/>
    <mergeCell ref="A41:A42"/>
    <mergeCell ref="AD20:AD21"/>
    <mergeCell ref="J65:K66"/>
    <mergeCell ref="L84:M84"/>
    <mergeCell ref="L85:M86"/>
    <mergeCell ref="L75:M75"/>
    <mergeCell ref="N85:N86"/>
    <mergeCell ref="P65:Q66"/>
    <mergeCell ref="N65:O66"/>
    <mergeCell ref="L65:M66"/>
    <mergeCell ref="Q74:R74"/>
  </mergeCells>
  <phoneticPr fontId="5" type="noConversion"/>
  <dataValidations count="5">
    <dataValidation type="list" allowBlank="1" showInputMessage="1" showErrorMessage="1" sqref="J15:K17 J38:K39" xr:uid="{00000000-0002-0000-0200-000001000000}">
      <formula1>$HQ$1:$HQ$13</formula1>
    </dataValidation>
    <dataValidation type="list" allowBlank="1" showInputMessage="1" showErrorMessage="1" sqref="L7:O7" xr:uid="{00000000-0002-0000-0200-000002000000}">
      <formula1>$AS$4:$AS$16</formula1>
    </dataValidation>
    <dataValidation type="list" allowBlank="1" showInputMessage="1" showErrorMessage="1" sqref="C14:D14" xr:uid="{00000000-0002-0000-0200-000003000000}">
      <formula1>$M$9:$M$10</formula1>
    </dataValidation>
    <dataValidation type="list" allowBlank="1" showInputMessage="1" showErrorMessage="1" sqref="C37:C39" xr:uid="{00000000-0002-0000-0200-000000000000}">
      <formula1>#REF!</formula1>
    </dataValidation>
    <dataValidation allowBlank="1" showInputMessage="1" sqref="A2:D2 F2:K2" xr:uid="{D0151138-46A1-430C-A615-047354935678}"/>
  </dataValidations>
  <printOptions horizontalCentered="1"/>
  <pageMargins left="0.511811023622047" right="0.23622047244094499" top="0.74803149606299202" bottom="0.23622047244094499" header="0.23622047244094499" footer="0.23622047244094499"/>
  <pageSetup paperSize="9" scale="68" orientation="portrait" horizontalDpi="4294967294" r:id="rId1"/>
  <headerFooter>
    <oddHeader>&amp;R&amp;"-,Regular"&amp;8T.042-18</oddHeader>
    <oddFooter>&amp;R&amp;8&amp;K00-014Software Sphygmomanometer 2018</oddFooter>
  </headerFooter>
  <drawing r:id="rId2"/>
  <extLst>
    <ext xmlns:x14="http://schemas.microsoft.com/office/spreadsheetml/2009/9/main" uri="{78C0D931-6437-407d-A8EE-F0AAD7539E65}">
      <x14:conditionalFormattings>
        <x14:conditionalFormatting xmlns:xm="http://schemas.microsoft.com/office/excel/2006/main">
          <x14:cfRule type="iconSet" priority="1" id="{8F2FFE95-9FF3-41AE-A7B6-49F2C3F1A469}">
            <x14:iconSet custom="1">
              <x14:cfvo type="percent">
                <xm:f>0</xm:f>
              </x14:cfvo>
              <x14:cfvo type="num">
                <xm:f>3</xm:f>
              </x14:cfvo>
              <x14:cfvo type="num" gte="0">
                <xm:f>3</xm:f>
              </x14:cfvo>
              <x14:cfIcon iconSet="3Symbols" iconId="2"/>
              <x14:cfIcon iconSet="3Symbols" iconId="2"/>
              <x14:cfIcon iconSet="3Symbols" iconId="0"/>
            </x14:iconSet>
          </x14:cfRule>
          <xm:sqref>C95:E95</xm:sqref>
        </x14:conditionalFormatting>
      </x14:conditionalFormattings>
    </ext>
    <ext xmlns:x14="http://schemas.microsoft.com/office/spreadsheetml/2009/9/main" uri="{CCE6A557-97BC-4b89-ADB6-D9C93CAAB3DF}">
      <x14:dataValidations xmlns:xm="http://schemas.microsoft.com/office/excel/2006/main" count="10">
        <x14:dataValidation type="list" allowBlank="1" showInputMessage="1" xr:uid="{00000000-0002-0000-0200-000004000000}">
          <x14:formula1>
            <xm:f>KETERANGAN!$G$26:$G$34</xm:f>
          </x14:formula1>
          <xm:sqref>A77</xm:sqref>
        </x14:dataValidation>
        <x14:dataValidation type="list" allowBlank="1" showInputMessage="1" xr:uid="{00000000-0002-0000-0200-000005000000}">
          <x14:formula1>
            <xm:f>KETERANGAN!$F$8:$F$9</xm:f>
          </x14:formula1>
          <xm:sqref>P6 P2:P4</xm:sqref>
        </x14:dataValidation>
        <x14:dataValidation type="list" allowBlank="1" showInputMessage="1" xr:uid="{00000000-0002-0000-0200-000006000000}">
          <x14:formula1>
            <xm:f>'SERTIFIKAT DPM'!$CN$1:$CN$25</xm:f>
          </x14:formula1>
          <xm:sqref>A81:C81</xm:sqref>
        </x14:dataValidation>
        <x14:dataValidation type="list" allowBlank="1" showInputMessage="1" xr:uid="{00000000-0002-0000-0200-000008000000}">
          <x14:formula1>
            <xm:f>KETERANGAN!$F$26:$F$34</xm:f>
          </x14:formula1>
          <xm:sqref>A76</xm:sqref>
        </x14:dataValidation>
        <x14:dataValidation type="list" allowBlank="1" showInputMessage="1" showErrorMessage="1" xr:uid="{3280D268-79C1-4320-8698-A82826849C21}">
          <x14:formula1>
            <xm:f>KETERANGAN!$F$38:$F$39</xm:f>
          </x14:formula1>
          <xm:sqref>B41:C42</xm:sqref>
        </x14:dataValidation>
        <x14:dataValidation type="list" allowBlank="1" showInputMessage="1" showErrorMessage="1" xr:uid="{E11BCD3D-0D82-4F3A-B8D4-D622F2F6833B}">
          <x14:formula1>
            <xm:f>KETERANGAN!$F$41:$F$42</xm:f>
          </x14:formula1>
          <xm:sqref>B52:C53</xm:sqref>
        </x14:dataValidation>
        <x14:dataValidation type="list" allowBlank="1" showInputMessage="1" showErrorMessage="1" xr:uid="{00000000-0002-0000-0200-000007000000}">
          <x14:formula1>
            <xm:f>'SERTIFIKAT THERMOHYGROMETER'!$W$3:$W$12</xm:f>
          </x14:formula1>
          <xm:sqref>L8:O8</xm:sqref>
        </x14:dataValidation>
        <x14:dataValidation type="list" allowBlank="1" showInputMessage="1" showErrorMessage="1" xr:uid="{00000000-0002-0000-0200-000009000000}">
          <x14:formula1>
            <xm:f>'SERTIFIKAT STOPWATCH'!$N$6:$N$22</xm:f>
          </x14:formula1>
          <xm:sqref>A85:G85</xm:sqref>
        </x14:dataValidation>
        <x14:dataValidation type="list" allowBlank="1" showInputMessage="1" showErrorMessage="1" xr:uid="{A2FFF6C5-66D2-4E29-98AF-7F670B31E9E1}">
          <x14:formula1>
            <xm:f>'RESOLUSI STANDAR'!$E$7:$E$30</xm:f>
          </x14:formula1>
          <xm:sqref>A83:G83</xm:sqref>
        </x14:dataValidation>
        <x14:dataValidation type="list" allowBlank="1" showInputMessage="1" showErrorMessage="1" xr:uid="{00000000-0002-0000-0200-00000A000000}">
          <x14:formula1>
            <xm:f>'SERTIFIKAT THERMOHYGROMETER'!$W$3:$W$24</xm:f>
          </x14:formula1>
          <xm:sqref>A84:G84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D09AC-3173-4C01-AF45-E101D3CDEBA6}">
  <dimension ref="A10:DS26"/>
  <sheetViews>
    <sheetView topLeftCell="CW4" workbookViewId="0">
      <selection activeCell="DG26" sqref="DG26"/>
    </sheetView>
  </sheetViews>
  <sheetFormatPr defaultColWidth="8.85546875" defaultRowHeight="12.75" x14ac:dyDescent="0.2"/>
  <cols>
    <col min="1" max="6" width="8.85546875" style="1080"/>
    <col min="7" max="7" width="11" style="1080" bestFit="1" customWidth="1"/>
    <col min="8" max="10" width="8.85546875" style="1080"/>
    <col min="11" max="11" width="11" style="1080" customWidth="1"/>
    <col min="12" max="16" width="1" style="1080" customWidth="1"/>
    <col min="17" max="17" width="13.7109375" style="1080" bestFit="1" customWidth="1"/>
    <col min="18" max="21" width="8.85546875" style="1080"/>
    <col min="22" max="22" width="10.7109375" style="1080" customWidth="1"/>
    <col min="23" max="35" width="8.85546875" style="1080"/>
    <col min="36" max="36" width="11.28515625" style="1080" customWidth="1"/>
    <col min="37" max="41" width="1.5703125" style="1080" customWidth="1"/>
    <col min="42" max="42" width="12.5703125" style="1080" bestFit="1" customWidth="1"/>
    <col min="43" max="46" width="8.85546875" style="1080"/>
    <col min="47" max="47" width="10.7109375" style="1080" customWidth="1"/>
    <col min="48" max="55" width="8.85546875" style="1080"/>
    <col min="56" max="56" width="10.140625" style="1080" customWidth="1"/>
    <col min="57" max="58" width="8.85546875" style="1080"/>
    <col min="59" max="59" width="9.28515625" style="1080" customWidth="1"/>
    <col min="60" max="60" width="8.85546875" style="1080"/>
    <col min="61" max="61" width="12.140625" style="1080" customWidth="1"/>
    <col min="62" max="66" width="1.5703125" style="1080" customWidth="1"/>
    <col min="67" max="67" width="10.140625" style="1080" customWidth="1"/>
    <col min="68" max="71" width="8.85546875" style="1080"/>
    <col min="72" max="72" width="12.140625" style="1080" customWidth="1"/>
    <col min="73" max="85" width="8.85546875" style="1080"/>
    <col min="86" max="86" width="11.7109375" style="1080" customWidth="1"/>
    <col min="87" max="91" width="1.5703125" style="1080" customWidth="1"/>
    <col min="92" max="96" width="8.85546875" style="1080"/>
    <col min="97" max="97" width="12.5703125" style="1080" customWidth="1"/>
    <col min="98" max="110" width="8.85546875" style="1080"/>
    <col min="111" max="111" width="11.42578125" style="1080" customWidth="1"/>
    <col min="112" max="116" width="3" style="1080" customWidth="1"/>
    <col min="117" max="121" width="8.85546875" style="1080"/>
    <col min="122" max="122" width="12.42578125" style="1080" customWidth="1"/>
    <col min="123" max="16384" width="8.85546875" style="1080"/>
  </cols>
  <sheetData>
    <row r="10" spans="1:123" x14ac:dyDescent="0.2">
      <c r="A10" s="1080" t="s">
        <v>751</v>
      </c>
      <c r="B10" s="1075" t="s">
        <v>745</v>
      </c>
    </row>
    <row r="11" spans="1:123" ht="13.5" thickBot="1" x14ac:dyDescent="0.25"/>
    <row r="12" spans="1:123" x14ac:dyDescent="0.2">
      <c r="E12" s="1253" t="s">
        <v>764</v>
      </c>
      <c r="F12" s="1254"/>
      <c r="G12" s="1254"/>
      <c r="H12" s="1254"/>
      <c r="I12" s="1254"/>
      <c r="J12" s="1254"/>
      <c r="K12" s="1254"/>
      <c r="L12" s="1254"/>
      <c r="M12" s="1254"/>
      <c r="N12" s="1254"/>
      <c r="O12" s="1254"/>
      <c r="P12" s="1254"/>
      <c r="Q12" s="1254"/>
      <c r="R12" s="1254"/>
      <c r="S12" s="1254"/>
      <c r="T12" s="1254"/>
      <c r="U12" s="1254"/>
      <c r="V12" s="1254"/>
      <c r="W12" s="1255"/>
      <c r="AD12" s="1253" t="s">
        <v>769</v>
      </c>
      <c r="AE12" s="1254"/>
      <c r="AF12" s="1254"/>
      <c r="AG12" s="1254"/>
      <c r="AH12" s="1254"/>
      <c r="AI12" s="1254"/>
      <c r="AJ12" s="1254"/>
      <c r="AK12" s="1254"/>
      <c r="AL12" s="1254"/>
      <c r="AM12" s="1254"/>
      <c r="AN12" s="1254"/>
      <c r="AO12" s="1254"/>
      <c r="AP12" s="1254"/>
      <c r="AQ12" s="1254"/>
      <c r="AR12" s="1254"/>
      <c r="AS12" s="1254"/>
      <c r="AT12" s="1254"/>
      <c r="AU12" s="1254"/>
      <c r="AV12" s="1255"/>
      <c r="BC12" s="1253" t="s">
        <v>770</v>
      </c>
      <c r="BD12" s="1254"/>
      <c r="BE12" s="1254"/>
      <c r="BF12" s="1254"/>
      <c r="BG12" s="1254"/>
      <c r="BH12" s="1254"/>
      <c r="BI12" s="1254"/>
      <c r="BJ12" s="1254"/>
      <c r="BK12" s="1254"/>
      <c r="BL12" s="1254"/>
      <c r="BM12" s="1254"/>
      <c r="BN12" s="1254"/>
      <c r="BO12" s="1254"/>
      <c r="BP12" s="1254"/>
      <c r="BQ12" s="1254"/>
      <c r="BR12" s="1254"/>
      <c r="BS12" s="1254"/>
      <c r="BT12" s="1254"/>
      <c r="BU12" s="1255"/>
      <c r="CB12" s="1253" t="s">
        <v>787</v>
      </c>
      <c r="CC12" s="1254"/>
      <c r="CD12" s="1254"/>
      <c r="CE12" s="1254"/>
      <c r="CF12" s="1254"/>
      <c r="CG12" s="1254"/>
      <c r="CH12" s="1254"/>
      <c r="CI12" s="1254"/>
      <c r="CJ12" s="1254"/>
      <c r="CK12" s="1254"/>
      <c r="CL12" s="1254"/>
      <c r="CM12" s="1254"/>
      <c r="CN12" s="1254"/>
      <c r="CO12" s="1254"/>
      <c r="CP12" s="1254"/>
      <c r="CQ12" s="1254"/>
      <c r="CR12" s="1254"/>
      <c r="CS12" s="1254"/>
      <c r="CT12" s="1255"/>
      <c r="DA12" s="1253" t="s">
        <v>789</v>
      </c>
      <c r="DB12" s="1254"/>
      <c r="DC12" s="1254"/>
      <c r="DD12" s="1254"/>
      <c r="DE12" s="1254"/>
      <c r="DF12" s="1254"/>
      <c r="DG12" s="1254"/>
      <c r="DH12" s="1255"/>
      <c r="DL12" s="1253" t="s">
        <v>790</v>
      </c>
      <c r="DM12" s="1254"/>
      <c r="DN12" s="1254"/>
      <c r="DO12" s="1254"/>
      <c r="DP12" s="1254"/>
      <c r="DQ12" s="1254"/>
      <c r="DR12" s="1254"/>
      <c r="DS12" s="1255"/>
    </row>
    <row r="13" spans="1:123" ht="13.5" thickBot="1" x14ac:dyDescent="0.25">
      <c r="E13" s="1256"/>
      <c r="F13" s="1257"/>
      <c r="G13" s="1257"/>
      <c r="H13" s="1257"/>
      <c r="I13" s="1257"/>
      <c r="J13" s="1257"/>
      <c r="K13" s="1257"/>
      <c r="L13" s="1257"/>
      <c r="M13" s="1257"/>
      <c r="N13" s="1257"/>
      <c r="O13" s="1257"/>
      <c r="P13" s="1257"/>
      <c r="Q13" s="1257"/>
      <c r="R13" s="1257"/>
      <c r="S13" s="1257"/>
      <c r="T13" s="1257"/>
      <c r="U13" s="1257"/>
      <c r="V13" s="1257"/>
      <c r="W13" s="1258"/>
      <c r="AD13" s="1256"/>
      <c r="AE13" s="1257"/>
      <c r="AF13" s="1257"/>
      <c r="AG13" s="1257"/>
      <c r="AH13" s="1257"/>
      <c r="AI13" s="1257"/>
      <c r="AJ13" s="1257"/>
      <c r="AK13" s="1257"/>
      <c r="AL13" s="1257"/>
      <c r="AM13" s="1257"/>
      <c r="AN13" s="1257"/>
      <c r="AO13" s="1257"/>
      <c r="AP13" s="1257"/>
      <c r="AQ13" s="1257"/>
      <c r="AR13" s="1257"/>
      <c r="AS13" s="1257"/>
      <c r="AT13" s="1257"/>
      <c r="AU13" s="1257"/>
      <c r="AV13" s="1258"/>
      <c r="BC13" s="1256"/>
      <c r="BD13" s="1257"/>
      <c r="BE13" s="1257"/>
      <c r="BF13" s="1257"/>
      <c r="BG13" s="1257"/>
      <c r="BH13" s="1257"/>
      <c r="BI13" s="1257"/>
      <c r="BJ13" s="1257"/>
      <c r="BK13" s="1257"/>
      <c r="BL13" s="1257"/>
      <c r="BM13" s="1257"/>
      <c r="BN13" s="1257"/>
      <c r="BO13" s="1257"/>
      <c r="BP13" s="1257"/>
      <c r="BQ13" s="1257"/>
      <c r="BR13" s="1257"/>
      <c r="BS13" s="1257"/>
      <c r="BT13" s="1257"/>
      <c r="BU13" s="1258"/>
      <c r="CB13" s="1256"/>
      <c r="CC13" s="1257"/>
      <c r="CD13" s="1257"/>
      <c r="CE13" s="1257"/>
      <c r="CF13" s="1257"/>
      <c r="CG13" s="1257"/>
      <c r="CH13" s="1257"/>
      <c r="CI13" s="1257"/>
      <c r="CJ13" s="1257"/>
      <c r="CK13" s="1257"/>
      <c r="CL13" s="1257"/>
      <c r="CM13" s="1257"/>
      <c r="CN13" s="1257"/>
      <c r="CO13" s="1257"/>
      <c r="CP13" s="1257"/>
      <c r="CQ13" s="1257"/>
      <c r="CR13" s="1257"/>
      <c r="CS13" s="1257"/>
      <c r="CT13" s="1258"/>
      <c r="DA13" s="1256"/>
      <c r="DB13" s="1257"/>
      <c r="DC13" s="1257"/>
      <c r="DD13" s="1257"/>
      <c r="DE13" s="1257"/>
      <c r="DF13" s="1257"/>
      <c r="DG13" s="1257"/>
      <c r="DH13" s="1258"/>
      <c r="DL13" s="1256"/>
      <c r="DM13" s="1257"/>
      <c r="DN13" s="1257"/>
      <c r="DO13" s="1257"/>
      <c r="DP13" s="1257"/>
      <c r="DQ13" s="1257"/>
      <c r="DR13" s="1257"/>
      <c r="DS13" s="1258"/>
    </row>
    <row r="14" spans="1:123" x14ac:dyDescent="0.2">
      <c r="E14" s="1081"/>
      <c r="F14" s="1082"/>
      <c r="G14" s="1082"/>
      <c r="H14" s="1082"/>
      <c r="I14" s="1082"/>
      <c r="J14" s="1082"/>
      <c r="K14" s="1082"/>
      <c r="L14" s="1082"/>
      <c r="M14" s="1082"/>
      <c r="N14" s="1082"/>
      <c r="O14" s="1082"/>
      <c r="P14" s="1082"/>
      <c r="Q14" s="1082"/>
      <c r="R14" s="1082"/>
      <c r="S14" s="1082"/>
      <c r="T14" s="1082"/>
      <c r="U14" s="1082"/>
      <c r="V14" s="1082"/>
      <c r="W14" s="1083"/>
      <c r="AD14" s="1081"/>
      <c r="AE14" s="1082"/>
      <c r="AF14" s="1082"/>
      <c r="AG14" s="1082"/>
      <c r="AH14" s="1082"/>
      <c r="AI14" s="1082"/>
      <c r="AJ14" s="1082"/>
      <c r="AK14" s="1082"/>
      <c r="AL14" s="1082"/>
      <c r="AM14" s="1082"/>
      <c r="AN14" s="1082"/>
      <c r="AO14" s="1082"/>
      <c r="AP14" s="1082"/>
      <c r="AQ14" s="1082"/>
      <c r="AR14" s="1082"/>
      <c r="AS14" s="1082"/>
      <c r="AT14" s="1082"/>
      <c r="AU14" s="1082"/>
      <c r="AV14" s="1083"/>
      <c r="BC14" s="1099"/>
      <c r="BD14" s="1100"/>
      <c r="BE14" s="1100"/>
      <c r="BF14" s="1100"/>
      <c r="BG14" s="1100"/>
      <c r="BH14" s="1100"/>
      <c r="BI14" s="1100"/>
      <c r="BJ14" s="1100"/>
      <c r="BK14" s="1100"/>
      <c r="BL14" s="1100"/>
      <c r="BM14" s="1100"/>
      <c r="BN14" s="1100"/>
      <c r="BO14" s="1100"/>
      <c r="BP14" s="1100"/>
      <c r="BQ14" s="1100"/>
      <c r="BR14" s="1100"/>
      <c r="BS14" s="1100"/>
      <c r="BT14" s="1100"/>
      <c r="BU14" s="1101"/>
      <c r="CB14" s="1081"/>
      <c r="CC14" s="1084"/>
      <c r="CD14" s="1084"/>
      <c r="CE14" s="1084"/>
      <c r="CF14" s="1084"/>
      <c r="CG14" s="1084"/>
      <c r="CH14" s="1084"/>
      <c r="CI14" s="1084"/>
      <c r="CJ14" s="1084"/>
      <c r="CK14" s="1084"/>
      <c r="CL14" s="1084"/>
      <c r="CM14" s="1084"/>
      <c r="CN14" s="1084"/>
      <c r="CO14" s="1084"/>
      <c r="CP14" s="1084"/>
      <c r="CQ14" s="1084"/>
      <c r="CR14" s="1084"/>
      <c r="CS14" s="1084"/>
      <c r="CT14" s="1083"/>
      <c r="DA14" s="1081"/>
      <c r="DB14" s="1084"/>
      <c r="DC14" s="1084"/>
      <c r="DD14" s="1084"/>
      <c r="DE14" s="1084"/>
      <c r="DF14" s="1084"/>
      <c r="DG14" s="1084"/>
      <c r="DH14" s="1083"/>
      <c r="DL14" s="1081"/>
      <c r="DM14" s="1084"/>
      <c r="DN14" s="1084"/>
      <c r="DO14" s="1084"/>
      <c r="DP14" s="1084"/>
      <c r="DQ14" s="1084"/>
      <c r="DR14" s="1084"/>
      <c r="DS14" s="1083"/>
    </row>
    <row r="15" spans="1:123" ht="12.75" customHeight="1" x14ac:dyDescent="0.2">
      <c r="E15" s="1081"/>
      <c r="F15" s="1259" t="s">
        <v>765</v>
      </c>
      <c r="G15" s="1259"/>
      <c r="H15" s="1259"/>
      <c r="I15" s="1259"/>
      <c r="J15" s="1259"/>
      <c r="K15" s="1259"/>
      <c r="L15" s="1084"/>
      <c r="M15" s="1084"/>
      <c r="N15" s="1084"/>
      <c r="O15" s="1084"/>
      <c r="P15" s="1084"/>
      <c r="Q15" s="1084"/>
      <c r="R15" s="1259" t="s">
        <v>766</v>
      </c>
      <c r="S15" s="1259"/>
      <c r="T15" s="1259"/>
      <c r="U15" s="1259"/>
      <c r="V15" s="1259"/>
      <c r="W15" s="1083"/>
      <c r="AD15" s="1081"/>
      <c r="AE15" s="1084"/>
      <c r="AF15" s="1259" t="s">
        <v>767</v>
      </c>
      <c r="AG15" s="1259"/>
      <c r="AH15" s="1259"/>
      <c r="AI15" s="1259"/>
      <c r="AJ15" s="1259"/>
      <c r="AK15" s="1084"/>
      <c r="AL15" s="1084"/>
      <c r="AM15" s="1084"/>
      <c r="AN15" s="1084"/>
      <c r="AO15" s="1084"/>
      <c r="AP15" s="1084"/>
      <c r="AQ15" s="1259" t="s">
        <v>768</v>
      </c>
      <c r="AR15" s="1259"/>
      <c r="AS15" s="1259"/>
      <c r="AT15" s="1259"/>
      <c r="AU15" s="1259"/>
      <c r="AV15" s="1083"/>
      <c r="BC15" s="1099"/>
      <c r="BD15" s="1102"/>
      <c r="BE15" s="1259" t="s">
        <v>761</v>
      </c>
      <c r="BF15" s="1259"/>
      <c r="BG15" s="1259"/>
      <c r="BH15" s="1259"/>
      <c r="BI15" s="1259"/>
      <c r="BJ15" s="1102"/>
      <c r="BK15" s="1102"/>
      <c r="BL15" s="1102"/>
      <c r="BM15" s="1102"/>
      <c r="BN15" s="1102"/>
      <c r="BO15" s="1102"/>
      <c r="BP15" s="1259" t="s">
        <v>154</v>
      </c>
      <c r="BQ15" s="1259"/>
      <c r="BR15" s="1259"/>
      <c r="BS15" s="1259"/>
      <c r="BT15" s="1259"/>
      <c r="BU15" s="1101"/>
      <c r="CB15" s="1081"/>
      <c r="CC15" s="1259" t="s">
        <v>784</v>
      </c>
      <c r="CD15" s="1259"/>
      <c r="CE15" s="1259"/>
      <c r="CF15" s="1259"/>
      <c r="CG15" s="1259"/>
      <c r="CH15" s="1259"/>
      <c r="CI15" s="1084"/>
      <c r="CJ15" s="1084"/>
      <c r="CK15" s="1084"/>
      <c r="CL15" s="1084"/>
      <c r="CM15" s="1084"/>
      <c r="CN15" s="1259" t="s">
        <v>786</v>
      </c>
      <c r="CO15" s="1259"/>
      <c r="CP15" s="1259"/>
      <c r="CQ15" s="1259"/>
      <c r="CR15" s="1259"/>
      <c r="CS15" s="1259"/>
      <c r="CT15" s="1083"/>
      <c r="DA15" s="1081"/>
      <c r="DB15" s="1259" t="s">
        <v>788</v>
      </c>
      <c r="DC15" s="1259"/>
      <c r="DD15" s="1259"/>
      <c r="DE15" s="1259"/>
      <c r="DF15" s="1259"/>
      <c r="DG15" s="1259"/>
      <c r="DH15" s="1083"/>
      <c r="DI15" s="1084"/>
      <c r="DJ15" s="1084"/>
      <c r="DK15" s="1084"/>
      <c r="DL15" s="1081"/>
      <c r="DM15" s="1259" t="s">
        <v>788</v>
      </c>
      <c r="DN15" s="1259"/>
      <c r="DO15" s="1259"/>
      <c r="DP15" s="1259"/>
      <c r="DQ15" s="1259"/>
      <c r="DR15" s="1259"/>
      <c r="DS15" s="1083"/>
    </row>
    <row r="16" spans="1:123" x14ac:dyDescent="0.2">
      <c r="E16" s="1081"/>
      <c r="F16" s="1251" t="s">
        <v>762</v>
      </c>
      <c r="G16" s="1251" t="s">
        <v>758</v>
      </c>
      <c r="H16" s="1251" t="s">
        <v>759</v>
      </c>
      <c r="I16" s="1251" t="s">
        <v>757</v>
      </c>
      <c r="J16" s="1251" t="s">
        <v>760</v>
      </c>
      <c r="K16" s="1252" t="s">
        <v>763</v>
      </c>
      <c r="L16" s="1084"/>
      <c r="M16" s="1084"/>
      <c r="N16" s="1084"/>
      <c r="O16" s="1084"/>
      <c r="P16" s="1084"/>
      <c r="Q16" s="1251" t="s">
        <v>762</v>
      </c>
      <c r="R16" s="1251" t="s">
        <v>758</v>
      </c>
      <c r="S16" s="1251" t="s">
        <v>759</v>
      </c>
      <c r="T16" s="1251" t="s">
        <v>757</v>
      </c>
      <c r="U16" s="1251" t="s">
        <v>760</v>
      </c>
      <c r="V16" s="1252" t="s">
        <v>763</v>
      </c>
      <c r="W16" s="1083"/>
      <c r="AD16" s="1081"/>
      <c r="AE16" s="1251" t="s">
        <v>762</v>
      </c>
      <c r="AF16" s="1251" t="s">
        <v>758</v>
      </c>
      <c r="AG16" s="1251" t="s">
        <v>759</v>
      </c>
      <c r="AH16" s="1251" t="s">
        <v>757</v>
      </c>
      <c r="AI16" s="1251" t="s">
        <v>760</v>
      </c>
      <c r="AJ16" s="1252" t="s">
        <v>763</v>
      </c>
      <c r="AK16" s="1084"/>
      <c r="AL16" s="1084"/>
      <c r="AM16" s="1084"/>
      <c r="AN16" s="1084"/>
      <c r="AO16" s="1084"/>
      <c r="AP16" s="1251" t="s">
        <v>762</v>
      </c>
      <c r="AQ16" s="1251" t="s">
        <v>758</v>
      </c>
      <c r="AR16" s="1251" t="s">
        <v>759</v>
      </c>
      <c r="AS16" s="1251" t="s">
        <v>757</v>
      </c>
      <c r="AT16" s="1251" t="s">
        <v>760</v>
      </c>
      <c r="AU16" s="1252" t="s">
        <v>763</v>
      </c>
      <c r="AV16" s="1083"/>
      <c r="BC16" s="1081"/>
      <c r="BD16" s="1251" t="s">
        <v>762</v>
      </c>
      <c r="BE16" s="1251" t="s">
        <v>758</v>
      </c>
      <c r="BF16" s="1251" t="s">
        <v>759</v>
      </c>
      <c r="BG16" s="1251" t="s">
        <v>757</v>
      </c>
      <c r="BH16" s="1251" t="s">
        <v>760</v>
      </c>
      <c r="BI16" s="1252" t="s">
        <v>763</v>
      </c>
      <c r="BJ16" s="1084"/>
      <c r="BK16" s="1084"/>
      <c r="BL16" s="1084"/>
      <c r="BM16" s="1084"/>
      <c r="BN16" s="1084"/>
      <c r="BO16" s="1251" t="s">
        <v>762</v>
      </c>
      <c r="BP16" s="1251" t="s">
        <v>758</v>
      </c>
      <c r="BQ16" s="1251" t="s">
        <v>759</v>
      </c>
      <c r="BR16" s="1251" t="s">
        <v>757</v>
      </c>
      <c r="BS16" s="1251" t="s">
        <v>760</v>
      </c>
      <c r="BT16" s="1252" t="s">
        <v>763</v>
      </c>
      <c r="BU16" s="1083"/>
      <c r="CB16" s="1081"/>
      <c r="CC16" s="1251" t="s">
        <v>762</v>
      </c>
      <c r="CD16" s="1251" t="s">
        <v>758</v>
      </c>
      <c r="CE16" s="1251" t="s">
        <v>759</v>
      </c>
      <c r="CF16" s="1251" t="s">
        <v>757</v>
      </c>
      <c r="CG16" s="1251" t="s">
        <v>760</v>
      </c>
      <c r="CH16" s="1252" t="s">
        <v>763</v>
      </c>
      <c r="CI16" s="1084"/>
      <c r="CJ16" s="1084"/>
      <c r="CK16" s="1084"/>
      <c r="CL16" s="1084"/>
      <c r="CM16" s="1084"/>
      <c r="CN16" s="1251" t="s">
        <v>762</v>
      </c>
      <c r="CO16" s="1251" t="s">
        <v>758</v>
      </c>
      <c r="CP16" s="1251" t="s">
        <v>759</v>
      </c>
      <c r="CQ16" s="1251" t="s">
        <v>757</v>
      </c>
      <c r="CR16" s="1251" t="s">
        <v>760</v>
      </c>
      <c r="CS16" s="1252" t="s">
        <v>763</v>
      </c>
      <c r="CT16" s="1083"/>
      <c r="DA16" s="1081"/>
      <c r="DB16" s="1251" t="s">
        <v>762</v>
      </c>
      <c r="DC16" s="1251" t="s">
        <v>758</v>
      </c>
      <c r="DD16" s="1251" t="s">
        <v>759</v>
      </c>
      <c r="DE16" s="1251" t="s">
        <v>757</v>
      </c>
      <c r="DF16" s="1251" t="s">
        <v>760</v>
      </c>
      <c r="DG16" s="1252" t="s">
        <v>763</v>
      </c>
      <c r="DH16" s="1083"/>
      <c r="DI16" s="1084"/>
      <c r="DJ16" s="1084"/>
      <c r="DK16" s="1084"/>
      <c r="DL16" s="1081"/>
      <c r="DM16" s="1251" t="s">
        <v>762</v>
      </c>
      <c r="DN16" s="1251" t="s">
        <v>758</v>
      </c>
      <c r="DO16" s="1251" t="s">
        <v>759</v>
      </c>
      <c r="DP16" s="1251" t="s">
        <v>757</v>
      </c>
      <c r="DQ16" s="1251" t="s">
        <v>760</v>
      </c>
      <c r="DR16" s="1252" t="s">
        <v>763</v>
      </c>
      <c r="DS16" s="1083"/>
    </row>
    <row r="17" spans="5:123" x14ac:dyDescent="0.2">
      <c r="E17" s="1081"/>
      <c r="F17" s="1251"/>
      <c r="G17" s="1251"/>
      <c r="H17" s="1251"/>
      <c r="I17" s="1251"/>
      <c r="J17" s="1251"/>
      <c r="K17" s="1252"/>
      <c r="L17" s="1084"/>
      <c r="M17" s="1084"/>
      <c r="N17" s="1084"/>
      <c r="O17" s="1084"/>
      <c r="P17" s="1084"/>
      <c r="Q17" s="1251"/>
      <c r="R17" s="1251"/>
      <c r="S17" s="1251"/>
      <c r="T17" s="1251"/>
      <c r="U17" s="1251"/>
      <c r="V17" s="1252"/>
      <c r="W17" s="1083"/>
      <c r="AD17" s="1081"/>
      <c r="AE17" s="1251"/>
      <c r="AF17" s="1251"/>
      <c r="AG17" s="1251"/>
      <c r="AH17" s="1251"/>
      <c r="AI17" s="1251"/>
      <c r="AJ17" s="1252"/>
      <c r="AK17" s="1084"/>
      <c r="AL17" s="1084"/>
      <c r="AM17" s="1084"/>
      <c r="AN17" s="1084"/>
      <c r="AO17" s="1084"/>
      <c r="AP17" s="1251"/>
      <c r="AQ17" s="1251"/>
      <c r="AR17" s="1251"/>
      <c r="AS17" s="1251"/>
      <c r="AT17" s="1251"/>
      <c r="AU17" s="1252"/>
      <c r="AV17" s="1083"/>
      <c r="BC17" s="1081"/>
      <c r="BD17" s="1251"/>
      <c r="BE17" s="1251"/>
      <c r="BF17" s="1251"/>
      <c r="BG17" s="1251"/>
      <c r="BH17" s="1251"/>
      <c r="BI17" s="1252"/>
      <c r="BJ17" s="1084"/>
      <c r="BK17" s="1084"/>
      <c r="BL17" s="1084"/>
      <c r="BM17" s="1084"/>
      <c r="BN17" s="1084"/>
      <c r="BO17" s="1251"/>
      <c r="BP17" s="1251"/>
      <c r="BQ17" s="1251"/>
      <c r="BR17" s="1251"/>
      <c r="BS17" s="1251"/>
      <c r="BT17" s="1252"/>
      <c r="BU17" s="1083"/>
      <c r="CB17" s="1081"/>
      <c r="CC17" s="1251"/>
      <c r="CD17" s="1251"/>
      <c r="CE17" s="1251"/>
      <c r="CF17" s="1251"/>
      <c r="CG17" s="1251"/>
      <c r="CH17" s="1252"/>
      <c r="CI17" s="1084"/>
      <c r="CJ17" s="1084"/>
      <c r="CK17" s="1084"/>
      <c r="CL17" s="1084"/>
      <c r="CM17" s="1084"/>
      <c r="CN17" s="1251"/>
      <c r="CO17" s="1251"/>
      <c r="CP17" s="1251"/>
      <c r="CQ17" s="1251"/>
      <c r="CR17" s="1251"/>
      <c r="CS17" s="1252"/>
      <c r="CT17" s="1083"/>
      <c r="DA17" s="1081"/>
      <c r="DB17" s="1251"/>
      <c r="DC17" s="1251"/>
      <c r="DD17" s="1251"/>
      <c r="DE17" s="1251"/>
      <c r="DF17" s="1251"/>
      <c r="DG17" s="1252"/>
      <c r="DH17" s="1083"/>
      <c r="DI17" s="1084"/>
      <c r="DJ17" s="1084"/>
      <c r="DK17" s="1084"/>
      <c r="DL17" s="1081"/>
      <c r="DM17" s="1251"/>
      <c r="DN17" s="1251"/>
      <c r="DO17" s="1251"/>
      <c r="DP17" s="1251"/>
      <c r="DQ17" s="1251"/>
      <c r="DR17" s="1252"/>
      <c r="DS17" s="1083"/>
    </row>
    <row r="18" spans="5:123" ht="19.5" customHeight="1" x14ac:dyDescent="0.2">
      <c r="E18" s="1081"/>
      <c r="F18" s="1085">
        <f>IF(ID!H68=0,0.000001,ID!H68)</f>
        <v>9.9999999999999995E-7</v>
      </c>
      <c r="G18" s="1086">
        <f>IF(INDEX('DATA 1'!$C$6:$C$14,MATCH(F18,'DATA 1'!$B$6:$B$14,1))=0,0.000001,INDEX('DATA 1'!$C$6:$C$14,MATCH(F18,'DATA 1'!$B$6:$B$14,1)))</f>
        <v>9.9999999999999995E-7</v>
      </c>
      <c r="H18" s="1086">
        <f>IF(INDEX('DATA 1'!$C$6:$C$14,MATCH(F18,'DATA 1'!$B$6:$B$14,1)+1)=0,0.000001,INDEX('DATA 1'!$C$6:$C$14,MATCH(F18,'DATA 1'!$B$6:$B$14,1)+1))</f>
        <v>0.1</v>
      </c>
      <c r="I18" s="1087">
        <f>IF(INDEX('DATA 1'!$B$6:$B$14,MATCH(F18,'DATA 1'!$B$6:$B$14,1))=0,0.000001,INDEX('DATA 1'!$B$6:$B$14,MATCH(F18,'DATA 1'!$B$6:$B$14,1)))</f>
        <v>9.9999999999999995E-7</v>
      </c>
      <c r="J18" s="837">
        <f>INDEX('DATA 1'!$B$6:$B$14,MATCH(F18,'DATA 1'!$B$6:$B$14,1)+1)</f>
        <v>50</v>
      </c>
      <c r="K18" s="837">
        <f>(((F18-I18)*(H18-G18))/(J18-I18))+G18</f>
        <v>9.9999999999999995E-7</v>
      </c>
      <c r="L18" s="1084"/>
      <c r="M18" s="1084"/>
      <c r="N18" s="1084"/>
      <c r="O18" s="1084"/>
      <c r="P18" s="1084"/>
      <c r="Q18" s="1085">
        <f>IF(ID!I68=0,0.000001,ID!I68)</f>
        <v>9.9999999999999995E-7</v>
      </c>
      <c r="R18" s="1079">
        <f>IF(INDEX('DATA 1'!$C$6:$C$14,MATCH(Q18,'DATA 1'!$B$6:$B$14,1))=0,0.000001,INDEX('DATA 1'!$C$6:$C$14,MATCH(Q18,'DATA 1'!$B$6:$B$14,1)))</f>
        <v>9.9999999999999995E-7</v>
      </c>
      <c r="S18" s="1079">
        <f>IF(INDEX('DATA 1'!$C$6:$C$14,MATCH(Q18,'DATA 1'!$B$6:$B$14,1)+1)=0,1,INDEX('DATA 1'!$C$6:$C$14,MATCH(Q18,'DATA 1'!$B$6:$B$14,1)+1))</f>
        <v>0.1</v>
      </c>
      <c r="T18" s="1088">
        <f>INDEX('DATA 1'!$B$6:$B$14,MATCH(Q18,'DATA 1'!$B$6:$B$14,1))</f>
        <v>0</v>
      </c>
      <c r="U18" s="1089">
        <f>INDEX('DATA 1'!$B$6:$B$14,MATCH(Q18,'DATA 1'!$B$6:$B$14,1)+1)</f>
        <v>50</v>
      </c>
      <c r="V18" s="837">
        <f>(((Q18-T18)*(S18-R18))/(U18-T18))+R18</f>
        <v>1.00199998E-6</v>
      </c>
      <c r="W18" s="1083"/>
      <c r="AD18" s="1081"/>
      <c r="AE18" s="1085">
        <f>IF('BUDGET NAIK'!$C$10=0,0.000001,'BUDGET NAIK'!$C$10)</f>
        <v>9.9999999999999995E-7</v>
      </c>
      <c r="AF18" s="1086">
        <f>IF(INDEX('DATA 1'!$D$6:$D$14,MATCH(AE18,'DATA 1'!$B$6:$B$14,1))=0,0.000001,INDEX('DATA 1'!$D$6:$D$14,MATCH(AE18,'DATA 1'!$B$6:$B$14,1)))</f>
        <v>0.05</v>
      </c>
      <c r="AG18" s="1086">
        <f>IF(INDEX('DATA 1'!$D$6:$D$14,MATCH(AE18,'DATA 1'!$B$6:$B$14,1)+1)=0,0.000001,INDEX('DATA 1'!$D$6:$D$14,MATCH(AE18,'DATA 1'!$B$6:$B$14,1)+1))</f>
        <v>0.3</v>
      </c>
      <c r="AH18" s="1087">
        <f>IF(INDEX('DATA 1'!$B$6:$B$14,MATCH(AE18,'DATA 1'!$B$6:$B$14,1))=0,0.000001,INDEX('DATA 1'!$B$6:$B$14,MATCH(AE18,'DATA 1'!$B$6:$B$14,1)))</f>
        <v>9.9999999999999995E-7</v>
      </c>
      <c r="AI18" s="837">
        <f>INDEX('DATA 1'!$B$6:$B$14,MATCH(AE18,'DATA 1'!$B$6:$B$14,1)+1)</f>
        <v>50</v>
      </c>
      <c r="AJ18" s="837">
        <f>(((AE18-AH18)*(AG18-AF18))/(AI18-AH18))+AF18</f>
        <v>0.05</v>
      </c>
      <c r="AK18" s="1084"/>
      <c r="AL18" s="1084"/>
      <c r="AM18" s="1084"/>
      <c r="AN18" s="1084"/>
      <c r="AO18" s="1084"/>
      <c r="AP18" s="1085">
        <f>IF('BUDGET TURUN'!$C$10=0,0.000001,'BUDGET TURUN'!$C$10)</f>
        <v>1.00199998E-6</v>
      </c>
      <c r="AQ18" s="1079">
        <f>IF(INDEX('DATA 1'!$G$6:$G$14,MATCH(AP18,'DATA 1'!$B$6:$B$14,1))=0,0.000001,INDEX('DATA 1'!$G$6:$G$14,MATCH(AP18,'DATA 1'!$B$6:$B$14,1)))</f>
        <v>0.3</v>
      </c>
      <c r="AR18" s="1079">
        <f>IF(INDEX('DATA 1'!$G$6:$G$14,MATCH(AP18,'DATA 1'!$B$6:$B$14,1)+1)=0,0.000001,INDEX('DATA 1'!$G$6:$G$14,MATCH(AP18,'DATA 1'!$B$6:$B$14,1)+1))</f>
        <v>0.3</v>
      </c>
      <c r="AS18" s="1088">
        <f>IF(INDEX('DATA 1'!$B$6:$B$14,MATCH(AP18,'DATA 1'!$B$6:$B$14,1))=0,0.000001,INDEX('DATA 1'!$B$6:$B$14,MATCH(AP18,'DATA 1'!$B$6:$B$14,1)))</f>
        <v>9.9999999999999995E-7</v>
      </c>
      <c r="AT18" s="1089">
        <f>INDEX('DATA 1'!$B$6:$B$14,MATCH(AP18,'DATA 1'!$B$6:$B$14,1)+1)</f>
        <v>50</v>
      </c>
      <c r="AU18" s="837">
        <f>(((AP18-AS18)*(AR18-AQ18))/(AT18-AS18))+AQ18</f>
        <v>0.3</v>
      </c>
      <c r="AV18" s="1083"/>
      <c r="BC18" s="1081"/>
      <c r="BD18" s="1085">
        <f>IF('BUDGET NAIK'!$C$10=0,0.000001,'BUDGET NAIK'!$C$10)</f>
        <v>9.9999999999999995E-7</v>
      </c>
      <c r="BE18" s="1086">
        <f>IF(INDEX('DATA 1'!$E$6:$E$14,MATCH(BD18,'DATA 1'!$B$6:$B$14,1))=0,0.000001,INDEX('DATA 1'!$E$6:$E$14,MATCH(BD18,'DATA 1'!$B$6:$B$14,1)))</f>
        <v>0.05</v>
      </c>
      <c r="BF18" s="1086">
        <f>IF(INDEX('DATA 1'!$E$6:$E$14,MATCH(BD18,'DATA 1'!$B$6:$B$14,1)+1)=0,0.000001,INDEX('DATA 1'!$E$6:$E$14,MATCH(BD18,'DATA 1'!$B$6:$B$14,1)+1))</f>
        <v>0.05</v>
      </c>
      <c r="BG18" s="1087">
        <f>IF(INDEX('DATA 1'!$B$6:$B$14,MATCH(BD18,'DATA 1'!$B$6:$B$14,1))=0,0.000001,INDEX('DATA 1'!$B$6:$B$14,MATCH(BD18,'DATA 1'!$B$6:$B$14,1)))</f>
        <v>9.9999999999999995E-7</v>
      </c>
      <c r="BH18" s="837">
        <f>INDEX('DATA 1'!$B$6:$B$14,MATCH(BD18,'DATA 1'!$B$6:$B$14,1)+1)</f>
        <v>50</v>
      </c>
      <c r="BI18" s="837">
        <f>(((BD18-BG18)*(BF18-BE18))/(BH18-BG18))+BE18</f>
        <v>0.05</v>
      </c>
      <c r="BJ18" s="1084"/>
      <c r="BK18" s="1084"/>
      <c r="BL18" s="1084"/>
      <c r="BM18" s="1084"/>
      <c r="BN18" s="1084"/>
      <c r="BO18" s="1085">
        <f>IF('BUDGET TURUN'!$C$10=0,0.000001,'BUDGET TURUN'!$C$10)</f>
        <v>1.00199998E-6</v>
      </c>
      <c r="BP18" s="1079">
        <f>IF(INDEX('DATA 1'!$H$6:$H$14,MATCH(BO18,'DATA 1'!$B$6:$B$14,1))=0,0.000001,INDEX('DATA 1'!$H$6:$H$14,MATCH(BO18,'DATA 1'!$B$6:$B$14,1)))</f>
        <v>0.05</v>
      </c>
      <c r="BQ18" s="1079">
        <f>IF(INDEX('DATA 1'!$H$6:$H$14,MATCH(BO18,'DATA 1'!$B$6:$B$14,1)+1)=0,0.000001,INDEX('DATA 1'!$H$6:$H$14,MATCH(BO18,'DATA 1'!$B$6:$B$14,1)+1))</f>
        <v>0.15</v>
      </c>
      <c r="BR18" s="1088">
        <f>IF(INDEX('DATA 1'!$B$6:$B$14,MATCH(BO18,'DATA 1'!$B$6:$B$14,1))=0,0.000001,INDEX('DATA 1'!$B$6:$B$14,MATCH(BO18,'DATA 1'!$B$6:$B$14,1)))</f>
        <v>9.9999999999999995E-7</v>
      </c>
      <c r="BS18" s="1089">
        <f>INDEX('DATA 1'!$B$6:$B$14,MATCH(BO18,'DATA 1'!$B$6:$B$14,1)+1)</f>
        <v>50</v>
      </c>
      <c r="BT18" s="837">
        <f>(((BO18-BR18)*(BQ18-BP18))/(BS18-BR18))+BP18</f>
        <v>5.0000000003999963E-2</v>
      </c>
      <c r="BU18" s="1083"/>
      <c r="CB18" s="1081"/>
      <c r="CC18" s="1085">
        <f>IF(ID!B22=0,0.000001,ID!B22)</f>
        <v>25.6</v>
      </c>
      <c r="CD18" s="1086">
        <f>IF(INDEX('DATA 1'!$K$6:$K$12,MATCH(CC18,'DATA 1'!$J$6:$J$12,1))=0,0.000001,INDEX('DATA 1'!$K$6:$K$12,MATCH(CC18,'DATA 1'!$J$6:$J$12,1)))</f>
        <v>0.2</v>
      </c>
      <c r="CE18" s="1086">
        <f>IF(INDEX('DATA 1'!$K$6:$K$12,MATCH(CC18,'DATA 1'!$J$6:$J$12)+1)=0,0.000001,INDEX('DATA 1'!$K$6:$K$12,MATCH(CC18,'DATA 1'!$J$6:$J$12,1)+1))</f>
        <v>0.1</v>
      </c>
      <c r="CF18" s="1087">
        <f>IF(INDEX('DATA 1'!$J$6:$J$12,MATCH(CC18,'DATA 1'!$J$6:$J$12,1))=0,0.000001,INDEX('DATA 1'!$J$6:$J$12,MATCH(CC18,'DATA 1'!$J$6:$J$12,1)))</f>
        <v>25</v>
      </c>
      <c r="CG18" s="837">
        <f>INDEX('DATA 1'!$J$6:$J$12,MATCH(CC18,'DATA 1'!$J$6:$J$12,1)+1)</f>
        <v>30</v>
      </c>
      <c r="CH18" s="837">
        <f>(((CC18-CF18)*(CE18-CD18))/(CG18-CF18))+CD18</f>
        <v>0.18799999999999997</v>
      </c>
      <c r="CI18" s="1084"/>
      <c r="CJ18" s="1084"/>
      <c r="CK18" s="1084"/>
      <c r="CL18" s="1084"/>
      <c r="CM18" s="1084"/>
      <c r="CN18" s="1085">
        <f>IF(ID!B23=0,0.000001,ID!B23)</f>
        <v>82.3</v>
      </c>
      <c r="CO18" s="1086">
        <f>IF(INDEX('DATA 1'!$N$6:$N$12,MATCH(CN18,'DATA 1'!$M$6:$M$12,1))=0,0.000001,INDEX('DATA 1'!$N$6:$N$12,MATCH(CN18,'DATA 1'!$M$6:$M$12,1)))</f>
        <v>-6.3</v>
      </c>
      <c r="CP18" s="1086">
        <f>IF(INDEX('DATA 1'!$N$6:$N$12,MATCH(CN18,'DATA 1'!$M$6:$M$12)+1)=0,0.000001,INDEX('DATA 1'!$N$6:$N$12,MATCH(CN18,'DATA 1'!$M$6:$M$12,1)+1))</f>
        <v>-5.2</v>
      </c>
      <c r="CQ18" s="1087">
        <f>IF(INDEX('DATA 1'!$M$6:$M$12,MATCH(CN18,'DATA 1'!$M$6:$M$12,1))=0,0.000001,INDEX('DATA 1'!$M$6:$M$12,MATCH(CN18,'DATA 1'!$M$6:$M$12,1)))</f>
        <v>80</v>
      </c>
      <c r="CR18" s="837">
        <f>INDEX('DATA 1'!$M$6:$M$12,MATCH(CN18,'DATA 1'!$M$6:$M$12,1)+1)</f>
        <v>90</v>
      </c>
      <c r="CS18" s="837">
        <f>(((CN18-CQ18)*(CP18-CO18))/(CR18-CQ18))+CO18</f>
        <v>-6.0470000000000006</v>
      </c>
      <c r="CT18" s="1083"/>
      <c r="DA18" s="1081"/>
      <c r="DB18" s="1085">
        <f>IF(ID!B43=0,0.000001,ID!B43)</f>
        <v>8.1999999999999993</v>
      </c>
      <c r="DC18" s="1086">
        <f>IF(INDEX('DATA 1'!$F$6:$F$14,MATCH(DB18,'DATA 1'!$B$6:$B$14,1))=0,0.000001,INDEX('DATA 1'!$F$6:$F$14,MATCH(DB18,'DATA 1'!$B$6:$B$14,1)))</f>
        <v>9.9999999999999995E-7</v>
      </c>
      <c r="DD18" s="1086">
        <f>IF(INDEX('DATA 1'!$F$6:$F$14,MATCH(DB18,'DATA 1'!$B$6:$B$14)+1)=0,0.000001,INDEX('DATA 1'!$F$6:$F$14,MATCH(DB18,'DATA 1'!$B$6:$B$14,1)+1))</f>
        <v>0.3</v>
      </c>
      <c r="DE18" s="1087">
        <f>IF(INDEX('DATA 1'!$B$6:$B$14,MATCH(DB18,'DATA 1'!$B$6:$B$14,1))=0,0.000001,INDEX('DATA 1'!$B$6:$B$14,MATCH(DB18,'DATA 1'!$B$6:$B$14,1)))</f>
        <v>9.9999999999999995E-7</v>
      </c>
      <c r="DF18" s="837">
        <f>INDEX('DATA 1'!$B$6:$B$14,MATCH(DB18,'DATA 1'!$B$6:$B$14,1)+1)</f>
        <v>50</v>
      </c>
      <c r="DG18" s="837">
        <f>(((DB18-DE18)*(DD18-DC18))/(DF18-DE18))+DC18</f>
        <v>4.9200830984016619E-2</v>
      </c>
      <c r="DH18" s="1083"/>
      <c r="DI18" s="1084"/>
      <c r="DJ18" s="1084"/>
      <c r="DK18" s="1084"/>
      <c r="DL18" s="1081"/>
      <c r="DM18" s="1085">
        <f>IF(ID!B54=0,0.000001,ID!B54)</f>
        <v>8.52</v>
      </c>
      <c r="DN18" s="1086">
        <f>IF(INDEX('DATA 1'!$F$6:$F$14,MATCH(DM18,'DATA 1'!$B$6:$B$14,1))=0,0.000001,INDEX('DATA 1'!$F$6:$F$14,MATCH(DM18,'DATA 1'!$B$6:$B$14,1)))</f>
        <v>9.9999999999999995E-7</v>
      </c>
      <c r="DO18" s="1086">
        <f>IF(INDEX('DATA 1'!$F$6:$F$14,MATCH(DM18,'DATA 1'!$B$6:$B$14)+1)=0,0.000001,INDEX('DATA 1'!$F$6:$F$14,MATCH(DM18,'DATA 1'!$B$6:$B$14,1)+1))</f>
        <v>0.3</v>
      </c>
      <c r="DP18" s="1087">
        <f>IF(INDEX('DATA 1'!$B$6:$B$14,MATCH(DM18,'DATA 1'!$B$6:$B$14,1))=0,0.000001,INDEX('DATA 1'!$B$6:$B$14,MATCH(DM18,'DATA 1'!$B$6:$B$14,1)))</f>
        <v>9.9999999999999995E-7</v>
      </c>
      <c r="DQ18" s="837">
        <f>INDEX('DATA 1'!$B$6:$B$14,MATCH(DM18,'DATA 1'!$B$6:$B$14,1)+1)</f>
        <v>50</v>
      </c>
      <c r="DR18" s="837">
        <f>(((DM18-DP18)*(DO18-DN18))/(DQ18-DP18))+DN18</f>
        <v>5.1120824622416502E-2</v>
      </c>
      <c r="DS18" s="1083"/>
    </row>
    <row r="19" spans="5:123" x14ac:dyDescent="0.2">
      <c r="E19" s="1081"/>
      <c r="F19" s="1084">
        <f>ID!H69</f>
        <v>50</v>
      </c>
      <c r="G19" s="1086">
        <f>IF(INDEX('DATA 1'!$C$6:$C$14,MATCH(F19,'DATA 1'!$B$6:$B$14,1))=0,0.000001,INDEX('DATA 1'!$C$6:$C$14,MATCH(F19,'DATA 1'!$B$6:$B$14,1)))</f>
        <v>0.1</v>
      </c>
      <c r="H19" s="1086">
        <f>IF(INDEX('DATA 1'!$C$6:$C$14,MATCH(F19,'DATA 1'!$B$6:$B$14,1)+1)=0,0.000001,INDEX('DATA 1'!$C$6:$C$14,MATCH(F19,'DATA 1'!$B$6:$B$14,1)+1))</f>
        <v>-0.1</v>
      </c>
      <c r="I19" s="1090">
        <f>INDEX('DATA 1'!$B$6:$B$14,MATCH(F19,'DATA 1'!$B$6:$B$14,1))</f>
        <v>50</v>
      </c>
      <c r="J19" s="837">
        <f>INDEX('DATA 1'!$B$6:$B$14,MATCH(F19,'DATA 1'!$B$6:$B$14,1)+1)</f>
        <v>100</v>
      </c>
      <c r="K19" s="837">
        <f t="shared" ref="K19:K23" si="0">(((F19-I19)*(H19-G19))/(J19-I19))+G19</f>
        <v>0.1</v>
      </c>
      <c r="L19" s="1084"/>
      <c r="M19" s="1084"/>
      <c r="N19" s="1084"/>
      <c r="O19" s="1084"/>
      <c r="P19" s="1084"/>
      <c r="Q19" s="1084">
        <f>ID!I69</f>
        <v>50</v>
      </c>
      <c r="R19" s="1079">
        <f>IF(INDEX('DATA 1'!$C$6:$C$14,MATCH(Q19,'DATA 1'!$B$6:$B$14,1))=0,0.000001,INDEX('DATA 1'!$C$6:$C$14,MATCH(Q19,'DATA 1'!$B$6:$B$14,1)))</f>
        <v>0.1</v>
      </c>
      <c r="S19" s="1079">
        <f>IF(INDEX('DATA 1'!$C$6:$C$14,MATCH(Q19,'DATA 1'!$B$6:$B$14,1)+1)=0,1,INDEX('DATA 1'!$C$6:$C$14,MATCH(Q19,'DATA 1'!$B$6:$B$14,1)+1))</f>
        <v>-0.1</v>
      </c>
      <c r="T19" s="1091">
        <f>INDEX('DATA 1'!$B$6:$B$14,MATCH(Q19,'DATA 1'!$B$6:$B$14,1))</f>
        <v>50</v>
      </c>
      <c r="U19" s="1089">
        <f>INDEX('DATA 1'!$B$6:$B$14,MATCH(Q19,'DATA 1'!$B$6:$B$14,1)+1)</f>
        <v>100</v>
      </c>
      <c r="V19" s="837">
        <f t="shared" ref="V19:V23" si="1">(((Q19-T19)*(S19-R19))/(U19-T19))+R19</f>
        <v>0.1</v>
      </c>
      <c r="W19" s="1083"/>
      <c r="AD19" s="1081"/>
      <c r="AE19" s="1084">
        <f>'BUDGET NAIK'!$C$25</f>
        <v>50.1</v>
      </c>
      <c r="AF19" s="1086">
        <f>IF(INDEX('DATA 1'!$D$6:$D$14,MATCH(AE19,'DATA 1'!$B$6:$B$14,1))=0,0.000001,INDEX('DATA 1'!$D$6:$D$14,MATCH(AE19,'DATA 1'!$B$6:$B$14,1)))</f>
        <v>0.3</v>
      </c>
      <c r="AG19" s="1086">
        <f>IF(INDEX('DATA 1'!$D$6:$D$14,MATCH(AE19,'DATA 1'!$B$6:$B$14,1)+1)=0,0.000001,INDEX('DATA 1'!$D$6:$D$14,MATCH(AE19,'DATA 1'!$B$6:$B$14,1)+1))</f>
        <v>0.3</v>
      </c>
      <c r="AH19" s="1090">
        <f>INDEX('DATA 1'!$B$6:$B$14,MATCH(AE19,'DATA 1'!$B$6:$B$14,1))</f>
        <v>50</v>
      </c>
      <c r="AI19" s="837">
        <f>INDEX('DATA 1'!$B$6:$B$14,MATCH(AE19,'DATA 1'!$B$6:$B$14,1)+1)</f>
        <v>100</v>
      </c>
      <c r="AJ19" s="837">
        <f t="shared" ref="AJ19:AJ23" si="2">(((AE19-AH19)*(AG19-AF19))/(AI19-AH19))+AF19</f>
        <v>0.3</v>
      </c>
      <c r="AK19" s="1084"/>
      <c r="AL19" s="1084"/>
      <c r="AM19" s="1084"/>
      <c r="AN19" s="1084"/>
      <c r="AO19" s="1084"/>
      <c r="AP19" s="1084">
        <f>'BUDGET TURUN'!$C$25</f>
        <v>50.1</v>
      </c>
      <c r="AQ19" s="1079">
        <f>IF(INDEX('DATA 1'!$G$6:$G$14,MATCH(AP19,'DATA 1'!$B$6:$B$14,1))=0,0.000001,INDEX('DATA 1'!$G$6:$G$14,MATCH(AP19,'DATA 1'!$B$6:$B$14,1)))</f>
        <v>0.3</v>
      </c>
      <c r="AR19" s="1079">
        <f>IF(INDEX('DATA 1'!$G$6:$G$14,MATCH(AP19,'DATA 1'!$B$6:$B$14,1)+1)=0,0.000001,INDEX('DATA 1'!$G$6:$G$14,MATCH(AP19,'DATA 1'!$B$6:$B$14,1)+1))</f>
        <v>0.3</v>
      </c>
      <c r="AS19" s="1091">
        <f>INDEX('DATA 1'!$B$6:$B$14,MATCH(AP19,'DATA 1'!$B$6:$B$14,1))</f>
        <v>50</v>
      </c>
      <c r="AT19" s="1089">
        <f>INDEX('DATA 1'!$B$6:$B$14,MATCH(AP19,'DATA 1'!$B$6:$B$14,1)+1)</f>
        <v>100</v>
      </c>
      <c r="AU19" s="837">
        <f t="shared" ref="AU19:AU23" si="3">(((AP19-AS19)*(AR19-AQ19))/(AT19-AS19))+AQ19</f>
        <v>0.3</v>
      </c>
      <c r="AV19" s="1083"/>
      <c r="BC19" s="1081"/>
      <c r="BD19" s="1084">
        <f>'BUDGET NAIK'!$C$25</f>
        <v>50.1</v>
      </c>
      <c r="BE19" s="1086">
        <f>IF(INDEX('DATA 1'!$E$6:$E$14,MATCH(BD19,'DATA 1'!$B$6:$B$14,1))=0,0.000001,INDEX('DATA 1'!$E$6:$E$14,MATCH(BD19,'DATA 1'!$B$6:$B$14,1)))</f>
        <v>0.05</v>
      </c>
      <c r="BF19" s="1086">
        <f>IF(INDEX('DATA 1'!$E$6:$E$14,MATCH(BD19,'DATA 1'!$B$6:$B$14,1)+1)=0,0.000001,INDEX('DATA 1'!$E$6:$E$14,MATCH(BD19,'DATA 1'!$B$6:$B$14,1)+1))</f>
        <v>0.1</v>
      </c>
      <c r="BG19" s="1090">
        <f>INDEX('DATA 1'!$B$6:$B$14,MATCH(BD19,'DATA 1'!$B$6:$B$14,1))</f>
        <v>50</v>
      </c>
      <c r="BH19" s="837">
        <f>INDEX('DATA 1'!$B$6:$B$14,MATCH(BD19,'DATA 1'!$B$6:$B$14,1)+1)</f>
        <v>100</v>
      </c>
      <c r="BI19" s="837">
        <f t="shared" ref="BI19:BI23" si="4">(((BD19-BG19)*(BF19-BE19))/(BH19-BG19))+BE19</f>
        <v>5.0100000000000006E-2</v>
      </c>
      <c r="BJ19" s="1084"/>
      <c r="BK19" s="1084"/>
      <c r="BL19" s="1084"/>
      <c r="BM19" s="1084"/>
      <c r="BN19" s="1084"/>
      <c r="BO19" s="1084">
        <f>'BUDGET TURUN'!$C$25</f>
        <v>50.1</v>
      </c>
      <c r="BP19" s="1079">
        <f>IF(INDEX('DATA 1'!$H$6:$H$14,MATCH(BO19,'DATA 1'!$B$6:$B$14,1))=0,0.000001,INDEX('DATA 1'!$H$6:$H$14,MATCH(BO19,'DATA 1'!$B$6:$B$14,1)))</f>
        <v>0.15</v>
      </c>
      <c r="BQ19" s="1079">
        <f>IF(INDEX('DATA 1'!$H$6:$H$14,MATCH(BO19,'DATA 1'!$B$6:$B$14,1)+1)=0,0.000001,INDEX('DATA 1'!$H$6:$H$14,MATCH(BO19,'DATA 1'!$B$6:$B$14,1)+1))</f>
        <v>9.9999999999999995E-7</v>
      </c>
      <c r="BR19" s="1091">
        <f>INDEX('DATA 1'!$B$6:$B$14,MATCH(BO19,'DATA 1'!$B$6:$B$14,1))</f>
        <v>50</v>
      </c>
      <c r="BS19" s="1089">
        <f>INDEX('DATA 1'!$B$6:$B$14,MATCH(BO19,'DATA 1'!$B$6:$B$14,1)+1)</f>
        <v>100</v>
      </c>
      <c r="BT19" s="837">
        <f t="shared" ref="BT19:BT23" si="5">(((BO19-BR19)*(BQ19-BP19))/(BS19-BR19))+BP19</f>
        <v>0.149700002</v>
      </c>
      <c r="BU19" s="1083"/>
      <c r="CB19" s="1081"/>
      <c r="CC19" s="1084"/>
      <c r="CD19" s="1084"/>
      <c r="CE19" s="1084"/>
      <c r="CF19" s="1084"/>
      <c r="CG19" s="1084"/>
      <c r="CH19" s="1084"/>
      <c r="CI19" s="1084"/>
      <c r="CJ19" s="1084"/>
      <c r="CK19" s="1084"/>
      <c r="CL19" s="1084"/>
      <c r="CM19" s="1084"/>
      <c r="CN19" s="1084"/>
      <c r="CO19" s="1084"/>
      <c r="CP19" s="1084"/>
      <c r="CQ19" s="1084"/>
      <c r="CR19" s="1084"/>
      <c r="CS19" s="1084"/>
      <c r="CT19" s="1083"/>
      <c r="DA19" s="1081"/>
      <c r="DB19" s="1084"/>
      <c r="DC19" s="1084"/>
      <c r="DD19" s="1084"/>
      <c r="DE19" s="1084"/>
      <c r="DF19" s="1084"/>
      <c r="DG19" s="1084"/>
      <c r="DH19" s="1083"/>
      <c r="DI19" s="1084"/>
      <c r="DJ19" s="1084"/>
      <c r="DK19" s="1084"/>
      <c r="DL19" s="1081"/>
      <c r="DM19" s="1084"/>
      <c r="DN19" s="1084"/>
      <c r="DO19" s="1084"/>
      <c r="DP19" s="1084"/>
      <c r="DQ19" s="1084"/>
      <c r="DR19" s="1084"/>
      <c r="DS19" s="1083"/>
    </row>
    <row r="20" spans="5:123" ht="13.5" thickBot="1" x14ac:dyDescent="0.25">
      <c r="E20" s="1081"/>
      <c r="F20" s="1084">
        <f>ID!H70</f>
        <v>98</v>
      </c>
      <c r="G20" s="1086">
        <f>IF(INDEX('DATA 1'!$C$6:$C$14,MATCH(F20,'DATA 1'!$B$6:$B$14,1))=0,0.000001,INDEX('DATA 1'!$C$6:$C$14,MATCH(F20,'DATA 1'!$B$6:$B$14,1)))</f>
        <v>0.1</v>
      </c>
      <c r="H20" s="1086">
        <f>IF(INDEX('DATA 1'!$C$6:$C$14,MATCH(F20,'DATA 1'!$B$6:$B$14,1)+1)=0,0.000001,INDEX('DATA 1'!$C$6:$C$14,MATCH(F20,'DATA 1'!$B$6:$B$14,1)+1))</f>
        <v>-0.1</v>
      </c>
      <c r="I20" s="1090">
        <f>INDEX('DATA 1'!$B$6:$B$14,MATCH(F20,'DATA 1'!$B$6:$B$14,1))</f>
        <v>50</v>
      </c>
      <c r="J20" s="837">
        <f>INDEX('DATA 1'!$B$6:$B$14,MATCH(F20,'DATA 1'!$B$6:$B$14,1)+1)</f>
        <v>100</v>
      </c>
      <c r="K20" s="837">
        <f t="shared" si="0"/>
        <v>-9.2000000000000026E-2</v>
      </c>
      <c r="L20" s="1084"/>
      <c r="M20" s="1084"/>
      <c r="N20" s="1084"/>
      <c r="O20" s="1084"/>
      <c r="P20" s="1084"/>
      <c r="Q20" s="1084">
        <f>ID!I70</f>
        <v>98</v>
      </c>
      <c r="R20" s="1079">
        <f>IF(INDEX('DATA 1'!$C$6:$C$14,MATCH(Q20,'DATA 1'!$B$6:$B$14,1))=0,0.000001,INDEX('DATA 1'!$C$6:$C$14,MATCH(Q20,'DATA 1'!$B$6:$B$14,1)))</f>
        <v>0.1</v>
      </c>
      <c r="S20" s="1079">
        <f>IF(INDEX('DATA 1'!$C$6:$C$14,MATCH(Q20,'DATA 1'!$B$6:$B$14,1)+1)=0,1,INDEX('DATA 1'!$C$6:$C$14,MATCH(Q20,'DATA 1'!$B$6:$B$14,1)+1))</f>
        <v>-0.1</v>
      </c>
      <c r="T20" s="1091">
        <f>INDEX('DATA 1'!$B$6:$B$14,MATCH(Q20,'DATA 1'!$B$6:$B$14,1))</f>
        <v>50</v>
      </c>
      <c r="U20" s="1089">
        <f>INDEX('DATA 1'!$B$6:$B$14,MATCH(Q20,'DATA 1'!$B$6:$B$14,1)+1)</f>
        <v>100</v>
      </c>
      <c r="V20" s="837">
        <f t="shared" si="1"/>
        <v>-9.2000000000000026E-2</v>
      </c>
      <c r="W20" s="1083"/>
      <c r="AD20" s="1081"/>
      <c r="AE20" s="1084">
        <f>'BUDGET NAIK'!$C$40</f>
        <v>97.908000000000001</v>
      </c>
      <c r="AF20" s="1086">
        <f>IF(INDEX('DATA 1'!$D$6:$D$14,MATCH(AE20,'DATA 1'!$B$6:$B$14,1))=0,0.000001,INDEX('DATA 1'!$D$6:$D$14,MATCH(AE20,'DATA 1'!$B$6:$B$14,1)))</f>
        <v>0.3</v>
      </c>
      <c r="AG20" s="1086">
        <f>IF(INDEX('DATA 1'!$D$6:$D$14,MATCH(AE20,'DATA 1'!$B$6:$B$14,1)+1)=0,0.000001,INDEX('DATA 1'!$D$6:$D$14,MATCH(AE20,'DATA 1'!$B$6:$B$14,1)+1))</f>
        <v>0.3</v>
      </c>
      <c r="AH20" s="1090">
        <f>INDEX('DATA 1'!$B$6:$B$14,MATCH(AE20,'DATA 1'!$B$6:$B$14,1))</f>
        <v>50</v>
      </c>
      <c r="AI20" s="837">
        <f>INDEX('DATA 1'!$B$6:$B$14,MATCH(AE20,'DATA 1'!$B$6:$B$14,1)+1)</f>
        <v>100</v>
      </c>
      <c r="AJ20" s="837">
        <f t="shared" si="2"/>
        <v>0.3</v>
      </c>
      <c r="AK20" s="1084"/>
      <c r="AL20" s="1084"/>
      <c r="AM20" s="1084"/>
      <c r="AN20" s="1084"/>
      <c r="AO20" s="1084"/>
      <c r="AP20" s="1084">
        <f>'BUDGET TURUN'!$C$40</f>
        <v>97.908000000000001</v>
      </c>
      <c r="AQ20" s="1079">
        <f>IF(INDEX('DATA 1'!$G$6:$G$14,MATCH(AP20,'DATA 1'!$B$6:$B$14,1))=0,0.000001,INDEX('DATA 1'!$G$6:$G$14,MATCH(AP20,'DATA 1'!$B$6:$B$14,1)))</f>
        <v>0.3</v>
      </c>
      <c r="AR20" s="1079">
        <f>IF(INDEX('DATA 1'!$G$6:$G$14,MATCH(AP20,'DATA 1'!$B$6:$B$14,1)+1)=0,0.000001,INDEX('DATA 1'!$G$6:$G$14,MATCH(AP20,'DATA 1'!$B$6:$B$14,1)+1))</f>
        <v>0.3</v>
      </c>
      <c r="AS20" s="1091">
        <f>INDEX('DATA 1'!$B$6:$B$14,MATCH(AP20,'DATA 1'!$B$6:$B$14,1))</f>
        <v>50</v>
      </c>
      <c r="AT20" s="1089">
        <f>INDEX('DATA 1'!$B$6:$B$14,MATCH(AP20,'DATA 1'!$B$6:$B$14,1)+1)</f>
        <v>100</v>
      </c>
      <c r="AU20" s="837">
        <f t="shared" si="3"/>
        <v>0.3</v>
      </c>
      <c r="AV20" s="1083"/>
      <c r="BC20" s="1081"/>
      <c r="BD20" s="1084">
        <f>'BUDGET NAIK'!$C$40</f>
        <v>97.908000000000001</v>
      </c>
      <c r="BE20" s="1086">
        <f>IF(INDEX('DATA 1'!$E$6:$E$14,MATCH(BD20,'DATA 1'!$B$6:$B$14,1))=0,0.000001,INDEX('DATA 1'!$E$6:$E$14,MATCH(BD20,'DATA 1'!$B$6:$B$14,1)))</f>
        <v>0.05</v>
      </c>
      <c r="BF20" s="1086">
        <f>IF(INDEX('DATA 1'!$E$6:$E$14,MATCH(BD20,'DATA 1'!$B$6:$B$14,1)+1)=0,0.000001,INDEX('DATA 1'!$E$6:$E$14,MATCH(BD20,'DATA 1'!$B$6:$B$14,1)+1))</f>
        <v>0.1</v>
      </c>
      <c r="BG20" s="1090">
        <f>INDEX('DATA 1'!$B$6:$B$14,MATCH(BD20,'DATA 1'!$B$6:$B$14,1))</f>
        <v>50</v>
      </c>
      <c r="BH20" s="837">
        <f>INDEX('DATA 1'!$B$6:$B$14,MATCH(BD20,'DATA 1'!$B$6:$B$14,1)+1)</f>
        <v>100</v>
      </c>
      <c r="BI20" s="837">
        <f t="shared" si="4"/>
        <v>9.7907999999999995E-2</v>
      </c>
      <c r="BJ20" s="1084"/>
      <c r="BK20" s="1084"/>
      <c r="BL20" s="1084"/>
      <c r="BM20" s="1084"/>
      <c r="BN20" s="1084"/>
      <c r="BO20" s="1084">
        <f>'BUDGET TURUN'!$C$40</f>
        <v>97.908000000000001</v>
      </c>
      <c r="BP20" s="1079">
        <f>IF(INDEX('DATA 1'!$H$6:$H$14,MATCH(BO20,'DATA 1'!$B$6:$B$14,1))=0,0.000001,INDEX('DATA 1'!$H$6:$H$14,MATCH(BO20,'DATA 1'!$B$6:$B$14,1)))</f>
        <v>0.15</v>
      </c>
      <c r="BQ20" s="1079">
        <f>IF(INDEX('DATA 1'!$H$6:$H$14,MATCH(BO20,'DATA 1'!$B$6:$B$14,1)+1)=0,0.000001,INDEX('DATA 1'!$H$6:$H$14,MATCH(BO20,'DATA 1'!$B$6:$B$14,1)+1))</f>
        <v>9.9999999999999995E-7</v>
      </c>
      <c r="BR20" s="1091">
        <f>INDEX('DATA 1'!$B$6:$B$14,MATCH(BO20,'DATA 1'!$B$6:$B$14,1))</f>
        <v>50</v>
      </c>
      <c r="BS20" s="1089">
        <f>INDEX('DATA 1'!$B$6:$B$14,MATCH(BO20,'DATA 1'!$B$6:$B$14,1)+1)</f>
        <v>100</v>
      </c>
      <c r="BT20" s="837">
        <f t="shared" si="5"/>
        <v>6.2769581600000124E-3</v>
      </c>
      <c r="BU20" s="1083"/>
      <c r="CB20" s="1081"/>
      <c r="CC20" s="1084"/>
      <c r="CD20" s="1084"/>
      <c r="CE20" s="1084"/>
      <c r="CF20" s="1084"/>
      <c r="CG20" s="1084"/>
      <c r="CH20" s="1084"/>
      <c r="CI20" s="1084"/>
      <c r="CJ20" s="1084"/>
      <c r="CK20" s="1084"/>
      <c r="CL20" s="1084"/>
      <c r="CM20" s="1084"/>
      <c r="CN20" s="1084"/>
      <c r="CO20" s="1084"/>
      <c r="CP20" s="1084"/>
      <c r="CQ20" s="1084"/>
      <c r="CR20" s="1084"/>
      <c r="CS20" s="1084"/>
      <c r="CT20" s="1083"/>
      <c r="DA20" s="1093"/>
      <c r="DB20" s="1094"/>
      <c r="DC20" s="1094"/>
      <c r="DD20" s="1094"/>
      <c r="DE20" s="1094"/>
      <c r="DF20" s="1094"/>
      <c r="DG20" s="1094"/>
      <c r="DH20" s="1098"/>
      <c r="DL20" s="1093"/>
      <c r="DM20" s="1094"/>
      <c r="DN20" s="1094"/>
      <c r="DO20" s="1094"/>
      <c r="DP20" s="1094"/>
      <c r="DQ20" s="1094"/>
      <c r="DR20" s="1094"/>
      <c r="DS20" s="1098"/>
    </row>
    <row r="21" spans="5:123" x14ac:dyDescent="0.2">
      <c r="E21" s="1081"/>
      <c r="F21" s="1084">
        <f>ID!H71</f>
        <v>148</v>
      </c>
      <c r="G21" s="1086">
        <f>IF(INDEX('DATA 1'!$C$6:$C$14,MATCH(F21,'DATA 1'!$B$6:$B$14,1))=0,0.000001,INDEX('DATA 1'!$C$6:$C$14,MATCH(F21,'DATA 1'!$B$6:$B$14,1)))</f>
        <v>-0.1</v>
      </c>
      <c r="H21" s="1086">
        <f>IF(INDEX('DATA 1'!$C$6:$C$14,MATCH(F21,'DATA 1'!$B$6:$B$14,1)+1)=0,0.000001,INDEX('DATA 1'!$C$6:$C$14,MATCH(F21,'DATA 1'!$B$6:$B$14,1)+1))</f>
        <v>-0.1</v>
      </c>
      <c r="I21" s="1090">
        <f>INDEX('DATA 1'!$B$6:$B$14,MATCH(F21,'DATA 1'!$B$6:$B$14,1))</f>
        <v>100</v>
      </c>
      <c r="J21" s="837">
        <f>INDEX('DATA 1'!$B$6:$B$14,MATCH(F21,'DATA 1'!$B$6:$B$14,1)+1)</f>
        <v>150</v>
      </c>
      <c r="K21" s="837">
        <f t="shared" si="0"/>
        <v>-0.1</v>
      </c>
      <c r="L21" s="1084"/>
      <c r="M21" s="1084"/>
      <c r="N21" s="1084"/>
      <c r="O21" s="1084"/>
      <c r="P21" s="1084"/>
      <c r="Q21" s="1084">
        <f>ID!I71</f>
        <v>148</v>
      </c>
      <c r="R21" s="1079">
        <f>IF(INDEX('DATA 1'!$C$6:$C$14,MATCH(Q21,'DATA 1'!$B$6:$B$14,1))=0,0.000001,INDEX('DATA 1'!$C$6:$C$14,MATCH(Q21,'DATA 1'!$B$6:$B$14,1)))</f>
        <v>-0.1</v>
      </c>
      <c r="S21" s="1079">
        <f>IF(INDEX('DATA 1'!$C$6:$C$14,MATCH(Q21,'DATA 1'!$B$6:$B$14,1)+1)=0,1,INDEX('DATA 1'!$C$6:$C$14,MATCH(Q21,'DATA 1'!$B$6:$B$14,1)+1))</f>
        <v>-0.1</v>
      </c>
      <c r="T21" s="1091">
        <f>INDEX('DATA 1'!$B$6:$B$14,MATCH(Q21,'DATA 1'!$B$6:$B$14,1))</f>
        <v>100</v>
      </c>
      <c r="U21" s="1089">
        <f>INDEX('DATA 1'!$B$6:$B$14,MATCH(Q21,'DATA 1'!$B$6:$B$14,1)+1)</f>
        <v>150</v>
      </c>
      <c r="V21" s="837">
        <f t="shared" si="1"/>
        <v>-0.1</v>
      </c>
      <c r="W21" s="1083"/>
      <c r="AD21" s="1081"/>
      <c r="AE21" s="1084">
        <f>'BUDGET NAIK'!$O$10</f>
        <v>147.9</v>
      </c>
      <c r="AF21" s="1086">
        <f>IF(INDEX('DATA 1'!$D$6:$D$14,MATCH(AE21,'DATA 1'!$B$6:$B$14,1))=0,0.000001,INDEX('DATA 1'!$D$6:$D$14,MATCH(AE21,'DATA 1'!$B$6:$B$14,1)))</f>
        <v>0.3</v>
      </c>
      <c r="AG21" s="1086">
        <f>IF(INDEX('DATA 1'!$D$6:$D$14,MATCH(AE21,'DATA 1'!$B$6:$B$14,1)+1)=0,0.000001,INDEX('DATA 1'!$D$6:$D$14,MATCH(AE21,'DATA 1'!$B$6:$B$14,1)+1))</f>
        <v>0.3</v>
      </c>
      <c r="AH21" s="1090">
        <f>INDEX('DATA 1'!$B$6:$B$14,MATCH(AE21,'DATA 1'!$B$6:$B$14,1))</f>
        <v>100</v>
      </c>
      <c r="AI21" s="837">
        <f>INDEX('DATA 1'!$B$6:$B$14,MATCH(AE21,'DATA 1'!$B$6:$B$14,1)+1)</f>
        <v>150</v>
      </c>
      <c r="AJ21" s="837">
        <f t="shared" si="2"/>
        <v>0.3</v>
      </c>
      <c r="AK21" s="1084"/>
      <c r="AL21" s="1084"/>
      <c r="AM21" s="1084"/>
      <c r="AN21" s="1084"/>
      <c r="AO21" s="1084"/>
      <c r="AP21" s="1084">
        <f>'BUDGET TURUN'!$O$10</f>
        <v>147.9</v>
      </c>
      <c r="AQ21" s="1079">
        <f>IF(INDEX('DATA 1'!$G$6:$G$14,MATCH(AP21,'DATA 1'!$B$6:$B$14,1))=0,0.000001,INDEX('DATA 1'!$G$6:$G$14,MATCH(AP21,'DATA 1'!$B$6:$B$14,1)))</f>
        <v>0.3</v>
      </c>
      <c r="AR21" s="1079">
        <f>IF(INDEX('DATA 1'!$G$6:$G$14,MATCH(AP21,'DATA 1'!$B$6:$B$14,1)+1)=0,0.000001,INDEX('DATA 1'!$G$6:$G$14,MATCH(AP21,'DATA 1'!$B$6:$B$14,1)+1))</f>
        <v>0.3</v>
      </c>
      <c r="AS21" s="1091">
        <f>INDEX('DATA 1'!$B$6:$B$14,MATCH(AP21,'DATA 1'!$B$6:$B$14,1))</f>
        <v>100</v>
      </c>
      <c r="AT21" s="1089">
        <f>INDEX('DATA 1'!$B$6:$B$14,MATCH(AP21,'DATA 1'!$B$6:$B$14,1)+1)</f>
        <v>150</v>
      </c>
      <c r="AU21" s="837">
        <f t="shared" si="3"/>
        <v>0.3</v>
      </c>
      <c r="AV21" s="1083"/>
      <c r="BC21" s="1081"/>
      <c r="BD21" s="1084">
        <f>'BUDGET NAIK'!$O$10</f>
        <v>147.9</v>
      </c>
      <c r="BE21" s="1086">
        <f>IF(INDEX('DATA 1'!$E$6:$E$14,MATCH(BD21,'DATA 1'!$B$6:$B$14,1))=0,0.000001,INDEX('DATA 1'!$E$6:$E$14,MATCH(BD21,'DATA 1'!$B$6:$B$14,1)))</f>
        <v>0.1</v>
      </c>
      <c r="BF21" s="1086">
        <f>IF(INDEX('DATA 1'!$E$6:$E$14,MATCH(BD21,'DATA 1'!$B$6:$B$14,1)+1)=0,0.000001,INDEX('DATA 1'!$E$6:$E$14,MATCH(BD21,'DATA 1'!$B$6:$B$14,1)+1))</f>
        <v>0.1</v>
      </c>
      <c r="BG21" s="1090">
        <f>INDEX('DATA 1'!$B$6:$B$14,MATCH(BD21,'DATA 1'!$B$6:$B$14,1))</f>
        <v>100</v>
      </c>
      <c r="BH21" s="837">
        <f>INDEX('DATA 1'!$B$6:$B$14,MATCH(BD21,'DATA 1'!$B$6:$B$14,1)+1)</f>
        <v>150</v>
      </c>
      <c r="BI21" s="837">
        <f t="shared" si="4"/>
        <v>0.1</v>
      </c>
      <c r="BJ21" s="1084"/>
      <c r="BK21" s="1084"/>
      <c r="BL21" s="1084"/>
      <c r="BM21" s="1084"/>
      <c r="BN21" s="1084"/>
      <c r="BO21" s="1084">
        <f>'BUDGET TURUN'!$O$10</f>
        <v>147.9</v>
      </c>
      <c r="BP21" s="1079">
        <f>IF(INDEX('DATA 1'!$H$6:$H$14,MATCH(BO21,'DATA 1'!$B$6:$B$14,1))=0,0.000001,INDEX('DATA 1'!$H$6:$H$14,MATCH(BO21,'DATA 1'!$B$6:$B$14,1)))</f>
        <v>9.9999999999999995E-7</v>
      </c>
      <c r="BQ21" s="1079">
        <f>IF(INDEX('DATA 1'!$H$6:$H$14,MATCH(BO21,'DATA 1'!$B$6:$B$14,1)+1)=0,0.000001,INDEX('DATA 1'!$H$6:$H$14,MATCH(BO21,'DATA 1'!$B$6:$B$14,1)+1))</f>
        <v>9.9999999999999995E-7</v>
      </c>
      <c r="BR21" s="1091">
        <f>INDEX('DATA 1'!$B$6:$B$14,MATCH(BO21,'DATA 1'!$B$6:$B$14,1))</f>
        <v>100</v>
      </c>
      <c r="BS21" s="1089">
        <f>INDEX('DATA 1'!$B$6:$B$14,MATCH(BO21,'DATA 1'!$B$6:$B$14,1)+1)</f>
        <v>150</v>
      </c>
      <c r="BT21" s="837">
        <f t="shared" si="5"/>
        <v>9.9999999999999995E-7</v>
      </c>
      <c r="BU21" s="1083"/>
      <c r="CB21" s="1081"/>
      <c r="CC21" s="1259" t="s">
        <v>785</v>
      </c>
      <c r="CD21" s="1259"/>
      <c r="CE21" s="1259"/>
      <c r="CF21" s="1259"/>
      <c r="CG21" s="1259"/>
      <c r="CH21" s="1259"/>
      <c r="CI21" s="1084"/>
      <c r="CJ21" s="1084"/>
      <c r="CK21" s="1084"/>
      <c r="CL21" s="1084"/>
      <c r="CM21" s="1084"/>
      <c r="CN21" s="1259" t="s">
        <v>786</v>
      </c>
      <c r="CO21" s="1259"/>
      <c r="CP21" s="1259"/>
      <c r="CQ21" s="1259"/>
      <c r="CR21" s="1259"/>
      <c r="CS21" s="1259"/>
      <c r="CT21" s="1083"/>
    </row>
    <row r="22" spans="5:123" x14ac:dyDescent="0.2">
      <c r="E22" s="1081"/>
      <c r="F22" s="1084">
        <f>ID!H72</f>
        <v>199</v>
      </c>
      <c r="G22" s="1086">
        <f>IF(INDEX('DATA 1'!$C$6:$C$14,MATCH(F22,'DATA 1'!$B$6:$B$14,1))=0,0.000001,INDEX('DATA 1'!$C$6:$C$14,MATCH(F22,'DATA 1'!$B$6:$B$14,1)))</f>
        <v>-0.1</v>
      </c>
      <c r="H22" s="1086">
        <f>IF(INDEX('DATA 1'!$C$6:$C$14,MATCH(F22,'DATA 1'!$B$6:$B$14,1)+1)=0,0.000001,INDEX('DATA 1'!$C$6:$C$14,MATCH(F22,'DATA 1'!$B$6:$B$14,1)+1))</f>
        <v>-0.2</v>
      </c>
      <c r="I22" s="1090">
        <f>INDEX('DATA 1'!$B$6:$B$14,MATCH(F22,'DATA 1'!$B$6:$B$14,1))</f>
        <v>150</v>
      </c>
      <c r="J22" s="837">
        <f>INDEX('DATA 1'!$B$6:$B$14,MATCH(F22,'DATA 1'!$B$6:$B$14,1)+1)</f>
        <v>200</v>
      </c>
      <c r="K22" s="837">
        <f t="shared" si="0"/>
        <v>-0.19800000000000001</v>
      </c>
      <c r="L22" s="1084"/>
      <c r="M22" s="1084"/>
      <c r="N22" s="1084"/>
      <c r="O22" s="1084"/>
      <c r="P22" s="1084"/>
      <c r="Q22" s="1084">
        <f>ID!I72</f>
        <v>198</v>
      </c>
      <c r="R22" s="1079">
        <f>IF(INDEX('DATA 1'!$C$6:$C$14,MATCH(Q22,'DATA 1'!$B$6:$B$14,1))=0,0.000001,INDEX('DATA 1'!$C$6:$C$14,MATCH(Q22,'DATA 1'!$B$6:$B$14,1)))</f>
        <v>-0.1</v>
      </c>
      <c r="S22" s="1079">
        <f>IF(INDEX('DATA 1'!$C$6:$C$14,MATCH(Q22,'DATA 1'!$B$6:$B$14,1)+1)=0,1,INDEX('DATA 1'!$C$6:$C$14,MATCH(Q22,'DATA 1'!$B$6:$B$14,1)+1))</f>
        <v>-0.2</v>
      </c>
      <c r="T22" s="1091">
        <f>INDEX('DATA 1'!$B$6:$B$14,MATCH(Q22,'DATA 1'!$B$6:$B$14,1))</f>
        <v>150</v>
      </c>
      <c r="U22" s="1089">
        <f>INDEX('DATA 1'!$B$6:$B$14,MATCH(Q22,'DATA 1'!$B$6:$B$14,1)+1)</f>
        <v>200</v>
      </c>
      <c r="V22" s="837">
        <f t="shared" si="1"/>
        <v>-0.19600000000000001</v>
      </c>
      <c r="W22" s="1083"/>
      <c r="AD22" s="1081"/>
      <c r="AE22" s="1084">
        <f>'BUDGET NAIK'!$O$25</f>
        <v>198.80199999999999</v>
      </c>
      <c r="AF22" s="1086">
        <f>IF(INDEX('DATA 1'!$D$6:$D$14,MATCH(AE22,'DATA 1'!$B$6:$B$14,1))=0,0.000001,INDEX('DATA 1'!$D$6:$D$14,MATCH(AE22,'DATA 1'!$B$6:$B$14,1)))</f>
        <v>0.3</v>
      </c>
      <c r="AG22" s="1086">
        <f>IF(INDEX('DATA 1'!$D$6:$D$14,MATCH(AE22,'DATA 1'!$B$6:$B$14,1)+1)=0,0.000001,INDEX('DATA 1'!$D$6:$D$14,MATCH(AE22,'DATA 1'!$B$6:$B$14,1)+1))</f>
        <v>0.3</v>
      </c>
      <c r="AH22" s="1090">
        <f>INDEX('DATA 1'!$B$6:$B$14,MATCH(AE22,'DATA 1'!$B$6:$B$14,1))</f>
        <v>150</v>
      </c>
      <c r="AI22" s="837">
        <f>INDEX('DATA 1'!$B$6:$B$14,MATCH(AE22,'DATA 1'!$B$6:$B$14,1)+1)</f>
        <v>200</v>
      </c>
      <c r="AJ22" s="837">
        <f t="shared" si="2"/>
        <v>0.3</v>
      </c>
      <c r="AK22" s="1084"/>
      <c r="AL22" s="1084"/>
      <c r="AM22" s="1084"/>
      <c r="AN22" s="1084"/>
      <c r="AO22" s="1084"/>
      <c r="AP22" s="1084">
        <f>'BUDGET TURUN'!$O$25</f>
        <v>197.804</v>
      </c>
      <c r="AQ22" s="1079">
        <f>IF(INDEX('DATA 1'!$G$6:$G$14,MATCH(AP22,'DATA 1'!$B$6:$B$14,1))=0,0.000001,INDEX('DATA 1'!$G$6:$G$14,MATCH(AP22,'DATA 1'!$B$6:$B$14,1)))</f>
        <v>0.3</v>
      </c>
      <c r="AR22" s="1079">
        <f>IF(INDEX('DATA 1'!$G$6:$G$14,MATCH(AP22,'DATA 1'!$B$6:$B$14,1)+1)=0,0.000001,INDEX('DATA 1'!$G$6:$G$14,MATCH(AP22,'DATA 1'!$B$6:$B$14,1)+1))</f>
        <v>0.3</v>
      </c>
      <c r="AS22" s="1091">
        <f>INDEX('DATA 1'!$B$6:$B$14,MATCH(AP22,'DATA 1'!$B$6:$B$14,1))</f>
        <v>150</v>
      </c>
      <c r="AT22" s="1089">
        <f>INDEX('DATA 1'!$B$6:$B$14,MATCH(AP22,'DATA 1'!$B$6:$B$14,1)+1)</f>
        <v>200</v>
      </c>
      <c r="AU22" s="837">
        <f t="shared" si="3"/>
        <v>0.3</v>
      </c>
      <c r="AV22" s="1083"/>
      <c r="BC22" s="1081"/>
      <c r="BD22" s="1084">
        <f>'BUDGET NAIK'!$O$25</f>
        <v>198.80199999999999</v>
      </c>
      <c r="BE22" s="1086">
        <f>IF(INDEX('DATA 1'!$E$6:$E$14,MATCH(BD22,'DATA 1'!$B$6:$B$14,1))=0,0.000001,INDEX('DATA 1'!$E$6:$E$14,MATCH(BD22,'DATA 1'!$B$6:$B$14,1)))</f>
        <v>0.1</v>
      </c>
      <c r="BF22" s="1086">
        <f>IF(INDEX('DATA 1'!$E$6:$E$14,MATCH(BD22,'DATA 1'!$B$6:$B$14,1)+1)=0,0.000001,INDEX('DATA 1'!$E$6:$E$14,MATCH(BD22,'DATA 1'!$B$6:$B$14,1)+1))</f>
        <v>0.1</v>
      </c>
      <c r="BG22" s="1090">
        <f>INDEX('DATA 1'!$B$6:$B$14,MATCH(BD22,'DATA 1'!$B$6:$B$14,1))</f>
        <v>150</v>
      </c>
      <c r="BH22" s="837">
        <f>INDEX('DATA 1'!$B$6:$B$14,MATCH(BD22,'DATA 1'!$B$6:$B$14,1)+1)</f>
        <v>200</v>
      </c>
      <c r="BI22" s="837">
        <f t="shared" si="4"/>
        <v>0.1</v>
      </c>
      <c r="BJ22" s="1084"/>
      <c r="BK22" s="1084"/>
      <c r="BL22" s="1084"/>
      <c r="BM22" s="1084"/>
      <c r="BN22" s="1084"/>
      <c r="BO22" s="1084">
        <f>'BUDGET TURUN'!$O$25</f>
        <v>197.804</v>
      </c>
      <c r="BP22" s="1079">
        <f>IF(INDEX('DATA 1'!$H$6:$H$14,MATCH(BO22,'DATA 1'!$B$6:$B$14,1))=0,0.000001,INDEX('DATA 1'!$H$6:$H$14,MATCH(BO22,'DATA 1'!$B$6:$B$14,1)))</f>
        <v>9.9999999999999995E-7</v>
      </c>
      <c r="BQ22" s="1079">
        <f>IF(INDEX('DATA 1'!$H$6:$H$14,MATCH(BO22,'DATA 1'!$B$6:$B$14,1)+1)=0,0.000001,INDEX('DATA 1'!$H$6:$H$14,MATCH(BO22,'DATA 1'!$B$6:$B$14,1)+1))</f>
        <v>0.05</v>
      </c>
      <c r="BR22" s="1091">
        <f>INDEX('DATA 1'!$B$6:$B$14,MATCH(BO22,'DATA 1'!$B$6:$B$14,1))</f>
        <v>150</v>
      </c>
      <c r="BS22" s="1089">
        <f>INDEX('DATA 1'!$B$6:$B$14,MATCH(BO22,'DATA 1'!$B$6:$B$14,1)+1)</f>
        <v>200</v>
      </c>
      <c r="BT22" s="837">
        <f t="shared" si="5"/>
        <v>4.7804043920000004E-2</v>
      </c>
      <c r="BU22" s="1083"/>
      <c r="CB22" s="1081"/>
      <c r="CC22" s="1251" t="s">
        <v>762</v>
      </c>
      <c r="CD22" s="1251" t="s">
        <v>758</v>
      </c>
      <c r="CE22" s="1251" t="s">
        <v>759</v>
      </c>
      <c r="CF22" s="1251" t="s">
        <v>757</v>
      </c>
      <c r="CG22" s="1251" t="s">
        <v>760</v>
      </c>
      <c r="CH22" s="1252" t="s">
        <v>763</v>
      </c>
      <c r="CI22" s="1084"/>
      <c r="CJ22" s="1084"/>
      <c r="CK22" s="1084"/>
      <c r="CL22" s="1084"/>
      <c r="CM22" s="1084"/>
      <c r="CN22" s="1251" t="s">
        <v>762</v>
      </c>
      <c r="CO22" s="1251" t="s">
        <v>758</v>
      </c>
      <c r="CP22" s="1251" t="s">
        <v>759</v>
      </c>
      <c r="CQ22" s="1251" t="s">
        <v>757</v>
      </c>
      <c r="CR22" s="1251" t="s">
        <v>760</v>
      </c>
      <c r="CS22" s="1252" t="s">
        <v>763</v>
      </c>
      <c r="CT22" s="1083"/>
    </row>
    <row r="23" spans="5:123" x14ac:dyDescent="0.2">
      <c r="E23" s="1081"/>
      <c r="F23" s="1084">
        <f>ID!H73</f>
        <v>247.96666666666667</v>
      </c>
      <c r="G23" s="1086">
        <f>IF(INDEX('DATA 1'!$C$6:$C$14,MATCH(F23,'DATA 1'!$B$6:$B$14,1))=0,0.000001,INDEX('DATA 1'!$C$6:$C$14,MATCH(F23,'DATA 1'!$B$6:$B$14,1)))</f>
        <v>-0.2</v>
      </c>
      <c r="H23" s="1086">
        <f>IF(INDEX('DATA 1'!$C$6:$C$14,MATCH(F23,'DATA 1'!$B$6:$B$14,1)+1)=0,0.000001,INDEX('DATA 1'!$C$6:$C$14,MATCH(F23,'DATA 1'!$B$6:$B$14,1)+1))</f>
        <v>-0.1</v>
      </c>
      <c r="I23" s="1090">
        <f>INDEX('DATA 1'!$B$6:$B$14,MATCH(F23,'DATA 1'!$B$6:$B$14,1))</f>
        <v>200</v>
      </c>
      <c r="J23" s="837">
        <f>INDEX('DATA 1'!$B$6:$B$14,MATCH(F23,'DATA 1'!$B$6:$B$14,1)+1)</f>
        <v>250</v>
      </c>
      <c r="K23" s="837">
        <f t="shared" si="0"/>
        <v>-0.10406666666666667</v>
      </c>
      <c r="L23" s="1084"/>
      <c r="M23" s="1084"/>
      <c r="N23" s="1084"/>
      <c r="O23" s="1084"/>
      <c r="P23" s="1084"/>
      <c r="Q23" s="1084">
        <f>ID!I73</f>
        <v>248</v>
      </c>
      <c r="R23" s="1079">
        <f>IF(INDEX('DATA 1'!$C$6:$C$14,MATCH(Q23,'DATA 1'!$B$6:$B$14,1))=0,0.000001,INDEX('DATA 1'!$C$6:$C$14,MATCH(Q23,'DATA 1'!$B$6:$B$14,1)))</f>
        <v>-0.2</v>
      </c>
      <c r="S23" s="1079">
        <f>IF(INDEX('DATA 1'!$C$6:$C$14,MATCH(Q23,'DATA 1'!$B$6:$B$14,1)+1)=0,1,INDEX('DATA 1'!$C$6:$C$14,MATCH(Q23,'DATA 1'!$B$6:$B$14,1)+1))</f>
        <v>-0.1</v>
      </c>
      <c r="T23" s="1091">
        <f>INDEX('DATA 1'!$B$6:$B$14,MATCH(Q23,'DATA 1'!$B$6:$B$14,1))</f>
        <v>200</v>
      </c>
      <c r="U23" s="1089">
        <f>INDEX('DATA 1'!$B$6:$B$14,MATCH(Q23,'DATA 1'!$B$6:$B$14,1)+1)</f>
        <v>250</v>
      </c>
      <c r="V23" s="837">
        <f t="shared" si="1"/>
        <v>-0.104</v>
      </c>
      <c r="W23" s="1083"/>
      <c r="AD23" s="1081"/>
      <c r="AE23" s="1084">
        <f>'BUDGET NAIK'!$O$40</f>
        <v>247.86260000000001</v>
      </c>
      <c r="AF23" s="1086">
        <f>IF(INDEX('DATA 1'!$D$6:$D$14,MATCH(AE23,'DATA 1'!$B$6:$B$14,1))=0,0.000001,INDEX('DATA 1'!$D$6:$D$14,MATCH(AE23,'DATA 1'!$B$6:$B$14,1)))</f>
        <v>0.3</v>
      </c>
      <c r="AG23" s="1086">
        <f>IF(INDEX('DATA 1'!$D$6:$D$14,MATCH(AE23,'DATA 1'!$B$6:$B$14,1)+1)=0,0.000001,INDEX('DATA 1'!$D$6:$D$14,MATCH(AE23,'DATA 1'!$B$6:$B$14,1)+1))</f>
        <v>0.3</v>
      </c>
      <c r="AH23" s="1090">
        <f>INDEX('DATA 1'!$B$6:$B$14,MATCH(AE23,'DATA 1'!$B$6:$B$14,1))</f>
        <v>200</v>
      </c>
      <c r="AI23" s="837">
        <f>INDEX('DATA 1'!$B$6:$B$14,MATCH(AE23,'DATA 1'!$B$6:$B$14,1)+1)</f>
        <v>250</v>
      </c>
      <c r="AJ23" s="837">
        <f t="shared" si="2"/>
        <v>0.3</v>
      </c>
      <c r="AK23" s="1084"/>
      <c r="AL23" s="1084"/>
      <c r="AM23" s="1084"/>
      <c r="AN23" s="1084"/>
      <c r="AO23" s="1084"/>
      <c r="AP23" s="1084">
        <f>'BUDGET TURUN'!$O$40</f>
        <v>247.89599999999999</v>
      </c>
      <c r="AQ23" s="1079">
        <f>IF(INDEX('DATA 1'!$G$6:$G$14,MATCH(AP23,'DATA 1'!$B$6:$B$14,1))=0,0.000001,INDEX('DATA 1'!$G$6:$G$14,MATCH(AP23,'DATA 1'!$B$6:$B$14,1)))</f>
        <v>0.3</v>
      </c>
      <c r="AR23" s="1079">
        <f>IF(INDEX('DATA 1'!$G$6:$G$14,MATCH(AP23,'DATA 1'!$B$6:$B$14,1)+1)=0,0.000001,INDEX('DATA 1'!$G$6:$G$14,MATCH(AP23,'DATA 1'!$B$6:$B$14,1)+1))</f>
        <v>0.3</v>
      </c>
      <c r="AS23" s="1091">
        <f>INDEX('DATA 1'!$B$6:$B$14,MATCH(AP23,'DATA 1'!$B$6:$B$14,1))</f>
        <v>200</v>
      </c>
      <c r="AT23" s="1089">
        <f>INDEX('DATA 1'!$B$6:$B$14,MATCH(AP23,'DATA 1'!$B$6:$B$14,1)+1)</f>
        <v>250</v>
      </c>
      <c r="AU23" s="837">
        <f t="shared" si="3"/>
        <v>0.3</v>
      </c>
      <c r="AV23" s="1083"/>
      <c r="BC23" s="1081"/>
      <c r="BD23" s="1084">
        <f>'BUDGET NAIK'!$O$40</f>
        <v>247.86260000000001</v>
      </c>
      <c r="BE23" s="1086">
        <f>IF(INDEX('DATA 1'!$E$6:$E$14,MATCH(BD23,'DATA 1'!$B$6:$B$14,1))=0,0.000001,INDEX('DATA 1'!$E$6:$E$14,MATCH(BD23,'DATA 1'!$B$6:$B$14,1)))</f>
        <v>0.1</v>
      </c>
      <c r="BF23" s="1086">
        <f>IF(INDEX('DATA 1'!$E$6:$E$14,MATCH(BD23,'DATA 1'!$B$6:$B$14,1)+1)=0,0.000001,INDEX('DATA 1'!$E$6:$E$14,MATCH(BD23,'DATA 1'!$B$6:$B$14,1)+1))</f>
        <v>0.05</v>
      </c>
      <c r="BG23" s="1090">
        <f>INDEX('DATA 1'!$B$6:$B$14,MATCH(BD23,'DATA 1'!$B$6:$B$14,1))</f>
        <v>200</v>
      </c>
      <c r="BH23" s="837">
        <f>INDEX('DATA 1'!$B$6:$B$14,MATCH(BD23,'DATA 1'!$B$6:$B$14,1)+1)</f>
        <v>250</v>
      </c>
      <c r="BI23" s="837">
        <f t="shared" si="4"/>
        <v>5.2137399999999993E-2</v>
      </c>
      <c r="BJ23" s="1084"/>
      <c r="BK23" s="1084"/>
      <c r="BL23" s="1084"/>
      <c r="BM23" s="1084"/>
      <c r="BN23" s="1084"/>
      <c r="BO23" s="1084">
        <f>'BUDGET TURUN'!$O$40</f>
        <v>247.89599999999999</v>
      </c>
      <c r="BP23" s="1079">
        <f>IF(INDEX('DATA 1'!$H$6:$H$14,MATCH(BO23,'DATA 1'!$B$6:$B$14,1))=0,0.000001,INDEX('DATA 1'!$H$6:$H$14,MATCH(BO23,'DATA 1'!$B$6:$B$14,1)))</f>
        <v>0.05</v>
      </c>
      <c r="BQ23" s="1079">
        <f>IF(INDEX('DATA 1'!$H$6:$H$14,MATCH(BO23,'DATA 1'!$B$6:$B$14,1)+1)=0,0.000001,INDEX('DATA 1'!$H$6:$H$14,MATCH(BO23,'DATA 1'!$B$6:$B$14,1)+1))</f>
        <v>0.05</v>
      </c>
      <c r="BR23" s="1091">
        <f>INDEX('DATA 1'!$B$6:$B$14,MATCH(BO23,'DATA 1'!$B$6:$B$14,1))</f>
        <v>200</v>
      </c>
      <c r="BS23" s="1089">
        <f>INDEX('DATA 1'!$B$6:$B$14,MATCH(BO23,'DATA 1'!$B$6:$B$14,1)+1)</f>
        <v>250</v>
      </c>
      <c r="BT23" s="837">
        <f t="shared" si="5"/>
        <v>0.05</v>
      </c>
      <c r="BU23" s="1083"/>
      <c r="CB23" s="1081"/>
      <c r="CC23" s="1251"/>
      <c r="CD23" s="1251"/>
      <c r="CE23" s="1251"/>
      <c r="CF23" s="1251"/>
      <c r="CG23" s="1251"/>
      <c r="CH23" s="1252"/>
      <c r="CI23" s="1084"/>
      <c r="CJ23" s="1084"/>
      <c r="CK23" s="1084"/>
      <c r="CL23" s="1084"/>
      <c r="CM23" s="1084"/>
      <c r="CN23" s="1251"/>
      <c r="CO23" s="1251"/>
      <c r="CP23" s="1251"/>
      <c r="CQ23" s="1251"/>
      <c r="CR23" s="1251"/>
      <c r="CS23" s="1252"/>
      <c r="CT23" s="1083"/>
    </row>
    <row r="24" spans="5:123" x14ac:dyDescent="0.2">
      <c r="E24" s="1081"/>
      <c r="F24" s="1084"/>
      <c r="G24" s="1092"/>
      <c r="H24" s="1092"/>
      <c r="I24" s="1090"/>
      <c r="J24" s="837"/>
      <c r="K24" s="837"/>
      <c r="L24" s="1084"/>
      <c r="M24" s="1084"/>
      <c r="N24" s="1084"/>
      <c r="O24" s="1084"/>
      <c r="P24" s="1084"/>
      <c r="Q24" s="1084"/>
      <c r="R24" s="1084"/>
      <c r="S24" s="1084"/>
      <c r="T24" s="1084"/>
      <c r="U24" s="1084"/>
      <c r="V24" s="1084"/>
      <c r="W24" s="1083"/>
      <c r="AD24" s="1081"/>
      <c r="AE24" s="1084"/>
      <c r="AF24" s="1092"/>
      <c r="AG24" s="1092"/>
      <c r="AH24" s="1090"/>
      <c r="AI24" s="837"/>
      <c r="AJ24" s="837"/>
      <c r="AK24" s="1084"/>
      <c r="AL24" s="1084"/>
      <c r="AM24" s="1084"/>
      <c r="AN24" s="1084"/>
      <c r="AO24" s="1084"/>
      <c r="AP24" s="1084"/>
      <c r="AQ24" s="1084"/>
      <c r="AR24" s="1084"/>
      <c r="AS24" s="1084"/>
      <c r="AT24" s="1084"/>
      <c r="AU24" s="1084"/>
      <c r="AV24" s="1083"/>
      <c r="BC24" s="1081"/>
      <c r="BD24" s="1084"/>
      <c r="BE24" s="1084"/>
      <c r="BF24" s="1084"/>
      <c r="BG24" s="1084"/>
      <c r="BH24" s="1084"/>
      <c r="BI24" s="1084"/>
      <c r="BJ24" s="1084"/>
      <c r="BK24" s="1084"/>
      <c r="BL24" s="1084"/>
      <c r="BM24" s="1084"/>
      <c r="BN24" s="1084"/>
      <c r="BO24" s="1084"/>
      <c r="BP24" s="1084"/>
      <c r="BQ24" s="1084"/>
      <c r="BR24" s="1084"/>
      <c r="BS24" s="1084"/>
      <c r="BT24" s="1084"/>
      <c r="BU24" s="1083"/>
      <c r="CB24" s="1081"/>
      <c r="CC24" s="1085">
        <f>IF(ID!C22=0,0.000001,ID!C22)</f>
        <v>24.8</v>
      </c>
      <c r="CD24" s="1086">
        <f>IF(INDEX('DATA 1'!$K$6:$K$12,MATCH(CC24,'DATA 1'!$J$6:$J$12,1))=0,0.000001,INDEX('DATA 1'!$K$6:$K$12,MATCH(CC24,'DATA 1'!$J$6:$J$12,1)))</f>
        <v>0.3</v>
      </c>
      <c r="CE24" s="1086">
        <f>IF(INDEX('DATA 1'!$K$6:$K$12,MATCH(CC24,'DATA 1'!$J$6:$J$12)+1)=0,0.000001,INDEX('DATA 1'!$K$6:$K$12,MATCH(CC24,'DATA 1'!$J$6:$J$12,1)+1))</f>
        <v>0.2</v>
      </c>
      <c r="CF24" s="1087">
        <f>IF(INDEX('DATA 1'!$J$6:$J$12,MATCH(CC24,'DATA 1'!$J$6:$J$12,1))=0,0.000001,INDEX('DATA 1'!$J$6:$J$12,MATCH(CC24,'DATA 1'!$J$6:$J$12,1)))</f>
        <v>20</v>
      </c>
      <c r="CG24" s="837">
        <f>INDEX('DATA 1'!$J$6:$J$12,MATCH(CC24,'DATA 1'!$J$6:$J$12,1)+1)</f>
        <v>25</v>
      </c>
      <c r="CH24" s="837">
        <f>(((CC24-CF24)*(CE24-CD24))/(CG24-CF24))+CD24</f>
        <v>0.20399999999999999</v>
      </c>
      <c r="CI24" s="1084"/>
      <c r="CJ24" s="1084"/>
      <c r="CK24" s="1084"/>
      <c r="CL24" s="1084"/>
      <c r="CM24" s="1084"/>
      <c r="CN24" s="1085">
        <f>IF(ID!C23=0,0.000001,ID!C23)</f>
        <v>82.5</v>
      </c>
      <c r="CO24" s="1086">
        <f>IF(INDEX('DATA 1'!$N$6:$N$12,MATCH(CN24,'DATA 1'!$M$6:$M$12,1))=0,0.000001,INDEX('DATA 1'!$N$6:$N$12,MATCH(CN24,'DATA 1'!$M$6:$M$12,1)))</f>
        <v>-6.3</v>
      </c>
      <c r="CP24" s="1086">
        <f>IF(INDEX('DATA 1'!$N$6:$N$12,MATCH(CN24,'DATA 1'!$M$6:$M$12)+1)=0,0.000001,INDEX('DATA 1'!$N$6:$N$12,MATCH(CN24,'DATA 1'!$M$6:$M$12,1)+1))</f>
        <v>-5.2</v>
      </c>
      <c r="CQ24" s="1087">
        <f>IF(INDEX('DATA 1'!$M$6:$M$12,MATCH(CN24,'DATA 1'!$M$6:$M$12,1))=0,0.000001,INDEX('DATA 1'!$M$6:$M$12,MATCH(CN24,'DATA 1'!$M$6:$M$12,1)))</f>
        <v>80</v>
      </c>
      <c r="CR24" s="837">
        <f>INDEX('DATA 1'!$M$6:$M$12,MATCH(CN24,'DATA 1'!$M$6:$M$12,1)+1)</f>
        <v>90</v>
      </c>
      <c r="CS24" s="837">
        <f>(((CN24-CQ24)*(CP24-CO24))/(CR24-CQ24))+CO24</f>
        <v>-6.0250000000000004</v>
      </c>
      <c r="CT24" s="1083"/>
    </row>
    <row r="25" spans="5:123" ht="13.5" thickBot="1" x14ac:dyDescent="0.25">
      <c r="E25" s="1093"/>
      <c r="F25" s="1094"/>
      <c r="G25" s="1095"/>
      <c r="H25" s="1095"/>
      <c r="I25" s="1096"/>
      <c r="J25" s="1097"/>
      <c r="K25" s="1097"/>
      <c r="L25" s="1094"/>
      <c r="M25" s="1094"/>
      <c r="N25" s="1094"/>
      <c r="O25" s="1094"/>
      <c r="P25" s="1094"/>
      <c r="Q25" s="1094"/>
      <c r="R25" s="1094"/>
      <c r="S25" s="1094"/>
      <c r="T25" s="1094"/>
      <c r="U25" s="1094"/>
      <c r="V25" s="1094"/>
      <c r="W25" s="1098"/>
      <c r="AD25" s="1093"/>
      <c r="AE25" s="1094"/>
      <c r="AF25" s="1094"/>
      <c r="AG25" s="1094"/>
      <c r="AH25" s="1094"/>
      <c r="AI25" s="1094"/>
      <c r="AJ25" s="1094"/>
      <c r="AK25" s="1094"/>
      <c r="AL25" s="1094"/>
      <c r="AM25" s="1094"/>
      <c r="AN25" s="1094"/>
      <c r="AO25" s="1094"/>
      <c r="AP25" s="1094"/>
      <c r="AQ25" s="1094"/>
      <c r="AR25" s="1094"/>
      <c r="AS25" s="1094"/>
      <c r="AT25" s="1094"/>
      <c r="AU25" s="1094"/>
      <c r="AV25" s="1098"/>
      <c r="BC25" s="1093"/>
      <c r="BD25" s="1094"/>
      <c r="BE25" s="1094"/>
      <c r="BF25" s="1094"/>
      <c r="BG25" s="1094"/>
      <c r="BH25" s="1094"/>
      <c r="BI25" s="1094"/>
      <c r="BJ25" s="1094"/>
      <c r="BK25" s="1094"/>
      <c r="BL25" s="1094"/>
      <c r="BM25" s="1094"/>
      <c r="BN25" s="1094"/>
      <c r="BO25" s="1094"/>
      <c r="BP25" s="1094"/>
      <c r="BQ25" s="1094"/>
      <c r="BR25" s="1094"/>
      <c r="BS25" s="1094"/>
      <c r="BT25" s="1094"/>
      <c r="BU25" s="1098"/>
      <c r="CB25" s="1081"/>
      <c r="CC25" s="1084"/>
      <c r="CD25" s="1084"/>
      <c r="CE25" s="1084"/>
      <c r="CF25" s="1084"/>
      <c r="CG25" s="1084"/>
      <c r="CH25" s="1084"/>
      <c r="CI25" s="1084"/>
      <c r="CJ25" s="1084"/>
      <c r="CK25" s="1084"/>
      <c r="CL25" s="1084"/>
      <c r="CM25" s="1084"/>
      <c r="CN25" s="1084"/>
      <c r="CO25" s="1084"/>
      <c r="CP25" s="1084"/>
      <c r="CQ25" s="1084"/>
      <c r="CR25" s="1084"/>
      <c r="CS25" s="1084"/>
      <c r="CT25" s="1083"/>
    </row>
    <row r="26" spans="5:123" ht="13.5" thickBot="1" x14ac:dyDescent="0.25">
      <c r="CB26" s="1093"/>
      <c r="CC26" s="1094"/>
      <c r="CD26" s="1094"/>
      <c r="CE26" s="1094"/>
      <c r="CF26" s="1094"/>
      <c r="CG26" s="1094"/>
      <c r="CH26" s="1094"/>
      <c r="CI26" s="1094"/>
      <c r="CJ26" s="1094"/>
      <c r="CK26" s="1094"/>
      <c r="CL26" s="1094"/>
      <c r="CM26" s="1094"/>
      <c r="CN26" s="1094"/>
      <c r="CO26" s="1094"/>
      <c r="CP26" s="1094"/>
      <c r="CQ26" s="1094"/>
      <c r="CR26" s="1094"/>
      <c r="CS26" s="1094"/>
      <c r="CT26" s="1098"/>
    </row>
  </sheetData>
  <sheetProtection algorithmName="SHA-512" hashValue="SZsj7/uJG7y49fbQZJ2vC1OV/dsF3Tl8+NSQF7GlLCzzsdFnikWeyTOxRCfFq3FWKc+EdFUtBcprj20SiWO2/A==" saltValue="UyDVsLygqA6x4Pzu4/8FTQ==" spinCount="100000" sheet="1" objects="1" scenarios="1"/>
  <mergeCells count="90">
    <mergeCell ref="DA12:DH13"/>
    <mergeCell ref="DL12:DS13"/>
    <mergeCell ref="CB12:CT13"/>
    <mergeCell ref="DB15:DG15"/>
    <mergeCell ref="DM15:DR15"/>
    <mergeCell ref="DB16:DB17"/>
    <mergeCell ref="DC16:DC17"/>
    <mergeCell ref="DD16:DD17"/>
    <mergeCell ref="DE16:DE17"/>
    <mergeCell ref="DF16:DF17"/>
    <mergeCell ref="DG16:DG17"/>
    <mergeCell ref="DM16:DM17"/>
    <mergeCell ref="DN16:DN17"/>
    <mergeCell ref="DO16:DO17"/>
    <mergeCell ref="DP16:DP17"/>
    <mergeCell ref="DQ16:DQ17"/>
    <mergeCell ref="DR16:DR17"/>
    <mergeCell ref="CN21:CS21"/>
    <mergeCell ref="CN22:CN23"/>
    <mergeCell ref="CO22:CO23"/>
    <mergeCell ref="CP22:CP23"/>
    <mergeCell ref="CQ22:CQ23"/>
    <mergeCell ref="CR22:CR23"/>
    <mergeCell ref="CS22:CS23"/>
    <mergeCell ref="CN15:CS15"/>
    <mergeCell ref="CN16:CN17"/>
    <mergeCell ref="CO16:CO17"/>
    <mergeCell ref="CP16:CP17"/>
    <mergeCell ref="CQ16:CQ17"/>
    <mergeCell ref="CR16:CR17"/>
    <mergeCell ref="CS16:CS17"/>
    <mergeCell ref="CC21:CH21"/>
    <mergeCell ref="CC22:CC23"/>
    <mergeCell ref="CD22:CD23"/>
    <mergeCell ref="CE22:CE23"/>
    <mergeCell ref="CF22:CF23"/>
    <mergeCell ref="CG22:CG23"/>
    <mergeCell ref="CH22:CH23"/>
    <mergeCell ref="CC16:CC17"/>
    <mergeCell ref="CD16:CD17"/>
    <mergeCell ref="CE16:CE17"/>
    <mergeCell ref="CF16:CF17"/>
    <mergeCell ref="CG16:CG17"/>
    <mergeCell ref="CH16:CH17"/>
    <mergeCell ref="CC15:CH15"/>
    <mergeCell ref="R15:V15"/>
    <mergeCell ref="AF15:AJ15"/>
    <mergeCell ref="AQ15:AU15"/>
    <mergeCell ref="F15:K15"/>
    <mergeCell ref="E12:W13"/>
    <mergeCell ref="AD12:AV13"/>
    <mergeCell ref="F16:F17"/>
    <mergeCell ref="Q16:Q17"/>
    <mergeCell ref="R16:R17"/>
    <mergeCell ref="S16:S17"/>
    <mergeCell ref="T16:T17"/>
    <mergeCell ref="K16:K17"/>
    <mergeCell ref="J16:J17"/>
    <mergeCell ref="I16:I17"/>
    <mergeCell ref="H16:H17"/>
    <mergeCell ref="G16:G17"/>
    <mergeCell ref="U16:U17"/>
    <mergeCell ref="V16:V17"/>
    <mergeCell ref="AE16:AE17"/>
    <mergeCell ref="AF16:AF17"/>
    <mergeCell ref="AG16:AG17"/>
    <mergeCell ref="AR16:AR17"/>
    <mergeCell ref="AS16:AS17"/>
    <mergeCell ref="AT16:AT17"/>
    <mergeCell ref="AU16:AU17"/>
    <mergeCell ref="AH16:AH17"/>
    <mergeCell ref="AI16:AI17"/>
    <mergeCell ref="AJ16:AJ17"/>
    <mergeCell ref="AP16:AP17"/>
    <mergeCell ref="AQ16:AQ17"/>
    <mergeCell ref="BR16:BR17"/>
    <mergeCell ref="BS16:BS17"/>
    <mergeCell ref="BT16:BT17"/>
    <mergeCell ref="BC12:BU13"/>
    <mergeCell ref="BD16:BD17"/>
    <mergeCell ref="BE16:BE17"/>
    <mergeCell ref="BF16:BF17"/>
    <mergeCell ref="BG16:BG17"/>
    <mergeCell ref="BH16:BH17"/>
    <mergeCell ref="BI16:BI17"/>
    <mergeCell ref="BO16:BO17"/>
    <mergeCell ref="BP16:BP17"/>
    <mergeCell ref="BQ16:BQ17"/>
    <mergeCell ref="BE15:BI15"/>
    <mergeCell ref="BP15:BT15"/>
  </mergeCells>
  <pageMargins left="0.7" right="0.7" top="0.75" bottom="0.75" header="0.3" footer="0.3"/>
  <pageSetup paperSize="9" orientation="portrait" horizontalDpi="0" verticalDpi="0" r:id="rId1"/>
  <ignoredErrors>
    <ignoredError sqref="BH18"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W27"/>
  <sheetViews>
    <sheetView workbookViewId="0">
      <selection activeCell="H13" sqref="H13"/>
    </sheetView>
  </sheetViews>
  <sheetFormatPr defaultColWidth="9.140625" defaultRowHeight="12.75" x14ac:dyDescent="0.2"/>
  <cols>
    <col min="1" max="7" width="9.140625" style="129"/>
    <col min="8" max="8" width="13.5703125" style="129" customWidth="1"/>
    <col min="9" max="9" width="9.140625" style="129"/>
    <col min="10" max="10" width="12.140625" style="129" customWidth="1"/>
    <col min="11" max="16384" width="9.140625" style="129"/>
  </cols>
  <sheetData>
    <row r="1" spans="1:23" x14ac:dyDescent="0.2">
      <c r="B1" s="1277" t="s">
        <v>178</v>
      </c>
      <c r="C1" s="1278"/>
      <c r="D1" s="1278"/>
      <c r="E1" s="1278"/>
      <c r="F1" s="1278"/>
      <c r="G1" s="1278"/>
      <c r="H1" s="1278"/>
      <c r="I1" s="1278"/>
      <c r="J1" s="1278"/>
      <c r="K1" s="1278"/>
      <c r="L1" s="1278"/>
      <c r="M1" s="1278"/>
      <c r="N1" s="1278"/>
      <c r="O1" s="1279"/>
    </row>
    <row r="2" spans="1:23" x14ac:dyDescent="0.2">
      <c r="B2" s="1280"/>
      <c r="C2" s="1281"/>
      <c r="D2" s="1281"/>
      <c r="E2" s="1281"/>
      <c r="F2" s="1281"/>
      <c r="G2" s="1281"/>
      <c r="H2" s="1281"/>
      <c r="I2" s="1281"/>
      <c r="J2" s="1281"/>
      <c r="K2" s="1281"/>
      <c r="L2" s="1281"/>
      <c r="M2" s="1281"/>
      <c r="N2" s="1281"/>
      <c r="O2" s="1282"/>
    </row>
    <row r="4" spans="1:23" s="119" customFormat="1" ht="15.75" x14ac:dyDescent="0.2">
      <c r="A4" s="117"/>
      <c r="B4" s="1276" t="s">
        <v>177</v>
      </c>
      <c r="C4" s="1276"/>
      <c r="D4" s="1276"/>
      <c r="E4" s="1276"/>
      <c r="F4" s="1276"/>
      <c r="G4" s="1276"/>
      <c r="H4" s="1276"/>
      <c r="I4" s="118"/>
      <c r="J4" s="1286" t="s">
        <v>111</v>
      </c>
      <c r="K4" s="1287"/>
      <c r="L4" s="1287"/>
      <c r="M4" s="1287"/>
      <c r="N4" s="1287"/>
      <c r="O4" s="1288"/>
      <c r="Q4" s="117"/>
    </row>
    <row r="5" spans="1:23" s="119" customFormat="1" ht="25.5" x14ac:dyDescent="0.2">
      <c r="A5" s="117">
        <v>-0.1</v>
      </c>
      <c r="B5" s="120" t="s">
        <v>48</v>
      </c>
      <c r="C5" s="121" t="s">
        <v>39</v>
      </c>
      <c r="D5" s="120" t="s">
        <v>43</v>
      </c>
      <c r="E5" s="120" t="s">
        <v>161</v>
      </c>
      <c r="F5" s="121" t="s">
        <v>156</v>
      </c>
      <c r="G5" s="120" t="s">
        <v>155</v>
      </c>
      <c r="H5" s="120" t="s">
        <v>162</v>
      </c>
      <c r="I5" s="165"/>
      <c r="J5" s="121" t="s">
        <v>57</v>
      </c>
      <c r="K5" s="121" t="s">
        <v>59</v>
      </c>
      <c r="L5" s="121" t="s">
        <v>61</v>
      </c>
      <c r="M5" s="121" t="s">
        <v>58</v>
      </c>
      <c r="N5" s="121" t="s">
        <v>60</v>
      </c>
      <c r="O5" s="121" t="s">
        <v>62</v>
      </c>
      <c r="Q5" s="117"/>
    </row>
    <row r="6" spans="1:23" s="119" customFormat="1" ht="15.75" x14ac:dyDescent="0.2">
      <c r="A6" s="117"/>
      <c r="B6" s="122">
        <f>'SERTIFIKAT DPM'!AK10</f>
        <v>0</v>
      </c>
      <c r="C6" s="889">
        <f>'SERTIFIKAT DPM'!AN10</f>
        <v>0</v>
      </c>
      <c r="D6" s="889">
        <f>'SERTIFIKAT DPM'!AP10</f>
        <v>0.05</v>
      </c>
      <c r="E6" s="889">
        <f>'SERTIFIKAT DPM'!AO10</f>
        <v>0.05</v>
      </c>
      <c r="F6" s="889">
        <f>'SERTIFIKAT DPM'!AS10</f>
        <v>0</v>
      </c>
      <c r="G6" s="889">
        <f>'SERTIFIKAT DPM'!AU10</f>
        <v>0.3</v>
      </c>
      <c r="H6" s="889">
        <f>'SERTIFIKAT DPM'!AT10</f>
        <v>0.05</v>
      </c>
      <c r="I6" s="117"/>
      <c r="J6" s="122">
        <f>'SERTIFIKAT THERMOHYGROMETER'!O8</f>
        <v>15</v>
      </c>
      <c r="K6" s="122">
        <f>'SERTIFIKAT THERMOHYGROMETER'!P8</f>
        <v>0.4</v>
      </c>
      <c r="L6" s="122">
        <f>'SERTIFIKAT THERMOHYGROMETER'!Q8</f>
        <v>0.8</v>
      </c>
      <c r="M6" s="122">
        <f>'SERTIFIKAT THERMOHYGROMETER'!R8</f>
        <v>30</v>
      </c>
      <c r="N6" s="122">
        <f>'SERTIFIKAT THERMOHYGROMETER'!S8</f>
        <v>-1.5</v>
      </c>
      <c r="O6" s="122">
        <f>'SERTIFIKAT THERMOHYGROMETER'!T8</f>
        <v>2.6</v>
      </c>
      <c r="Q6" s="117"/>
      <c r="V6" s="123"/>
      <c r="W6" s="123"/>
    </row>
    <row r="7" spans="1:23" s="119" customFormat="1" ht="15.75" x14ac:dyDescent="0.2">
      <c r="A7" s="117"/>
      <c r="B7" s="122">
        <f>'SERTIFIKAT DPM'!AK11</f>
        <v>50</v>
      </c>
      <c r="C7" s="889">
        <f>'SERTIFIKAT DPM'!AN11</f>
        <v>0.1</v>
      </c>
      <c r="D7" s="889">
        <f>'SERTIFIKAT DPM'!AP11</f>
        <v>0.3</v>
      </c>
      <c r="E7" s="889">
        <f>'SERTIFIKAT DPM'!AO11</f>
        <v>0.05</v>
      </c>
      <c r="F7" s="889">
        <f>'SERTIFIKAT DPM'!AS11</f>
        <v>0.3</v>
      </c>
      <c r="G7" s="889">
        <f>'SERTIFIKAT DPM'!AU11</f>
        <v>0.3</v>
      </c>
      <c r="H7" s="889">
        <f>'SERTIFIKAT DPM'!AT11</f>
        <v>0.15</v>
      </c>
      <c r="I7" s="117"/>
      <c r="J7" s="122">
        <f>'SERTIFIKAT THERMOHYGROMETER'!O9</f>
        <v>20</v>
      </c>
      <c r="K7" s="122">
        <f>'SERTIFIKAT THERMOHYGROMETER'!P9</f>
        <v>0.3</v>
      </c>
      <c r="L7" s="122">
        <f>'SERTIFIKAT THERMOHYGROMETER'!Q9</f>
        <v>0.8</v>
      </c>
      <c r="M7" s="122">
        <f>'SERTIFIKAT THERMOHYGROMETER'!R9</f>
        <v>40</v>
      </c>
      <c r="N7" s="122">
        <f>'SERTIFIKAT THERMOHYGROMETER'!S9</f>
        <v>-3.8</v>
      </c>
      <c r="O7" s="122">
        <f>'SERTIFIKAT THERMOHYGROMETER'!T9</f>
        <v>2.6</v>
      </c>
      <c r="Q7" s="117"/>
    </row>
    <row r="8" spans="1:23" s="119" customFormat="1" ht="15.75" x14ac:dyDescent="0.2">
      <c r="A8" s="117"/>
      <c r="B8" s="122">
        <f>'SERTIFIKAT DPM'!AK12</f>
        <v>100</v>
      </c>
      <c r="C8" s="889">
        <f>'SERTIFIKAT DPM'!AN12</f>
        <v>-0.1</v>
      </c>
      <c r="D8" s="889">
        <f>'SERTIFIKAT DPM'!AP12</f>
        <v>0.3</v>
      </c>
      <c r="E8" s="889">
        <f>'SERTIFIKAT DPM'!AO12</f>
        <v>0.1</v>
      </c>
      <c r="F8" s="889">
        <f>'SERTIFIKAT DPM'!AS12</f>
        <v>0</v>
      </c>
      <c r="G8" s="889">
        <f>'SERTIFIKAT DPM'!AU12</f>
        <v>0.3</v>
      </c>
      <c r="H8" s="889">
        <f>'SERTIFIKAT DPM'!AT12</f>
        <v>0</v>
      </c>
      <c r="I8" s="117"/>
      <c r="J8" s="122">
        <f>'SERTIFIKAT THERMOHYGROMETER'!O10</f>
        <v>25</v>
      </c>
      <c r="K8" s="122">
        <f>'SERTIFIKAT THERMOHYGROMETER'!P10</f>
        <v>0.2</v>
      </c>
      <c r="L8" s="122">
        <f>'SERTIFIKAT THERMOHYGROMETER'!Q10</f>
        <v>0.8</v>
      </c>
      <c r="M8" s="122">
        <f>'SERTIFIKAT THERMOHYGROMETER'!R10</f>
        <v>50</v>
      </c>
      <c r="N8" s="122">
        <f>'SERTIFIKAT THERMOHYGROMETER'!S10</f>
        <v>-5.4</v>
      </c>
      <c r="O8" s="122">
        <f>'SERTIFIKAT THERMOHYGROMETER'!T10</f>
        <v>2.6</v>
      </c>
      <c r="Q8" s="117"/>
    </row>
    <row r="9" spans="1:23" s="119" customFormat="1" ht="15.75" x14ac:dyDescent="0.2">
      <c r="A9" s="117"/>
      <c r="B9" s="122">
        <f>'SERTIFIKAT DPM'!AK13</f>
        <v>150</v>
      </c>
      <c r="C9" s="889">
        <f>'SERTIFIKAT DPM'!AN13</f>
        <v>-0.1</v>
      </c>
      <c r="D9" s="889">
        <f>'SERTIFIKAT DPM'!AP13</f>
        <v>0.3</v>
      </c>
      <c r="E9" s="889">
        <f>'SERTIFIKAT DPM'!AO13</f>
        <v>0.1</v>
      </c>
      <c r="F9" s="889">
        <f>'SERTIFIKAT DPM'!AS13</f>
        <v>0</v>
      </c>
      <c r="G9" s="889">
        <f>'SERTIFIKAT DPM'!AU13</f>
        <v>0.3</v>
      </c>
      <c r="H9" s="889">
        <f>'SERTIFIKAT DPM'!AT13</f>
        <v>0</v>
      </c>
      <c r="I9" s="117"/>
      <c r="J9" s="122">
        <f>'SERTIFIKAT THERMOHYGROMETER'!O11</f>
        <v>30</v>
      </c>
      <c r="K9" s="122">
        <f>'SERTIFIKAT THERMOHYGROMETER'!P11</f>
        <v>0.1</v>
      </c>
      <c r="L9" s="122">
        <f>'SERTIFIKAT THERMOHYGROMETER'!Q11</f>
        <v>0.8</v>
      </c>
      <c r="M9" s="122">
        <f>'SERTIFIKAT THERMOHYGROMETER'!R11</f>
        <v>60</v>
      </c>
      <c r="N9" s="122">
        <f>'SERTIFIKAT THERMOHYGROMETER'!S11</f>
        <v>-6.4</v>
      </c>
      <c r="O9" s="122">
        <f>'SERTIFIKAT THERMOHYGROMETER'!T11</f>
        <v>2.6</v>
      </c>
      <c r="Q9" s="117"/>
    </row>
    <row r="10" spans="1:23" s="119" customFormat="1" ht="15.75" x14ac:dyDescent="0.2">
      <c r="A10" s="117"/>
      <c r="B10" s="122">
        <f>'SERTIFIKAT DPM'!AK14</f>
        <v>200</v>
      </c>
      <c r="C10" s="889">
        <f>'SERTIFIKAT DPM'!AN14</f>
        <v>-0.2</v>
      </c>
      <c r="D10" s="889">
        <f>'SERTIFIKAT DPM'!AP14</f>
        <v>0.3</v>
      </c>
      <c r="E10" s="889">
        <f>'SERTIFIKAT DPM'!AO14</f>
        <v>0.1</v>
      </c>
      <c r="F10" s="889">
        <f>'SERTIFIKAT DPM'!AS14</f>
        <v>-0.1</v>
      </c>
      <c r="G10" s="889">
        <f>'SERTIFIKAT DPM'!AU14</f>
        <v>0.3</v>
      </c>
      <c r="H10" s="889">
        <f>'SERTIFIKAT DPM'!AT14</f>
        <v>0.05</v>
      </c>
      <c r="I10" s="117"/>
      <c r="J10" s="122">
        <f>'SERTIFIKAT THERMOHYGROMETER'!O12</f>
        <v>35</v>
      </c>
      <c r="K10" s="122">
        <f>'SERTIFIKAT THERMOHYGROMETER'!P12</f>
        <v>0.1</v>
      </c>
      <c r="L10" s="122">
        <f>'SERTIFIKAT THERMOHYGROMETER'!Q12</f>
        <v>0.8</v>
      </c>
      <c r="M10" s="122">
        <f>'SERTIFIKAT THERMOHYGROMETER'!R12</f>
        <v>70</v>
      </c>
      <c r="N10" s="122">
        <f>'SERTIFIKAT THERMOHYGROMETER'!S12</f>
        <v>-6.7</v>
      </c>
      <c r="O10" s="122">
        <f>'SERTIFIKAT THERMOHYGROMETER'!T12</f>
        <v>2.6</v>
      </c>
      <c r="Q10" s="117"/>
    </row>
    <row r="11" spans="1:23" s="119" customFormat="1" ht="15.75" x14ac:dyDescent="0.2">
      <c r="A11" s="117"/>
      <c r="B11" s="122">
        <f>'SERTIFIKAT DPM'!AK15</f>
        <v>250</v>
      </c>
      <c r="C11" s="889">
        <f>'SERTIFIKAT DPM'!AN15</f>
        <v>-0.1</v>
      </c>
      <c r="D11" s="889">
        <f>'SERTIFIKAT DPM'!AP15</f>
        <v>0.3</v>
      </c>
      <c r="E11" s="889">
        <f>'SERTIFIKAT DPM'!AO15</f>
        <v>0.05</v>
      </c>
      <c r="F11" s="889">
        <f>'SERTIFIKAT DPM'!AS15</f>
        <v>-0.1</v>
      </c>
      <c r="G11" s="889">
        <f>'SERTIFIKAT DPM'!AU15</f>
        <v>0.3</v>
      </c>
      <c r="H11" s="889">
        <f>'SERTIFIKAT DPM'!AT15</f>
        <v>0.05</v>
      </c>
      <c r="I11" s="117"/>
      <c r="J11" s="122">
        <f>'SERTIFIKAT THERMOHYGROMETER'!O13</f>
        <v>37</v>
      </c>
      <c r="K11" s="122">
        <f>'SERTIFIKAT THERMOHYGROMETER'!P13</f>
        <v>0.1</v>
      </c>
      <c r="L11" s="122">
        <f>'SERTIFIKAT THERMOHYGROMETER'!Q13</f>
        <v>0.8</v>
      </c>
      <c r="M11" s="122">
        <f>'SERTIFIKAT THERMOHYGROMETER'!R13</f>
        <v>80</v>
      </c>
      <c r="N11" s="122">
        <f>'SERTIFIKAT THERMOHYGROMETER'!S13</f>
        <v>-6.3</v>
      </c>
      <c r="O11" s="122">
        <f>'SERTIFIKAT THERMOHYGROMETER'!T13</f>
        <v>2.6</v>
      </c>
      <c r="Q11" s="117"/>
    </row>
    <row r="12" spans="1:23" s="119" customFormat="1" ht="15.75" x14ac:dyDescent="0.2">
      <c r="A12" s="117"/>
      <c r="B12" s="122">
        <f>'SERTIFIKAT DPM'!AK16</f>
        <v>300</v>
      </c>
      <c r="C12" s="889">
        <f>'SERTIFIKAT DPM'!AN16</f>
        <v>0</v>
      </c>
      <c r="D12" s="889">
        <f>'SERTIFIKAT DPM'!AP16</f>
        <v>0.3</v>
      </c>
      <c r="E12" s="889">
        <f>'SERTIFIKAT DPM'!AO16</f>
        <v>0.1</v>
      </c>
      <c r="F12" s="889">
        <f>'SERTIFIKAT DPM'!AS16</f>
        <v>0.1</v>
      </c>
      <c r="G12" s="889">
        <f>'SERTIFIKAT DPM'!AU16</f>
        <v>0.3</v>
      </c>
      <c r="H12" s="889">
        <f>'SERTIFIKAT DPM'!AT16</f>
        <v>0.05</v>
      </c>
      <c r="I12" s="117"/>
      <c r="J12" s="122">
        <f>'SERTIFIKAT THERMOHYGROMETER'!O14</f>
        <v>40</v>
      </c>
      <c r="K12" s="122">
        <f>'SERTIFIKAT THERMOHYGROMETER'!P14</f>
        <v>0.1</v>
      </c>
      <c r="L12" s="122">
        <f>'SERTIFIKAT THERMOHYGROMETER'!Q14</f>
        <v>0.8</v>
      </c>
      <c r="M12" s="122">
        <f>'SERTIFIKAT THERMOHYGROMETER'!R14</f>
        <v>90</v>
      </c>
      <c r="N12" s="122">
        <f>'SERTIFIKAT THERMOHYGROMETER'!S14</f>
        <v>-5.2</v>
      </c>
      <c r="O12" s="122">
        <f>'SERTIFIKAT THERMOHYGROMETER'!T14</f>
        <v>2.6</v>
      </c>
      <c r="Q12" s="117"/>
    </row>
    <row r="13" spans="1:23" s="119" customFormat="1" ht="15.75" x14ac:dyDescent="0.2">
      <c r="A13" s="117"/>
      <c r="B13" s="122" t="str">
        <f>'SERTIFIKAT DPM'!AK17</f>
        <v/>
      </c>
      <c r="C13" s="889" t="str">
        <f>'SERTIFIKAT DPM'!AN17</f>
        <v/>
      </c>
      <c r="D13" s="889" t="str">
        <f>'SERTIFIKAT DPM'!AP17</f>
        <v/>
      </c>
      <c r="E13" s="889" t="str">
        <f>'SERTIFIKAT DPM'!AO17</f>
        <v/>
      </c>
      <c r="F13" s="889" t="str">
        <f>'SERTIFIKAT DPM'!AS17</f>
        <v/>
      </c>
      <c r="G13" s="889" t="str">
        <f>'SERTIFIKAT DPM'!AU17</f>
        <v/>
      </c>
      <c r="H13" s="889" t="str">
        <f>'SERTIFIKAT DPM'!AT17</f>
        <v/>
      </c>
      <c r="I13" s="117"/>
      <c r="J13" s="124"/>
      <c r="K13" s="125"/>
      <c r="L13" s="126"/>
      <c r="M13" s="127"/>
      <c r="N13" s="128"/>
      <c r="O13" s="126"/>
      <c r="P13" s="127"/>
      <c r="Q13" s="117"/>
    </row>
    <row r="14" spans="1:23" s="119" customFormat="1" ht="15.75" x14ac:dyDescent="0.2">
      <c r="A14" s="117"/>
      <c r="B14" s="122" t="str">
        <f>'SERTIFIKAT DPM'!AK18</f>
        <v/>
      </c>
      <c r="C14" s="889" t="str">
        <f>'SERTIFIKAT DPM'!AN18</f>
        <v/>
      </c>
      <c r="D14" s="889" t="str">
        <f>'SERTIFIKAT DPM'!AP18</f>
        <v/>
      </c>
      <c r="E14" s="889" t="str">
        <f>'SERTIFIKAT DPM'!AO18</f>
        <v/>
      </c>
      <c r="F14" s="889" t="str">
        <f>'SERTIFIKAT DPM'!AS18</f>
        <v/>
      </c>
      <c r="G14" s="889" t="str">
        <f>'SERTIFIKAT DPM'!AU18</f>
        <v/>
      </c>
      <c r="H14" s="889" t="str">
        <f>'SERTIFIKAT DPM'!AT18</f>
        <v/>
      </c>
      <c r="I14" s="127"/>
      <c r="J14" s="127"/>
      <c r="K14" s="128"/>
      <c r="L14" s="126"/>
      <c r="M14" s="127"/>
      <c r="N14" s="128"/>
      <c r="O14" s="126"/>
      <c r="P14" s="127"/>
      <c r="Q14" s="117"/>
    </row>
    <row r="18" spans="2:16" x14ac:dyDescent="0.2">
      <c r="B18" s="129" t="s">
        <v>54</v>
      </c>
      <c r="K18" s="1289"/>
      <c r="L18" s="1290"/>
    </row>
    <row r="19" spans="2:16" x14ac:dyDescent="0.2">
      <c r="B19" s="1047">
        <f>FORECAST(ID!B43,'DATA 1'!C6:C14,'DATA 1'!B6:B14)</f>
        <v>-6.5000000000000144E-3</v>
      </c>
      <c r="K19" s="1291"/>
      <c r="L19" s="1292"/>
    </row>
    <row r="20" spans="2:16" x14ac:dyDescent="0.2">
      <c r="K20" s="94"/>
    </row>
    <row r="21" spans="2:16" x14ac:dyDescent="0.2">
      <c r="B21" s="129" t="s">
        <v>742</v>
      </c>
      <c r="H21" s="1283" t="s">
        <v>737</v>
      </c>
      <c r="I21" s="1283"/>
      <c r="J21" s="1283"/>
      <c r="M21" s="1283" t="s">
        <v>739</v>
      </c>
      <c r="N21" s="1283"/>
      <c r="O21" s="1283"/>
      <c r="P21" s="1283"/>
    </row>
    <row r="22" spans="2:16" x14ac:dyDescent="0.2">
      <c r="B22" s="129">
        <f>FORECAST('BUDGET NAIK'!C9,'DATA 1'!D6:D14,'DATA 1'!B6:B14)</f>
        <v>0.18392857142857144</v>
      </c>
      <c r="H22" s="1048" t="s">
        <v>737</v>
      </c>
      <c r="I22" s="1048"/>
      <c r="J22" s="1048" t="s">
        <v>736</v>
      </c>
      <c r="M22" s="1284" t="s">
        <v>739</v>
      </c>
      <c r="N22" s="1284"/>
      <c r="O22" s="1284" t="s">
        <v>740</v>
      </c>
      <c r="P22" s="1284"/>
    </row>
    <row r="23" spans="2:16" x14ac:dyDescent="0.2">
      <c r="H23" s="1049">
        <f>ID!B22</f>
        <v>25.6</v>
      </c>
      <c r="I23" s="1048"/>
      <c r="J23" s="1050">
        <f>FORECAST(H23,K6:K12,J6:J12)</f>
        <v>0.22566037735849065</v>
      </c>
      <c r="M23" s="1284">
        <f>ID!B23</f>
        <v>82.3</v>
      </c>
      <c r="N23" s="1284"/>
      <c r="O23" s="1285">
        <f>FORECAST(M23,N6:N12,M6:M12)</f>
        <v>-6.428642857142858</v>
      </c>
      <c r="P23" s="1285"/>
    </row>
    <row r="25" spans="2:16" x14ac:dyDescent="0.2">
      <c r="H25" s="1283" t="s">
        <v>738</v>
      </c>
      <c r="I25" s="1283"/>
      <c r="J25" s="1283"/>
      <c r="M25" s="1283" t="s">
        <v>741</v>
      </c>
      <c r="N25" s="1283"/>
      <c r="O25" s="1283"/>
      <c r="P25" s="1283"/>
    </row>
    <row r="26" spans="2:16" x14ac:dyDescent="0.2">
      <c r="H26" s="1048" t="s">
        <v>738</v>
      </c>
      <c r="I26" s="1048"/>
      <c r="J26" s="1048" t="s">
        <v>736</v>
      </c>
      <c r="M26" s="1284" t="s">
        <v>741</v>
      </c>
      <c r="N26" s="1284"/>
      <c r="O26" s="1048" t="s">
        <v>740</v>
      </c>
      <c r="P26" s="1048"/>
    </row>
    <row r="27" spans="2:16" x14ac:dyDescent="0.2">
      <c r="H27" s="1049">
        <f>ID!C22</f>
        <v>24.8</v>
      </c>
      <c r="I27" s="1048"/>
      <c r="J27" s="1050">
        <f>FORECAST(H27,K6:K12,J6:J12)</f>
        <v>0.23547169811320762</v>
      </c>
      <c r="M27" s="1284">
        <f>ID!C23</f>
        <v>82.5</v>
      </c>
      <c r="N27" s="1284"/>
      <c r="O27" s="1285">
        <f>FORECAST(M27,N6:N12,M6:M12)</f>
        <v>-6.441071428571429</v>
      </c>
      <c r="P27" s="1285"/>
    </row>
  </sheetData>
  <sheetProtection algorithmName="SHA-512" hashValue="4xWl49Nid9rMk+5Bj6C/aS/8/KFhVErLA++qatTLZ531/NZQ3vmlzHgumt515mmwL6iv5eNThMfDHKELxTmXhw==" saltValue="k5IYILcfLrCr0ChlBqRh5A==" spinCount="100000" sheet="1" objects="1" scenarios="1"/>
  <mergeCells count="15">
    <mergeCell ref="M26:N26"/>
    <mergeCell ref="M27:N27"/>
    <mergeCell ref="O27:P27"/>
    <mergeCell ref="M25:P25"/>
    <mergeCell ref="H25:J25"/>
    <mergeCell ref="M23:N23"/>
    <mergeCell ref="O22:P22"/>
    <mergeCell ref="O23:P23"/>
    <mergeCell ref="J4:O4"/>
    <mergeCell ref="K18:L19"/>
    <mergeCell ref="B4:H4"/>
    <mergeCell ref="B1:O2"/>
    <mergeCell ref="H21:J21"/>
    <mergeCell ref="M21:P21"/>
    <mergeCell ref="M22:N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RIWAYAT REVISI</vt:lpstr>
      <vt:lpstr>KETERANGAN</vt:lpstr>
      <vt:lpstr>SERTIFIKAT THERMOHYGROMETER</vt:lpstr>
      <vt:lpstr>SERTIFIKAT DPM</vt:lpstr>
      <vt:lpstr>SERTIFIKAT STOPWATCH</vt:lpstr>
      <vt:lpstr>LK</vt:lpstr>
      <vt:lpstr>ID</vt:lpstr>
      <vt:lpstr>INTERPOLASI  </vt:lpstr>
      <vt:lpstr>DATA 1</vt:lpstr>
      <vt:lpstr>BUDGET NAIK</vt:lpstr>
      <vt:lpstr>BUDGET TURUN</vt:lpstr>
      <vt:lpstr>PENYELIA</vt:lpstr>
      <vt:lpstr>LH</vt:lpstr>
      <vt:lpstr>SERTIFIKAT</vt:lpstr>
      <vt:lpstr>SERTIFIKAT NA</vt:lpstr>
      <vt:lpstr>SURAT KETERANGAN NA</vt:lpstr>
      <vt:lpstr>DB SERTIFIKAT NA</vt:lpstr>
      <vt:lpstr>RESOLUSI STANDAR</vt:lpstr>
      <vt:lpstr>'BUDGET NAIK'!Print_Area</vt:lpstr>
      <vt:lpstr>'BUDGET TURUN'!Print_Area</vt:lpstr>
      <vt:lpstr>ID!Print_Area</vt:lpstr>
      <vt:lpstr>LH!Print_Area</vt:lpstr>
      <vt:lpstr>LK!Print_Area</vt:lpstr>
      <vt:lpstr>PENYELIA!Print_Area</vt:lpstr>
      <vt:lpstr>SERTIFIKAT!Print_Area</vt:lpstr>
      <vt:lpstr>'SERTIFIKAT NA'!Print_Area</vt:lpstr>
      <vt:lpstr>'SURAT KETERANGAN NA'!Print_Area</vt:lpstr>
    </vt:vector>
  </TitlesOfParts>
  <Company>BPFK Surabaya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27 MEI 2013</dc:title>
  <dc:creator>RANGGA</dc:creator>
  <cp:lastModifiedBy>A</cp:lastModifiedBy>
  <cp:lastPrinted>2022-03-11T05:55:01Z</cp:lastPrinted>
  <dcterms:created xsi:type="dcterms:W3CDTF">2003-12-09T09:04:15Z</dcterms:created>
  <dcterms:modified xsi:type="dcterms:W3CDTF">2022-04-12T06:44:35Z</dcterms:modified>
</cp:coreProperties>
</file>