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E851A90A-262F-4502-B207-0554584DA2D6}" xr6:coauthVersionLast="45" xr6:coauthVersionMax="47" xr10:uidLastSave="{00000000-0000-0000-0000-000000000000}"/>
  <bookViews>
    <workbookView xWindow="768" yWindow="768" windowWidth="17280" windowHeight="8880" tabRatio="700" firstSheet="2" activeTab="7" xr2:uid="{00000000-000D-0000-FFFF-FFFF00000000}"/>
  </bookViews>
  <sheets>
    <sheet name="LK" sheetId="8" r:id="rId1"/>
    <sheet name="Riwayat Revisi" sheetId="28" r:id="rId2"/>
    <sheet name="ID" sheetId="5" r:id="rId3"/>
    <sheet name="SERTIFIKAT" sheetId="29" state="hidden" r:id="rId4"/>
    <sheet name="UB" sheetId="9" r:id="rId5"/>
    <sheet name="PENYELIA" sheetId="4" r:id="rId6"/>
    <sheet name="DB Thermohygro" sheetId="26" r:id="rId7"/>
    <sheet name="LH" sheetId="1" r:id="rId8"/>
    <sheet name="DB Kelistrikan" sheetId="25" r:id="rId9"/>
    <sheet name="Data Parameter" sheetId="27" state="hidden" r:id="rId10"/>
  </sheets>
  <externalReferences>
    <externalReference r:id="rId11"/>
  </externalReferences>
  <definedNames>
    <definedName name="_xlnm.Print_Area" localSheetId="2">ID!$A$1:$N$76</definedName>
    <definedName name="_xlnm.Print_Area" localSheetId="7">LH!$A$1:$K$80</definedName>
    <definedName name="_xlnm.Print_Area" localSheetId="0">LK!$A$1:$M$66</definedName>
    <definedName name="_xlnm.Print_Area" localSheetId="5">PENYELIA!$A$1:$N$70</definedName>
    <definedName name="_xlnm.Print_Area" localSheetId="4">UB!$A$1:$K$72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E8" i="1" l="1"/>
  <c r="E9" i="1"/>
  <c r="E10" i="1"/>
  <c r="E11" i="1"/>
  <c r="E12" i="1"/>
  <c r="E7" i="1"/>
  <c r="B50" i="29"/>
  <c r="B51" i="29" s="1"/>
  <c r="B48" i="29"/>
  <c r="D26" i="29"/>
  <c r="D25" i="29"/>
  <c r="D23" i="29"/>
  <c r="D22" i="29"/>
  <c r="D13" i="29"/>
  <c r="D14" i="29"/>
  <c r="D15" i="29"/>
  <c r="D16" i="29"/>
  <c r="D17" i="29"/>
  <c r="D12" i="29"/>
  <c r="B13" i="29"/>
  <c r="B14" i="29"/>
  <c r="B15" i="29"/>
  <c r="B16" i="29"/>
  <c r="B17" i="29"/>
  <c r="B12" i="29"/>
  <c r="D10" i="29"/>
  <c r="D9" i="29"/>
  <c r="D8" i="29"/>
  <c r="A3" i="29"/>
  <c r="F6" i="29" s="1"/>
  <c r="B55" i="29"/>
  <c r="E31" i="29"/>
  <c r="D28" i="29"/>
  <c r="L52" i="5" l="1"/>
  <c r="L50" i="5"/>
  <c r="L51" i="5"/>
  <c r="L49" i="5"/>
  <c r="K1" i="27"/>
  <c r="I3" i="27"/>
  <c r="P4" i="27"/>
  <c r="P5" i="27"/>
  <c r="P6" i="27"/>
  <c r="P7" i="27"/>
  <c r="P8" i="27"/>
  <c r="P3" i="27"/>
  <c r="M3" i="27" s="1"/>
  <c r="O4" i="27"/>
  <c r="M4" i="27" s="1"/>
  <c r="Q4" i="27"/>
  <c r="O5" i="27"/>
  <c r="M5" i="27" s="1"/>
  <c r="Q5" i="27"/>
  <c r="M6" i="27"/>
  <c r="O6" i="27"/>
  <c r="S6" i="27" s="1"/>
  <c r="Q6" i="27"/>
  <c r="R6" i="27"/>
  <c r="O7" i="27"/>
  <c r="M7" i="27" s="1"/>
  <c r="Q7" i="27"/>
  <c r="O8" i="27"/>
  <c r="Q8" i="27"/>
  <c r="Q3" i="27"/>
  <c r="O3" i="27"/>
  <c r="L4" i="27"/>
  <c r="N4" i="27" s="1"/>
  <c r="L5" i="27"/>
  <c r="R5" i="27" s="1"/>
  <c r="S5" i="27" s="1"/>
  <c r="L6" i="27"/>
  <c r="N6" i="27" s="1"/>
  <c r="L7" i="27"/>
  <c r="N7" i="27" s="1"/>
  <c r="L8" i="27"/>
  <c r="N8" i="27" s="1"/>
  <c r="L3" i="27"/>
  <c r="N3" i="27" s="1"/>
  <c r="H70" i="1"/>
  <c r="I77" i="1"/>
  <c r="R7" i="27" l="1"/>
  <c r="S7" i="27" s="1"/>
  <c r="M8" i="27"/>
  <c r="N5" i="27"/>
  <c r="R8" i="27"/>
  <c r="S8" i="27" s="1"/>
  <c r="R4" i="27"/>
  <c r="S4" i="27" s="1"/>
  <c r="R3" i="27"/>
  <c r="S3" i="27" s="1"/>
  <c r="C39" i="8"/>
  <c r="C40" i="8"/>
  <c r="C41" i="8"/>
  <c r="C42" i="8"/>
  <c r="C43" i="8"/>
  <c r="C44" i="8"/>
  <c r="J41" i="5" l="1"/>
  <c r="F61" i="9"/>
  <c r="E61" i="9"/>
  <c r="F50" i="9"/>
  <c r="E50" i="9"/>
  <c r="F39" i="9"/>
  <c r="E39" i="9"/>
  <c r="F28" i="9"/>
  <c r="E28" i="9"/>
  <c r="F17" i="9"/>
  <c r="E17" i="9"/>
  <c r="F6" i="9"/>
  <c r="E6" i="9"/>
  <c r="K47" i="5"/>
  <c r="K43" i="5"/>
  <c r="K41" i="5"/>
  <c r="D8" i="9" l="1"/>
  <c r="F10" i="5" l="1"/>
  <c r="F11" i="5"/>
  <c r="F9" i="1" s="1"/>
  <c r="F12" i="5"/>
  <c r="F10" i="1" s="1"/>
  <c r="F13" i="5"/>
  <c r="F11" i="1" s="1"/>
  <c r="F14" i="5"/>
  <c r="F9" i="5"/>
  <c r="K45" i="5"/>
  <c r="K49" i="5"/>
  <c r="K51" i="5"/>
  <c r="J43" i="5"/>
  <c r="J45" i="5"/>
  <c r="J47" i="5"/>
  <c r="J49" i="5"/>
  <c r="J51" i="5"/>
  <c r="I49" i="4"/>
  <c r="I48" i="1" s="1"/>
  <c r="I47" i="4"/>
  <c r="I46" i="1" s="1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E11" i="4"/>
  <c r="C8" i="8"/>
  <c r="C9" i="8"/>
  <c r="C10" i="8"/>
  <c r="C11" i="8"/>
  <c r="C12" i="8"/>
  <c r="C7" i="8"/>
  <c r="B54" i="4"/>
  <c r="B56" i="4"/>
  <c r="B55" i="1" s="1"/>
  <c r="C43" i="5"/>
  <c r="C45" i="5"/>
  <c r="C47" i="5"/>
  <c r="C49" i="5"/>
  <c r="F49" i="5" s="1"/>
  <c r="C51" i="5"/>
  <c r="F51" i="5" s="1"/>
  <c r="C41" i="5"/>
  <c r="B42" i="4"/>
  <c r="B41" i="1" s="1"/>
  <c r="B46" i="4"/>
  <c r="B45" i="1" s="1"/>
  <c r="T52" i="4"/>
  <c r="T53" i="4"/>
  <c r="T54" i="4"/>
  <c r="T55" i="4"/>
  <c r="T56" i="4"/>
  <c r="T51" i="4"/>
  <c r="R56" i="4"/>
  <c r="R55" i="4"/>
  <c r="R54" i="4"/>
  <c r="R53" i="4"/>
  <c r="R52" i="4"/>
  <c r="E8" i="9"/>
  <c r="E4" i="4"/>
  <c r="E5" i="4"/>
  <c r="D8" i="4"/>
  <c r="D8" i="1" s="1"/>
  <c r="D9" i="4"/>
  <c r="D9" i="1" s="1"/>
  <c r="D10" i="4"/>
  <c r="D10" i="1" s="1"/>
  <c r="D11" i="4"/>
  <c r="D11" i="1" s="1"/>
  <c r="D12" i="4"/>
  <c r="D12" i="1" s="1"/>
  <c r="D44" i="8" l="1"/>
  <c r="F12" i="1"/>
  <c r="F43" i="5"/>
  <c r="L43" i="5"/>
  <c r="L44" i="5"/>
  <c r="F45" i="5"/>
  <c r="F42" i="4" s="1"/>
  <c r="L45" i="5"/>
  <c r="L46" i="5"/>
  <c r="I43" i="4" s="1"/>
  <c r="I42" i="1" s="1"/>
  <c r="F47" i="5"/>
  <c r="L47" i="5"/>
  <c r="L48" i="5"/>
  <c r="D39" i="8"/>
  <c r="F7" i="1"/>
  <c r="F41" i="5"/>
  <c r="L41" i="5"/>
  <c r="I39" i="8" s="1"/>
  <c r="L42" i="5"/>
  <c r="I39" i="4" s="1"/>
  <c r="I38" i="1" s="1"/>
  <c r="D40" i="8"/>
  <c r="F8" i="1"/>
  <c r="E8" i="4"/>
  <c r="E12" i="4"/>
  <c r="F48" i="4"/>
  <c r="F47" i="1" s="1"/>
  <c r="C59" i="9"/>
  <c r="E43" i="8"/>
  <c r="C48" i="9"/>
  <c r="C37" i="9"/>
  <c r="C38" i="9"/>
  <c r="D45" i="5"/>
  <c r="E42" i="4" s="1"/>
  <c r="D41" i="1" s="1"/>
  <c r="C26" i="9"/>
  <c r="E11" i="8"/>
  <c r="D43" i="8"/>
  <c r="E10" i="8"/>
  <c r="D42" i="8"/>
  <c r="E9" i="8"/>
  <c r="D41" i="8"/>
  <c r="D41" i="5"/>
  <c r="I40" i="8"/>
  <c r="C42" i="5"/>
  <c r="C39" i="4" s="1"/>
  <c r="C38" i="1" s="1"/>
  <c r="I42" i="8"/>
  <c r="I41" i="4"/>
  <c r="I40" i="1" s="1"/>
  <c r="E8" i="8"/>
  <c r="I45" i="4"/>
  <c r="I44" i="1" s="1"/>
  <c r="C44" i="5"/>
  <c r="C41" i="4" s="1"/>
  <c r="C40" i="1" s="1"/>
  <c r="E42" i="8"/>
  <c r="I41" i="8"/>
  <c r="E40" i="8"/>
  <c r="E12" i="8"/>
  <c r="E10" i="4"/>
  <c r="E9" i="4"/>
  <c r="E7" i="4"/>
  <c r="E7" i="8"/>
  <c r="C46" i="5"/>
  <c r="C43" i="4" s="1"/>
  <c r="C42" i="1" s="1"/>
  <c r="C48" i="5"/>
  <c r="C45" i="4" s="1"/>
  <c r="C44" i="1" s="1"/>
  <c r="C50" i="5"/>
  <c r="C47" i="4" s="1"/>
  <c r="C46" i="1" s="1"/>
  <c r="C52" i="5"/>
  <c r="C49" i="4" s="1"/>
  <c r="C48" i="1" s="1"/>
  <c r="D51" i="5"/>
  <c r="D59" i="9" s="1"/>
  <c r="B61" i="9" s="1"/>
  <c r="D49" i="5"/>
  <c r="D48" i="9" s="1"/>
  <c r="B52" i="9" s="1"/>
  <c r="D47" i="5"/>
  <c r="D37" i="9" s="1"/>
  <c r="D43" i="5"/>
  <c r="D15" i="9" s="1"/>
  <c r="I44" i="8"/>
  <c r="I43" i="8"/>
  <c r="O51" i="4"/>
  <c r="Q57" i="4" s="1"/>
  <c r="X43" i="4" s="1"/>
  <c r="F40" i="4"/>
  <c r="C44" i="4"/>
  <c r="C46" i="4"/>
  <c r="C48" i="4"/>
  <c r="C42" i="4"/>
  <c r="D62" i="9"/>
  <c r="F63" i="9"/>
  <c r="E63" i="9"/>
  <c r="F62" i="9"/>
  <c r="E62" i="9"/>
  <c r="D51" i="9"/>
  <c r="F52" i="9"/>
  <c r="E52" i="9"/>
  <c r="F51" i="9"/>
  <c r="E51" i="9"/>
  <c r="D40" i="9"/>
  <c r="D29" i="9"/>
  <c r="D18" i="9"/>
  <c r="F8" i="9"/>
  <c r="D7" i="9"/>
  <c r="C12" i="4"/>
  <c r="C12" i="1" s="1"/>
  <c r="C9" i="4"/>
  <c r="C9" i="1" s="1"/>
  <c r="C10" i="4"/>
  <c r="C10" i="1" s="1"/>
  <c r="C11" i="4"/>
  <c r="C11" i="1" s="1"/>
  <c r="C8" i="4"/>
  <c r="C8" i="1" s="1"/>
  <c r="C7" i="4"/>
  <c r="C7" i="1" s="1"/>
  <c r="D17" i="9"/>
  <c r="D28" i="9"/>
  <c r="D39" i="9"/>
  <c r="G40" i="4"/>
  <c r="G42" i="4"/>
  <c r="G44" i="4"/>
  <c r="G46" i="4"/>
  <c r="I46" i="4" s="1"/>
  <c r="I45" i="1" s="1"/>
  <c r="G48" i="4"/>
  <c r="I48" i="4" s="1"/>
  <c r="I47" i="1" s="1"/>
  <c r="G38" i="4"/>
  <c r="J4" i="26"/>
  <c r="E41" i="8" l="1"/>
  <c r="K68" i="9"/>
  <c r="F46" i="4"/>
  <c r="F45" i="1" s="1"/>
  <c r="B50" i="9"/>
  <c r="B51" i="9"/>
  <c r="B62" i="9"/>
  <c r="K57" i="9"/>
  <c r="B63" i="9"/>
  <c r="E44" i="8"/>
  <c r="D42" i="4"/>
  <c r="D26" i="9"/>
  <c r="D38" i="4"/>
  <c r="D4" i="9"/>
  <c r="E38" i="4"/>
  <c r="D37" i="1" s="1"/>
  <c r="I38" i="4"/>
  <c r="F44" i="4"/>
  <c r="F43" i="1" s="1"/>
  <c r="E46" i="4"/>
  <c r="D45" i="1" s="1"/>
  <c r="D46" i="4"/>
  <c r="E48" i="4"/>
  <c r="D47" i="1" s="1"/>
  <c r="D48" i="4"/>
  <c r="F38" i="4"/>
  <c r="E39" i="8"/>
  <c r="E40" i="4"/>
  <c r="D39" i="1" s="1"/>
  <c r="D40" i="4"/>
  <c r="E44" i="4"/>
  <c r="D43" i="1" s="1"/>
  <c r="D44" i="4"/>
  <c r="I42" i="4"/>
  <c r="I41" i="1" s="1"/>
  <c r="I40" i="4"/>
  <c r="I39" i="1" s="1"/>
  <c r="X38" i="4"/>
  <c r="X42" i="4"/>
  <c r="X41" i="4"/>
  <c r="X40" i="4"/>
  <c r="X39" i="4"/>
  <c r="I44" i="4"/>
  <c r="I43" i="1" s="1"/>
  <c r="H42" i="4"/>
  <c r="F39" i="1"/>
  <c r="H40" i="4"/>
  <c r="H48" i="4"/>
  <c r="H46" i="4"/>
  <c r="G39" i="1"/>
  <c r="G43" i="1"/>
  <c r="G41" i="1"/>
  <c r="G47" i="1"/>
  <c r="G45" i="1"/>
  <c r="G37" i="1"/>
  <c r="F41" i="1"/>
  <c r="V41" i="4"/>
  <c r="C43" i="1"/>
  <c r="V40" i="4"/>
  <c r="C41" i="1"/>
  <c r="V43" i="4"/>
  <c r="C47" i="1"/>
  <c r="G51" i="9"/>
  <c r="I51" i="9" s="1"/>
  <c r="J51" i="9" s="1"/>
  <c r="V42" i="4"/>
  <c r="C45" i="1"/>
  <c r="P43" i="4"/>
  <c r="Q43" i="4"/>
  <c r="P42" i="4"/>
  <c r="D19" i="9"/>
  <c r="G8" i="9"/>
  <c r="I8" i="9" s="1"/>
  <c r="K8" i="9" s="1"/>
  <c r="D63" i="9"/>
  <c r="G63" i="9" s="1"/>
  <c r="I63" i="9" s="1"/>
  <c r="K63" i="9" s="1"/>
  <c r="D41" i="9"/>
  <c r="D52" i="9"/>
  <c r="G52" i="9" s="1"/>
  <c r="I52" i="9" s="1"/>
  <c r="J52" i="9" s="1"/>
  <c r="D30" i="9"/>
  <c r="D50" i="9"/>
  <c r="G50" i="9" s="1"/>
  <c r="I50" i="9" s="1"/>
  <c r="J50" i="9" s="1"/>
  <c r="D6" i="9"/>
  <c r="D61" i="9"/>
  <c r="G61" i="9" s="1"/>
  <c r="I61" i="9" s="1"/>
  <c r="J61" i="9" s="1"/>
  <c r="G62" i="9"/>
  <c r="I62" i="9" s="1"/>
  <c r="K62" i="9" s="1"/>
  <c r="Q42" i="4" l="1"/>
  <c r="F37" i="1"/>
  <c r="P38" i="4"/>
  <c r="B6" i="9"/>
  <c r="B8" i="9"/>
  <c r="H44" i="4"/>
  <c r="H43" i="1" s="1"/>
  <c r="H38" i="4"/>
  <c r="U38" i="4" s="1"/>
  <c r="AE38" i="4" s="1"/>
  <c r="Z38" i="4" s="1"/>
  <c r="P40" i="4"/>
  <c r="Q40" i="4"/>
  <c r="Q39" i="4"/>
  <c r="P39" i="4"/>
  <c r="P41" i="4"/>
  <c r="Q41" i="4"/>
  <c r="H47" i="1"/>
  <c r="U43" i="4"/>
  <c r="AE43" i="4" s="1"/>
  <c r="Z43" i="4" s="1"/>
  <c r="H45" i="1"/>
  <c r="U42" i="4"/>
  <c r="AE42" i="4" s="1"/>
  <c r="Z42" i="4" s="1"/>
  <c r="H41" i="1"/>
  <c r="U40" i="4"/>
  <c r="AE40" i="4" s="1"/>
  <c r="Z40" i="4" s="1"/>
  <c r="H39" i="1"/>
  <c r="U39" i="4"/>
  <c r="AE39" i="4" s="1"/>
  <c r="Z39" i="4" s="1"/>
  <c r="K51" i="9"/>
  <c r="J53" i="9"/>
  <c r="J54" i="9" s="1"/>
  <c r="J62" i="9"/>
  <c r="O42" i="4"/>
  <c r="O43" i="4"/>
  <c r="J8" i="9"/>
  <c r="K52" i="9"/>
  <c r="J63" i="9"/>
  <c r="K61" i="9"/>
  <c r="K64" i="9" s="1"/>
  <c r="K50" i="9"/>
  <c r="E16" i="5"/>
  <c r="D24" i="29" s="1"/>
  <c r="B59" i="29" s="1"/>
  <c r="B60" i="29" s="1"/>
  <c r="F36" i="1"/>
  <c r="G36" i="1"/>
  <c r="C36" i="1"/>
  <c r="B64" i="29" l="1"/>
  <c r="B62" i="29" s="1"/>
  <c r="B63" i="29"/>
  <c r="O39" i="4"/>
  <c r="U41" i="4"/>
  <c r="AE41" i="4" s="1"/>
  <c r="Z41" i="4" s="1"/>
  <c r="X44" i="4" s="1"/>
  <c r="H37" i="1"/>
  <c r="O40" i="4"/>
  <c r="O41" i="4"/>
  <c r="J64" i="9"/>
  <c r="J65" i="9" s="1"/>
  <c r="J66" i="9" s="1"/>
  <c r="J67" i="9" s="1"/>
  <c r="J68" i="9" s="1"/>
  <c r="W43" i="4" s="1"/>
  <c r="K53" i="9"/>
  <c r="J55" i="9" s="1"/>
  <c r="J56" i="9" s="1"/>
  <c r="J57" i="9" s="1"/>
  <c r="W42" i="4" s="1"/>
  <c r="P197" i="26"/>
  <c r="M7" i="25"/>
  <c r="M8" i="25"/>
  <c r="M9" i="25"/>
  <c r="M10" i="25"/>
  <c r="M11" i="25"/>
  <c r="M6" i="25"/>
  <c r="T38" i="25"/>
  <c r="T39" i="25"/>
  <c r="T40" i="25"/>
  <c r="T41" i="25"/>
  <c r="T42" i="25"/>
  <c r="T37" i="25"/>
  <c r="F69" i="25"/>
  <c r="F70" i="25"/>
  <c r="F71" i="25"/>
  <c r="F72" i="25"/>
  <c r="F73" i="25"/>
  <c r="F68" i="25"/>
  <c r="F7" i="25"/>
  <c r="F8" i="25"/>
  <c r="F9" i="25"/>
  <c r="F10" i="25"/>
  <c r="F11" i="25"/>
  <c r="F6" i="25"/>
  <c r="T69" i="25"/>
  <c r="T70" i="25"/>
  <c r="T71" i="25"/>
  <c r="T72" i="25"/>
  <c r="T73" i="25"/>
  <c r="T68" i="25"/>
  <c r="M69" i="25"/>
  <c r="M70" i="25"/>
  <c r="M71" i="25"/>
  <c r="M72" i="25"/>
  <c r="M73" i="25"/>
  <c r="M68" i="25"/>
  <c r="T7" i="25"/>
  <c r="T8" i="25"/>
  <c r="T9" i="25"/>
  <c r="T10" i="25"/>
  <c r="T11" i="25"/>
  <c r="T6" i="25"/>
  <c r="F38" i="25"/>
  <c r="F39" i="25"/>
  <c r="F40" i="25"/>
  <c r="F41" i="25"/>
  <c r="F42" i="25"/>
  <c r="F37" i="25"/>
  <c r="M38" i="25"/>
  <c r="M39" i="25"/>
  <c r="M40" i="25"/>
  <c r="M41" i="25"/>
  <c r="M42" i="25"/>
  <c r="M37" i="25"/>
  <c r="C38" i="4"/>
  <c r="V38" i="4" s="1"/>
  <c r="Z44" i="4" l="1"/>
  <c r="Z45" i="4" s="1"/>
  <c r="N38" i="4" s="1"/>
  <c r="J48" i="4"/>
  <c r="K47" i="1" s="1"/>
  <c r="J46" i="4"/>
  <c r="K45" i="1" s="1"/>
  <c r="S7" i="4"/>
  <c r="A357" i="26" l="1"/>
  <c r="A377" i="26" s="1"/>
  <c r="A338" i="26" s="1"/>
  <c r="N343" i="26"/>
  <c r="N342" i="26"/>
  <c r="L343" i="26"/>
  <c r="F351" i="26" s="1"/>
  <c r="L342" i="26"/>
  <c r="J376" i="26"/>
  <c r="I376" i="26"/>
  <c r="J375" i="26"/>
  <c r="I375" i="26"/>
  <c r="J374" i="26"/>
  <c r="I374" i="26"/>
  <c r="J373" i="26"/>
  <c r="I373" i="26"/>
  <c r="J372" i="26"/>
  <c r="I372" i="26"/>
  <c r="J371" i="26"/>
  <c r="I371" i="26"/>
  <c r="J370" i="26"/>
  <c r="I370" i="26"/>
  <c r="J369" i="26"/>
  <c r="I369" i="26"/>
  <c r="J368" i="26"/>
  <c r="I368" i="26"/>
  <c r="J367" i="26"/>
  <c r="I367" i="26"/>
  <c r="J366" i="26"/>
  <c r="I366" i="26"/>
  <c r="J365" i="26"/>
  <c r="I365" i="26"/>
  <c r="J364" i="26"/>
  <c r="I364" i="26"/>
  <c r="J363" i="26"/>
  <c r="I363" i="26"/>
  <c r="J362" i="26"/>
  <c r="I362" i="26"/>
  <c r="J361" i="26"/>
  <c r="I361" i="26"/>
  <c r="J360" i="26"/>
  <c r="I360" i="26"/>
  <c r="J359" i="26"/>
  <c r="I359" i="26"/>
  <c r="J358" i="26"/>
  <c r="I358" i="26"/>
  <c r="L336" i="26"/>
  <c r="K336" i="26"/>
  <c r="J336" i="26"/>
  <c r="E336" i="26"/>
  <c r="D336" i="26"/>
  <c r="C336" i="26"/>
  <c r="L335" i="26"/>
  <c r="K335" i="26"/>
  <c r="J335" i="26"/>
  <c r="E335" i="26"/>
  <c r="D335" i="26"/>
  <c r="C335" i="26"/>
  <c r="L334" i="26"/>
  <c r="K334" i="26"/>
  <c r="J334" i="26"/>
  <c r="E334" i="26"/>
  <c r="D334" i="26"/>
  <c r="C334" i="26"/>
  <c r="L333" i="26"/>
  <c r="K333" i="26"/>
  <c r="J333" i="26"/>
  <c r="E333" i="26"/>
  <c r="D333" i="26"/>
  <c r="C333" i="26"/>
  <c r="L332" i="26"/>
  <c r="K332" i="26"/>
  <c r="J332" i="26"/>
  <c r="E332" i="26"/>
  <c r="D332" i="26"/>
  <c r="C332" i="26"/>
  <c r="L331" i="26"/>
  <c r="K331" i="26"/>
  <c r="J331" i="26"/>
  <c r="E331" i="26"/>
  <c r="D331" i="26"/>
  <c r="C331" i="26"/>
  <c r="L330" i="26"/>
  <c r="K330" i="26"/>
  <c r="J330" i="26"/>
  <c r="E330" i="26"/>
  <c r="D330" i="26"/>
  <c r="C330" i="26"/>
  <c r="L329" i="26"/>
  <c r="K329" i="26"/>
  <c r="J329" i="26"/>
  <c r="E329" i="26"/>
  <c r="D329" i="26"/>
  <c r="C329" i="26"/>
  <c r="L328" i="26"/>
  <c r="K328" i="26"/>
  <c r="J328" i="26"/>
  <c r="E328" i="26"/>
  <c r="D328" i="26"/>
  <c r="C328" i="26"/>
  <c r="L327" i="26"/>
  <c r="K327" i="26"/>
  <c r="J327" i="26"/>
  <c r="E327" i="26"/>
  <c r="D327" i="26"/>
  <c r="C327" i="26"/>
  <c r="L326" i="26"/>
  <c r="K326" i="26"/>
  <c r="J326" i="26"/>
  <c r="E326" i="26"/>
  <c r="D326" i="26"/>
  <c r="C326" i="26"/>
  <c r="L325" i="26"/>
  <c r="K325" i="26"/>
  <c r="J325" i="26"/>
  <c r="E325" i="26"/>
  <c r="D325" i="26"/>
  <c r="C325" i="26"/>
  <c r="L324" i="26"/>
  <c r="K324" i="26"/>
  <c r="J324" i="26"/>
  <c r="E324" i="26"/>
  <c r="D324" i="26"/>
  <c r="C324" i="26"/>
  <c r="L323" i="26"/>
  <c r="K323" i="26"/>
  <c r="J323" i="26"/>
  <c r="E323" i="26"/>
  <c r="D323" i="26"/>
  <c r="C323" i="26"/>
  <c r="L322" i="26"/>
  <c r="K322" i="26"/>
  <c r="J322" i="26"/>
  <c r="E322" i="26"/>
  <c r="D322" i="26"/>
  <c r="C322" i="26"/>
  <c r="L321" i="26"/>
  <c r="K321" i="26"/>
  <c r="J321" i="26"/>
  <c r="E321" i="26"/>
  <c r="D321" i="26"/>
  <c r="C321" i="26"/>
  <c r="L320" i="26"/>
  <c r="K320" i="26"/>
  <c r="J320" i="26"/>
  <c r="E320" i="26"/>
  <c r="D320" i="26"/>
  <c r="C320" i="26"/>
  <c r="L319" i="26"/>
  <c r="K319" i="26"/>
  <c r="J319" i="26"/>
  <c r="E319" i="26"/>
  <c r="D319" i="26"/>
  <c r="C319" i="26"/>
  <c r="L318" i="26"/>
  <c r="K318" i="26"/>
  <c r="J318" i="26"/>
  <c r="E318" i="26"/>
  <c r="D318" i="26"/>
  <c r="C318" i="26"/>
  <c r="L316" i="26"/>
  <c r="K316" i="26"/>
  <c r="J316" i="26"/>
  <c r="E316" i="26"/>
  <c r="D316" i="26"/>
  <c r="C316" i="26"/>
  <c r="L315" i="26"/>
  <c r="K315" i="26"/>
  <c r="J315" i="26"/>
  <c r="E315" i="26"/>
  <c r="D315" i="26"/>
  <c r="C315" i="26"/>
  <c r="L314" i="26"/>
  <c r="K314" i="26"/>
  <c r="J314" i="26"/>
  <c r="E314" i="26"/>
  <c r="D314" i="26"/>
  <c r="C314" i="26"/>
  <c r="L313" i="26"/>
  <c r="K313" i="26"/>
  <c r="J313" i="26"/>
  <c r="E313" i="26"/>
  <c r="D313" i="26"/>
  <c r="C313" i="26"/>
  <c r="L312" i="26"/>
  <c r="K312" i="26"/>
  <c r="J312" i="26"/>
  <c r="E312" i="26"/>
  <c r="D312" i="26"/>
  <c r="C312" i="26"/>
  <c r="L311" i="26"/>
  <c r="K311" i="26"/>
  <c r="J311" i="26"/>
  <c r="E311" i="26"/>
  <c r="D311" i="26"/>
  <c r="C311" i="26"/>
  <c r="L310" i="26"/>
  <c r="K310" i="26"/>
  <c r="J310" i="26"/>
  <c r="E310" i="26"/>
  <c r="D310" i="26"/>
  <c r="C310" i="26"/>
  <c r="L309" i="26"/>
  <c r="K309" i="26"/>
  <c r="J309" i="26"/>
  <c r="E309" i="26"/>
  <c r="D309" i="26"/>
  <c r="C309" i="26"/>
  <c r="L308" i="26"/>
  <c r="K308" i="26"/>
  <c r="J308" i="26"/>
  <c r="E308" i="26"/>
  <c r="D308" i="26"/>
  <c r="C308" i="26"/>
  <c r="L307" i="26"/>
  <c r="K307" i="26"/>
  <c r="J307" i="26"/>
  <c r="E307" i="26"/>
  <c r="D307" i="26"/>
  <c r="C307" i="26"/>
  <c r="L306" i="26"/>
  <c r="K306" i="26"/>
  <c r="J306" i="26"/>
  <c r="E306" i="26"/>
  <c r="D306" i="26"/>
  <c r="C306" i="26"/>
  <c r="L305" i="26"/>
  <c r="K305" i="26"/>
  <c r="J305" i="26"/>
  <c r="E305" i="26"/>
  <c r="D305" i="26"/>
  <c r="C305" i="26"/>
  <c r="L304" i="26"/>
  <c r="K304" i="26"/>
  <c r="J304" i="26"/>
  <c r="E304" i="26"/>
  <c r="D304" i="26"/>
  <c r="C304" i="26"/>
  <c r="L303" i="26"/>
  <c r="K303" i="26"/>
  <c r="J303" i="26"/>
  <c r="E303" i="26"/>
  <c r="D303" i="26"/>
  <c r="C303" i="26"/>
  <c r="L302" i="26"/>
  <c r="K302" i="26"/>
  <c r="J302" i="26"/>
  <c r="E302" i="26"/>
  <c r="D302" i="26"/>
  <c r="C302" i="26"/>
  <c r="L301" i="26"/>
  <c r="K301" i="26"/>
  <c r="J301" i="26"/>
  <c r="E301" i="26"/>
  <c r="D301" i="26"/>
  <c r="C301" i="26"/>
  <c r="L300" i="26"/>
  <c r="K300" i="26"/>
  <c r="J300" i="26"/>
  <c r="E300" i="26"/>
  <c r="D300" i="26"/>
  <c r="C300" i="26"/>
  <c r="L299" i="26"/>
  <c r="K299" i="26"/>
  <c r="J299" i="26"/>
  <c r="E299" i="26"/>
  <c r="D299" i="26"/>
  <c r="C299" i="26"/>
  <c r="L298" i="26"/>
  <c r="K298" i="26"/>
  <c r="J298" i="26"/>
  <c r="E298" i="26"/>
  <c r="D298" i="26"/>
  <c r="C298" i="26"/>
  <c r="L296" i="26"/>
  <c r="K296" i="26"/>
  <c r="J296" i="26"/>
  <c r="E296" i="26"/>
  <c r="D296" i="26"/>
  <c r="C296" i="26"/>
  <c r="L295" i="26"/>
  <c r="K295" i="26"/>
  <c r="J295" i="26"/>
  <c r="E295" i="26"/>
  <c r="D295" i="26"/>
  <c r="C295" i="26"/>
  <c r="L294" i="26"/>
  <c r="K294" i="26"/>
  <c r="J294" i="26"/>
  <c r="E294" i="26"/>
  <c r="D294" i="26"/>
  <c r="C294" i="26"/>
  <c r="L293" i="26"/>
  <c r="K293" i="26"/>
  <c r="J293" i="26"/>
  <c r="E293" i="26"/>
  <c r="D293" i="26"/>
  <c r="C293" i="26"/>
  <c r="L292" i="26"/>
  <c r="K292" i="26"/>
  <c r="J292" i="26"/>
  <c r="E292" i="26"/>
  <c r="D292" i="26"/>
  <c r="C292" i="26"/>
  <c r="L291" i="26"/>
  <c r="K291" i="26"/>
  <c r="J291" i="26"/>
  <c r="E291" i="26"/>
  <c r="D291" i="26"/>
  <c r="C291" i="26"/>
  <c r="L290" i="26"/>
  <c r="K290" i="26"/>
  <c r="J290" i="26"/>
  <c r="E290" i="26"/>
  <c r="D290" i="26"/>
  <c r="C290" i="26"/>
  <c r="L289" i="26"/>
  <c r="K289" i="26"/>
  <c r="J289" i="26"/>
  <c r="E289" i="26"/>
  <c r="D289" i="26"/>
  <c r="C289" i="26"/>
  <c r="L288" i="26"/>
  <c r="K288" i="26"/>
  <c r="J288" i="26"/>
  <c r="E288" i="26"/>
  <c r="D288" i="26"/>
  <c r="C288" i="26"/>
  <c r="L287" i="26"/>
  <c r="K287" i="26"/>
  <c r="J287" i="26"/>
  <c r="E287" i="26"/>
  <c r="D287" i="26"/>
  <c r="C287" i="26"/>
  <c r="L286" i="26"/>
  <c r="K286" i="26"/>
  <c r="J286" i="26"/>
  <c r="E286" i="26"/>
  <c r="D286" i="26"/>
  <c r="C286" i="26"/>
  <c r="L285" i="26"/>
  <c r="K285" i="26"/>
  <c r="J285" i="26"/>
  <c r="E285" i="26"/>
  <c r="D285" i="26"/>
  <c r="C285" i="26"/>
  <c r="L284" i="26"/>
  <c r="K284" i="26"/>
  <c r="J284" i="26"/>
  <c r="E284" i="26"/>
  <c r="D284" i="26"/>
  <c r="C284" i="26"/>
  <c r="L283" i="26"/>
  <c r="K283" i="26"/>
  <c r="J283" i="26"/>
  <c r="E283" i="26"/>
  <c r="D283" i="26"/>
  <c r="C283" i="26"/>
  <c r="L282" i="26"/>
  <c r="K282" i="26"/>
  <c r="J282" i="26"/>
  <c r="E282" i="26"/>
  <c r="D282" i="26"/>
  <c r="C282" i="26"/>
  <c r="L281" i="26"/>
  <c r="K281" i="26"/>
  <c r="J281" i="26"/>
  <c r="E281" i="26"/>
  <c r="D281" i="26"/>
  <c r="C281" i="26"/>
  <c r="L280" i="26"/>
  <c r="K280" i="26"/>
  <c r="J280" i="26"/>
  <c r="E280" i="26"/>
  <c r="D280" i="26"/>
  <c r="C280" i="26"/>
  <c r="L279" i="26"/>
  <c r="K279" i="26"/>
  <c r="J279" i="26"/>
  <c r="E279" i="26"/>
  <c r="D279" i="26"/>
  <c r="C279" i="26"/>
  <c r="L278" i="26"/>
  <c r="K278" i="26"/>
  <c r="J278" i="26"/>
  <c r="E278" i="26"/>
  <c r="D278" i="26"/>
  <c r="C278" i="26"/>
  <c r="L276" i="26"/>
  <c r="K276" i="26"/>
  <c r="J276" i="26"/>
  <c r="E276" i="26"/>
  <c r="D276" i="26"/>
  <c r="C276" i="26"/>
  <c r="P275" i="26"/>
  <c r="L275" i="26"/>
  <c r="K275" i="26"/>
  <c r="J275" i="26"/>
  <c r="E275" i="26"/>
  <c r="D275" i="26"/>
  <c r="C275" i="26"/>
  <c r="P274" i="26"/>
  <c r="L274" i="26"/>
  <c r="K274" i="26"/>
  <c r="J274" i="26"/>
  <c r="E274" i="26"/>
  <c r="D274" i="26"/>
  <c r="C274" i="26"/>
  <c r="P273" i="26"/>
  <c r="L273" i="26"/>
  <c r="K273" i="26"/>
  <c r="J273" i="26"/>
  <c r="E273" i="26"/>
  <c r="D273" i="26"/>
  <c r="C273" i="26"/>
  <c r="P272" i="26"/>
  <c r="L272" i="26"/>
  <c r="K272" i="26"/>
  <c r="J272" i="26"/>
  <c r="E272" i="26"/>
  <c r="D272" i="26"/>
  <c r="C272" i="26"/>
  <c r="P271" i="26"/>
  <c r="L271" i="26"/>
  <c r="K271" i="26"/>
  <c r="J271" i="26"/>
  <c r="E271" i="26"/>
  <c r="D271" i="26"/>
  <c r="C271" i="26"/>
  <c r="P270" i="26"/>
  <c r="L270" i="26"/>
  <c r="K270" i="26"/>
  <c r="J270" i="26"/>
  <c r="E270" i="26"/>
  <c r="D270" i="26"/>
  <c r="C270" i="26"/>
  <c r="P269" i="26"/>
  <c r="L269" i="26"/>
  <c r="K269" i="26"/>
  <c r="J269" i="26"/>
  <c r="E269" i="26"/>
  <c r="D269" i="26"/>
  <c r="C269" i="26"/>
  <c r="P268" i="26"/>
  <c r="L268" i="26"/>
  <c r="K268" i="26"/>
  <c r="J268" i="26"/>
  <c r="E268" i="26"/>
  <c r="D268" i="26"/>
  <c r="C268" i="26"/>
  <c r="P267" i="26"/>
  <c r="L267" i="26"/>
  <c r="K267" i="26"/>
  <c r="J267" i="26"/>
  <c r="E267" i="26"/>
  <c r="D267" i="26"/>
  <c r="C267" i="26"/>
  <c r="P266" i="26"/>
  <c r="L266" i="26"/>
  <c r="K266" i="26"/>
  <c r="J266" i="26"/>
  <c r="E266" i="26"/>
  <c r="D266" i="26"/>
  <c r="C266" i="26"/>
  <c r="P265" i="26"/>
  <c r="L265" i="26"/>
  <c r="K265" i="26"/>
  <c r="J265" i="26"/>
  <c r="E265" i="26"/>
  <c r="D265" i="26"/>
  <c r="C265" i="26"/>
  <c r="P264" i="26"/>
  <c r="L264" i="26"/>
  <c r="K264" i="26"/>
  <c r="J264" i="26"/>
  <c r="E264" i="26"/>
  <c r="D264" i="26"/>
  <c r="C264" i="26"/>
  <c r="P263" i="26"/>
  <c r="L263" i="26"/>
  <c r="K263" i="26"/>
  <c r="J263" i="26"/>
  <c r="E263" i="26"/>
  <c r="D263" i="26"/>
  <c r="C263" i="26"/>
  <c r="P262" i="26"/>
  <c r="L262" i="26"/>
  <c r="K262" i="26"/>
  <c r="J262" i="26"/>
  <c r="E262" i="26"/>
  <c r="D262" i="26"/>
  <c r="C262" i="26"/>
  <c r="P261" i="26"/>
  <c r="L261" i="26"/>
  <c r="K261" i="26"/>
  <c r="J261" i="26"/>
  <c r="E261" i="26"/>
  <c r="D261" i="26"/>
  <c r="C261" i="26"/>
  <c r="P260" i="26"/>
  <c r="L260" i="26"/>
  <c r="K260" i="26"/>
  <c r="J260" i="26"/>
  <c r="E260" i="26"/>
  <c r="D260" i="26"/>
  <c r="C260" i="26"/>
  <c r="P259" i="26"/>
  <c r="L259" i="26"/>
  <c r="K259" i="26"/>
  <c r="J259" i="26"/>
  <c r="E259" i="26"/>
  <c r="D259" i="26"/>
  <c r="C259" i="26"/>
  <c r="P258" i="26"/>
  <c r="L258" i="26"/>
  <c r="K258" i="26"/>
  <c r="J258" i="26"/>
  <c r="E258" i="26"/>
  <c r="D258" i="26"/>
  <c r="C258" i="26"/>
  <c r="P257" i="26"/>
  <c r="L256" i="26"/>
  <c r="K256" i="26"/>
  <c r="J256" i="26"/>
  <c r="E256" i="26"/>
  <c r="D256" i="26"/>
  <c r="C256" i="26"/>
  <c r="L255" i="26"/>
  <c r="K255" i="26"/>
  <c r="J255" i="26"/>
  <c r="E255" i="26"/>
  <c r="D255" i="26"/>
  <c r="C255" i="26"/>
  <c r="L254" i="26"/>
  <c r="K254" i="26"/>
  <c r="J254" i="26"/>
  <c r="E254" i="26"/>
  <c r="D254" i="26"/>
  <c r="C254" i="26"/>
  <c r="L253" i="26"/>
  <c r="K253" i="26"/>
  <c r="J253" i="26"/>
  <c r="E253" i="26"/>
  <c r="D253" i="26"/>
  <c r="C253" i="26"/>
  <c r="L252" i="26"/>
  <c r="K252" i="26"/>
  <c r="J252" i="26"/>
  <c r="E252" i="26"/>
  <c r="D252" i="26"/>
  <c r="C252" i="26"/>
  <c r="L251" i="26"/>
  <c r="K251" i="26"/>
  <c r="J251" i="26"/>
  <c r="E251" i="26"/>
  <c r="D251" i="26"/>
  <c r="C251" i="26"/>
  <c r="L250" i="26"/>
  <c r="K250" i="26"/>
  <c r="J250" i="26"/>
  <c r="E250" i="26"/>
  <c r="D250" i="26"/>
  <c r="C250" i="26"/>
  <c r="L249" i="26"/>
  <c r="K249" i="26"/>
  <c r="J249" i="26"/>
  <c r="E249" i="26"/>
  <c r="D249" i="26"/>
  <c r="C249" i="26"/>
  <c r="L248" i="26"/>
  <c r="K248" i="26"/>
  <c r="J248" i="26"/>
  <c r="E248" i="26"/>
  <c r="D248" i="26"/>
  <c r="C248" i="26"/>
  <c r="L247" i="26"/>
  <c r="K247" i="26"/>
  <c r="J247" i="26"/>
  <c r="E247" i="26"/>
  <c r="D247" i="26"/>
  <c r="C247" i="26"/>
  <c r="L246" i="26"/>
  <c r="K246" i="26"/>
  <c r="J246" i="26"/>
  <c r="E246" i="26"/>
  <c r="D246" i="26"/>
  <c r="C246" i="26"/>
  <c r="L245" i="26"/>
  <c r="K245" i="26"/>
  <c r="J245" i="26"/>
  <c r="E245" i="26"/>
  <c r="D245" i="26"/>
  <c r="C245" i="26"/>
  <c r="L244" i="26"/>
  <c r="K244" i="26"/>
  <c r="J244" i="26"/>
  <c r="E244" i="26"/>
  <c r="D244" i="26"/>
  <c r="C244" i="26"/>
  <c r="L243" i="26"/>
  <c r="K243" i="26"/>
  <c r="J243" i="26"/>
  <c r="E243" i="26"/>
  <c r="D243" i="26"/>
  <c r="C243" i="26"/>
  <c r="L242" i="26"/>
  <c r="K242" i="26"/>
  <c r="J242" i="26"/>
  <c r="E242" i="26"/>
  <c r="D242" i="26"/>
  <c r="C242" i="26"/>
  <c r="L241" i="26"/>
  <c r="K241" i="26"/>
  <c r="J241" i="26"/>
  <c r="E241" i="26"/>
  <c r="D241" i="26"/>
  <c r="C241" i="26"/>
  <c r="L240" i="26"/>
  <c r="K240" i="26"/>
  <c r="J240" i="26"/>
  <c r="E240" i="26"/>
  <c r="D240" i="26"/>
  <c r="C240" i="26"/>
  <c r="L239" i="26"/>
  <c r="K239" i="26"/>
  <c r="J239" i="26"/>
  <c r="E239" i="26"/>
  <c r="D239" i="26"/>
  <c r="C239" i="26"/>
  <c r="L238" i="26"/>
  <c r="K238" i="26"/>
  <c r="J238" i="26"/>
  <c r="E238" i="26"/>
  <c r="D238" i="26"/>
  <c r="C238" i="26"/>
  <c r="L236" i="26"/>
  <c r="K236" i="26"/>
  <c r="J236" i="26"/>
  <c r="E236" i="26"/>
  <c r="D236" i="26"/>
  <c r="C236" i="26"/>
  <c r="L235" i="26"/>
  <c r="K235" i="26"/>
  <c r="J235" i="26"/>
  <c r="E235" i="26"/>
  <c r="D235" i="26"/>
  <c r="C235" i="26"/>
  <c r="L234" i="26"/>
  <c r="K234" i="26"/>
  <c r="J234" i="26"/>
  <c r="E234" i="26"/>
  <c r="D234" i="26"/>
  <c r="C234" i="26"/>
  <c r="L233" i="26"/>
  <c r="K233" i="26"/>
  <c r="J233" i="26"/>
  <c r="E233" i="26"/>
  <c r="D233" i="26"/>
  <c r="C233" i="26"/>
  <c r="L232" i="26"/>
  <c r="K232" i="26"/>
  <c r="J232" i="26"/>
  <c r="E232" i="26"/>
  <c r="D232" i="26"/>
  <c r="C232" i="26"/>
  <c r="L231" i="26"/>
  <c r="K231" i="26"/>
  <c r="J231" i="26"/>
  <c r="E231" i="26"/>
  <c r="D231" i="26"/>
  <c r="C231" i="26"/>
  <c r="L230" i="26"/>
  <c r="K230" i="26"/>
  <c r="J230" i="26"/>
  <c r="E230" i="26"/>
  <c r="D230" i="26"/>
  <c r="C230" i="26"/>
  <c r="L229" i="26"/>
  <c r="K229" i="26"/>
  <c r="J229" i="26"/>
  <c r="E229" i="26"/>
  <c r="D229" i="26"/>
  <c r="C229" i="26"/>
  <c r="L228" i="26"/>
  <c r="K228" i="26"/>
  <c r="J228" i="26"/>
  <c r="E228" i="26"/>
  <c r="D228" i="26"/>
  <c r="C228" i="26"/>
  <c r="L227" i="26"/>
  <c r="K227" i="26"/>
  <c r="J227" i="26"/>
  <c r="E227" i="26"/>
  <c r="D227" i="26"/>
  <c r="C227" i="26"/>
  <c r="L226" i="26"/>
  <c r="K226" i="26"/>
  <c r="J226" i="26"/>
  <c r="E226" i="26"/>
  <c r="D226" i="26"/>
  <c r="C226" i="26"/>
  <c r="L225" i="26"/>
  <c r="K225" i="26"/>
  <c r="J225" i="26"/>
  <c r="E225" i="26"/>
  <c r="D225" i="26"/>
  <c r="C225" i="26"/>
  <c r="L224" i="26"/>
  <c r="K224" i="26"/>
  <c r="J224" i="26"/>
  <c r="E224" i="26"/>
  <c r="D224" i="26"/>
  <c r="C224" i="26"/>
  <c r="L223" i="26"/>
  <c r="K223" i="26"/>
  <c r="J223" i="26"/>
  <c r="E223" i="26"/>
  <c r="D223" i="26"/>
  <c r="C223" i="26"/>
  <c r="L222" i="26"/>
  <c r="K222" i="26"/>
  <c r="J222" i="26"/>
  <c r="E222" i="26"/>
  <c r="D222" i="26"/>
  <c r="C222" i="26"/>
  <c r="L221" i="26"/>
  <c r="K221" i="26"/>
  <c r="J221" i="26"/>
  <c r="E221" i="26"/>
  <c r="D221" i="26"/>
  <c r="C221" i="26"/>
  <c r="L220" i="26"/>
  <c r="K220" i="26"/>
  <c r="J220" i="26"/>
  <c r="E220" i="26"/>
  <c r="D220" i="26"/>
  <c r="C220" i="26"/>
  <c r="L219" i="26"/>
  <c r="K219" i="26"/>
  <c r="J219" i="26"/>
  <c r="E219" i="26"/>
  <c r="D219" i="26"/>
  <c r="C219" i="26"/>
  <c r="L218" i="26"/>
  <c r="K218" i="26"/>
  <c r="J218" i="26"/>
  <c r="E218" i="26"/>
  <c r="D218" i="26"/>
  <c r="C218" i="26"/>
  <c r="L216" i="26"/>
  <c r="K216" i="26"/>
  <c r="J216" i="26"/>
  <c r="E216" i="26"/>
  <c r="D216" i="26"/>
  <c r="C216" i="26"/>
  <c r="P215" i="26"/>
  <c r="L215" i="26"/>
  <c r="K215" i="26"/>
  <c r="J215" i="26"/>
  <c r="E215" i="26"/>
  <c r="D215" i="26"/>
  <c r="C215" i="26"/>
  <c r="P214" i="26"/>
  <c r="L214" i="26"/>
  <c r="K214" i="26"/>
  <c r="J214" i="26"/>
  <c r="E214" i="26"/>
  <c r="D214" i="26"/>
  <c r="C214" i="26"/>
  <c r="P213" i="26"/>
  <c r="L213" i="26"/>
  <c r="K213" i="26"/>
  <c r="J213" i="26"/>
  <c r="E213" i="26"/>
  <c r="D213" i="26"/>
  <c r="C213" i="26"/>
  <c r="P212" i="26"/>
  <c r="L212" i="26"/>
  <c r="K212" i="26"/>
  <c r="J212" i="26"/>
  <c r="E212" i="26"/>
  <c r="D212" i="26"/>
  <c r="C212" i="26"/>
  <c r="P211" i="26"/>
  <c r="L211" i="26"/>
  <c r="K211" i="26"/>
  <c r="J211" i="26"/>
  <c r="E211" i="26"/>
  <c r="D211" i="26"/>
  <c r="C211" i="26"/>
  <c r="P210" i="26"/>
  <c r="L210" i="26"/>
  <c r="K210" i="26"/>
  <c r="J210" i="26"/>
  <c r="E210" i="26"/>
  <c r="D210" i="26"/>
  <c r="C210" i="26"/>
  <c r="P209" i="26"/>
  <c r="L209" i="26"/>
  <c r="K209" i="26"/>
  <c r="J209" i="26"/>
  <c r="E209" i="26"/>
  <c r="D209" i="26"/>
  <c r="C209" i="26"/>
  <c r="P208" i="26"/>
  <c r="L208" i="26"/>
  <c r="K208" i="26"/>
  <c r="J208" i="26"/>
  <c r="E208" i="26"/>
  <c r="D208" i="26"/>
  <c r="C208" i="26"/>
  <c r="P207" i="26"/>
  <c r="L207" i="26"/>
  <c r="K207" i="26"/>
  <c r="J207" i="26"/>
  <c r="E207" i="26"/>
  <c r="D207" i="26"/>
  <c r="C207" i="26"/>
  <c r="P206" i="26"/>
  <c r="L206" i="26"/>
  <c r="K206" i="26"/>
  <c r="J206" i="26"/>
  <c r="E206" i="26"/>
  <c r="D206" i="26"/>
  <c r="C206" i="26"/>
  <c r="P205" i="26"/>
  <c r="L205" i="26"/>
  <c r="K205" i="26"/>
  <c r="J205" i="26"/>
  <c r="E205" i="26"/>
  <c r="D205" i="26"/>
  <c r="C205" i="26"/>
  <c r="P204" i="26"/>
  <c r="L204" i="26"/>
  <c r="K204" i="26"/>
  <c r="J204" i="26"/>
  <c r="E204" i="26"/>
  <c r="D204" i="26"/>
  <c r="C204" i="26"/>
  <c r="P203" i="26"/>
  <c r="L203" i="26"/>
  <c r="K203" i="26"/>
  <c r="J203" i="26"/>
  <c r="E203" i="26"/>
  <c r="D203" i="26"/>
  <c r="C203" i="26"/>
  <c r="P202" i="26"/>
  <c r="L202" i="26"/>
  <c r="K202" i="26"/>
  <c r="J202" i="26"/>
  <c r="E202" i="26"/>
  <c r="D202" i="26"/>
  <c r="C202" i="26"/>
  <c r="P201" i="26"/>
  <c r="L201" i="26"/>
  <c r="K201" i="26"/>
  <c r="J201" i="26"/>
  <c r="E201" i="26"/>
  <c r="D201" i="26"/>
  <c r="C201" i="26"/>
  <c r="P200" i="26"/>
  <c r="L200" i="26"/>
  <c r="K200" i="26"/>
  <c r="J200" i="26"/>
  <c r="E200" i="26"/>
  <c r="D200" i="26"/>
  <c r="C200" i="26"/>
  <c r="P199" i="26"/>
  <c r="L199" i="26"/>
  <c r="K199" i="26"/>
  <c r="J199" i="26"/>
  <c r="E199" i="26"/>
  <c r="D199" i="26"/>
  <c r="C199" i="26"/>
  <c r="P198" i="26"/>
  <c r="L198" i="26"/>
  <c r="K198" i="26"/>
  <c r="J198" i="26"/>
  <c r="E198" i="26"/>
  <c r="D198" i="26"/>
  <c r="C198" i="26"/>
  <c r="L192" i="26"/>
  <c r="M335" i="26" s="1"/>
  <c r="F192" i="26"/>
  <c r="F335" i="26" s="1"/>
  <c r="L191" i="26"/>
  <c r="M315" i="26" s="1"/>
  <c r="F191" i="26"/>
  <c r="F315" i="26" s="1"/>
  <c r="L190" i="26"/>
  <c r="M295" i="26" s="1"/>
  <c r="F190" i="26"/>
  <c r="F295" i="26" s="1"/>
  <c r="L189" i="26"/>
  <c r="M275" i="26" s="1"/>
  <c r="F189" i="26"/>
  <c r="F275" i="26" s="1"/>
  <c r="L188" i="26"/>
  <c r="M255" i="26" s="1"/>
  <c r="F188" i="26"/>
  <c r="F255" i="26" s="1"/>
  <c r="L187" i="26"/>
  <c r="M235" i="26" s="1"/>
  <c r="F187" i="26"/>
  <c r="F235" i="26" s="1"/>
  <c r="L186" i="26"/>
  <c r="M215" i="26" s="1"/>
  <c r="F186" i="26"/>
  <c r="F215" i="26" s="1"/>
  <c r="K185" i="26"/>
  <c r="J185" i="26"/>
  <c r="H183" i="26"/>
  <c r="L182" i="26"/>
  <c r="M334" i="26" s="1"/>
  <c r="F182" i="26"/>
  <c r="F334" i="26" s="1"/>
  <c r="L181" i="26"/>
  <c r="M314" i="26" s="1"/>
  <c r="F181" i="26"/>
  <c r="F314" i="26" s="1"/>
  <c r="L180" i="26"/>
  <c r="M294" i="26" s="1"/>
  <c r="F180" i="26"/>
  <c r="F294" i="26" s="1"/>
  <c r="L179" i="26"/>
  <c r="M274" i="26" s="1"/>
  <c r="F179" i="26"/>
  <c r="F274" i="26" s="1"/>
  <c r="L178" i="26"/>
  <c r="M254" i="26" s="1"/>
  <c r="F178" i="26"/>
  <c r="F254" i="26" s="1"/>
  <c r="L177" i="26"/>
  <c r="M234" i="26" s="1"/>
  <c r="F177" i="26"/>
  <c r="F234" i="26" s="1"/>
  <c r="L176" i="26"/>
  <c r="M214" i="26" s="1"/>
  <c r="F176" i="26"/>
  <c r="F214" i="26" s="1"/>
  <c r="K175" i="26"/>
  <c r="J175" i="26"/>
  <c r="H173" i="26"/>
  <c r="L172" i="26"/>
  <c r="M333" i="26" s="1"/>
  <c r="F172" i="26"/>
  <c r="F333" i="26" s="1"/>
  <c r="L171" i="26"/>
  <c r="M313" i="26" s="1"/>
  <c r="F171" i="26"/>
  <c r="F313" i="26" s="1"/>
  <c r="L170" i="26"/>
  <c r="M293" i="26" s="1"/>
  <c r="F170" i="26"/>
  <c r="F293" i="26" s="1"/>
  <c r="L169" i="26"/>
  <c r="M273" i="26" s="1"/>
  <c r="F169" i="26"/>
  <c r="F273" i="26" s="1"/>
  <c r="L168" i="26"/>
  <c r="M253" i="26" s="1"/>
  <c r="F168" i="26"/>
  <c r="F253" i="26" s="1"/>
  <c r="L167" i="26"/>
  <c r="M233" i="26" s="1"/>
  <c r="F167" i="26"/>
  <c r="F233" i="26" s="1"/>
  <c r="L166" i="26"/>
  <c r="M213" i="26" s="1"/>
  <c r="F166" i="26"/>
  <c r="F213" i="26" s="1"/>
  <c r="K165" i="26"/>
  <c r="J165" i="26"/>
  <c r="H163" i="26"/>
  <c r="L162" i="26"/>
  <c r="M332" i="26" s="1"/>
  <c r="F162" i="26"/>
  <c r="F332" i="26" s="1"/>
  <c r="L161" i="26"/>
  <c r="M312" i="26" s="1"/>
  <c r="F161" i="26"/>
  <c r="F312" i="26" s="1"/>
  <c r="L160" i="26"/>
  <c r="M292" i="26" s="1"/>
  <c r="F160" i="26"/>
  <c r="F292" i="26" s="1"/>
  <c r="L159" i="26"/>
  <c r="M272" i="26" s="1"/>
  <c r="F159" i="26"/>
  <c r="F272" i="26" s="1"/>
  <c r="L158" i="26"/>
  <c r="M252" i="26" s="1"/>
  <c r="F158" i="26"/>
  <c r="F252" i="26" s="1"/>
  <c r="L157" i="26"/>
  <c r="M232" i="26" s="1"/>
  <c r="F157" i="26"/>
  <c r="F232" i="26" s="1"/>
  <c r="L156" i="26"/>
  <c r="M212" i="26" s="1"/>
  <c r="F156" i="26"/>
  <c r="F212" i="26" s="1"/>
  <c r="K155" i="26"/>
  <c r="J155" i="26"/>
  <c r="H153" i="26"/>
  <c r="L152" i="26"/>
  <c r="M331" i="26" s="1"/>
  <c r="F152" i="26"/>
  <c r="F331" i="26" s="1"/>
  <c r="L151" i="26"/>
  <c r="M311" i="26" s="1"/>
  <c r="F151" i="26"/>
  <c r="F311" i="26" s="1"/>
  <c r="L150" i="26"/>
  <c r="M291" i="26" s="1"/>
  <c r="F150" i="26"/>
  <c r="F291" i="26" s="1"/>
  <c r="L149" i="26"/>
  <c r="M271" i="26" s="1"/>
  <c r="F149" i="26"/>
  <c r="F271" i="26" s="1"/>
  <c r="L148" i="26"/>
  <c r="M251" i="26" s="1"/>
  <c r="F148" i="26"/>
  <c r="F251" i="26" s="1"/>
  <c r="L147" i="26"/>
  <c r="M231" i="26" s="1"/>
  <c r="F147" i="26"/>
  <c r="F231" i="26" s="1"/>
  <c r="L146" i="26"/>
  <c r="M211" i="26" s="1"/>
  <c r="F146" i="26"/>
  <c r="F211" i="26" s="1"/>
  <c r="K145" i="26"/>
  <c r="J145" i="26"/>
  <c r="H143" i="26"/>
  <c r="L142" i="26"/>
  <c r="M330" i="26" s="1"/>
  <c r="F142" i="26"/>
  <c r="F330" i="26" s="1"/>
  <c r="L141" i="26"/>
  <c r="M310" i="26" s="1"/>
  <c r="F141" i="26"/>
  <c r="F310" i="26" s="1"/>
  <c r="L140" i="26"/>
  <c r="M290" i="26" s="1"/>
  <c r="F140" i="26"/>
  <c r="F290" i="26" s="1"/>
  <c r="L139" i="26"/>
  <c r="M270" i="26" s="1"/>
  <c r="F139" i="26"/>
  <c r="F270" i="26" s="1"/>
  <c r="L138" i="26"/>
  <c r="M250" i="26" s="1"/>
  <c r="F138" i="26"/>
  <c r="F250" i="26" s="1"/>
  <c r="L137" i="26"/>
  <c r="M230" i="26" s="1"/>
  <c r="F137" i="26"/>
  <c r="F230" i="26" s="1"/>
  <c r="L136" i="26"/>
  <c r="M210" i="26" s="1"/>
  <c r="F136" i="26"/>
  <c r="F210" i="26" s="1"/>
  <c r="K135" i="26"/>
  <c r="J135" i="26"/>
  <c r="H133" i="26"/>
  <c r="L132" i="26"/>
  <c r="M329" i="26" s="1"/>
  <c r="F132" i="26"/>
  <c r="F329" i="26" s="1"/>
  <c r="L131" i="26"/>
  <c r="M309" i="26" s="1"/>
  <c r="F131" i="26"/>
  <c r="F309" i="26" s="1"/>
  <c r="L130" i="26"/>
  <c r="M289" i="26" s="1"/>
  <c r="F130" i="26"/>
  <c r="F289" i="26" s="1"/>
  <c r="L129" i="26"/>
  <c r="M269" i="26" s="1"/>
  <c r="F129" i="26"/>
  <c r="F269" i="26" s="1"/>
  <c r="L128" i="26"/>
  <c r="M249" i="26" s="1"/>
  <c r="F128" i="26"/>
  <c r="F249" i="26" s="1"/>
  <c r="L127" i="26"/>
  <c r="M229" i="26" s="1"/>
  <c r="F127" i="26"/>
  <c r="F229" i="26" s="1"/>
  <c r="L126" i="26"/>
  <c r="M209" i="26" s="1"/>
  <c r="F126" i="26"/>
  <c r="F209" i="26" s="1"/>
  <c r="K125" i="26"/>
  <c r="J125" i="26"/>
  <c r="H123" i="26"/>
  <c r="L121" i="26"/>
  <c r="M328" i="26" s="1"/>
  <c r="F121" i="26"/>
  <c r="F328" i="26" s="1"/>
  <c r="L120" i="26"/>
  <c r="M308" i="26" s="1"/>
  <c r="F120" i="26"/>
  <c r="F308" i="26" s="1"/>
  <c r="L119" i="26"/>
  <c r="M288" i="26" s="1"/>
  <c r="F119" i="26"/>
  <c r="F288" i="26" s="1"/>
  <c r="L118" i="26"/>
  <c r="M268" i="26" s="1"/>
  <c r="F118" i="26"/>
  <c r="F268" i="26" s="1"/>
  <c r="L117" i="26"/>
  <c r="M248" i="26" s="1"/>
  <c r="F117" i="26"/>
  <c r="F248" i="26" s="1"/>
  <c r="L116" i="26"/>
  <c r="M228" i="26" s="1"/>
  <c r="F116" i="26"/>
  <c r="F228" i="26" s="1"/>
  <c r="L115" i="26"/>
  <c r="M208" i="26" s="1"/>
  <c r="F115" i="26"/>
  <c r="F208" i="26" s="1"/>
  <c r="K114" i="26"/>
  <c r="J114" i="26"/>
  <c r="H112" i="26"/>
  <c r="L110" i="26"/>
  <c r="M327" i="26" s="1"/>
  <c r="F110" i="26"/>
  <c r="F327" i="26" s="1"/>
  <c r="L109" i="26"/>
  <c r="M307" i="26" s="1"/>
  <c r="F109" i="26"/>
  <c r="F307" i="26" s="1"/>
  <c r="L108" i="26"/>
  <c r="M287" i="26" s="1"/>
  <c r="F108" i="26"/>
  <c r="F287" i="26" s="1"/>
  <c r="L107" i="26"/>
  <c r="M267" i="26" s="1"/>
  <c r="F107" i="26"/>
  <c r="F267" i="26" s="1"/>
  <c r="L106" i="26"/>
  <c r="M247" i="26" s="1"/>
  <c r="F106" i="26"/>
  <c r="F247" i="26" s="1"/>
  <c r="L105" i="26"/>
  <c r="M227" i="26" s="1"/>
  <c r="F105" i="26"/>
  <c r="F227" i="26" s="1"/>
  <c r="L104" i="26"/>
  <c r="M207" i="26" s="1"/>
  <c r="F104" i="26"/>
  <c r="F207" i="26" s="1"/>
  <c r="K103" i="26"/>
  <c r="J103" i="26"/>
  <c r="H101" i="26"/>
  <c r="L99" i="26"/>
  <c r="M326" i="26" s="1"/>
  <c r="F99" i="26"/>
  <c r="F326" i="26" s="1"/>
  <c r="L98" i="26"/>
  <c r="M306" i="26" s="1"/>
  <c r="F98" i="26"/>
  <c r="F306" i="26" s="1"/>
  <c r="L97" i="26"/>
  <c r="M286" i="26" s="1"/>
  <c r="F97" i="26"/>
  <c r="F286" i="26" s="1"/>
  <c r="L96" i="26"/>
  <c r="M266" i="26" s="1"/>
  <c r="F96" i="26"/>
  <c r="F266" i="26" s="1"/>
  <c r="L95" i="26"/>
  <c r="M246" i="26" s="1"/>
  <c r="F95" i="26"/>
  <c r="F246" i="26" s="1"/>
  <c r="L94" i="26"/>
  <c r="M226" i="26" s="1"/>
  <c r="F94" i="26"/>
  <c r="F226" i="26" s="1"/>
  <c r="L93" i="26"/>
  <c r="M206" i="26" s="1"/>
  <c r="F93" i="26"/>
  <c r="F206" i="26" s="1"/>
  <c r="K92" i="26"/>
  <c r="J92" i="26"/>
  <c r="H90" i="26"/>
  <c r="L88" i="26"/>
  <c r="M325" i="26" s="1"/>
  <c r="F88" i="26"/>
  <c r="F325" i="26" s="1"/>
  <c r="L87" i="26"/>
  <c r="M305" i="26" s="1"/>
  <c r="F87" i="26"/>
  <c r="F305" i="26" s="1"/>
  <c r="L86" i="26"/>
  <c r="M285" i="26" s="1"/>
  <c r="F86" i="26"/>
  <c r="F285" i="26" s="1"/>
  <c r="L85" i="26"/>
  <c r="M265" i="26" s="1"/>
  <c r="F85" i="26"/>
  <c r="F265" i="26" s="1"/>
  <c r="L84" i="26"/>
  <c r="M245" i="26" s="1"/>
  <c r="F84" i="26"/>
  <c r="F245" i="26" s="1"/>
  <c r="L83" i="26"/>
  <c r="M225" i="26" s="1"/>
  <c r="F83" i="26"/>
  <c r="F225" i="26" s="1"/>
  <c r="L82" i="26"/>
  <c r="M205" i="26" s="1"/>
  <c r="F82" i="26"/>
  <c r="F205" i="26" s="1"/>
  <c r="K81" i="26"/>
  <c r="J81" i="26"/>
  <c r="H79" i="26"/>
  <c r="L77" i="26"/>
  <c r="M324" i="26" s="1"/>
  <c r="F77" i="26"/>
  <c r="F324" i="26" s="1"/>
  <c r="L76" i="26"/>
  <c r="M304" i="26" s="1"/>
  <c r="F76" i="26"/>
  <c r="F304" i="26" s="1"/>
  <c r="L75" i="26"/>
  <c r="M284" i="26" s="1"/>
  <c r="F75" i="26"/>
  <c r="F284" i="26" s="1"/>
  <c r="L74" i="26"/>
  <c r="M264" i="26" s="1"/>
  <c r="F74" i="26"/>
  <c r="F264" i="26" s="1"/>
  <c r="L73" i="26"/>
  <c r="M244" i="26" s="1"/>
  <c r="F73" i="26"/>
  <c r="F244" i="26" s="1"/>
  <c r="L72" i="26"/>
  <c r="M224" i="26" s="1"/>
  <c r="F72" i="26"/>
  <c r="F224" i="26" s="1"/>
  <c r="L71" i="26"/>
  <c r="M204" i="26" s="1"/>
  <c r="F71" i="26"/>
  <c r="F204" i="26" s="1"/>
  <c r="K70" i="26"/>
  <c r="J70" i="26"/>
  <c r="H68" i="26"/>
  <c r="L66" i="26"/>
  <c r="M323" i="26" s="1"/>
  <c r="F66" i="26"/>
  <c r="F323" i="26" s="1"/>
  <c r="L65" i="26"/>
  <c r="M303" i="26" s="1"/>
  <c r="F65" i="26"/>
  <c r="F303" i="26" s="1"/>
  <c r="L64" i="26"/>
  <c r="M283" i="26" s="1"/>
  <c r="F64" i="26"/>
  <c r="F283" i="26" s="1"/>
  <c r="L63" i="26"/>
  <c r="M263" i="26" s="1"/>
  <c r="F63" i="26"/>
  <c r="F263" i="26" s="1"/>
  <c r="L62" i="26"/>
  <c r="M243" i="26" s="1"/>
  <c r="F62" i="26"/>
  <c r="F243" i="26" s="1"/>
  <c r="L61" i="26"/>
  <c r="M223" i="26" s="1"/>
  <c r="F61" i="26"/>
  <c r="F223" i="26" s="1"/>
  <c r="L60" i="26"/>
  <c r="M203" i="26" s="1"/>
  <c r="F60" i="26"/>
  <c r="F203" i="26" s="1"/>
  <c r="K59" i="26"/>
  <c r="J59" i="26"/>
  <c r="H57" i="26"/>
  <c r="L55" i="26"/>
  <c r="M322" i="26" s="1"/>
  <c r="F55" i="26"/>
  <c r="F322" i="26" s="1"/>
  <c r="L54" i="26"/>
  <c r="M302" i="26" s="1"/>
  <c r="F54" i="26"/>
  <c r="F302" i="26" s="1"/>
  <c r="L53" i="26"/>
  <c r="M282" i="26" s="1"/>
  <c r="F53" i="26"/>
  <c r="F282" i="26" s="1"/>
  <c r="L52" i="26"/>
  <c r="M262" i="26" s="1"/>
  <c r="F52" i="26"/>
  <c r="F262" i="26" s="1"/>
  <c r="L51" i="26"/>
  <c r="M242" i="26" s="1"/>
  <c r="F51" i="26"/>
  <c r="F242" i="26" s="1"/>
  <c r="L50" i="26"/>
  <c r="F50" i="26"/>
  <c r="F222" i="26" s="1"/>
  <c r="L49" i="26"/>
  <c r="M202" i="26" s="1"/>
  <c r="F49" i="26"/>
  <c r="F202" i="26" s="1"/>
  <c r="K48" i="26"/>
  <c r="J48" i="26"/>
  <c r="H46" i="26"/>
  <c r="L44" i="26"/>
  <c r="M321" i="26" s="1"/>
  <c r="F44" i="26"/>
  <c r="F321" i="26" s="1"/>
  <c r="L43" i="26"/>
  <c r="M301" i="26" s="1"/>
  <c r="F43" i="26"/>
  <c r="F301" i="26" s="1"/>
  <c r="L42" i="26"/>
  <c r="M281" i="26" s="1"/>
  <c r="F42" i="26"/>
  <c r="F281" i="26" s="1"/>
  <c r="L41" i="26"/>
  <c r="M261" i="26" s="1"/>
  <c r="F41" i="26"/>
  <c r="F261" i="26" s="1"/>
  <c r="L40" i="26"/>
  <c r="M241" i="26" s="1"/>
  <c r="F40" i="26"/>
  <c r="F241" i="26" s="1"/>
  <c r="L39" i="26"/>
  <c r="M221" i="26" s="1"/>
  <c r="F39" i="26"/>
  <c r="F221" i="26" s="1"/>
  <c r="L38" i="26"/>
  <c r="M201" i="26" s="1"/>
  <c r="F38" i="26"/>
  <c r="F201" i="26" s="1"/>
  <c r="K37" i="26"/>
  <c r="J37" i="26"/>
  <c r="H35" i="26"/>
  <c r="L33" i="26"/>
  <c r="M320" i="26" s="1"/>
  <c r="F33" i="26"/>
  <c r="F320" i="26" s="1"/>
  <c r="L32" i="26"/>
  <c r="M300" i="26" s="1"/>
  <c r="F32" i="26"/>
  <c r="F300" i="26" s="1"/>
  <c r="L31" i="26"/>
  <c r="M280" i="26" s="1"/>
  <c r="F31" i="26"/>
  <c r="F280" i="26" s="1"/>
  <c r="L30" i="26"/>
  <c r="M260" i="26" s="1"/>
  <c r="F30" i="26"/>
  <c r="F260" i="26" s="1"/>
  <c r="L29" i="26"/>
  <c r="M240" i="26" s="1"/>
  <c r="F29" i="26"/>
  <c r="F240" i="26" s="1"/>
  <c r="L28" i="26"/>
  <c r="M220" i="26" s="1"/>
  <c r="F28" i="26"/>
  <c r="F220" i="26" s="1"/>
  <c r="L27" i="26"/>
  <c r="M200" i="26" s="1"/>
  <c r="F27" i="26"/>
  <c r="F200" i="26" s="1"/>
  <c r="K26" i="26"/>
  <c r="J26" i="26"/>
  <c r="H24" i="26"/>
  <c r="L22" i="26"/>
  <c r="M319" i="26" s="1"/>
  <c r="F22" i="26"/>
  <c r="F319" i="26" s="1"/>
  <c r="L21" i="26"/>
  <c r="M299" i="26" s="1"/>
  <c r="F21" i="26"/>
  <c r="F299" i="26" s="1"/>
  <c r="L20" i="26"/>
  <c r="M279" i="26" s="1"/>
  <c r="F20" i="26"/>
  <c r="F279" i="26" s="1"/>
  <c r="L19" i="26"/>
  <c r="M259" i="26" s="1"/>
  <c r="F19" i="26"/>
  <c r="F259" i="26" s="1"/>
  <c r="L18" i="26"/>
  <c r="M239" i="26" s="1"/>
  <c r="F18" i="26"/>
  <c r="F239" i="26" s="1"/>
  <c r="L17" i="26"/>
  <c r="M219" i="26" s="1"/>
  <c r="F17" i="26"/>
  <c r="F219" i="26" s="1"/>
  <c r="L16" i="26"/>
  <c r="M199" i="26" s="1"/>
  <c r="F16" i="26"/>
  <c r="F199" i="26" s="1"/>
  <c r="K15" i="26"/>
  <c r="J15" i="26"/>
  <c r="H13" i="26"/>
  <c r="AA11" i="26"/>
  <c r="M336" i="26" s="1"/>
  <c r="U11" i="26"/>
  <c r="F336" i="26" s="1"/>
  <c r="L11" i="26"/>
  <c r="M318" i="26" s="1"/>
  <c r="F11" i="26"/>
  <c r="F318" i="26" s="1"/>
  <c r="AA10" i="26"/>
  <c r="M316" i="26" s="1"/>
  <c r="U10" i="26"/>
  <c r="F316" i="26" s="1"/>
  <c r="L10" i="26"/>
  <c r="M298" i="26" s="1"/>
  <c r="F10" i="26"/>
  <c r="F298" i="26" s="1"/>
  <c r="AA9" i="26"/>
  <c r="M296" i="26" s="1"/>
  <c r="U9" i="26"/>
  <c r="F296" i="26" s="1"/>
  <c r="L9" i="26"/>
  <c r="F9" i="26"/>
  <c r="F278" i="26" s="1"/>
  <c r="AA8" i="26"/>
  <c r="M276" i="26" s="1"/>
  <c r="U8" i="26"/>
  <c r="F276" i="26" s="1"/>
  <c r="L8" i="26"/>
  <c r="M258" i="26" s="1"/>
  <c r="F8" i="26"/>
  <c r="F258" i="26" s="1"/>
  <c r="AA7" i="26"/>
  <c r="M256" i="26" s="1"/>
  <c r="U7" i="26"/>
  <c r="F256" i="26" s="1"/>
  <c r="L7" i="26"/>
  <c r="M238" i="26" s="1"/>
  <c r="F7" i="26"/>
  <c r="F238" i="26" s="1"/>
  <c r="AA6" i="26"/>
  <c r="M236" i="26" s="1"/>
  <c r="U6" i="26"/>
  <c r="F236" i="26" s="1"/>
  <c r="L6" i="26"/>
  <c r="F6" i="26"/>
  <c r="F218" i="26" s="1"/>
  <c r="AA5" i="26"/>
  <c r="M216" i="26" s="1"/>
  <c r="U5" i="26"/>
  <c r="F216" i="26" s="1"/>
  <c r="L5" i="26"/>
  <c r="M198" i="26" s="1"/>
  <c r="F5" i="26"/>
  <c r="F198" i="26" s="1"/>
  <c r="Z4" i="26"/>
  <c r="Y4" i="26"/>
  <c r="K4" i="26"/>
  <c r="W2" i="26"/>
  <c r="H2" i="26"/>
  <c r="B338" i="26" l="1"/>
  <c r="G338" i="26" s="1"/>
  <c r="L338" i="26" s="1"/>
  <c r="M222" i="26"/>
  <c r="M218" i="26"/>
  <c r="A347" i="26"/>
  <c r="B346" i="26"/>
  <c r="B345" i="26"/>
  <c r="B344" i="26"/>
  <c r="B342" i="26"/>
  <c r="B341" i="26"/>
  <c r="A346" i="26"/>
  <c r="A345" i="26"/>
  <c r="A344" i="26"/>
  <c r="A342" i="26"/>
  <c r="A341" i="26"/>
  <c r="F338" i="26"/>
  <c r="D343" i="26"/>
  <c r="C343" i="26"/>
  <c r="B343" i="26"/>
  <c r="D347" i="26"/>
  <c r="A343" i="26"/>
  <c r="C346" i="26"/>
  <c r="C344" i="26"/>
  <c r="C347" i="26"/>
  <c r="D346" i="26"/>
  <c r="D345" i="26"/>
  <c r="D344" i="26"/>
  <c r="D342" i="26"/>
  <c r="D341" i="26"/>
  <c r="B347" i="26"/>
  <c r="C345" i="26"/>
  <c r="C342" i="26"/>
  <c r="C341" i="26"/>
  <c r="K338" i="26"/>
  <c r="O342" i="26" s="1"/>
  <c r="B340" i="26"/>
  <c r="G340" i="26" s="1"/>
  <c r="M278" i="26"/>
  <c r="A351" i="26"/>
  <c r="C31" i="4"/>
  <c r="N358" i="26" l="1"/>
  <c r="H20" i="1"/>
  <c r="C340" i="26"/>
  <c r="H340" i="26" s="1"/>
  <c r="B350" i="26"/>
  <c r="D352" i="26"/>
  <c r="D350" i="26"/>
  <c r="B352" i="26"/>
  <c r="O343" i="26"/>
  <c r="G343" i="26"/>
  <c r="I347" i="26"/>
  <c r="F343" i="26"/>
  <c r="H347" i="26"/>
  <c r="I346" i="26"/>
  <c r="I345" i="26"/>
  <c r="I344" i="26"/>
  <c r="I342" i="26"/>
  <c r="I341" i="26"/>
  <c r="G347" i="26"/>
  <c r="H346" i="26"/>
  <c r="H345" i="26"/>
  <c r="H344" i="26"/>
  <c r="H342" i="26"/>
  <c r="H341" i="26"/>
  <c r="F347" i="26"/>
  <c r="G346" i="26"/>
  <c r="G345" i="26"/>
  <c r="G344" i="26"/>
  <c r="G342" i="26"/>
  <c r="G341" i="26"/>
  <c r="F346" i="26"/>
  <c r="F345" i="26"/>
  <c r="F344" i="26"/>
  <c r="F342" i="26"/>
  <c r="F341" i="26"/>
  <c r="I343" i="26"/>
  <c r="H343" i="26"/>
  <c r="N359" i="26" l="1"/>
  <c r="H21" i="1"/>
  <c r="C351" i="26"/>
  <c r="M342" i="26" s="1"/>
  <c r="F20" i="1" s="1"/>
  <c r="I350" i="26"/>
  <c r="I352" i="26"/>
  <c r="G350" i="26"/>
  <c r="G352" i="26"/>
  <c r="K34" i="5"/>
  <c r="M358" i="26" l="1"/>
  <c r="G23" i="5"/>
  <c r="H351" i="26"/>
  <c r="M343" i="26" s="1"/>
  <c r="F21" i="1" s="1"/>
  <c r="L202" i="25"/>
  <c r="L346" i="26" l="1"/>
  <c r="E20" i="4" s="1"/>
  <c r="M359" i="26"/>
  <c r="L347" i="26" s="1"/>
  <c r="E21" i="4" s="1"/>
  <c r="G24" i="5"/>
  <c r="A234" i="25"/>
  <c r="A244" i="25" s="1"/>
  <c r="L201" i="25"/>
  <c r="L200" i="25"/>
  <c r="L199" i="25"/>
  <c r="G201" i="25" s="1"/>
  <c r="L198" i="25"/>
  <c r="G197" i="25" s="1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G229" i="25"/>
  <c r="G225" i="25"/>
  <c r="G221" i="25"/>
  <c r="A219" i="25"/>
  <c r="G217" i="25"/>
  <c r="G213" i="25"/>
  <c r="A213" i="25"/>
  <c r="A205" i="25"/>
  <c r="A197" i="25"/>
  <c r="O193" i="25"/>
  <c r="M193" i="25"/>
  <c r="L193" i="25"/>
  <c r="K193" i="25"/>
  <c r="G193" i="25"/>
  <c r="E193" i="25"/>
  <c r="D193" i="25"/>
  <c r="C193" i="25"/>
  <c r="O192" i="25"/>
  <c r="M192" i="25"/>
  <c r="L192" i="25"/>
  <c r="K192" i="25"/>
  <c r="G192" i="25"/>
  <c r="E192" i="25"/>
  <c r="D192" i="25"/>
  <c r="C192" i="25"/>
  <c r="O191" i="25"/>
  <c r="M191" i="25"/>
  <c r="L191" i="25"/>
  <c r="K191" i="25"/>
  <c r="G191" i="25"/>
  <c r="E191" i="25"/>
  <c r="D191" i="25"/>
  <c r="C191" i="25"/>
  <c r="O190" i="25"/>
  <c r="M190" i="25"/>
  <c r="L190" i="25"/>
  <c r="K190" i="25"/>
  <c r="G190" i="25"/>
  <c r="E190" i="25"/>
  <c r="D190" i="25"/>
  <c r="C190" i="25"/>
  <c r="O189" i="25"/>
  <c r="M189" i="25"/>
  <c r="L189" i="25"/>
  <c r="K189" i="25"/>
  <c r="G189" i="25"/>
  <c r="E189" i="25"/>
  <c r="D189" i="25"/>
  <c r="C189" i="25"/>
  <c r="O188" i="25"/>
  <c r="M188" i="25"/>
  <c r="L188" i="25"/>
  <c r="K188" i="25"/>
  <c r="G188" i="25"/>
  <c r="E188" i="25"/>
  <c r="D188" i="25"/>
  <c r="C188" i="25"/>
  <c r="O187" i="25"/>
  <c r="M187" i="25"/>
  <c r="L187" i="25"/>
  <c r="K187" i="25"/>
  <c r="G187" i="25"/>
  <c r="E187" i="25"/>
  <c r="D187" i="25"/>
  <c r="C187" i="25"/>
  <c r="O186" i="25"/>
  <c r="M186" i="25"/>
  <c r="L186" i="25"/>
  <c r="K186" i="25"/>
  <c r="G186" i="25"/>
  <c r="E186" i="25"/>
  <c r="D186" i="25"/>
  <c r="C186" i="25"/>
  <c r="O185" i="25"/>
  <c r="M185" i="25"/>
  <c r="L185" i="25"/>
  <c r="K185" i="25"/>
  <c r="G185" i="25"/>
  <c r="E185" i="25"/>
  <c r="D185" i="25"/>
  <c r="C185" i="25"/>
  <c r="O184" i="25"/>
  <c r="M184" i="25"/>
  <c r="L184" i="25"/>
  <c r="K184" i="25"/>
  <c r="G184" i="25"/>
  <c r="E184" i="25"/>
  <c r="D184" i="25"/>
  <c r="C184" i="25"/>
  <c r="O183" i="25"/>
  <c r="M183" i="25"/>
  <c r="L183" i="25"/>
  <c r="K183" i="25"/>
  <c r="G183" i="25"/>
  <c r="E183" i="25"/>
  <c r="D183" i="25"/>
  <c r="C183" i="25"/>
  <c r="O182" i="25"/>
  <c r="M182" i="25"/>
  <c r="L182" i="25"/>
  <c r="K182" i="25"/>
  <c r="G182" i="25"/>
  <c r="E182" i="25"/>
  <c r="D182" i="25"/>
  <c r="C182" i="25"/>
  <c r="O181" i="25"/>
  <c r="M181" i="25"/>
  <c r="L181" i="25"/>
  <c r="K181" i="25"/>
  <c r="G181" i="25"/>
  <c r="E181" i="25"/>
  <c r="D181" i="25"/>
  <c r="C181" i="25"/>
  <c r="O180" i="25"/>
  <c r="M180" i="25"/>
  <c r="L180" i="25"/>
  <c r="K180" i="25"/>
  <c r="G180" i="25"/>
  <c r="E180" i="25"/>
  <c r="D180" i="25"/>
  <c r="C180" i="25"/>
  <c r="O179" i="25"/>
  <c r="M179" i="25"/>
  <c r="L179" i="25"/>
  <c r="K179" i="25"/>
  <c r="G179" i="25"/>
  <c r="E179" i="25"/>
  <c r="D179" i="25"/>
  <c r="C179" i="25"/>
  <c r="O178" i="25"/>
  <c r="M178" i="25"/>
  <c r="L178" i="25"/>
  <c r="K178" i="25"/>
  <c r="G178" i="25"/>
  <c r="E178" i="25"/>
  <c r="D178" i="25"/>
  <c r="C178" i="25"/>
  <c r="O177" i="25"/>
  <c r="M177" i="25"/>
  <c r="L177" i="25"/>
  <c r="K177" i="25"/>
  <c r="G177" i="25"/>
  <c r="E177" i="25"/>
  <c r="D177" i="25"/>
  <c r="C177" i="25"/>
  <c r="O176" i="25"/>
  <c r="M176" i="25"/>
  <c r="L176" i="25"/>
  <c r="K176" i="25"/>
  <c r="G176" i="25"/>
  <c r="E176" i="25"/>
  <c r="D176" i="25"/>
  <c r="C176" i="25"/>
  <c r="O175" i="25"/>
  <c r="M175" i="25"/>
  <c r="L175" i="25"/>
  <c r="K175" i="25"/>
  <c r="G175" i="25"/>
  <c r="E175" i="25"/>
  <c r="D175" i="25"/>
  <c r="C175" i="25"/>
  <c r="O174" i="25"/>
  <c r="M174" i="25"/>
  <c r="L174" i="25"/>
  <c r="K174" i="25"/>
  <c r="G174" i="25"/>
  <c r="E174" i="25"/>
  <c r="D174" i="25"/>
  <c r="C174" i="25"/>
  <c r="O173" i="25"/>
  <c r="M173" i="25"/>
  <c r="L173" i="25"/>
  <c r="K173" i="25"/>
  <c r="G173" i="25"/>
  <c r="E173" i="25"/>
  <c r="D173" i="25"/>
  <c r="C173" i="25"/>
  <c r="O172" i="25"/>
  <c r="M172" i="25"/>
  <c r="L172" i="25"/>
  <c r="K172" i="25"/>
  <c r="G172" i="25"/>
  <c r="E172" i="25"/>
  <c r="D172" i="25"/>
  <c r="C172" i="25"/>
  <c r="O171" i="25"/>
  <c r="M171" i="25"/>
  <c r="L171" i="25"/>
  <c r="K171" i="25"/>
  <c r="G171" i="25"/>
  <c r="E171" i="25"/>
  <c r="D171" i="25"/>
  <c r="C171" i="25"/>
  <c r="O170" i="25"/>
  <c r="M170" i="25"/>
  <c r="L170" i="25"/>
  <c r="K170" i="25"/>
  <c r="G170" i="25"/>
  <c r="E170" i="25"/>
  <c r="D170" i="25"/>
  <c r="C170" i="25"/>
  <c r="O169" i="25"/>
  <c r="M169" i="25"/>
  <c r="L169" i="25"/>
  <c r="K169" i="25"/>
  <c r="G169" i="25"/>
  <c r="E169" i="25"/>
  <c r="D169" i="25"/>
  <c r="C169" i="25"/>
  <c r="O168" i="25"/>
  <c r="M168" i="25"/>
  <c r="L168" i="25"/>
  <c r="K168" i="25"/>
  <c r="G168" i="25"/>
  <c r="E168" i="25"/>
  <c r="D168" i="25"/>
  <c r="C168" i="25"/>
  <c r="O167" i="25"/>
  <c r="M167" i="25"/>
  <c r="L167" i="25"/>
  <c r="K167" i="25"/>
  <c r="G167" i="25"/>
  <c r="E167" i="25"/>
  <c r="D167" i="25"/>
  <c r="C167" i="25"/>
  <c r="O166" i="25"/>
  <c r="M166" i="25"/>
  <c r="L166" i="25"/>
  <c r="K166" i="25"/>
  <c r="G166" i="25"/>
  <c r="E166" i="25"/>
  <c r="D166" i="25"/>
  <c r="C166" i="25"/>
  <c r="O165" i="25"/>
  <c r="M165" i="25"/>
  <c r="L165" i="25"/>
  <c r="K165" i="25"/>
  <c r="G165" i="25"/>
  <c r="E165" i="25"/>
  <c r="D165" i="25"/>
  <c r="C165" i="25"/>
  <c r="O164" i="25"/>
  <c r="M164" i="25"/>
  <c r="L164" i="25"/>
  <c r="K164" i="25"/>
  <c r="G164" i="25"/>
  <c r="E164" i="25"/>
  <c r="D164" i="25"/>
  <c r="C164" i="25"/>
  <c r="O163" i="25"/>
  <c r="M163" i="25"/>
  <c r="L163" i="25"/>
  <c r="K163" i="25"/>
  <c r="G163" i="25"/>
  <c r="E163" i="25"/>
  <c r="D163" i="25"/>
  <c r="C163" i="25"/>
  <c r="O162" i="25"/>
  <c r="M162" i="25"/>
  <c r="L162" i="25"/>
  <c r="K162" i="25"/>
  <c r="G162" i="25"/>
  <c r="E162" i="25"/>
  <c r="D162" i="25"/>
  <c r="C162" i="25"/>
  <c r="O161" i="25"/>
  <c r="M161" i="25"/>
  <c r="L161" i="25"/>
  <c r="K161" i="25"/>
  <c r="G161" i="25"/>
  <c r="E161" i="25"/>
  <c r="D161" i="25"/>
  <c r="C161" i="25"/>
  <c r="O160" i="25"/>
  <c r="M160" i="25"/>
  <c r="L160" i="25"/>
  <c r="K160" i="25"/>
  <c r="G160" i="25"/>
  <c r="E160" i="25"/>
  <c r="D160" i="25"/>
  <c r="C160" i="25"/>
  <c r="O159" i="25"/>
  <c r="M159" i="25"/>
  <c r="L159" i="25"/>
  <c r="K159" i="25"/>
  <c r="G159" i="25"/>
  <c r="E159" i="25"/>
  <c r="D159" i="25"/>
  <c r="C159" i="25"/>
  <c r="O158" i="25"/>
  <c r="M158" i="25"/>
  <c r="L158" i="25"/>
  <c r="K158" i="25"/>
  <c r="G158" i="25"/>
  <c r="E158" i="25"/>
  <c r="D158" i="25"/>
  <c r="C158" i="25"/>
  <c r="K156" i="25"/>
  <c r="C156" i="25"/>
  <c r="O153" i="25"/>
  <c r="M153" i="25"/>
  <c r="L153" i="25"/>
  <c r="K153" i="25"/>
  <c r="G153" i="25"/>
  <c r="E153" i="25"/>
  <c r="D153" i="25"/>
  <c r="C153" i="25"/>
  <c r="O152" i="25"/>
  <c r="M152" i="25"/>
  <c r="L152" i="25"/>
  <c r="K152" i="25"/>
  <c r="G152" i="25"/>
  <c r="E152" i="25"/>
  <c r="D152" i="25"/>
  <c r="C152" i="25"/>
  <c r="O151" i="25"/>
  <c r="M151" i="25"/>
  <c r="L151" i="25"/>
  <c r="K151" i="25"/>
  <c r="G151" i="25"/>
  <c r="E151" i="25"/>
  <c r="D151" i="25"/>
  <c r="C151" i="25"/>
  <c r="O150" i="25"/>
  <c r="M150" i="25"/>
  <c r="L150" i="25"/>
  <c r="K150" i="25"/>
  <c r="G150" i="25"/>
  <c r="E150" i="25"/>
  <c r="D150" i="25"/>
  <c r="C150" i="25"/>
  <c r="O149" i="25"/>
  <c r="M149" i="25"/>
  <c r="L149" i="25"/>
  <c r="K149" i="25"/>
  <c r="G149" i="25"/>
  <c r="E149" i="25"/>
  <c r="D149" i="25"/>
  <c r="C149" i="25"/>
  <c r="O148" i="25"/>
  <c r="M148" i="25"/>
  <c r="L148" i="25"/>
  <c r="K148" i="25"/>
  <c r="G148" i="25"/>
  <c r="E148" i="25"/>
  <c r="D148" i="25"/>
  <c r="C148" i="25"/>
  <c r="O147" i="25"/>
  <c r="M147" i="25"/>
  <c r="L147" i="25"/>
  <c r="K147" i="25"/>
  <c r="G147" i="25"/>
  <c r="E147" i="25"/>
  <c r="D147" i="25"/>
  <c r="C147" i="25"/>
  <c r="O146" i="25"/>
  <c r="M146" i="25"/>
  <c r="L146" i="25"/>
  <c r="K146" i="25"/>
  <c r="G146" i="25"/>
  <c r="E146" i="25"/>
  <c r="D146" i="25"/>
  <c r="C146" i="25"/>
  <c r="O145" i="25"/>
  <c r="M145" i="25"/>
  <c r="L145" i="25"/>
  <c r="K145" i="25"/>
  <c r="G145" i="25"/>
  <c r="E145" i="25"/>
  <c r="D145" i="25"/>
  <c r="C145" i="25"/>
  <c r="O144" i="25"/>
  <c r="M144" i="25"/>
  <c r="L144" i="25"/>
  <c r="K144" i="25"/>
  <c r="G144" i="25"/>
  <c r="E144" i="25"/>
  <c r="D144" i="25"/>
  <c r="C144" i="25"/>
  <c r="O143" i="25"/>
  <c r="M143" i="25"/>
  <c r="L143" i="25"/>
  <c r="K143" i="25"/>
  <c r="G143" i="25"/>
  <c r="E143" i="25"/>
  <c r="D143" i="25"/>
  <c r="C143" i="25"/>
  <c r="O142" i="25"/>
  <c r="M142" i="25"/>
  <c r="L142" i="25"/>
  <c r="K142" i="25"/>
  <c r="G142" i="25"/>
  <c r="E142" i="25"/>
  <c r="D142" i="25"/>
  <c r="C142" i="25"/>
  <c r="O141" i="25"/>
  <c r="M141" i="25"/>
  <c r="L141" i="25"/>
  <c r="K141" i="25"/>
  <c r="G141" i="25"/>
  <c r="E141" i="25"/>
  <c r="D141" i="25"/>
  <c r="C141" i="25"/>
  <c r="O140" i="25"/>
  <c r="M140" i="25"/>
  <c r="L140" i="25"/>
  <c r="K140" i="25"/>
  <c r="G140" i="25"/>
  <c r="E140" i="25"/>
  <c r="D140" i="25"/>
  <c r="C140" i="25"/>
  <c r="O139" i="25"/>
  <c r="M139" i="25"/>
  <c r="L139" i="25"/>
  <c r="K139" i="25"/>
  <c r="G139" i="25"/>
  <c r="E139" i="25"/>
  <c r="D139" i="25"/>
  <c r="C139" i="25"/>
  <c r="O138" i="25"/>
  <c r="M138" i="25"/>
  <c r="L138" i="25"/>
  <c r="K138" i="25"/>
  <c r="G138" i="25"/>
  <c r="E138" i="25"/>
  <c r="D138" i="25"/>
  <c r="C138" i="25"/>
  <c r="O137" i="25"/>
  <c r="M137" i="25"/>
  <c r="L137" i="25"/>
  <c r="K137" i="25"/>
  <c r="G137" i="25"/>
  <c r="E137" i="25"/>
  <c r="D137" i="25"/>
  <c r="C137" i="25"/>
  <c r="O136" i="25"/>
  <c r="M136" i="25"/>
  <c r="L136" i="25"/>
  <c r="K136" i="25"/>
  <c r="G136" i="25"/>
  <c r="E136" i="25"/>
  <c r="D136" i="25"/>
  <c r="C136" i="25"/>
  <c r="O135" i="25"/>
  <c r="M135" i="25"/>
  <c r="L135" i="25"/>
  <c r="K135" i="25"/>
  <c r="G135" i="25"/>
  <c r="E135" i="25"/>
  <c r="D135" i="25"/>
  <c r="C135" i="25"/>
  <c r="O134" i="25"/>
  <c r="M134" i="25"/>
  <c r="L134" i="25"/>
  <c r="K134" i="25"/>
  <c r="G134" i="25"/>
  <c r="E134" i="25"/>
  <c r="D134" i="25"/>
  <c r="C134" i="25"/>
  <c r="O133" i="25"/>
  <c r="M133" i="25"/>
  <c r="L133" i="25"/>
  <c r="K133" i="25"/>
  <c r="G133" i="25"/>
  <c r="E133" i="25"/>
  <c r="D133" i="25"/>
  <c r="C133" i="25"/>
  <c r="O132" i="25"/>
  <c r="M132" i="25"/>
  <c r="L132" i="25"/>
  <c r="K132" i="25"/>
  <c r="G132" i="25"/>
  <c r="E132" i="25"/>
  <c r="D132" i="25"/>
  <c r="C132" i="25"/>
  <c r="O131" i="25"/>
  <c r="M131" i="25"/>
  <c r="L131" i="25"/>
  <c r="K131" i="25"/>
  <c r="G131" i="25"/>
  <c r="E131" i="25"/>
  <c r="D131" i="25"/>
  <c r="C131" i="25"/>
  <c r="O130" i="25"/>
  <c r="M130" i="25"/>
  <c r="L130" i="25"/>
  <c r="K130" i="25"/>
  <c r="G130" i="25"/>
  <c r="E130" i="25"/>
  <c r="D130" i="25"/>
  <c r="C130" i="25"/>
  <c r="O129" i="25"/>
  <c r="M129" i="25"/>
  <c r="L129" i="25"/>
  <c r="K129" i="25"/>
  <c r="G129" i="25"/>
  <c r="E129" i="25"/>
  <c r="D129" i="25"/>
  <c r="C129" i="25"/>
  <c r="O128" i="25"/>
  <c r="M128" i="25"/>
  <c r="L128" i="25"/>
  <c r="K128" i="25"/>
  <c r="G128" i="25"/>
  <c r="E128" i="25"/>
  <c r="D128" i="25"/>
  <c r="C128" i="25"/>
  <c r="O127" i="25"/>
  <c r="M127" i="25"/>
  <c r="L127" i="25"/>
  <c r="K127" i="25"/>
  <c r="G127" i="25"/>
  <c r="E127" i="25"/>
  <c r="D127" i="25"/>
  <c r="C127" i="25"/>
  <c r="O126" i="25"/>
  <c r="M126" i="25"/>
  <c r="L126" i="25"/>
  <c r="K126" i="25"/>
  <c r="G126" i="25"/>
  <c r="E126" i="25"/>
  <c r="D126" i="25"/>
  <c r="C126" i="25"/>
  <c r="O125" i="25"/>
  <c r="M125" i="25"/>
  <c r="L125" i="25"/>
  <c r="K125" i="25"/>
  <c r="G125" i="25"/>
  <c r="E125" i="25"/>
  <c r="D125" i="25"/>
  <c r="C125" i="25"/>
  <c r="O124" i="25"/>
  <c r="M124" i="25"/>
  <c r="L124" i="25"/>
  <c r="K124" i="25"/>
  <c r="G124" i="25"/>
  <c r="E124" i="25"/>
  <c r="D124" i="25"/>
  <c r="C124" i="25"/>
  <c r="O123" i="25"/>
  <c r="M123" i="25"/>
  <c r="L123" i="25"/>
  <c r="K123" i="25"/>
  <c r="G123" i="25"/>
  <c r="E123" i="25"/>
  <c r="D123" i="25"/>
  <c r="C123" i="25"/>
  <c r="O122" i="25"/>
  <c r="M122" i="25"/>
  <c r="L122" i="25"/>
  <c r="K122" i="25"/>
  <c r="G122" i="25"/>
  <c r="E122" i="25"/>
  <c r="D122" i="25"/>
  <c r="C122" i="25"/>
  <c r="O121" i="25"/>
  <c r="M121" i="25"/>
  <c r="L121" i="25"/>
  <c r="K121" i="25"/>
  <c r="G121" i="25"/>
  <c r="E121" i="25"/>
  <c r="D121" i="25"/>
  <c r="C121" i="25"/>
  <c r="O120" i="25"/>
  <c r="M120" i="25"/>
  <c r="L120" i="25"/>
  <c r="K120" i="25"/>
  <c r="G120" i="25"/>
  <c r="E120" i="25"/>
  <c r="D120" i="25"/>
  <c r="C120" i="25"/>
  <c r="O119" i="25"/>
  <c r="M119" i="25"/>
  <c r="L119" i="25"/>
  <c r="K119" i="25"/>
  <c r="G119" i="25"/>
  <c r="E119" i="25"/>
  <c r="D119" i="25"/>
  <c r="C119" i="25"/>
  <c r="O118" i="25"/>
  <c r="M118" i="25"/>
  <c r="L118" i="25"/>
  <c r="K118" i="25"/>
  <c r="G118" i="25"/>
  <c r="E118" i="25"/>
  <c r="D118" i="25"/>
  <c r="C118" i="25"/>
  <c r="O117" i="25"/>
  <c r="M117" i="25"/>
  <c r="L117" i="25"/>
  <c r="K117" i="25"/>
  <c r="G117" i="25"/>
  <c r="E117" i="25"/>
  <c r="D117" i="25"/>
  <c r="C117" i="25"/>
  <c r="O116" i="25"/>
  <c r="M116" i="25"/>
  <c r="L116" i="25"/>
  <c r="K116" i="25"/>
  <c r="G116" i="25"/>
  <c r="E116" i="25"/>
  <c r="D116" i="25"/>
  <c r="C116" i="25"/>
  <c r="O115" i="25"/>
  <c r="M115" i="25"/>
  <c r="L115" i="25"/>
  <c r="K115" i="25"/>
  <c r="G115" i="25"/>
  <c r="E115" i="25"/>
  <c r="D115" i="25"/>
  <c r="C115" i="25"/>
  <c r="O114" i="25"/>
  <c r="M114" i="25"/>
  <c r="L114" i="25"/>
  <c r="K114" i="25"/>
  <c r="G114" i="25"/>
  <c r="E114" i="25"/>
  <c r="D114" i="25"/>
  <c r="C114" i="25"/>
  <c r="O113" i="25"/>
  <c r="M113" i="25"/>
  <c r="L113" i="25"/>
  <c r="K113" i="25"/>
  <c r="G113" i="25"/>
  <c r="E113" i="25"/>
  <c r="D113" i="25"/>
  <c r="C113" i="25"/>
  <c r="O112" i="25"/>
  <c r="M112" i="25"/>
  <c r="L112" i="25"/>
  <c r="K112" i="25"/>
  <c r="G112" i="25"/>
  <c r="E112" i="25"/>
  <c r="D112" i="25"/>
  <c r="C112" i="25"/>
  <c r="O111" i="25"/>
  <c r="M111" i="25"/>
  <c r="L111" i="25"/>
  <c r="K111" i="25"/>
  <c r="G111" i="25"/>
  <c r="E111" i="25"/>
  <c r="D111" i="25"/>
  <c r="C111" i="25"/>
  <c r="O110" i="25"/>
  <c r="M110" i="25"/>
  <c r="L110" i="25"/>
  <c r="K110" i="25"/>
  <c r="G110" i="25"/>
  <c r="E110" i="25"/>
  <c r="D110" i="25"/>
  <c r="C110" i="25"/>
  <c r="O109" i="25"/>
  <c r="M109" i="25"/>
  <c r="L109" i="25"/>
  <c r="K109" i="25"/>
  <c r="G109" i="25"/>
  <c r="E109" i="25"/>
  <c r="D109" i="25"/>
  <c r="C109" i="25"/>
  <c r="O108" i="25"/>
  <c r="M108" i="25"/>
  <c r="L108" i="25"/>
  <c r="K108" i="25"/>
  <c r="G108" i="25"/>
  <c r="E108" i="25"/>
  <c r="D108" i="25"/>
  <c r="C108" i="25"/>
  <c r="O107" i="25"/>
  <c r="M107" i="25"/>
  <c r="L107" i="25"/>
  <c r="K107" i="25"/>
  <c r="G107" i="25"/>
  <c r="E107" i="25"/>
  <c r="D107" i="25"/>
  <c r="C107" i="25"/>
  <c r="O106" i="25"/>
  <c r="M106" i="25"/>
  <c r="L106" i="25"/>
  <c r="K106" i="25"/>
  <c r="G106" i="25"/>
  <c r="E106" i="25"/>
  <c r="D106" i="25"/>
  <c r="C106" i="25"/>
  <c r="O105" i="25"/>
  <c r="M105" i="25"/>
  <c r="L105" i="25"/>
  <c r="K105" i="25"/>
  <c r="G105" i="25"/>
  <c r="E105" i="25"/>
  <c r="D105" i="25"/>
  <c r="C105" i="25"/>
  <c r="O104" i="25"/>
  <c r="M104" i="25"/>
  <c r="L104" i="25"/>
  <c r="K104" i="25"/>
  <c r="G104" i="25"/>
  <c r="E104" i="25"/>
  <c r="D104" i="25"/>
  <c r="C104" i="25"/>
  <c r="O103" i="25"/>
  <c r="M103" i="25"/>
  <c r="L103" i="25"/>
  <c r="K103" i="25"/>
  <c r="G103" i="25"/>
  <c r="E103" i="25"/>
  <c r="D103" i="25"/>
  <c r="C103" i="25"/>
  <c r="O102" i="25"/>
  <c r="M102" i="25"/>
  <c r="L102" i="25"/>
  <c r="K102" i="25"/>
  <c r="G102" i="25"/>
  <c r="E102" i="25"/>
  <c r="D102" i="25"/>
  <c r="C102" i="25"/>
  <c r="O101" i="25"/>
  <c r="M101" i="25"/>
  <c r="L101" i="25"/>
  <c r="K101" i="25"/>
  <c r="G101" i="25"/>
  <c r="E101" i="25"/>
  <c r="D101" i="25"/>
  <c r="C101" i="25"/>
  <c r="O100" i="25"/>
  <c r="M100" i="25"/>
  <c r="L100" i="25"/>
  <c r="K100" i="25"/>
  <c r="G100" i="25"/>
  <c r="E100" i="25"/>
  <c r="D100" i="25"/>
  <c r="C100" i="25"/>
  <c r="K98" i="25"/>
  <c r="C98" i="25"/>
  <c r="S93" i="25"/>
  <c r="N193" i="25" s="1"/>
  <c r="L93" i="25"/>
  <c r="N192" i="25" s="1"/>
  <c r="E93" i="25"/>
  <c r="N191" i="25" s="1"/>
  <c r="S92" i="25"/>
  <c r="N184" i="25" s="1"/>
  <c r="L92" i="25"/>
  <c r="N183" i="25" s="1"/>
  <c r="E92" i="25"/>
  <c r="N182" i="25" s="1"/>
  <c r="S91" i="25"/>
  <c r="N175" i="25" s="1"/>
  <c r="L91" i="25"/>
  <c r="N174" i="25" s="1"/>
  <c r="E91" i="25"/>
  <c r="N173" i="25" s="1"/>
  <c r="S90" i="25"/>
  <c r="N166" i="25" s="1"/>
  <c r="L90" i="25"/>
  <c r="N165" i="25" s="1"/>
  <c r="E90" i="25"/>
  <c r="N164" i="25" s="1"/>
  <c r="R89" i="25"/>
  <c r="Q89" i="25"/>
  <c r="K89" i="25"/>
  <c r="J89" i="25"/>
  <c r="D89" i="25"/>
  <c r="C89" i="25"/>
  <c r="P88" i="25"/>
  <c r="S87" i="25"/>
  <c r="F193" i="25" s="1"/>
  <c r="L87" i="25"/>
  <c r="F192" i="25" s="1"/>
  <c r="E87" i="25"/>
  <c r="F191" i="25" s="1"/>
  <c r="S86" i="25"/>
  <c r="F184" i="25" s="1"/>
  <c r="L86" i="25"/>
  <c r="F183" i="25" s="1"/>
  <c r="E86" i="25"/>
  <c r="F182" i="25" s="1"/>
  <c r="S85" i="25"/>
  <c r="F175" i="25" s="1"/>
  <c r="L85" i="25"/>
  <c r="F174" i="25" s="1"/>
  <c r="E85" i="25"/>
  <c r="F173" i="25" s="1"/>
  <c r="S84" i="25"/>
  <c r="F166" i="25" s="1"/>
  <c r="L84" i="25"/>
  <c r="F165" i="25" s="1"/>
  <c r="E84" i="25"/>
  <c r="F164" i="25" s="1"/>
  <c r="R83" i="25"/>
  <c r="Q83" i="25"/>
  <c r="K83" i="25"/>
  <c r="J83" i="25"/>
  <c r="P82" i="25"/>
  <c r="S81" i="25"/>
  <c r="N153" i="25" s="1"/>
  <c r="L81" i="25"/>
  <c r="N152" i="25" s="1"/>
  <c r="E81" i="25"/>
  <c r="N151" i="25" s="1"/>
  <c r="S80" i="25"/>
  <c r="N144" i="25" s="1"/>
  <c r="L80" i="25"/>
  <c r="N143" i="25" s="1"/>
  <c r="E80" i="25"/>
  <c r="N142" i="25" s="1"/>
  <c r="S79" i="25"/>
  <c r="N135" i="25" s="1"/>
  <c r="L79" i="25"/>
  <c r="N134" i="25" s="1"/>
  <c r="E79" i="25"/>
  <c r="N133" i="25" s="1"/>
  <c r="S78" i="25"/>
  <c r="N126" i="25" s="1"/>
  <c r="L78" i="25"/>
  <c r="N125" i="25" s="1"/>
  <c r="E78" i="25"/>
  <c r="N124" i="25" s="1"/>
  <c r="S77" i="25"/>
  <c r="N117" i="25" s="1"/>
  <c r="L77" i="25"/>
  <c r="N116" i="25" s="1"/>
  <c r="E77" i="25"/>
  <c r="N115" i="25" s="1"/>
  <c r="S76" i="25"/>
  <c r="N108" i="25" s="1"/>
  <c r="L76" i="25"/>
  <c r="N107" i="25" s="1"/>
  <c r="E76" i="25"/>
  <c r="N106" i="25" s="1"/>
  <c r="R75" i="25"/>
  <c r="Q75" i="25"/>
  <c r="K75" i="25"/>
  <c r="J75" i="25"/>
  <c r="D75" i="25"/>
  <c r="C75" i="25"/>
  <c r="P74" i="25"/>
  <c r="I74" i="25"/>
  <c r="S73" i="25"/>
  <c r="F153" i="25" s="1"/>
  <c r="L73" i="25"/>
  <c r="F152" i="25" s="1"/>
  <c r="E73" i="25"/>
  <c r="F151" i="25" s="1"/>
  <c r="S72" i="25"/>
  <c r="F144" i="25" s="1"/>
  <c r="L72" i="25"/>
  <c r="F143" i="25" s="1"/>
  <c r="E72" i="25"/>
  <c r="F142" i="25" s="1"/>
  <c r="S71" i="25"/>
  <c r="F135" i="25" s="1"/>
  <c r="L71" i="25"/>
  <c r="F134" i="25" s="1"/>
  <c r="E71" i="25"/>
  <c r="F133" i="25" s="1"/>
  <c r="S70" i="25"/>
  <c r="F126" i="25" s="1"/>
  <c r="L70" i="25"/>
  <c r="F125" i="25" s="1"/>
  <c r="E70" i="25"/>
  <c r="F124" i="25" s="1"/>
  <c r="S69" i="25"/>
  <c r="F117" i="25" s="1"/>
  <c r="L69" i="25"/>
  <c r="F116" i="25" s="1"/>
  <c r="E69" i="25"/>
  <c r="F115" i="25" s="1"/>
  <c r="S68" i="25"/>
  <c r="F108" i="25" s="1"/>
  <c r="L68" i="25"/>
  <c r="F107" i="25" s="1"/>
  <c r="E68" i="25"/>
  <c r="F106" i="25" s="1"/>
  <c r="P66" i="25"/>
  <c r="I66" i="25"/>
  <c r="S62" i="25"/>
  <c r="N190" i="25" s="1"/>
  <c r="L62" i="25"/>
  <c r="N189" i="25" s="1"/>
  <c r="E62" i="25"/>
  <c r="N188" i="25" s="1"/>
  <c r="S61" i="25"/>
  <c r="N181" i="25" s="1"/>
  <c r="L61" i="25"/>
  <c r="N180" i="25" s="1"/>
  <c r="E61" i="25"/>
  <c r="N179" i="25" s="1"/>
  <c r="S60" i="25"/>
  <c r="N172" i="25" s="1"/>
  <c r="L60" i="25"/>
  <c r="N171" i="25" s="1"/>
  <c r="E60" i="25"/>
  <c r="N170" i="25" s="1"/>
  <c r="S59" i="25"/>
  <c r="N163" i="25" s="1"/>
  <c r="L59" i="25"/>
  <c r="N162" i="25" s="1"/>
  <c r="E59" i="25"/>
  <c r="N161" i="25" s="1"/>
  <c r="R58" i="25"/>
  <c r="Q58" i="25"/>
  <c r="K58" i="25"/>
  <c r="J58" i="25"/>
  <c r="D58" i="25"/>
  <c r="C58" i="25"/>
  <c r="B57" i="25"/>
  <c r="I57" i="25" s="1"/>
  <c r="P57" i="25" s="1"/>
  <c r="S56" i="25"/>
  <c r="F190" i="25" s="1"/>
  <c r="L56" i="25"/>
  <c r="F189" i="25" s="1"/>
  <c r="E56" i="25"/>
  <c r="F188" i="25" s="1"/>
  <c r="S55" i="25"/>
  <c r="F181" i="25" s="1"/>
  <c r="L55" i="25"/>
  <c r="F180" i="25" s="1"/>
  <c r="E55" i="25"/>
  <c r="F179" i="25" s="1"/>
  <c r="S54" i="25"/>
  <c r="F172" i="25" s="1"/>
  <c r="L54" i="25"/>
  <c r="F171" i="25" s="1"/>
  <c r="E54" i="25"/>
  <c r="F170" i="25" s="1"/>
  <c r="S53" i="25"/>
  <c r="F163" i="25" s="1"/>
  <c r="L53" i="25"/>
  <c r="F162" i="25" s="1"/>
  <c r="E53" i="25"/>
  <c r="F161" i="25" s="1"/>
  <c r="R52" i="25"/>
  <c r="Q52" i="25"/>
  <c r="K52" i="25"/>
  <c r="J52" i="25"/>
  <c r="D52" i="25"/>
  <c r="C52" i="25"/>
  <c r="B51" i="25"/>
  <c r="I51" i="25" s="1"/>
  <c r="P51" i="25" s="1"/>
  <c r="S50" i="25"/>
  <c r="N150" i="25" s="1"/>
  <c r="L50" i="25"/>
  <c r="N149" i="25" s="1"/>
  <c r="E50" i="25"/>
  <c r="N148" i="25" s="1"/>
  <c r="S49" i="25"/>
  <c r="N141" i="25" s="1"/>
  <c r="L49" i="25"/>
  <c r="N140" i="25" s="1"/>
  <c r="E49" i="25"/>
  <c r="N139" i="25" s="1"/>
  <c r="S48" i="25"/>
  <c r="N132" i="25" s="1"/>
  <c r="L48" i="25"/>
  <c r="N131" i="25" s="1"/>
  <c r="E48" i="25"/>
  <c r="N130" i="25" s="1"/>
  <c r="S47" i="25"/>
  <c r="N123" i="25" s="1"/>
  <c r="L47" i="25"/>
  <c r="N122" i="25" s="1"/>
  <c r="E47" i="25"/>
  <c r="N121" i="25" s="1"/>
  <c r="S46" i="25"/>
  <c r="N114" i="25" s="1"/>
  <c r="L46" i="25"/>
  <c r="N113" i="25" s="1"/>
  <c r="E46" i="25"/>
  <c r="N112" i="25" s="1"/>
  <c r="S45" i="25"/>
  <c r="N105" i="25" s="1"/>
  <c r="L45" i="25"/>
  <c r="N104" i="25" s="1"/>
  <c r="E45" i="25"/>
  <c r="N103" i="25" s="1"/>
  <c r="R44" i="25"/>
  <c r="Q44" i="25"/>
  <c r="K44" i="25"/>
  <c r="J44" i="25"/>
  <c r="D44" i="25"/>
  <c r="C44" i="25"/>
  <c r="B43" i="25"/>
  <c r="I43" i="25" s="1"/>
  <c r="P43" i="25" s="1"/>
  <c r="S42" i="25"/>
  <c r="F150" i="25" s="1"/>
  <c r="L42" i="25"/>
  <c r="F149" i="25" s="1"/>
  <c r="E42" i="25"/>
  <c r="F148" i="25" s="1"/>
  <c r="S41" i="25"/>
  <c r="F141" i="25" s="1"/>
  <c r="L41" i="25"/>
  <c r="F140" i="25" s="1"/>
  <c r="E41" i="25"/>
  <c r="F139" i="25" s="1"/>
  <c r="S40" i="25"/>
  <c r="F132" i="25" s="1"/>
  <c r="L40" i="25"/>
  <c r="F131" i="25" s="1"/>
  <c r="E40" i="25"/>
  <c r="F130" i="25" s="1"/>
  <c r="S39" i="25"/>
  <c r="F123" i="25" s="1"/>
  <c r="L39" i="25"/>
  <c r="F122" i="25" s="1"/>
  <c r="E39" i="25"/>
  <c r="F121" i="25" s="1"/>
  <c r="S38" i="25"/>
  <c r="F114" i="25" s="1"/>
  <c r="L38" i="25"/>
  <c r="F113" i="25" s="1"/>
  <c r="E38" i="25"/>
  <c r="F112" i="25" s="1"/>
  <c r="S37" i="25"/>
  <c r="F105" i="25" s="1"/>
  <c r="L37" i="25"/>
  <c r="F104" i="25" s="1"/>
  <c r="E37" i="25"/>
  <c r="F103" i="25" s="1"/>
  <c r="B35" i="25"/>
  <c r="I35" i="25" s="1"/>
  <c r="P35" i="25" s="1"/>
  <c r="S31" i="25"/>
  <c r="N187" i="25" s="1"/>
  <c r="L31" i="25"/>
  <c r="N186" i="25" s="1"/>
  <c r="E31" i="25"/>
  <c r="N185" i="25" s="1"/>
  <c r="S30" i="25"/>
  <c r="N178" i="25" s="1"/>
  <c r="L30" i="25"/>
  <c r="N177" i="25" s="1"/>
  <c r="E30" i="25"/>
  <c r="N176" i="25" s="1"/>
  <c r="S29" i="25"/>
  <c r="N169" i="25" s="1"/>
  <c r="L29" i="25"/>
  <c r="N168" i="25" s="1"/>
  <c r="E29" i="25"/>
  <c r="N167" i="25" s="1"/>
  <c r="S28" i="25"/>
  <c r="N160" i="25" s="1"/>
  <c r="L28" i="25"/>
  <c r="N159" i="25" s="1"/>
  <c r="E28" i="25"/>
  <c r="N158" i="25" s="1"/>
  <c r="R27" i="25"/>
  <c r="Q27" i="25"/>
  <c r="K27" i="25"/>
  <c r="J27" i="25"/>
  <c r="D27" i="25"/>
  <c r="C27" i="25"/>
  <c r="P26" i="25"/>
  <c r="I26" i="25"/>
  <c r="S25" i="25"/>
  <c r="F187" i="25" s="1"/>
  <c r="L25" i="25"/>
  <c r="F186" i="25" s="1"/>
  <c r="E25" i="25"/>
  <c r="F185" i="25" s="1"/>
  <c r="S24" i="25"/>
  <c r="F178" i="25" s="1"/>
  <c r="L24" i="25"/>
  <c r="F177" i="25" s="1"/>
  <c r="E24" i="25"/>
  <c r="F176" i="25" s="1"/>
  <c r="S23" i="25"/>
  <c r="F169" i="25" s="1"/>
  <c r="L23" i="25"/>
  <c r="F168" i="25" s="1"/>
  <c r="E23" i="25"/>
  <c r="F167" i="25" s="1"/>
  <c r="S22" i="25"/>
  <c r="F160" i="25" s="1"/>
  <c r="L22" i="25"/>
  <c r="F159" i="25" s="1"/>
  <c r="E22" i="25"/>
  <c r="F158" i="25" s="1"/>
  <c r="R21" i="25"/>
  <c r="Q21" i="25"/>
  <c r="K21" i="25"/>
  <c r="J21" i="25"/>
  <c r="P20" i="25"/>
  <c r="I20" i="25"/>
  <c r="S19" i="25"/>
  <c r="N147" i="25" s="1"/>
  <c r="L19" i="25"/>
  <c r="N146" i="25" s="1"/>
  <c r="E19" i="25"/>
  <c r="N145" i="25" s="1"/>
  <c r="S18" i="25"/>
  <c r="N138" i="25" s="1"/>
  <c r="L18" i="25"/>
  <c r="N137" i="25" s="1"/>
  <c r="E18" i="25"/>
  <c r="N136" i="25" s="1"/>
  <c r="S17" i="25"/>
  <c r="N129" i="25" s="1"/>
  <c r="L17" i="25"/>
  <c r="N128" i="25" s="1"/>
  <c r="E17" i="25"/>
  <c r="N127" i="25" s="1"/>
  <c r="S16" i="25"/>
  <c r="N120" i="25" s="1"/>
  <c r="L16" i="25"/>
  <c r="N119" i="25" s="1"/>
  <c r="E16" i="25"/>
  <c r="N118" i="25" s="1"/>
  <c r="S15" i="25"/>
  <c r="N111" i="25" s="1"/>
  <c r="L15" i="25"/>
  <c r="N110" i="25" s="1"/>
  <c r="E15" i="25"/>
  <c r="N109" i="25" s="1"/>
  <c r="S14" i="25"/>
  <c r="N102" i="25" s="1"/>
  <c r="L14" i="25"/>
  <c r="N101" i="25" s="1"/>
  <c r="E14" i="25"/>
  <c r="N100" i="25" s="1"/>
  <c r="R13" i="25"/>
  <c r="Q13" i="25"/>
  <c r="K13" i="25"/>
  <c r="J13" i="25"/>
  <c r="D13" i="25"/>
  <c r="C13" i="25"/>
  <c r="P12" i="25"/>
  <c r="I12" i="25"/>
  <c r="S11" i="25"/>
  <c r="F147" i="25" s="1"/>
  <c r="L11" i="25"/>
  <c r="F146" i="25" s="1"/>
  <c r="E11" i="25"/>
  <c r="F145" i="25" s="1"/>
  <c r="S10" i="25"/>
  <c r="F138" i="25" s="1"/>
  <c r="L10" i="25"/>
  <c r="F137" i="25" s="1"/>
  <c r="E10" i="25"/>
  <c r="F136" i="25" s="1"/>
  <c r="S9" i="25"/>
  <c r="F129" i="25" s="1"/>
  <c r="L9" i="25"/>
  <c r="F128" i="25" s="1"/>
  <c r="E9" i="25"/>
  <c r="F127" i="25" s="1"/>
  <c r="S8" i="25"/>
  <c r="F120" i="25" s="1"/>
  <c r="L8" i="25"/>
  <c r="F119" i="25" s="1"/>
  <c r="E8" i="25"/>
  <c r="F118" i="25" s="1"/>
  <c r="S7" i="25"/>
  <c r="F111" i="25" s="1"/>
  <c r="L7" i="25"/>
  <c r="F110" i="25" s="1"/>
  <c r="E7" i="25"/>
  <c r="F109" i="25" s="1"/>
  <c r="S6" i="25"/>
  <c r="F102" i="25" s="1"/>
  <c r="L6" i="25"/>
  <c r="F101" i="25" s="1"/>
  <c r="E6" i="25"/>
  <c r="F100" i="25" s="1"/>
  <c r="P4" i="25"/>
  <c r="I4" i="25"/>
  <c r="G209" i="25" l="1"/>
  <c r="M234" i="25"/>
  <c r="M244" i="25" s="1"/>
  <c r="B56" i="5" s="1"/>
  <c r="A195" i="25"/>
  <c r="B203" i="25" s="1"/>
  <c r="B195" i="25"/>
  <c r="C198" i="25" s="1"/>
  <c r="C206" i="25" s="1"/>
  <c r="C214" i="25" s="1"/>
  <c r="C220" i="25" s="1"/>
  <c r="G205" i="25"/>
  <c r="E218" i="25" l="1"/>
  <c r="A217" i="25"/>
  <c r="B221" i="25"/>
  <c r="D204" i="25"/>
  <c r="E221" i="25"/>
  <c r="B216" i="25"/>
  <c r="A201" i="25"/>
  <c r="D224" i="25"/>
  <c r="C207" i="25"/>
  <c r="B198" i="25"/>
  <c r="B206" i="25" s="1"/>
  <c r="B214" i="25" s="1"/>
  <c r="B220" i="25" s="1"/>
  <c r="C202" i="25"/>
  <c r="D209" i="25"/>
  <c r="A202" i="25"/>
  <c r="A203" i="25"/>
  <c r="E212" i="25"/>
  <c r="E215" i="25"/>
  <c r="E201" i="25"/>
  <c r="C201" i="25"/>
  <c r="C212" i="25"/>
  <c r="E200" i="25"/>
  <c r="A215" i="25"/>
  <c r="D200" i="25"/>
  <c r="C211" i="25"/>
  <c r="E224" i="25"/>
  <c r="A210" i="25"/>
  <c r="C218" i="25"/>
  <c r="E202" i="25"/>
  <c r="E208" i="25"/>
  <c r="B212" i="25"/>
  <c r="E222" i="25"/>
  <c r="B202" i="25"/>
  <c r="D210" i="25"/>
  <c r="E199" i="25"/>
  <c r="E217" i="25"/>
  <c r="D217" i="25"/>
  <c r="C200" i="25"/>
  <c r="A223" i="25"/>
  <c r="A218" i="25"/>
  <c r="C208" i="25"/>
  <c r="B215" i="25"/>
  <c r="B201" i="25"/>
  <c r="C199" i="25"/>
  <c r="A204" i="25"/>
  <c r="A224" i="25"/>
  <c r="C203" i="25"/>
  <c r="D211" i="25"/>
  <c r="D199" i="25"/>
  <c r="B210" i="25"/>
  <c r="B223" i="25"/>
  <c r="D207" i="25"/>
  <c r="B217" i="25"/>
  <c r="A200" i="25"/>
  <c r="B207" i="25"/>
  <c r="E209" i="25"/>
  <c r="D221" i="25"/>
  <c r="D201" i="25"/>
  <c r="C209" i="25"/>
  <c r="D216" i="25"/>
  <c r="C216" i="25"/>
  <c r="B211" i="25"/>
  <c r="D215" i="25"/>
  <c r="E211" i="25"/>
  <c r="C210" i="25"/>
  <c r="C223" i="25"/>
  <c r="A209" i="25"/>
  <c r="A222" i="25"/>
  <c r="B204" i="25"/>
  <c r="A216" i="25"/>
  <c r="A199" i="25"/>
  <c r="E203" i="25"/>
  <c r="D208" i="25"/>
  <c r="C215" i="25"/>
  <c r="E223" i="25"/>
  <c r="B208" i="25"/>
  <c r="D223" i="25"/>
  <c r="E216" i="25"/>
  <c r="B209" i="25"/>
  <c r="B222" i="25"/>
  <c r="E207" i="25"/>
  <c r="D218" i="25"/>
  <c r="B200" i="25"/>
  <c r="D212" i="25"/>
  <c r="C224" i="25"/>
  <c r="D202" i="25"/>
  <c r="A207" i="25"/>
  <c r="A212" i="25"/>
  <c r="D222" i="25"/>
  <c r="E204" i="25"/>
  <c r="C222" i="25"/>
  <c r="A208" i="25"/>
  <c r="A221" i="25"/>
  <c r="C204" i="25"/>
  <c r="C217" i="25"/>
  <c r="B199" i="25"/>
  <c r="A211" i="25"/>
  <c r="B218" i="25"/>
  <c r="B224" i="25"/>
  <c r="D203" i="25"/>
  <c r="E210" i="25"/>
  <c r="C221" i="25"/>
  <c r="H212" i="25" l="1"/>
  <c r="H206" i="25"/>
  <c r="J202" i="25"/>
  <c r="J214" i="25"/>
  <c r="J212" i="25"/>
  <c r="J226" i="25"/>
  <c r="H204" i="25"/>
  <c r="H208" i="25"/>
  <c r="H218" i="25"/>
  <c r="H230" i="25"/>
  <c r="H202" i="25"/>
  <c r="J200" i="25"/>
  <c r="J198" i="25"/>
  <c r="J196" i="25"/>
  <c r="H216" i="25"/>
  <c r="H220" i="25"/>
  <c r="J208" i="25"/>
  <c r="J218" i="25"/>
  <c r="J204" i="25"/>
  <c r="H210" i="25"/>
  <c r="J206" i="25"/>
  <c r="H228" i="25"/>
  <c r="J216" i="25"/>
  <c r="J224" i="25"/>
  <c r="H226" i="25"/>
  <c r="J222" i="25"/>
  <c r="J230" i="25"/>
  <c r="J210" i="25"/>
  <c r="H214" i="25"/>
  <c r="J220" i="25"/>
  <c r="H222" i="25"/>
  <c r="H200" i="25"/>
  <c r="H224" i="25"/>
  <c r="J228" i="25"/>
  <c r="H198" i="25"/>
  <c r="H196" i="25"/>
  <c r="I209" i="25" l="1"/>
  <c r="M201" i="25" s="1"/>
  <c r="N201" i="25" s="1"/>
  <c r="J32" i="4" s="1"/>
  <c r="S24" i="4" s="1"/>
  <c r="I213" i="25"/>
  <c r="M202" i="25" s="1"/>
  <c r="N202" i="25" s="1"/>
  <c r="V26" i="4" s="1"/>
  <c r="I225" i="25"/>
  <c r="I221" i="25"/>
  <c r="I201" i="25"/>
  <c r="M199" i="25" s="1"/>
  <c r="N199" i="25" s="1"/>
  <c r="I229" i="25"/>
  <c r="I217" i="25"/>
  <c r="I205" i="25"/>
  <c r="M200" i="25" s="1"/>
  <c r="N200" i="25" s="1"/>
  <c r="J31" i="4" s="1"/>
  <c r="I197" i="25"/>
  <c r="M198" i="25" s="1"/>
  <c r="N198" i="25" s="1"/>
  <c r="G25" i="5" s="1"/>
  <c r="J30" i="4" l="1"/>
  <c r="H30" i="1" s="1"/>
  <c r="I30" i="1"/>
  <c r="P31" i="4"/>
  <c r="Q199" i="25"/>
  <c r="R199" i="25"/>
  <c r="R195" i="25" s="1"/>
  <c r="E22" i="4" s="1"/>
  <c r="B35" i="4" l="1"/>
  <c r="B35" i="1" s="1"/>
  <c r="U26" i="4" l="1"/>
  <c r="K35" i="5" l="1"/>
  <c r="J36" i="1" l="1"/>
  <c r="H36" i="1" l="1"/>
  <c r="B38" i="4" l="1"/>
  <c r="B37" i="1" s="1"/>
  <c r="B69" i="4" l="1"/>
  <c r="C15" i="9"/>
  <c r="C4" i="9"/>
  <c r="B36" i="8" l="1"/>
  <c r="B29" i="8"/>
  <c r="B25" i="8"/>
  <c r="B59" i="4"/>
  <c r="A45" i="4"/>
  <c r="B61" i="4" l="1"/>
  <c r="E26" i="4" l="1"/>
  <c r="N26" i="4" s="1"/>
  <c r="B30" i="1" l="1"/>
  <c r="C31" i="1" l="1"/>
  <c r="C32" i="4"/>
  <c r="L30" i="4"/>
  <c r="O30" i="4" s="1"/>
  <c r="E13" i="4"/>
  <c r="E13" i="1" s="1"/>
  <c r="D13" i="4"/>
  <c r="D13" i="1" s="1"/>
  <c r="A13" i="4"/>
  <c r="A13" i="1" s="1"/>
  <c r="C30" i="4"/>
  <c r="C30" i="1" s="1"/>
  <c r="C32" i="1" l="1"/>
  <c r="J30" i="1"/>
  <c r="F41" i="9"/>
  <c r="E41" i="9"/>
  <c r="F40" i="9"/>
  <c r="E40" i="9"/>
  <c r="F30" i="9" l="1"/>
  <c r="F29" i="9"/>
  <c r="F19" i="9"/>
  <c r="F18" i="9"/>
  <c r="F7" i="9"/>
  <c r="D22" i="1" l="1"/>
  <c r="B22" i="4"/>
  <c r="B22" i="1" s="1"/>
  <c r="L31" i="4"/>
  <c r="O31" i="4" s="1"/>
  <c r="L32" i="4"/>
  <c r="B32" i="4"/>
  <c r="B32" i="1" s="1"/>
  <c r="B31" i="4"/>
  <c r="B31" i="1" s="1"/>
  <c r="S32" i="4" l="1"/>
  <c r="Y24" i="4"/>
  <c r="B58" i="5" s="1"/>
  <c r="B55" i="4" s="1"/>
  <c r="B54" i="1" s="1"/>
  <c r="T32" i="4"/>
  <c r="J31" i="1"/>
  <c r="J32" i="1"/>
  <c r="E17" i="4"/>
  <c r="O32" i="4" l="1"/>
  <c r="N30" i="4" s="1"/>
  <c r="H69" i="4"/>
  <c r="B53" i="1" l="1"/>
  <c r="D7" i="4"/>
  <c r="D7" i="1" s="1"/>
  <c r="A7" i="4"/>
  <c r="A7" i="1" s="1"/>
  <c r="S13" i="4" l="1"/>
  <c r="G40" i="9" l="1"/>
  <c r="I40" i="9" s="1"/>
  <c r="K40" i="9" s="1"/>
  <c r="J40" i="9" l="1"/>
  <c r="B53" i="4" l="1"/>
  <c r="B52" i="1" s="1"/>
  <c r="H31" i="1" l="1"/>
  <c r="D26" i="1"/>
  <c r="D25" i="1"/>
  <c r="D21" i="1"/>
  <c r="D20" i="1"/>
  <c r="B26" i="4"/>
  <c r="B26" i="1" s="1"/>
  <c r="B25" i="4"/>
  <c r="B25" i="1" s="1"/>
  <c r="B21" i="4"/>
  <c r="B21" i="1" s="1"/>
  <c r="B20" i="4"/>
  <c r="B20" i="1" s="1"/>
  <c r="E17" i="1"/>
  <c r="D17" i="1"/>
  <c r="A17" i="1"/>
  <c r="B52" i="4"/>
  <c r="B51" i="1" s="1"/>
  <c r="B60" i="4"/>
  <c r="B58" i="1"/>
  <c r="B66" i="4"/>
  <c r="B65" i="4"/>
  <c r="A62" i="4"/>
  <c r="A66" i="1" s="1"/>
  <c r="B63" i="4"/>
  <c r="A58" i="4"/>
  <c r="A62" i="1" s="1"/>
  <c r="B58" i="4"/>
  <c r="A51" i="4"/>
  <c r="A57" i="1" s="1"/>
  <c r="B51" i="4"/>
  <c r="A50" i="1"/>
  <c r="B34" i="4"/>
  <c r="A34" i="4"/>
  <c r="A34" i="1" s="1"/>
  <c r="B28" i="4"/>
  <c r="B24" i="4"/>
  <c r="B24" i="1" s="1"/>
  <c r="A28" i="4"/>
  <c r="A28" i="1" s="1"/>
  <c r="A24" i="4"/>
  <c r="A24" i="1" s="1"/>
  <c r="B19" i="4"/>
  <c r="B19" i="1" s="1"/>
  <c r="A19" i="4"/>
  <c r="A19" i="1" s="1"/>
  <c r="E26" i="1"/>
  <c r="E25" i="4"/>
  <c r="N25" i="4" s="1"/>
  <c r="K69" i="4" s="1"/>
  <c r="E5" i="1"/>
  <c r="E6" i="4"/>
  <c r="E6" i="1" s="1"/>
  <c r="E14" i="4"/>
  <c r="E14" i="1" s="1"/>
  <c r="E15" i="4"/>
  <c r="E15" i="1" s="1"/>
  <c r="E16" i="4"/>
  <c r="E16" i="1" s="1"/>
  <c r="E4" i="1"/>
  <c r="D5" i="4"/>
  <c r="D5" i="1" s="1"/>
  <c r="D6" i="4"/>
  <c r="D6" i="1" s="1"/>
  <c r="D14" i="4"/>
  <c r="D14" i="1" s="1"/>
  <c r="D15" i="4"/>
  <c r="D15" i="1" s="1"/>
  <c r="D16" i="4"/>
  <c r="D16" i="1" s="1"/>
  <c r="D4" i="4"/>
  <c r="D4" i="1" s="1"/>
  <c r="A5" i="4"/>
  <c r="A5" i="1" s="1"/>
  <c r="A6" i="4"/>
  <c r="A6" i="1" s="1"/>
  <c r="A14" i="4"/>
  <c r="A14" i="1" s="1"/>
  <c r="A15" i="4"/>
  <c r="A15" i="1" s="1"/>
  <c r="A16" i="4"/>
  <c r="A16" i="1" s="1"/>
  <c r="A4" i="4"/>
  <c r="A4" i="1" s="1"/>
  <c r="B59" i="1" l="1"/>
  <c r="B60" i="1"/>
  <c r="E25" i="1"/>
  <c r="B34" i="1"/>
  <c r="B57" i="1"/>
  <c r="B66" i="1"/>
  <c r="B67" i="1"/>
  <c r="B28" i="1"/>
  <c r="B50" i="1"/>
  <c r="B62" i="1"/>
  <c r="B7" i="9"/>
  <c r="K13" i="9"/>
  <c r="B28" i="9"/>
  <c r="A26" i="9"/>
  <c r="A48" i="9" s="1"/>
  <c r="A37" i="9"/>
  <c r="A59" i="9" s="1"/>
  <c r="E30" i="9"/>
  <c r="E29" i="9"/>
  <c r="E19" i="9"/>
  <c r="E18" i="9"/>
  <c r="E7" i="9"/>
  <c r="G7" i="9" s="1"/>
  <c r="B17" i="9" l="1"/>
  <c r="I7" i="9"/>
  <c r="J7" i="9" s="1"/>
  <c r="G18" i="9"/>
  <c r="I18" i="9" s="1"/>
  <c r="K18" i="9" s="1"/>
  <c r="B30" i="9"/>
  <c r="B29" i="9"/>
  <c r="K35" i="9"/>
  <c r="G29" i="9"/>
  <c r="I29" i="9" s="1"/>
  <c r="J29" i="9" s="1"/>
  <c r="K24" i="9"/>
  <c r="B18" i="9"/>
  <c r="B19" i="9"/>
  <c r="A1" i="1"/>
  <c r="C40" i="4"/>
  <c r="C39" i="1" l="1"/>
  <c r="V39" i="4"/>
  <c r="C37" i="1"/>
  <c r="K46" i="9"/>
  <c r="B39" i="9"/>
  <c r="B41" i="9"/>
  <c r="B40" i="9"/>
  <c r="K7" i="9"/>
  <c r="K29" i="9"/>
  <c r="J18" i="9"/>
  <c r="H32" i="1" l="1"/>
  <c r="G19" i="9" l="1"/>
  <c r="I19" i="9" s="1"/>
  <c r="G17" i="9"/>
  <c r="I17" i="9" s="1"/>
  <c r="K17" i="9" s="1"/>
  <c r="G6" i="9"/>
  <c r="I6" i="9" s="1"/>
  <c r="J6" i="9" s="1"/>
  <c r="G28" i="9"/>
  <c r="I28" i="9" s="1"/>
  <c r="J17" i="9" l="1"/>
  <c r="K6" i="9"/>
  <c r="G41" i="9"/>
  <c r="I41" i="9" s="1"/>
  <c r="G39" i="9"/>
  <c r="I39" i="9" s="1"/>
  <c r="J19" i="9"/>
  <c r="K19" i="9"/>
  <c r="J28" i="9"/>
  <c r="K28" i="9"/>
  <c r="G30" i="9" l="1"/>
  <c r="I30" i="9" s="1"/>
  <c r="J30" i="9" s="1"/>
  <c r="J20" i="9"/>
  <c r="J21" i="9" s="1"/>
  <c r="K9" i="9"/>
  <c r="K20" i="9"/>
  <c r="J41" i="9"/>
  <c r="K41" i="9"/>
  <c r="K39" i="9"/>
  <c r="J39" i="9"/>
  <c r="J9" i="9" l="1"/>
  <c r="J10" i="9" s="1"/>
  <c r="J11" i="9" s="1"/>
  <c r="J12" i="9" s="1"/>
  <c r="J13" i="9" s="1"/>
  <c r="W38" i="4" s="1"/>
  <c r="J38" i="4" s="1"/>
  <c r="K30" i="9"/>
  <c r="J31" i="9"/>
  <c r="J32" i="9" s="1"/>
  <c r="J22" i="9"/>
  <c r="J23" i="9" s="1"/>
  <c r="J24" i="9" s="1"/>
  <c r="W39" i="4" s="1"/>
  <c r="J42" i="9"/>
  <c r="J43" i="9" s="1"/>
  <c r="K42" i="9"/>
  <c r="J40" i="4" l="1"/>
  <c r="K39" i="1" s="1"/>
  <c r="K37" i="1"/>
  <c r="K31" i="9"/>
  <c r="J33" i="9" s="1"/>
  <c r="J34" i="9" s="1"/>
  <c r="J35" i="9" s="1"/>
  <c r="W40" i="4" s="1"/>
  <c r="J44" i="9"/>
  <c r="J45" i="9" s="1"/>
  <c r="J46" i="9" s="1"/>
  <c r="W41" i="4" s="1"/>
  <c r="Q38" i="4"/>
  <c r="I37" i="1"/>
  <c r="O38" i="4" l="1"/>
  <c r="J44" i="4"/>
  <c r="K43" i="1" s="1"/>
  <c r="J42" i="4"/>
  <c r="K41" i="1" s="1"/>
  <c r="S43" i="4" l="1"/>
  <c r="B78" i="4"/>
  <c r="E2" i="5" l="1"/>
  <c r="A2" i="4" s="1"/>
  <c r="A2" i="1" s="1"/>
  <c r="B82" i="4"/>
  <c r="B67" i="5" s="1"/>
  <c r="B64" i="4" s="1"/>
  <c r="B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 mahensa</author>
    <author>hamdan syarif</author>
    <author>ismail - [2010]</author>
  </authors>
  <commentList>
    <comment ref="L6" authorId="0" shapeId="0" xr:uid="{A96629FE-D389-4AF2-8AB6-9D229AAD0B1C}">
      <text>
        <r>
          <rPr>
            <b/>
            <sz val="9"/>
            <color indexed="81"/>
            <rFont val="Tahoma"/>
            <family val="2"/>
          </rPr>
          <t>NOTE:Wajib Di isi</t>
        </r>
      </text>
    </comment>
    <comment ref="C9" authorId="1" shapeId="0" xr:uid="{E493FD99-98BF-4826-A099-B78A98EC01AA}">
      <text>
        <r>
          <rPr>
            <b/>
            <sz val="9"/>
            <color indexed="81"/>
            <rFont val="Tahoma"/>
            <family val="2"/>
          </rPr>
          <t>hamdan syarif:</t>
        </r>
        <r>
          <rPr>
            <sz val="9"/>
            <color indexed="81"/>
            <rFont val="Tahoma"/>
            <family val="2"/>
          </rPr>
          <t xml:space="preserve">
Pilih Parameter
</t>
        </r>
      </text>
    </comment>
    <comment ref="H13" authorId="1" shapeId="0" xr:uid="{41593C08-BF54-4230-99AA-89F67F8D675A}">
      <text>
        <r>
          <rPr>
            <b/>
            <sz val="9"/>
            <color indexed="81"/>
            <rFont val="Tahoma"/>
            <family val="2"/>
          </rPr>
          <t>hamdan syarif:</t>
        </r>
        <r>
          <rPr>
            <sz val="9"/>
            <color indexed="81"/>
            <rFont val="Tahoma"/>
            <family val="2"/>
          </rPr>
          <t xml:space="preserve">
Isi Sesuai Insert-Kit Kontrol
</t>
        </r>
      </text>
    </comment>
    <comment ref="P33" authorId="2" shapeId="0" xr:uid="{61FDCB83-0608-4600-832C-2E56BD4E8622}">
      <text>
        <r>
          <rPr>
            <sz val="9"/>
            <color indexed="81"/>
            <rFont val="Tahoma"/>
            <family val="2"/>
          </rPr>
          <t>Ganti Dulu</t>
        </r>
      </text>
    </comment>
    <comment ref="F41" authorId="0" shapeId="0" xr:uid="{6B1DD29F-9A2D-4F22-A679-F744C9F2C8C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Di isi sesuai insert kit serum kontrol</t>
        </r>
      </text>
    </comment>
    <comment ref="B62" authorId="0" shapeId="0" xr:uid="{6CDD36FF-C516-4C12-8E97-1EE80A5BA975}">
      <text>
        <r>
          <rPr>
            <b/>
            <sz val="9"/>
            <color indexed="81"/>
            <rFont val="Tahoma"/>
            <family val="2"/>
          </rPr>
          <t>Note:Di isi berdasarkan Serum Kontrol yang di bawa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hamdan syarif</author>
  </authors>
  <commentList>
    <comment ref="E3" authorId="0" shapeId="0" xr:uid="{C05B6BC4-3D40-4073-88A9-AE5322D8FC1B}">
      <text>
        <r>
          <rPr>
            <b/>
            <sz val="9"/>
            <color indexed="81"/>
            <rFont val="Tahoma"/>
            <family val="2"/>
          </rPr>
          <t>hamdan syarif:</t>
        </r>
        <r>
          <rPr>
            <sz val="9"/>
            <color indexed="81"/>
            <rFont val="Tahoma"/>
            <family val="2"/>
          </rPr>
          <t xml:space="preserve">
Isi Sesuai Insert-Kit Kontrol
</t>
        </r>
      </text>
    </comment>
  </commentList>
</comments>
</file>

<file path=xl/sharedStrings.xml><?xml version="1.0" encoding="utf-8"?>
<sst xmlns="http://schemas.openxmlformats.org/spreadsheetml/2006/main" count="1341" uniqueCount="423">
  <si>
    <t>Lembar Kerja Kalibrasi Photometer</t>
  </si>
  <si>
    <t>Sertifikat / Surat Keterangan : 99 / ………. / …...... - ….... / E - …......... DL</t>
  </si>
  <si>
    <t>Merek</t>
  </si>
  <si>
    <t xml:space="preserve">: </t>
  </si>
  <si>
    <t>Model/Tipe</t>
  </si>
  <si>
    <t>No. Seri</t>
  </si>
  <si>
    <t>Resolusi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</si>
  <si>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</si>
  <si>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</si>
  <si>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</si>
  <si>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</si>
  <si>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</si>
  <si>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</si>
  <si>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</si>
  <si>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>Awal</t>
  </si>
  <si>
    <t>Akhir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</si>
  <si>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</si>
  <si>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</si>
  <si>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</si>
  <si>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</si>
  <si>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</si>
  <si>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</si>
  <si>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</si>
  <si>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</si>
  <si>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</si>
  <si>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</si>
  <si>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</si>
  <si>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</si>
  <si>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</si>
  <si>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</si>
  <si>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</si>
  <si>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</si>
  <si>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</si>
  <si>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</si>
  <si>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</si>
  <si>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</si>
  <si>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</si>
  <si>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</si>
  <si>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</si>
  <si>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</si>
  <si>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</si>
  <si>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r>
      <t xml:space="preserve">&gt; jika hasil pengukuran pada titik ukur yang bertanda (*) </t>
    </r>
    <r>
      <rPr>
        <i/>
        <sz val="8"/>
        <color theme="0"/>
        <rFont val="Arial"/>
        <family val="2"/>
      </rPr>
      <t xml:space="preserve">outlayer </t>
    </r>
    <r>
      <rPr>
        <sz val="8"/>
        <color theme="0"/>
        <rFont val="Arial"/>
        <family val="2"/>
      </rPr>
      <t>maka skor pengujian keselamatan listrik = 0</t>
    </r>
  </si>
  <si>
    <t>IV.</t>
  </si>
  <si>
    <t>No</t>
  </si>
  <si>
    <t>*Setting Standar</t>
  </si>
  <si>
    <t xml:space="preserve"> Pembacaan Alat</t>
  </si>
  <si>
    <t>Toleransi</t>
  </si>
  <si>
    <t>I</t>
  </si>
  <si>
    <t>II</t>
  </si>
  <si>
    <t>III</t>
  </si>
  <si>
    <t xml:space="preserve">*note : </t>
  </si>
  <si>
    <t>*Setting standar diisi sesuai nilai dari parameter yang tercantum pada inesrt kit serum kontrol yang di pakai</t>
  </si>
  <si>
    <r>
      <rPr>
        <sz val="8"/>
        <color theme="0"/>
        <rFont val="Arial"/>
        <family val="2"/>
      </rPr>
      <t xml:space="preserve">&gt; jika hasil pengukuran parameter waktu </t>
    </r>
    <r>
      <rPr>
        <i/>
        <sz val="8"/>
        <color theme="0"/>
        <rFont val="Arial"/>
        <family val="2"/>
      </rPr>
      <t>outlayer</t>
    </r>
    <r>
      <rPr>
        <sz val="8"/>
        <color theme="0"/>
        <rFont val="Arial"/>
        <family val="2"/>
      </rPr>
      <t xml:space="preserve"> maka skor pengujian kinerja = 0</t>
    </r>
  </si>
  <si>
    <t>*Pengenceran kontrol menggunakan 5mL Aquabides (diamkan selama 30 menit pada suhu ruang)</t>
  </si>
  <si>
    <t>*Perbandingan Reagent terhadap kontrol 1000 : 10 uL</t>
  </si>
  <si>
    <t>V.</t>
  </si>
  <si>
    <t>Keterangan</t>
  </si>
  <si>
    <t>Merk Reagent yang dipakai (…...............................................),Lot Number (…..............................................)</t>
  </si>
  <si>
    <t>VI.</t>
  </si>
  <si>
    <t>Alat ukur yang digunakan</t>
  </si>
  <si>
    <t>Kontrol_Merek : ROCHE_Model : PreciControl ClinChem Multi 1_Lot : 525027 Ver.1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</si>
  <si>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</si>
  <si>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</si>
  <si>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</si>
  <si>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</si>
  <si>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</si>
  <si>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</si>
  <si>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</si>
  <si>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</si>
  <si>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</si>
  <si>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</si>
  <si>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</si>
  <si>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No.</t>
  </si>
  <si>
    <t>Tanggal</t>
  </si>
  <si>
    <t>Revisi</t>
  </si>
  <si>
    <t>Nama</t>
  </si>
  <si>
    <t>REV :</t>
  </si>
  <si>
    <t>4.1.2023</t>
  </si>
  <si>
    <t>Input Data Kalibrasi Photometer</t>
  </si>
  <si>
    <t xml:space="preserve"> </t>
  </si>
  <si>
    <t>Mindray</t>
  </si>
  <si>
    <t>BA 88 A</t>
  </si>
  <si>
    <t>2019021001</t>
  </si>
  <si>
    <t>Cholesterol</t>
  </si>
  <si>
    <t>Glucose</t>
  </si>
  <si>
    <t>Asam Urat</t>
  </si>
  <si>
    <t>Triglycerides</t>
  </si>
  <si>
    <t>SGOT</t>
  </si>
  <si>
    <t>SGPT</t>
  </si>
  <si>
    <t>Laboratorium</t>
  </si>
  <si>
    <t>Nama Ruang</t>
  </si>
  <si>
    <t>Metode Kerja</t>
  </si>
  <si>
    <t>MK 122 - 2019</t>
  </si>
  <si>
    <t>I.</t>
  </si>
  <si>
    <t>Pembacaan Standar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</si>
  <si>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</si>
  <si>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</si>
  <si>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</si>
  <si>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</si>
  <si>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</si>
  <si>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</si>
  <si>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</si>
  <si>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</si>
  <si>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</si>
  <si>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</si>
  <si>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</si>
  <si>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</si>
  <si>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</si>
  <si>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 xml:space="preserve">A. Kalibrasi </t>
  </si>
  <si>
    <t>Setting Standar</t>
  </si>
  <si>
    <t>Pembacaan Alat</t>
  </si>
  <si>
    <t>Rata</t>
  </si>
  <si>
    <t>Standar Deviasi</t>
  </si>
  <si>
    <t>-</t>
  </si>
  <si>
    <t>Ketidakpastian pengukuran dilaporkan pada tingkat kepercayaan 95 % dengan faktor cakupan k = 2</t>
  </si>
  <si>
    <t>Hasil pengujian photometer tertelusur ke Satuan Internasional ( SI ) melalui ROCHE</t>
  </si>
  <si>
    <t>Merk Reagent yang digunakan…..................</t>
  </si>
  <si>
    <t>Kontrol_Merek : Roche_Model : PreciControl ClinChem Multi 1_Lot : 525027 Ver.1</t>
  </si>
  <si>
    <t>Electrical Safety Analyzer, Merek : Fluke, Model : ESA 615, SN : 4670010</t>
  </si>
  <si>
    <t>Thermohygrobarometer, Merek : EXTECH, Model : SD700, SN : A.100609</t>
  </si>
  <si>
    <t>Isra Mahensa</t>
  </si>
  <si>
    <t>IX.</t>
  </si>
  <si>
    <t>Tanggal Pembuatan Laporan</t>
  </si>
  <si>
    <t>14 Juli 2022</t>
  </si>
  <si>
    <t>Choirul Huda</t>
  </si>
  <si>
    <t>Donny Martha</t>
  </si>
  <si>
    <t>Rangga Setya Hantoko</t>
  </si>
  <si>
    <t>Hary Ernanto</t>
  </si>
  <si>
    <t>Muhammad Arrizal Septiawan</t>
  </si>
  <si>
    <t>Muhammad Zaenuri Sugiasmoro</t>
  </si>
  <si>
    <t>Hamdan Syarif</t>
  </si>
  <si>
    <t>Gusti Arya Dinata</t>
  </si>
  <si>
    <t>Muhammad Irfan Husnuzhzhan</t>
  </si>
  <si>
    <t>Venna Filosofia</t>
  </si>
  <si>
    <t>Fatimah Novrianisa</t>
  </si>
  <si>
    <t>Muhammad Iqbal Saiful Rahman</t>
  </si>
  <si>
    <t>Septia Khairunnisa</t>
  </si>
  <si>
    <t>Wardimanul Abrar</t>
  </si>
  <si>
    <t>Alpian Hadi</t>
  </si>
  <si>
    <t>Taufik Priawan</t>
  </si>
  <si>
    <t>Siti Fathul Jannah</t>
  </si>
  <si>
    <t>Sholihatussa"diah</t>
  </si>
  <si>
    <t>Azhar Alamsyah</t>
  </si>
  <si>
    <t>Ryan Rama Chaesar R.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</si>
  <si>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</si>
  <si>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</si>
  <si>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</si>
  <si>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</si>
  <si>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</si>
  <si>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</si>
  <si>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</si>
  <si>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</si>
  <si>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</si>
  <si>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</si>
  <si>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</si>
  <si>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</si>
  <si>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 xml:space="preserve">1. Repeatability </t>
  </si>
  <si>
    <t>normal</t>
  </si>
  <si>
    <t>2. Daya baca UUT</t>
  </si>
  <si>
    <t>rect.</t>
  </si>
  <si>
    <t>3. Reproduksibilitas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</si>
  <si>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</si>
  <si>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</si>
  <si>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</si>
  <si>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</si>
  <si>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</si>
  <si>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</si>
  <si>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</si>
  <si>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</si>
  <si>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</si>
  <si>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NO</t>
  </si>
  <si>
    <t>toleransi</t>
  </si>
  <si>
    <t>Component</t>
  </si>
  <si>
    <t>Low</t>
  </si>
  <si>
    <t>Mid</t>
  </si>
  <si>
    <t>High</t>
  </si>
  <si>
    <t>Unit</t>
  </si>
  <si>
    <t>Range</t>
  </si>
  <si>
    <t>( ASTL )</t>
  </si>
  <si>
    <t>U/L</t>
  </si>
  <si>
    <t>( ALTL )</t>
  </si>
  <si>
    <t>ALP</t>
  </si>
  <si>
    <t>( ALP2S )</t>
  </si>
  <si>
    <t>GGT</t>
  </si>
  <si>
    <t>( GGT-2 )</t>
  </si>
  <si>
    <t>Billirubin</t>
  </si>
  <si>
    <t>( BILD2 )</t>
  </si>
  <si>
    <t>mg/dL</t>
  </si>
  <si>
    <t>Total Billirubin</t>
  </si>
  <si>
    <t>( BILT3 )</t>
  </si>
  <si>
    <t>Total Protein</t>
  </si>
  <si>
    <t>( TP2 )</t>
  </si>
  <si>
    <t>g/L</t>
  </si>
  <si>
    <t>Albumin</t>
  </si>
  <si>
    <t>( ALB2 )</t>
  </si>
  <si>
    <t>Creatine</t>
  </si>
  <si>
    <t>( CK )</t>
  </si>
  <si>
    <t>Sodium</t>
  </si>
  <si>
    <t>( Na-D )</t>
  </si>
  <si>
    <t>Cloride</t>
  </si>
  <si>
    <t>( CL-D )</t>
  </si>
  <si>
    <t>Kalium</t>
  </si>
  <si>
    <t>( K-D )</t>
  </si>
  <si>
    <t>Urea</t>
  </si>
  <si>
    <t>( Ureal )</t>
  </si>
  <si>
    <t>( CHO2A )</t>
  </si>
  <si>
    <t>HDL</t>
  </si>
  <si>
    <t>( HDLC4 )</t>
  </si>
  <si>
    <t>( TRIGL )</t>
  </si>
  <si>
    <t>( GLUC2 )</t>
  </si>
  <si>
    <t>Alpha Amylase</t>
  </si>
  <si>
    <t>( AMYL2 )</t>
  </si>
  <si>
    <t>( UA2 )</t>
  </si>
  <si>
    <t>Hasil Kalibrasi Photometer</t>
  </si>
  <si>
    <t>( Digital )</t>
  </si>
  <si>
    <t>( Analog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</si>
  <si>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</si>
  <si>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</si>
  <si>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</si>
  <si>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</si>
  <si>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</si>
  <si>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</si>
  <si>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</si>
  <si>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</si>
  <si>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</si>
  <si>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</si>
  <si>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</si>
  <si>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</si>
  <si>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</si>
  <si>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</t>
  </si>
  <si>
    <t>Ketidakpastian Pengukuran</t>
  </si>
  <si>
    <t>Score Pengujian Kinerja</t>
  </si>
  <si>
    <t>Atas</t>
  </si>
  <si>
    <t>Bawah</t>
  </si>
  <si>
    <t>Abs</t>
  </si>
  <si>
    <t>U95</t>
  </si>
  <si>
    <t>Score/Parameter</t>
  </si>
  <si>
    <t>if error</t>
  </si>
  <si>
    <t>Total</t>
  </si>
  <si>
    <t>Score / titik</t>
  </si>
  <si>
    <t>Paraf</t>
  </si>
  <si>
    <t>Score Total</t>
  </si>
  <si>
    <t>Penyelia  :</t>
  </si>
  <si>
    <t>Tidak Baik</t>
  </si>
  <si>
    <t>Nomor Sertifikat : 85 /</t>
  </si>
  <si>
    <t>Nomor Surat Keterangan : 85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</si>
  <si>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</si>
  <si>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</si>
  <si>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</si>
  <si>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</si>
  <si>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</si>
  <si>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</si>
  <si>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</si>
  <si>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</si>
  <si>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</si>
  <si>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</si>
  <si>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</si>
  <si>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</si>
  <si>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</si>
  <si>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</si>
  <si>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</si>
  <si>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</si>
  <si>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</si>
  <si>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</si>
  <si>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</si>
  <si>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</si>
  <si>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</si>
  <si>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Menyetujui,</t>
  </si>
  <si>
    <t>Kepala Instalasi Laboratorium</t>
  </si>
  <si>
    <t>Pengujian dan Kalibrasi</t>
  </si>
  <si>
    <t>Choirul Huda, S.Tr. Kes</t>
  </si>
  <si>
    <t>Halaman 2 dari 2 halaman</t>
  </si>
  <si>
    <t xml:space="preserve">Farid Wajidi, SKM </t>
  </si>
  <si>
    <t>NIP 196712101990031012</t>
  </si>
  <si>
    <t>NIP 198008062010121001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</si>
  <si>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</si>
  <si>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</si>
  <si>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</si>
  <si>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</si>
  <si>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</si>
  <si>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</si>
  <si>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</si>
  <si>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</si>
  <si>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</si>
  <si>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</si>
  <si>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</si>
  <si>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</si>
  <si>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</si>
  <si>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</si>
  <si>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</si>
  <si>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</si>
  <si>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</si>
  <si>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</si>
  <si>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</si>
  <si>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</si>
  <si>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</si>
  <si>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</si>
  <si>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</si>
  <si>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</si>
  <si>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</si>
  <si>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(4670010)</t>
  </si>
  <si>
    <t>ESA (4669058)</t>
  </si>
  <si>
    <t>No urut alat</t>
  </si>
  <si>
    <t>IV</t>
  </si>
  <si>
    <t>V</t>
  </si>
  <si>
    <t>VI</t>
  </si>
  <si>
    <t>Tegangan jala-jala listrik</t>
  </si>
  <si>
    <t>Pembacaan terkoreksi</t>
  </si>
  <si>
    <t>Hasil</t>
  </si>
  <si>
    <t>HASIL</t>
  </si>
  <si>
    <t>Konversi TEXT</t>
  </si>
  <si>
    <t>Tahanan isolasi kabel catu daya</t>
  </si>
  <si>
    <t xml:space="preserve"> Volt</t>
  </si>
  <si>
    <t xml:space="preserve">( </t>
  </si>
  <si>
    <t xml:space="preserve"> ± </t>
  </si>
  <si>
    <t xml:space="preserve"> )</t>
  </si>
  <si>
    <t>Arus bocor</t>
  </si>
  <si>
    <t xml:space="preserve">Electrical Safety Analyzer, Merek : Fluke, Model : ESA 620, SN : 1837056 </t>
  </si>
  <si>
    <t>Hasil pengujian Keselamatan Listrik tertelusur ke Satuan Internasional ( SI ) melalui PT. Kaliman (LK-032-IDN)</t>
  </si>
  <si>
    <t xml:space="preserve">Electrical Safety Analyzer, Merek : Fluke, Model : ESA 620, SN : 1834020 </t>
  </si>
  <si>
    <t>Hasil pengujian Keselamatan Listrik tertelusur ke Satuan Internasional ( SI ) melalui PT. CALTEK PTE LTD</t>
  </si>
  <si>
    <t>Electrical Safety Analyzer, Merek : Fluke, Model : ESA 615, SN : 2853077</t>
  </si>
  <si>
    <t xml:space="preserve">Electrical Safety Analyzer, Merek : Fluke, Model : ESA 615, SN : 2853078 </t>
  </si>
  <si>
    <t xml:space="preserve">Electrical Safety Analyzer, Merek : Fluke, Model : ESA 615, SN : 3148907 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</si>
  <si>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</si>
  <si>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</si>
  <si>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</si>
  <si>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INPUT SERTIFIKAT THERMOHYGROMETER</t>
  </si>
  <si>
    <t>KOREKSI KIMO THERMOHYGROMETER 15062873</t>
  </si>
  <si>
    <t>KOREKSI EXTECH SD700 A.100615</t>
  </si>
  <si>
    <t>Suhu</t>
  </si>
  <si>
    <t>Tahun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</si>
  <si>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</si>
  <si>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</si>
  <si>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</si>
  <si>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</si>
  <si>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</si>
  <si>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</si>
  <si>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</si>
  <si>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</si>
  <si>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</si>
  <si>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</si>
  <si>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</si>
  <si>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</si>
  <si>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</si>
  <si>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SD700 A.100605</t>
  </si>
  <si>
    <t>KOREKSI EXTECH SD700 A.100611</t>
  </si>
  <si>
    <t>KOREKSI EXTECH SD700 A.100609</t>
  </si>
  <si>
    <t>KOREKSI EXTECH SD700 A.100586</t>
  </si>
  <si>
    <t>KOREKSI EXTECH SD700 A.100616</t>
  </si>
  <si>
    <t>KOREKSI EXTECH SD700 A.100617</t>
  </si>
  <si>
    <t>KOREKSI EXTECH SD700 A.100618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</si>
  <si>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</si>
  <si>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</si>
  <si>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</si>
  <si>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</si>
  <si>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</si>
  <si>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INTERPOLASI KOREKSI SUHU</t>
  </si>
  <si>
    <t>INTERPOLASI KOREKSI KELEMBABAN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</si>
  <si>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</si>
  <si>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</si>
  <si>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</si>
  <si>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</si>
  <si>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</si>
  <si>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</si>
  <si>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</si>
  <si>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</si>
  <si>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</si>
  <si>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</si>
  <si>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</si>
  <si>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</si>
  <si>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</si>
  <si>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A.100605</t>
  </si>
  <si>
    <t>Thermohygrobarometer, Merek : EXTECH, Model : SD700, SN : A.100611</t>
  </si>
  <si>
    <t>Thermohygrobarometer, Merek : EXTECH, Model : SD700, SN : A.100586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</si>
  <si>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</si>
  <si>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</si>
  <si>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</si>
  <si>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</si>
  <si>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MID</t>
  </si>
  <si>
    <t>LOW</t>
  </si>
  <si>
    <t>HIGH</t>
  </si>
  <si>
    <t>SERTIFIKAT KALIBRASI</t>
  </si>
  <si>
    <t>Nama Alat            :</t>
  </si>
  <si>
    <t>Timbangan Dewasa</t>
  </si>
  <si>
    <t>Nomor Order                        :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</si>
  <si>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</si>
  <si>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</si>
  <si>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</si>
  <si>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</si>
  <si>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</si>
  <si>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</si>
  <si>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</si>
  <si>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</si>
  <si>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</si>
  <si>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</si>
  <si>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</si>
  <si>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</si>
  <si>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</si>
  <si>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</si>
  <si>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</si>
  <si>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</si>
  <si>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</si>
  <si>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</si>
  <si>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</si>
  <si>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</si>
  <si>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</si>
  <si>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</si>
  <si>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</si>
  <si>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</si>
  <si>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</si>
  <si>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</si>
  <si>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</si>
  <si>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</si>
  <si>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</si>
  <si>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</si>
  <si>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</si>
  <si>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</si>
  <si>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OA.0122-2019</t>
  </si>
  <si>
    <t>1 / 1 - 21 / E - 114.123 DL</t>
  </si>
  <si>
    <t>(</t>
  </si>
  <si>
    <t>)</t>
  </si>
  <si>
    <t>) 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</si>
</sst>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0.000"/>
    <numFmt numFmtId="165" formatCode="0.0000"/>
    <numFmt numFmtId="166" formatCode="0.0"/>
    <numFmt numFmtId="167" formatCode="0.00000"/>
    <numFmt numFmtId="168" formatCode="0.000\ \Ω"/>
    <numFmt numFmtId="169" formatCode="0.0\ \µ\A"/>
    <numFmt numFmtId="170" formatCode="\≤\ 0.0\ \Ω"/>
    <numFmt numFmtId="171" formatCode="\≤\ 0\ \µ\A"/>
    <numFmt numFmtId="172" formatCode="0.0\ &quot;Volt&quot;"/>
    <numFmt numFmtId="173" formatCode="0.0\ &quot;MΩ&quot;"/>
    <numFmt numFmtId="174" formatCode="[$-421]dd\ mmmm\ yyyy;@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\±\ 0.0"/>
    <numFmt numFmtId="182" formatCode="\±\ 0.00&quot;%&quot;"/>
    <numFmt numFmtId="183" formatCode="\±\ 0.0&quot;%&quot;"/>
    <numFmt numFmtId="184" formatCode="0.0\ &quot;%&quot;"/>
  </numFmts>
  <fonts count="7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Times New Roman"/>
      <family val="1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8"/>
      <name val="Arial"/>
      <family val="2"/>
    </font>
    <font>
      <sz val="10"/>
      <color theme="8" tint="0.5999938962981048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8"/>
      <name val="Arial"/>
      <family val="2"/>
    </font>
    <font>
      <sz val="11"/>
      <color theme="0" tint="-0.499984740745262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i/>
      <sz val="11"/>
      <name val="Arial"/>
      <family val="2"/>
    </font>
    <font>
      <sz val="10"/>
      <color theme="0" tint="-0.34998626667073579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i/>
      <sz val="8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249977111117893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</cellStyleXfs>
  <cellXfs count="1110">
    <xf numFmtId="0" fontId="0" fillId="0" borderId="0" xfId="0"/>
    <xf numFmtId="0" fontId="1" fillId="0" borderId="0" xfId="0" applyFont="1"/>
    <xf numFmtId="0" fontId="0" fillId="2" borderId="0" xfId="0" applyFill="1"/>
    <xf numFmtId="0" fontId="16" fillId="2" borderId="56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49" xfId="0" applyFont="1" applyFill="1" applyBorder="1" applyAlignment="1">
      <alignment horizontal="center" vertical="center"/>
    </xf>
    <xf numFmtId="0" fontId="6" fillId="2" borderId="49" xfId="0" applyFont="1" applyFill="1" applyBorder="1"/>
    <xf numFmtId="0" fontId="6" fillId="2" borderId="0" xfId="0" applyFont="1" applyFill="1" applyAlignment="1">
      <alignment horizontal="center" vertical="center"/>
    </xf>
    <xf numFmtId="0" fontId="1" fillId="0" borderId="50" xfId="0" applyFont="1" applyBorder="1"/>
    <xf numFmtId="0" fontId="1" fillId="0" borderId="49" xfId="0" applyFont="1" applyBorder="1"/>
    <xf numFmtId="0" fontId="13" fillId="2" borderId="44" xfId="2" applyFont="1" applyFill="1" applyBorder="1" applyAlignment="1">
      <alignment horizontal="center" vertical="center"/>
    </xf>
    <xf numFmtId="0" fontId="10" fillId="2" borderId="15" xfId="2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164" fontId="26" fillId="0" borderId="0" xfId="0" applyNumberFormat="1" applyFont="1"/>
    <xf numFmtId="0" fontId="26" fillId="0" borderId="2" xfId="0" applyFont="1" applyBorder="1" applyAlignment="1">
      <alignment horizontal="left"/>
    </xf>
    <xf numFmtId="0" fontId="26" fillId="0" borderId="2" xfId="0" applyFont="1" applyBorder="1"/>
    <xf numFmtId="0" fontId="26" fillId="0" borderId="5" xfId="0" applyFont="1" applyBorder="1" applyAlignment="1">
      <alignment horizontal="left"/>
    </xf>
    <xf numFmtId="0" fontId="26" fillId="0" borderId="5" xfId="0" applyFont="1" applyBorder="1"/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/>
    </xf>
    <xf numFmtId="0" fontId="26" fillId="0" borderId="21" xfId="0" applyFont="1" applyBorder="1"/>
    <xf numFmtId="0" fontId="28" fillId="0" borderId="0" xfId="0" quotePrefix="1" applyFon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/>
    </xf>
    <xf numFmtId="0" fontId="30" fillId="0" borderId="0" xfId="0" quotePrefix="1" applyFont="1" applyAlignment="1">
      <alignment horizontal="right"/>
    </xf>
    <xf numFmtId="2" fontId="26" fillId="0" borderId="0" xfId="0" applyNumberFormat="1" applyFont="1" applyAlignment="1">
      <alignment horizontal="left"/>
    </xf>
    <xf numFmtId="0" fontId="26" fillId="0" borderId="15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6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4" fontId="31" fillId="0" borderId="0" xfId="0" applyNumberFormat="1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165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quotePrefix="1" applyFont="1"/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Protection="1">
      <protection hidden="1"/>
    </xf>
    <xf numFmtId="0" fontId="29" fillId="0" borderId="0" xfId="0" applyFont="1" applyAlignment="1">
      <alignment vertical="center" wrapText="1"/>
    </xf>
    <xf numFmtId="0" fontId="30" fillId="0" borderId="0" xfId="0" applyFont="1"/>
    <xf numFmtId="0" fontId="20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vertical="center"/>
      <protection locked="0"/>
    </xf>
    <xf numFmtId="0" fontId="27" fillId="0" borderId="0" xfId="3" applyFont="1" applyAlignment="1" applyProtection="1">
      <alignment horizontal="center" vertical="center" wrapText="1"/>
      <protection locked="0"/>
    </xf>
    <xf numFmtId="166" fontId="26" fillId="0" borderId="0" xfId="3" applyNumberFormat="1" applyFont="1" applyAlignment="1" applyProtection="1">
      <alignment horizontal="left" vertical="center"/>
      <protection locked="0"/>
    </xf>
    <xf numFmtId="2" fontId="26" fillId="0" borderId="0" xfId="3" applyNumberFormat="1" applyFont="1" applyAlignment="1" applyProtection="1">
      <alignment horizontal="center" vertical="center"/>
      <protection locked="0"/>
    </xf>
    <xf numFmtId="166" fontId="26" fillId="2" borderId="0" xfId="3" applyNumberFormat="1" applyFont="1" applyFill="1" applyAlignment="1" applyProtection="1">
      <alignment horizontal="left" vertical="center"/>
      <protection locked="0"/>
    </xf>
    <xf numFmtId="166" fontId="26" fillId="0" borderId="0" xfId="3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2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1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164" fontId="31" fillId="0" borderId="0" xfId="0" applyNumberFormat="1" applyFont="1" applyAlignment="1" applyProtection="1">
      <alignment horizontal="center" vertical="center"/>
      <protection locked="0"/>
    </xf>
    <xf numFmtId="165" fontId="31" fillId="0" borderId="0" xfId="0" applyNumberFormat="1" applyFont="1" applyAlignment="1" applyProtection="1">
      <alignment horizontal="center" vertical="center"/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32" fillId="0" borderId="0" xfId="0" quotePrefix="1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3" fillId="2" borderId="0" xfId="0" applyFont="1" applyFill="1" applyAlignment="1" applyProtection="1">
      <alignment vertical="center"/>
      <protection locked="0"/>
    </xf>
    <xf numFmtId="0" fontId="33" fillId="3" borderId="0" xfId="0" quotePrefix="1" applyFont="1" applyFill="1" applyAlignment="1" applyProtection="1">
      <alignment vertical="center"/>
      <protection locked="0"/>
    </xf>
    <xf numFmtId="0" fontId="33" fillId="3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" fillId="0" borderId="36" xfId="2" applyFont="1" applyBorder="1"/>
    <xf numFmtId="0" fontId="1" fillId="0" borderId="22" xfId="2" applyBorder="1"/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0" xfId="2" applyBorder="1"/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0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4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0" fontId="15" fillId="0" borderId="49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4" xfId="2" applyNumberFormat="1" applyBorder="1"/>
    <xf numFmtId="165" fontId="1" fillId="0" borderId="50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0" fontId="24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0" fontId="41" fillId="0" borderId="15" xfId="3" applyFont="1" applyBorder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vertical="top"/>
      <protection locked="0"/>
    </xf>
    <xf numFmtId="2" fontId="26" fillId="0" borderId="15" xfId="0" applyNumberFormat="1" applyFont="1" applyBorder="1" applyAlignment="1">
      <alignment horizontal="center"/>
    </xf>
    <xf numFmtId="0" fontId="26" fillId="0" borderId="79" xfId="0" applyFont="1" applyBorder="1" applyAlignment="1">
      <alignment vertical="center"/>
    </xf>
    <xf numFmtId="164" fontId="31" fillId="0" borderId="79" xfId="0" applyNumberFormat="1" applyFont="1" applyBorder="1" applyAlignment="1">
      <alignment horizontal="center" vertical="center"/>
    </xf>
    <xf numFmtId="165" fontId="31" fillId="0" borderId="79" xfId="0" applyNumberFormat="1" applyFont="1" applyBorder="1" applyAlignment="1">
      <alignment horizontal="center" vertical="center"/>
    </xf>
    <xf numFmtId="0" fontId="26" fillId="0" borderId="79" xfId="0" applyFont="1" applyBorder="1"/>
    <xf numFmtId="0" fontId="29" fillId="0" borderId="79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/>
    </xf>
    <xf numFmtId="164" fontId="31" fillId="0" borderId="80" xfId="0" applyNumberFormat="1" applyFont="1" applyBorder="1" applyAlignment="1">
      <alignment horizontal="center" vertical="center"/>
    </xf>
    <xf numFmtId="165" fontId="31" fillId="0" borderId="80" xfId="0" applyNumberFormat="1" applyFont="1" applyBorder="1" applyAlignment="1">
      <alignment horizontal="center" vertical="center"/>
    </xf>
    <xf numFmtId="165" fontId="31" fillId="0" borderId="80" xfId="0" applyNumberFormat="1" applyFont="1" applyBorder="1" applyAlignment="1">
      <alignment horizontal="left" vertical="center"/>
    </xf>
    <xf numFmtId="0" fontId="26" fillId="0" borderId="80" xfId="0" applyFont="1" applyBorder="1"/>
    <xf numFmtId="0" fontId="29" fillId="0" borderId="80" xfId="0" applyFont="1" applyBorder="1" applyAlignment="1">
      <alignment horizontal="center" vertical="center" wrapText="1"/>
    </xf>
    <xf numFmtId="0" fontId="26" fillId="0" borderId="80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6" fillId="0" borderId="74" xfId="0" applyFont="1" applyBorder="1"/>
    <xf numFmtId="0" fontId="26" fillId="0" borderId="73" xfId="0" applyFont="1" applyBorder="1"/>
    <xf numFmtId="0" fontId="15" fillId="5" borderId="15" xfId="0" applyFont="1" applyFill="1" applyBorder="1" applyAlignment="1">
      <alignment horizontal="center" vertical="center"/>
    </xf>
    <xf numFmtId="0" fontId="1" fillId="0" borderId="81" xfId="0" applyFont="1" applyBorder="1"/>
    <xf numFmtId="0" fontId="1" fillId="0" borderId="1" xfId="0" applyFont="1" applyBorder="1"/>
    <xf numFmtId="0" fontId="6" fillId="0" borderId="0" xfId="0" applyFont="1"/>
    <xf numFmtId="0" fontId="0" fillId="0" borderId="0" xfId="0" applyProtection="1">
      <protection locked="0"/>
    </xf>
    <xf numFmtId="0" fontId="0" fillId="0" borderId="47" xfId="0" applyBorder="1"/>
    <xf numFmtId="0" fontId="11" fillId="0" borderId="15" xfId="0" applyFont="1" applyBorder="1" applyAlignment="1">
      <alignment vertical="center"/>
    </xf>
    <xf numFmtId="166" fontId="6" fillId="2" borderId="0" xfId="0" applyNumberFormat="1" applyFont="1" applyFill="1" applyAlignment="1">
      <alignment horizontal="center" vertical="center"/>
    </xf>
    <xf numFmtId="0" fontId="0" fillId="0" borderId="50" xfId="0" applyBorder="1"/>
    <xf numFmtId="0" fontId="27" fillId="0" borderId="15" xfId="0" applyFont="1" applyBorder="1" applyAlignment="1">
      <alignment horizontal="center" vertical="center" wrapText="1"/>
    </xf>
    <xf numFmtId="176" fontId="26" fillId="0" borderId="15" xfId="0" applyNumberFormat="1" applyFont="1" applyBorder="1" applyAlignment="1">
      <alignment horizontal="center" vertical="center"/>
    </xf>
    <xf numFmtId="0" fontId="45" fillId="0" borderId="0" xfId="0" applyFont="1"/>
    <xf numFmtId="164" fontId="2" fillId="0" borderId="15" xfId="2" applyNumberFormat="1" applyFont="1" applyBorder="1" applyAlignment="1">
      <alignment horizontal="left"/>
    </xf>
    <xf numFmtId="0" fontId="46" fillId="0" borderId="0" xfId="0" applyFont="1" applyAlignment="1" applyProtection="1">
      <alignment vertical="center"/>
      <protection locked="0"/>
    </xf>
    <xf numFmtId="0" fontId="47" fillId="0" borderId="0" xfId="3" applyFont="1" applyAlignment="1" applyProtection="1">
      <alignment horizontal="center" vertical="center"/>
      <protection locked="0"/>
    </xf>
    <xf numFmtId="166" fontId="46" fillId="0" borderId="0" xfId="0" applyNumberFormat="1" applyFont="1" applyAlignment="1" applyProtection="1">
      <alignment horizontal="center" vertical="center"/>
      <protection locked="0"/>
    </xf>
    <xf numFmtId="2" fontId="46" fillId="0" borderId="0" xfId="3" applyNumberFormat="1" applyFont="1" applyAlignment="1" applyProtection="1">
      <alignment horizontal="center" vertical="center"/>
      <protection locked="0"/>
    </xf>
    <xf numFmtId="166" fontId="46" fillId="0" borderId="0" xfId="3" applyNumberFormat="1" applyFont="1" applyAlignment="1" applyProtection="1">
      <alignment horizontal="center" vertical="center"/>
      <protection locked="0"/>
    </xf>
    <xf numFmtId="0" fontId="18" fillId="2" borderId="15" xfId="0" applyFont="1" applyFill="1" applyBorder="1" applyAlignment="1">
      <alignment horizontal="center" vertical="center"/>
    </xf>
    <xf numFmtId="0" fontId="2" fillId="0" borderId="23" xfId="2" applyFont="1" applyBorder="1"/>
    <xf numFmtId="0" fontId="26" fillId="0" borderId="15" xfId="0" applyFont="1" applyBorder="1" applyAlignment="1">
      <alignment horizontal="center"/>
    </xf>
    <xf numFmtId="0" fontId="26" fillId="0" borderId="22" xfId="0" applyFont="1" applyBorder="1"/>
    <xf numFmtId="0" fontId="28" fillId="0" borderId="22" xfId="0" quotePrefix="1" applyFont="1" applyBorder="1" applyAlignment="1">
      <alignment horizontal="left"/>
    </xf>
    <xf numFmtId="0" fontId="26" fillId="0" borderId="18" xfId="0" applyFont="1" applyBorder="1" applyAlignment="1">
      <alignment horizontal="right"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164" fontId="0" fillId="5" borderId="15" xfId="0" applyNumberFormat="1" applyFill="1" applyBorder="1" applyAlignment="1">
      <alignment horizontal="center" vertical="center"/>
    </xf>
    <xf numFmtId="0" fontId="26" fillId="0" borderId="18" xfId="3" applyFont="1" applyBorder="1" applyAlignment="1">
      <alignment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8" xfId="0" applyFont="1" applyBorder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50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vertical="center"/>
      <protection locked="0"/>
    </xf>
    <xf numFmtId="0" fontId="0" fillId="0" borderId="15" xfId="0" applyBorder="1" applyAlignment="1">
      <alignment horizontal="center" vertical="center"/>
    </xf>
    <xf numFmtId="0" fontId="26" fillId="0" borderId="14" xfId="0" applyFont="1" applyBorder="1" applyAlignment="1" applyProtection="1">
      <alignment horizontal="left" vertical="center" wrapText="1"/>
      <protection locked="0"/>
    </xf>
    <xf numFmtId="0" fontId="26" fillId="0" borderId="77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6" fillId="2" borderId="0" xfId="0" applyFont="1" applyFill="1" applyAlignment="1">
      <alignment horizontal="center" vertical="center"/>
    </xf>
    <xf numFmtId="2" fontId="26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top" wrapText="1"/>
    </xf>
    <xf numFmtId="0" fontId="24" fillId="0" borderId="0" xfId="0" applyFont="1" applyAlignment="1">
      <alignment vertical="center"/>
    </xf>
    <xf numFmtId="0" fontId="26" fillId="3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horizontal="right" vertical="top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9" fillId="2" borderId="59" xfId="5" applyFont="1" applyFill="1" applyBorder="1" applyAlignment="1">
      <alignment horizontal="center" vertical="center"/>
    </xf>
    <xf numFmtId="0" fontId="13" fillId="2" borderId="44" xfId="5" applyFont="1" applyFill="1" applyBorder="1" applyAlignment="1">
      <alignment horizontal="center" vertical="center"/>
    </xf>
    <xf numFmtId="0" fontId="15" fillId="2" borderId="15" xfId="5" applyFont="1" applyFill="1" applyBorder="1" applyAlignment="1">
      <alignment horizontal="center" vertical="center"/>
    </xf>
    <xf numFmtId="1" fontId="10" fillId="2" borderId="44" xfId="5" applyNumberFormat="1" applyFont="1" applyFill="1" applyBorder="1" applyAlignment="1">
      <alignment horizontal="center" vertical="center"/>
    </xf>
    <xf numFmtId="2" fontId="10" fillId="2" borderId="15" xfId="5" applyNumberFormat="1" applyFont="1" applyFill="1" applyBorder="1" applyAlignment="1">
      <alignment horizontal="center" vertical="center"/>
    </xf>
    <xf numFmtId="2" fontId="10" fillId="2" borderId="38" xfId="5" applyNumberFormat="1" applyFont="1" applyFill="1" applyBorder="1" applyAlignment="1">
      <alignment horizontal="center" vertical="center"/>
    </xf>
    <xf numFmtId="1" fontId="1" fillId="2" borderId="44" xfId="5" applyNumberFormat="1" applyFill="1" applyBorder="1" applyAlignment="1">
      <alignment horizontal="center" vertical="center"/>
    </xf>
    <xf numFmtId="2" fontId="1" fillId="2" borderId="15" xfId="5" applyNumberFormat="1" applyFill="1" applyBorder="1" applyAlignment="1">
      <alignment horizontal="center" vertical="center"/>
    </xf>
    <xf numFmtId="2" fontId="1" fillId="2" borderId="38" xfId="5" applyNumberFormat="1" applyFill="1" applyBorder="1" applyAlignment="1">
      <alignment horizontal="center" vertical="center"/>
    </xf>
    <xf numFmtId="1" fontId="1" fillId="2" borderId="56" xfId="5" applyNumberFormat="1" applyFill="1" applyBorder="1" applyAlignment="1">
      <alignment horizontal="center" vertical="center"/>
    </xf>
    <xf numFmtId="2" fontId="1" fillId="2" borderId="40" xfId="5" applyNumberFormat="1" applyFill="1" applyBorder="1" applyAlignment="1">
      <alignment horizontal="center" vertical="center"/>
    </xf>
    <xf numFmtId="2" fontId="1" fillId="2" borderId="41" xfId="5" applyNumberFormat="1" applyFill="1" applyBorder="1" applyAlignment="1">
      <alignment horizontal="center" vertical="center"/>
    </xf>
    <xf numFmtId="0" fontId="8" fillId="2" borderId="50" xfId="5" applyFont="1" applyFill="1" applyBorder="1"/>
    <xf numFmtId="0" fontId="9" fillId="2" borderId="0" xfId="5" applyFont="1" applyFill="1"/>
    <xf numFmtId="0" fontId="1" fillId="0" borderId="0" xfId="5"/>
    <xf numFmtId="0" fontId="17" fillId="9" borderId="0" xfId="5" applyFont="1" applyFill="1" applyAlignment="1" applyProtection="1">
      <alignment vertical="center"/>
      <protection locked="0"/>
    </xf>
    <xf numFmtId="0" fontId="17" fillId="9" borderId="0" xfId="5" applyFont="1" applyFill="1" applyAlignment="1" applyProtection="1">
      <alignment horizontal="center" vertical="center"/>
      <protection locked="0"/>
    </xf>
    <xf numFmtId="0" fontId="13" fillId="9" borderId="0" xfId="5" applyFont="1" applyFill="1" applyProtection="1">
      <protection locked="0"/>
    </xf>
    <xf numFmtId="0" fontId="13" fillId="9" borderId="0" xfId="5" applyFont="1" applyFill="1" applyAlignment="1" applyProtection="1">
      <alignment horizontal="center"/>
      <protection locked="0"/>
    </xf>
    <xf numFmtId="0" fontId="1" fillId="9" borderId="0" xfId="5" applyFill="1" applyProtection="1">
      <protection locked="0"/>
    </xf>
    <xf numFmtId="1" fontId="1" fillId="9" borderId="15" xfId="5" applyNumberFormat="1" applyFill="1" applyBorder="1" applyAlignment="1" applyProtection="1">
      <alignment horizontal="center" vertical="center"/>
      <protection locked="0"/>
    </xf>
    <xf numFmtId="2" fontId="21" fillId="9" borderId="15" xfId="5" quotePrefix="1" applyNumberFormat="1" applyFont="1" applyFill="1" applyBorder="1" applyAlignment="1" applyProtection="1">
      <alignment horizontal="center" vertical="center"/>
      <protection locked="0"/>
    </xf>
    <xf numFmtId="2" fontId="1" fillId="10" borderId="15" xfId="5" applyNumberFormat="1" applyFill="1" applyBorder="1" applyAlignment="1" applyProtection="1">
      <alignment horizontal="center"/>
      <protection locked="0"/>
    </xf>
    <xf numFmtId="2" fontId="21" fillId="9" borderId="15" xfId="5" applyNumberFormat="1" applyFont="1" applyFill="1" applyBorder="1" applyAlignment="1" applyProtection="1">
      <alignment horizontal="center" vertical="center"/>
      <protection locked="0"/>
    </xf>
    <xf numFmtId="2" fontId="1" fillId="9" borderId="15" xfId="5" applyNumberFormat="1" applyFill="1" applyBorder="1" applyAlignment="1" applyProtection="1">
      <alignment horizontal="center" vertical="center"/>
      <protection locked="0"/>
    </xf>
    <xf numFmtId="0" fontId="21" fillId="9" borderId="15" xfId="5" applyFont="1" applyFill="1" applyBorder="1" applyAlignment="1" applyProtection="1">
      <alignment horizontal="center" vertical="center"/>
      <protection locked="0"/>
    </xf>
    <xf numFmtId="166" fontId="21" fillId="9" borderId="15" xfId="5" applyNumberFormat="1" applyFont="1" applyFill="1" applyBorder="1" applyAlignment="1" applyProtection="1">
      <alignment horizontal="center" vertical="center"/>
      <protection locked="0"/>
    </xf>
    <xf numFmtId="2" fontId="1" fillId="9" borderId="15" xfId="5" quotePrefix="1" applyNumberFormat="1" applyFill="1" applyBorder="1" applyAlignment="1" applyProtection="1">
      <alignment horizontal="center" vertical="center"/>
      <protection locked="0"/>
    </xf>
    <xf numFmtId="0" fontId="1" fillId="9" borderId="15" xfId="5" applyFill="1" applyBorder="1" applyAlignment="1" applyProtection="1">
      <alignment horizontal="center" vertical="center"/>
      <protection locked="0"/>
    </xf>
    <xf numFmtId="0" fontId="21" fillId="9" borderId="15" xfId="5" quotePrefix="1" applyFont="1" applyFill="1" applyBorder="1" applyAlignment="1" applyProtection="1">
      <alignment horizontal="center" vertical="center"/>
      <protection locked="0"/>
    </xf>
    <xf numFmtId="164" fontId="1" fillId="9" borderId="15" xfId="5" applyNumberFormat="1" applyFill="1" applyBorder="1" applyAlignment="1" applyProtection="1">
      <alignment horizontal="center" vertical="center"/>
      <protection locked="0"/>
    </xf>
    <xf numFmtId="166" fontId="1" fillId="9" borderId="15" xfId="5" applyNumberFormat="1" applyFill="1" applyBorder="1" applyAlignment="1" applyProtection="1">
      <alignment horizontal="center" vertical="center"/>
      <protection locked="0"/>
    </xf>
    <xf numFmtId="164" fontId="1" fillId="9" borderId="15" xfId="5" quotePrefix="1" applyNumberFormat="1" applyFill="1" applyBorder="1" applyAlignment="1" applyProtection="1">
      <alignment horizontal="center" vertical="center"/>
      <protection locked="0"/>
    </xf>
    <xf numFmtId="0" fontId="1" fillId="9" borderId="49" xfId="5" applyFill="1" applyBorder="1" applyProtection="1">
      <protection locked="0"/>
    </xf>
    <xf numFmtId="0" fontId="1" fillId="9" borderId="50" xfId="5" applyFill="1" applyBorder="1" applyProtection="1">
      <protection locked="0"/>
    </xf>
    <xf numFmtId="0" fontId="2" fillId="9" borderId="0" xfId="5" applyFont="1" applyFill="1" applyAlignment="1" applyProtection="1">
      <alignment vertical="center"/>
      <protection locked="0"/>
    </xf>
    <xf numFmtId="0" fontId="20" fillId="9" borderId="49" xfId="5" applyFont="1" applyFill="1" applyBorder="1" applyAlignment="1" applyProtection="1">
      <alignment horizontal="center" vertical="center" wrapText="1"/>
      <protection locked="0"/>
    </xf>
    <xf numFmtId="0" fontId="1" fillId="9" borderId="0" xfId="5" applyFill="1" applyAlignment="1" applyProtection="1">
      <alignment horizontal="center" vertical="center"/>
      <protection locked="0"/>
    </xf>
    <xf numFmtId="164" fontId="1" fillId="9" borderId="0" xfId="5" applyNumberFormat="1" applyFill="1" applyAlignment="1" applyProtection="1">
      <alignment horizontal="center" vertical="center"/>
      <protection locked="0"/>
    </xf>
    <xf numFmtId="0" fontId="20" fillId="9" borderId="0" xfId="5" applyFont="1" applyFill="1" applyAlignment="1" applyProtection="1">
      <alignment horizontal="center" vertical="center" wrapText="1"/>
      <protection locked="0"/>
    </xf>
    <xf numFmtId="0" fontId="1" fillId="9" borderId="0" xfId="5" applyFill="1" applyAlignment="1" applyProtection="1">
      <alignment horizontal="right" vertical="center"/>
      <protection locked="0"/>
    </xf>
    <xf numFmtId="0" fontId="1" fillId="9" borderId="15" xfId="5" quotePrefix="1" applyFill="1" applyBorder="1" applyAlignment="1" applyProtection="1">
      <alignment horizontal="center" vertical="center"/>
      <protection locked="0"/>
    </xf>
    <xf numFmtId="166" fontId="1" fillId="9" borderId="15" xfId="5" quotePrefix="1" applyNumberFormat="1" applyFill="1" applyBorder="1" applyAlignment="1" applyProtection="1">
      <alignment horizontal="center" vertical="center"/>
      <protection locked="0"/>
    </xf>
    <xf numFmtId="0" fontId="1" fillId="6" borderId="28" xfId="5" applyFill="1" applyBorder="1" applyProtection="1">
      <protection locked="0"/>
    </xf>
    <xf numFmtId="0" fontId="1" fillId="6" borderId="58" xfId="5" applyFill="1" applyBorder="1" applyProtection="1">
      <protection locked="0"/>
    </xf>
    <xf numFmtId="0" fontId="1" fillId="0" borderId="49" xfId="5" applyBorder="1"/>
    <xf numFmtId="0" fontId="1" fillId="0" borderId="0" xfId="5" applyAlignment="1">
      <alignment horizontal="center" vertical="center"/>
    </xf>
    <xf numFmtId="0" fontId="9" fillId="2" borderId="47" xfId="5" applyFont="1" applyFill="1" applyBorder="1"/>
    <xf numFmtId="0" fontId="1" fillId="0" borderId="0" xfId="5" applyAlignment="1">
      <alignment horizontal="center"/>
    </xf>
    <xf numFmtId="0" fontId="10" fillId="9" borderId="15" xfId="5" applyFont="1" applyFill="1" applyBorder="1" applyAlignment="1">
      <alignment horizontal="center" vertical="center"/>
    </xf>
    <xf numFmtId="2" fontId="10" fillId="9" borderId="15" xfId="5" applyNumberFormat="1" applyFont="1" applyFill="1" applyBorder="1" applyAlignment="1">
      <alignment horizontal="center" vertical="center"/>
    </xf>
    <xf numFmtId="2" fontId="1" fillId="9" borderId="15" xfId="5" applyNumberFormat="1" applyFill="1" applyBorder="1" applyAlignment="1">
      <alignment horizontal="center"/>
    </xf>
    <xf numFmtId="1" fontId="10" fillId="9" borderId="15" xfId="5" applyNumberFormat="1" applyFont="1" applyFill="1" applyBorder="1" applyAlignment="1">
      <alignment horizontal="center" vertical="center"/>
    </xf>
    <xf numFmtId="2" fontId="6" fillId="9" borderId="15" xfId="5" applyNumberFormat="1" applyFont="1" applyFill="1" applyBorder="1" applyAlignment="1">
      <alignment horizontal="center" vertical="center"/>
    </xf>
    <xf numFmtId="1" fontId="1" fillId="9" borderId="15" xfId="5" applyNumberFormat="1" applyFill="1" applyBorder="1" applyAlignment="1">
      <alignment horizontal="center" vertical="center"/>
    </xf>
    <xf numFmtId="2" fontId="1" fillId="9" borderId="15" xfId="5" applyNumberFormat="1" applyFill="1" applyBorder="1" applyAlignment="1">
      <alignment horizontal="center" vertical="center"/>
    </xf>
    <xf numFmtId="2" fontId="1" fillId="9" borderId="15" xfId="5" quotePrefix="1" applyNumberFormat="1" applyFill="1" applyBorder="1" applyAlignment="1">
      <alignment horizontal="center" vertical="center"/>
    </xf>
    <xf numFmtId="0" fontId="1" fillId="0" borderId="50" xfId="5" applyBorder="1"/>
    <xf numFmtId="0" fontId="9" fillId="2" borderId="0" xfId="5" applyFont="1" applyFill="1" applyAlignment="1">
      <alignment horizontal="center"/>
    </xf>
    <xf numFmtId="0" fontId="15" fillId="9" borderId="15" xfId="5" applyFont="1" applyFill="1" applyBorder="1" applyAlignment="1">
      <alignment horizontal="center" vertical="center"/>
    </xf>
    <xf numFmtId="0" fontId="13" fillId="9" borderId="15" xfId="5" applyFont="1" applyFill="1" applyBorder="1" applyAlignment="1">
      <alignment horizontal="center" vertical="center"/>
    </xf>
    <xf numFmtId="0" fontId="1" fillId="2" borderId="47" xfId="5" applyFill="1" applyBorder="1"/>
    <xf numFmtId="0" fontId="1" fillId="2" borderId="0" xfId="5" applyFill="1"/>
    <xf numFmtId="0" fontId="16" fillId="2" borderId="44" xfId="5" applyFont="1" applyFill="1" applyBorder="1" applyAlignment="1">
      <alignment horizontal="center" vertical="center"/>
    </xf>
    <xf numFmtId="0" fontId="16" fillId="2" borderId="15" xfId="5" applyFont="1" applyFill="1" applyBorder="1" applyAlignment="1">
      <alignment horizontal="center" vertical="center"/>
    </xf>
    <xf numFmtId="2" fontId="16" fillId="2" borderId="38" xfId="5" applyNumberFormat="1" applyFont="1" applyFill="1" applyBorder="1" applyAlignment="1">
      <alignment horizontal="center" vertical="center"/>
    </xf>
    <xf numFmtId="2" fontId="16" fillId="2" borderId="44" xfId="5" applyNumberFormat="1" applyFont="1" applyFill="1" applyBorder="1" applyAlignment="1">
      <alignment horizontal="center" vertical="center"/>
    </xf>
    <xf numFmtId="164" fontId="16" fillId="2" borderId="15" xfId="5" applyNumberFormat="1" applyFont="1" applyFill="1" applyBorder="1" applyAlignment="1">
      <alignment horizontal="center" vertical="center"/>
    </xf>
    <xf numFmtId="166" fontId="1" fillId="4" borderId="59" xfId="5" applyNumberFormat="1" applyFill="1" applyBorder="1" applyAlignment="1">
      <alignment horizontal="center" vertical="center" wrapText="1"/>
    </xf>
    <xf numFmtId="0" fontId="55" fillId="2" borderId="0" xfId="5" applyFont="1" applyFill="1" applyAlignment="1">
      <alignment vertical="center"/>
    </xf>
    <xf numFmtId="1" fontId="1" fillId="4" borderId="44" xfId="5" applyNumberFormat="1" applyFill="1" applyBorder="1" applyAlignment="1">
      <alignment horizontal="center" vertical="center" wrapText="1"/>
    </xf>
    <xf numFmtId="164" fontId="1" fillId="4" borderId="44" xfId="5" applyNumberFormat="1" applyFill="1" applyBorder="1" applyAlignment="1">
      <alignment horizontal="center" vertical="center" wrapText="1"/>
    </xf>
    <xf numFmtId="166" fontId="1" fillId="4" borderId="44" xfId="5" applyNumberFormat="1" applyFill="1" applyBorder="1" applyAlignment="1">
      <alignment horizontal="center" vertical="center" wrapText="1"/>
    </xf>
    <xf numFmtId="2" fontId="53" fillId="2" borderId="0" xfId="5" applyNumberFormat="1" applyFont="1" applyFill="1" applyAlignment="1">
      <alignment horizontal="center" vertical="center" wrapText="1"/>
    </xf>
    <xf numFmtId="2" fontId="56" fillId="2" borderId="0" xfId="5" applyNumberFormat="1" applyFont="1" applyFill="1" applyAlignment="1">
      <alignment horizontal="center" vertical="center"/>
    </xf>
    <xf numFmtId="2" fontId="57" fillId="2" borderId="50" xfId="5" applyNumberFormat="1" applyFont="1" applyFill="1" applyBorder="1" applyAlignment="1">
      <alignment horizontal="center" vertical="center"/>
    </xf>
    <xf numFmtId="164" fontId="16" fillId="2" borderId="38" xfId="5" applyNumberFormat="1" applyFont="1" applyFill="1" applyBorder="1" applyAlignment="1">
      <alignment horizontal="center" vertical="center"/>
    </xf>
    <xf numFmtId="0" fontId="15" fillId="2" borderId="61" xfId="5" applyFont="1" applyFill="1" applyBorder="1" applyAlignment="1">
      <alignment horizontal="center" vertical="center"/>
    </xf>
    <xf numFmtId="164" fontId="16" fillId="2" borderId="44" xfId="5" applyNumberFormat="1" applyFont="1" applyFill="1" applyBorder="1" applyAlignment="1">
      <alignment horizontal="center" vertical="center"/>
    </xf>
    <xf numFmtId="166" fontId="1" fillId="0" borderId="0" xfId="5" applyNumberFormat="1"/>
    <xf numFmtId="0" fontId="15" fillId="2" borderId="38" xfId="5" applyFont="1" applyFill="1" applyBorder="1" applyAlignment="1">
      <alignment horizontal="center" vertical="center"/>
    </xf>
    <xf numFmtId="0" fontId="1" fillId="2" borderId="44" xfId="5" applyFill="1" applyBorder="1" applyAlignment="1">
      <alignment horizontal="center" vertical="center"/>
    </xf>
    <xf numFmtId="0" fontId="53" fillId="2" borderId="0" xfId="5" applyFont="1" applyFill="1"/>
    <xf numFmtId="0" fontId="53" fillId="2" borderId="50" xfId="5" applyFont="1" applyFill="1" applyBorder="1"/>
    <xf numFmtId="2" fontId="53" fillId="2" borderId="0" xfId="5" applyNumberFormat="1" applyFont="1" applyFill="1" applyAlignment="1">
      <alignment horizontal="center" vertical="center"/>
    </xf>
    <xf numFmtId="166" fontId="16" fillId="2" borderId="44" xfId="5" applyNumberFormat="1" applyFont="1" applyFill="1" applyBorder="1" applyAlignment="1">
      <alignment horizontal="center" vertical="center"/>
    </xf>
    <xf numFmtId="2" fontId="16" fillId="2" borderId="15" xfId="5" applyNumberFormat="1" applyFont="1" applyFill="1" applyBorder="1" applyAlignment="1">
      <alignment horizontal="center" vertical="center"/>
    </xf>
    <xf numFmtId="0" fontId="1" fillId="2" borderId="50" xfId="5" applyFill="1" applyBorder="1"/>
    <xf numFmtId="0" fontId="16" fillId="2" borderId="56" xfId="5" applyFont="1" applyFill="1" applyBorder="1" applyAlignment="1">
      <alignment horizontal="center" vertical="center"/>
    </xf>
    <xf numFmtId="0" fontId="16" fillId="2" borderId="40" xfId="5" applyFont="1" applyFill="1" applyBorder="1" applyAlignment="1">
      <alignment horizontal="center" vertical="center"/>
    </xf>
    <xf numFmtId="2" fontId="16" fillId="2" borderId="41" xfId="5" applyNumberFormat="1" applyFont="1" applyFill="1" applyBorder="1" applyAlignment="1">
      <alignment horizontal="center" vertical="center"/>
    </xf>
    <xf numFmtId="0" fontId="8" fillId="2" borderId="0" xfId="5" applyFont="1" applyFill="1"/>
    <xf numFmtId="0" fontId="8" fillId="0" borderId="0" xfId="5" applyFont="1"/>
    <xf numFmtId="0" fontId="1" fillId="2" borderId="56" xfId="5" applyFill="1" applyBorder="1" applyAlignment="1">
      <alignment horizontal="center" vertical="center"/>
    </xf>
    <xf numFmtId="0" fontId="16" fillId="2" borderId="0" xfId="5" applyFont="1" applyFill="1" applyAlignment="1">
      <alignment horizontal="center" vertical="center"/>
    </xf>
    <xf numFmtId="0" fontId="16" fillId="2" borderId="50" xfId="5" applyFont="1" applyFill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2" fontId="16" fillId="2" borderId="0" xfId="5" applyNumberFormat="1" applyFont="1" applyFill="1" applyAlignment="1">
      <alignment horizontal="center" vertical="center"/>
    </xf>
    <xf numFmtId="2" fontId="16" fillId="2" borderId="50" xfId="5" applyNumberFormat="1" applyFont="1" applyFill="1" applyBorder="1" applyAlignment="1">
      <alignment horizontal="center" vertical="center"/>
    </xf>
    <xf numFmtId="2" fontId="16" fillId="0" borderId="0" xfId="5" applyNumberFormat="1" applyFont="1" applyAlignment="1">
      <alignment horizontal="center" vertical="center"/>
    </xf>
    <xf numFmtId="0" fontId="1" fillId="2" borderId="38" xfId="5" applyFill="1" applyBorder="1" applyAlignment="1">
      <alignment horizontal="center" vertical="center"/>
    </xf>
    <xf numFmtId="0" fontId="43" fillId="2" borderId="0" xfId="5" applyFont="1" applyFill="1" applyAlignment="1">
      <alignment horizontal="center" vertical="center"/>
    </xf>
    <xf numFmtId="2" fontId="43" fillId="2" borderId="0" xfId="5" applyNumberFormat="1" applyFont="1" applyFill="1" applyAlignment="1">
      <alignment horizontal="center" vertical="center"/>
    </xf>
    <xf numFmtId="0" fontId="1" fillId="2" borderId="41" xfId="5" applyFill="1" applyBorder="1" applyAlignment="1">
      <alignment horizontal="center" vertical="center"/>
    </xf>
    <xf numFmtId="0" fontId="10" fillId="2" borderId="44" xfId="5" applyFont="1" applyFill="1" applyBorder="1" applyAlignment="1">
      <alignment horizontal="center" vertical="center"/>
    </xf>
    <xf numFmtId="164" fontId="10" fillId="2" borderId="15" xfId="5" applyNumberFormat="1" applyFont="1" applyFill="1" applyBorder="1" applyAlignment="1">
      <alignment horizontal="center" vertical="center"/>
    </xf>
    <xf numFmtId="0" fontId="10" fillId="2" borderId="38" xfId="5" applyFont="1" applyFill="1" applyBorder="1" applyAlignment="1">
      <alignment horizontal="center" vertical="center"/>
    </xf>
    <xf numFmtId="0" fontId="10" fillId="2" borderId="56" xfId="5" applyFont="1" applyFill="1" applyBorder="1" applyAlignment="1">
      <alignment horizontal="center" vertical="center"/>
    </xf>
    <xf numFmtId="0" fontId="10" fillId="2" borderId="40" xfId="5" applyFont="1" applyFill="1" applyBorder="1" applyAlignment="1">
      <alignment horizontal="center" vertical="center"/>
    </xf>
    <xf numFmtId="164" fontId="10" fillId="2" borderId="40" xfId="5" applyNumberFormat="1" applyFont="1" applyFill="1" applyBorder="1" applyAlignment="1">
      <alignment horizontal="center" vertical="center"/>
    </xf>
    <xf numFmtId="0" fontId="10" fillId="2" borderId="41" xfId="5" applyFont="1" applyFill="1" applyBorder="1" applyAlignment="1">
      <alignment horizontal="center" vertical="center"/>
    </xf>
    <xf numFmtId="0" fontId="1" fillId="2" borderId="49" xfId="5" applyFill="1" applyBorder="1"/>
    <xf numFmtId="0" fontId="1" fillId="2" borderId="51" xfId="5" applyFill="1" applyBorder="1"/>
    <xf numFmtId="0" fontId="1" fillId="2" borderId="52" xfId="5" applyFill="1" applyBorder="1"/>
    <xf numFmtId="0" fontId="43" fillId="2" borderId="52" xfId="5" applyFont="1" applyFill="1" applyBorder="1" applyAlignment="1">
      <alignment horizontal="center" vertical="center"/>
    </xf>
    <xf numFmtId="2" fontId="43" fillId="2" borderId="52" xfId="5" applyNumberFormat="1" applyFont="1" applyFill="1" applyBorder="1" applyAlignment="1">
      <alignment horizontal="center" vertical="center"/>
    </xf>
    <xf numFmtId="0" fontId="1" fillId="2" borderId="53" xfId="5" applyFill="1" applyBorder="1"/>
    <xf numFmtId="0" fontId="1" fillId="0" borderId="0" xfId="5" applyProtection="1">
      <protection locked="0"/>
    </xf>
    <xf numFmtId="0" fontId="5" fillId="0" borderId="44" xfId="5" applyFont="1" applyBorder="1" applyAlignment="1" applyProtection="1">
      <alignment horizontal="center" vertical="center"/>
      <protection locked="0"/>
    </xf>
    <xf numFmtId="0" fontId="5" fillId="0" borderId="18" xfId="5" applyFont="1" applyBorder="1" applyProtection="1">
      <protection locked="0"/>
    </xf>
    <xf numFmtId="0" fontId="5" fillId="0" borderId="22" xfId="5" applyFont="1" applyBorder="1" applyProtection="1">
      <protection locked="0"/>
    </xf>
    <xf numFmtId="0" fontId="5" fillId="0" borderId="54" xfId="5" applyFont="1" applyBorder="1" applyProtection="1">
      <protection locked="0"/>
    </xf>
    <xf numFmtId="0" fontId="5" fillId="0" borderId="51" xfId="5" applyFont="1" applyBorder="1" applyProtection="1">
      <protection locked="0"/>
    </xf>
    <xf numFmtId="0" fontId="5" fillId="0" borderId="52" xfId="5" applyFont="1" applyBorder="1" applyProtection="1">
      <protection locked="0"/>
    </xf>
    <xf numFmtId="0" fontId="5" fillId="0" borderId="53" xfId="5" applyFont="1" applyBorder="1" applyProtection="1"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6" fillId="0" borderId="0" xfId="4" applyFont="1" applyAlignment="1">
      <alignment vertical="center"/>
    </xf>
    <xf numFmtId="0" fontId="26" fillId="0" borderId="0" xfId="0" applyFont="1" applyAlignment="1" applyProtection="1">
      <alignment horizontal="left" vertical="center"/>
      <protection locked="0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41" fillId="0" borderId="15" xfId="3" applyFont="1" applyBorder="1" applyAlignment="1" applyProtection="1">
      <alignment horizontal="center" vertical="center" wrapText="1"/>
      <protection locked="0"/>
    </xf>
    <xf numFmtId="0" fontId="26" fillId="0" borderId="75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13" fillId="9" borderId="15" xfId="5" applyFont="1" applyFill="1" applyBorder="1" applyAlignment="1" applyProtection="1">
      <alignment horizontal="center" vertical="center"/>
      <protection locked="0"/>
    </xf>
    <xf numFmtId="0" fontId="15" fillId="9" borderId="15" xfId="5" applyFont="1" applyFill="1" applyBorder="1" applyAlignment="1" applyProtection="1">
      <alignment horizontal="center" vertical="center"/>
      <protection locked="0"/>
    </xf>
    <xf numFmtId="0" fontId="1" fillId="9" borderId="15" xfId="5" applyFill="1" applyBorder="1" applyAlignment="1">
      <alignment horizontal="center" vertical="center"/>
    </xf>
    <xf numFmtId="0" fontId="2" fillId="9" borderId="15" xfId="5" applyFont="1" applyFill="1" applyBorder="1" applyAlignment="1">
      <alignment horizontal="center" vertical="center"/>
    </xf>
    <xf numFmtId="0" fontId="9" fillId="9" borderId="15" xfId="5" applyFont="1" applyFill="1" applyBorder="1" applyAlignment="1">
      <alignment horizontal="center" vertical="center"/>
    </xf>
    <xf numFmtId="0" fontId="15" fillId="2" borderId="60" xfId="5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66" fontId="2" fillId="5" borderId="15" xfId="0" applyNumberFormat="1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166" fontId="2" fillId="5" borderId="61" xfId="0" applyNumberFormat="1" applyFont="1" applyFill="1" applyBorder="1" applyAlignment="1">
      <alignment horizontal="center" vertical="center"/>
    </xf>
    <xf numFmtId="0" fontId="15" fillId="5" borderId="66" xfId="0" applyFont="1" applyFill="1" applyBorder="1" applyAlignment="1">
      <alignment horizontal="center" vertical="center"/>
    </xf>
    <xf numFmtId="0" fontId="15" fillId="5" borderId="66" xfId="0" quotePrefix="1" applyFont="1" applyFill="1" applyBorder="1" applyAlignment="1">
      <alignment horizontal="center" vertical="center"/>
    </xf>
    <xf numFmtId="0" fontId="15" fillId="11" borderId="66" xfId="0" applyFont="1" applyFill="1" applyBorder="1" applyAlignment="1">
      <alignment horizontal="center" vertical="center"/>
    </xf>
    <xf numFmtId="0" fontId="15" fillId="11" borderId="66" xfId="0" quotePrefix="1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166" fontId="2" fillId="5" borderId="41" xfId="0" applyNumberFormat="1" applyFont="1" applyFill="1" applyBorder="1" applyAlignment="1">
      <alignment horizontal="center" vertical="center"/>
    </xf>
    <xf numFmtId="166" fontId="0" fillId="5" borderId="15" xfId="0" applyNumberFormat="1" applyFill="1" applyBorder="1" applyAlignment="1">
      <alignment horizontal="center" vertical="center"/>
    </xf>
    <xf numFmtId="2" fontId="0" fillId="11" borderId="15" xfId="0" applyNumberFormat="1" applyFill="1" applyBorder="1" applyAlignment="1">
      <alignment horizontal="center"/>
    </xf>
    <xf numFmtId="166" fontId="0" fillId="5" borderId="57" xfId="0" applyNumberFormat="1" applyFill="1" applyBorder="1" applyAlignment="1">
      <alignment horizontal="center" vertical="center"/>
    </xf>
    <xf numFmtId="166" fontId="0" fillId="5" borderId="26" xfId="0" applyNumberFormat="1" applyFill="1" applyBorder="1" applyAlignment="1">
      <alignment horizontal="center" vertical="center"/>
    </xf>
    <xf numFmtId="164" fontId="0" fillId="5" borderId="26" xfId="0" applyNumberFormat="1" applyFill="1" applyBorder="1" applyAlignment="1">
      <alignment horizontal="center" vertical="center"/>
    </xf>
    <xf numFmtId="2" fontId="0" fillId="11" borderId="37" xfId="0" applyNumberFormat="1" applyFill="1" applyBorder="1" applyAlignment="1">
      <alignment horizontal="center"/>
    </xf>
    <xf numFmtId="0" fontId="0" fillId="0" borderId="49" xfId="0" applyBorder="1"/>
    <xf numFmtId="166" fontId="0" fillId="5" borderId="44" xfId="0" applyNumberFormat="1" applyFill="1" applyBorder="1" applyAlignment="1">
      <alignment horizontal="center" vertical="center"/>
    </xf>
    <xf numFmtId="2" fontId="0" fillId="11" borderId="38" xfId="0" applyNumberFormat="1" applyFill="1" applyBorder="1" applyAlignment="1">
      <alignment horizontal="center"/>
    </xf>
    <xf numFmtId="166" fontId="0" fillId="5" borderId="15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6" fontId="0" fillId="5" borderId="36" xfId="0" applyNumberFormat="1" applyFill="1" applyBorder="1" applyAlignment="1">
      <alignment horizontal="center"/>
    </xf>
    <xf numFmtId="0" fontId="0" fillId="5" borderId="15" xfId="0" quotePrefix="1" applyFill="1" applyBorder="1" applyAlignment="1">
      <alignment horizontal="center"/>
    </xf>
    <xf numFmtId="0" fontId="1" fillId="5" borderId="15" xfId="0" quotePrefix="1" applyFont="1" applyFill="1" applyBorder="1" applyAlignment="1">
      <alignment horizontal="center"/>
    </xf>
    <xf numFmtId="166" fontId="0" fillId="5" borderId="62" xfId="0" applyNumberFormat="1" applyFill="1" applyBorder="1" applyAlignment="1">
      <alignment horizontal="center"/>
    </xf>
    <xf numFmtId="166" fontId="0" fillId="5" borderId="40" xfId="0" applyNumberFormat="1" applyFill="1" applyBorder="1" applyAlignment="1">
      <alignment horizontal="center"/>
    </xf>
    <xf numFmtId="0" fontId="0" fillId="5" borderId="40" xfId="0" quotePrefix="1" applyFill="1" applyBorder="1" applyAlignment="1">
      <alignment horizontal="center"/>
    </xf>
    <xf numFmtId="2" fontId="0" fillId="11" borderId="41" xfId="0" applyNumberFormat="1" applyFill="1" applyBorder="1" applyAlignment="1">
      <alignment horizontal="center"/>
    </xf>
    <xf numFmtId="0" fontId="0" fillId="0" borderId="51" xfId="0" applyBorder="1"/>
    <xf numFmtId="0" fontId="2" fillId="5" borderId="15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6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/>
    </xf>
    <xf numFmtId="0" fontId="0" fillId="2" borderId="49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5" borderId="57" xfId="0" applyNumberFormat="1" applyFill="1" applyBorder="1" applyAlignment="1">
      <alignment horizontal="center" vertical="center"/>
    </xf>
    <xf numFmtId="1" fontId="0" fillId="5" borderId="44" xfId="0" applyNumberFormat="1" applyFill="1" applyBorder="1" applyAlignment="1">
      <alignment horizontal="center" vertical="center"/>
    </xf>
    <xf numFmtId="1" fontId="0" fillId="5" borderId="36" xfId="0" applyNumberFormat="1" applyFill="1" applyBorder="1" applyAlignment="1">
      <alignment horizontal="center"/>
    </xf>
    <xf numFmtId="1" fontId="0" fillId="5" borderId="6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6" fontId="0" fillId="5" borderId="65" xfId="0" applyNumberFormat="1" applyFill="1" applyBorder="1" applyAlignment="1">
      <alignment horizontal="center" vertical="center"/>
    </xf>
    <xf numFmtId="166" fontId="0" fillId="5" borderId="62" xfId="0" applyNumberFormat="1" applyFill="1" applyBorder="1" applyAlignment="1">
      <alignment horizontal="center" vertical="center"/>
    </xf>
    <xf numFmtId="0" fontId="6" fillId="6" borderId="51" xfId="0" applyFont="1" applyFill="1" applyBorder="1"/>
    <xf numFmtId="0" fontId="6" fillId="6" borderId="52" xfId="0" applyFont="1" applyFill="1" applyBorder="1"/>
    <xf numFmtId="0" fontId="6" fillId="6" borderId="53" xfId="0" applyFont="1" applyFill="1" applyBorder="1"/>
    <xf numFmtId="0" fontId="16" fillId="2" borderId="47" xfId="2" applyFont="1" applyFill="1" applyBorder="1" applyAlignment="1">
      <alignment vertical="center"/>
    </xf>
    <xf numFmtId="0" fontId="16" fillId="2" borderId="47" xfId="2" applyFont="1" applyFill="1" applyBorder="1" applyAlignment="1">
      <alignment horizontal="center" vertical="center"/>
    </xf>
    <xf numFmtId="166" fontId="8" fillId="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2" fontId="6" fillId="11" borderId="15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/>
    </xf>
    <xf numFmtId="2" fontId="6" fillId="11" borderId="15" xfId="0" applyNumberFormat="1" applyFont="1" applyFill="1" applyBorder="1" applyAlignment="1">
      <alignment horizontal="center"/>
    </xf>
    <xf numFmtId="166" fontId="8" fillId="4" borderId="1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166" fontId="8" fillId="4" borderId="0" xfId="0" applyNumberFormat="1" applyFont="1" applyFill="1" applyAlignment="1">
      <alignment horizontal="center"/>
    </xf>
    <xf numFmtId="0" fontId="6" fillId="2" borderId="7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2" fontId="6" fillId="2" borderId="78" xfId="0" applyNumberFormat="1" applyFont="1" applyFill="1" applyBorder="1" applyAlignment="1">
      <alignment horizontal="center"/>
    </xf>
    <xf numFmtId="2" fontId="6" fillId="2" borderId="50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0" fontId="6" fillId="2" borderId="7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166" fontId="2" fillId="4" borderId="15" xfId="0" applyNumberFormat="1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 vertical="center"/>
    </xf>
    <xf numFmtId="2" fontId="6" fillId="11" borderId="15" xfId="0" quotePrefix="1" applyNumberFormat="1" applyFont="1" applyFill="1" applyBorder="1" applyAlignment="1">
      <alignment horizontal="center" vertical="center"/>
    </xf>
    <xf numFmtId="166" fontId="41" fillId="4" borderId="15" xfId="0" applyNumberFormat="1" applyFont="1" applyFill="1" applyBorder="1" applyAlignment="1">
      <alignment horizontal="center" vertical="center"/>
    </xf>
    <xf numFmtId="166" fontId="2" fillId="4" borderId="15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6" fillId="0" borderId="4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2" borderId="59" xfId="2" applyFont="1" applyFill="1" applyBorder="1" applyAlignment="1">
      <alignment horizontal="center" vertical="center"/>
    </xf>
    <xf numFmtId="0" fontId="16" fillId="2" borderId="47" xfId="2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center" vertical="center"/>
    </xf>
    <xf numFmtId="0" fontId="9" fillId="2" borderId="44" xfId="2" applyFont="1" applyFill="1" applyBorder="1" applyAlignment="1">
      <alignment horizontal="center" vertical="center"/>
    </xf>
    <xf numFmtId="166" fontId="6" fillId="2" borderId="44" xfId="0" applyNumberFormat="1" applyFont="1" applyFill="1" applyBorder="1" applyAlignment="1">
      <alignment horizontal="center" vertical="center"/>
    </xf>
    <xf numFmtId="166" fontId="6" fillId="2" borderId="15" xfId="0" applyNumberFormat="1" applyFont="1" applyFill="1" applyBorder="1" applyAlignment="1">
      <alignment horizontal="center" vertical="center"/>
    </xf>
    <xf numFmtId="166" fontId="6" fillId="2" borderId="38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6" fillId="2" borderId="44" xfId="0" applyNumberFormat="1" applyFont="1" applyFill="1" applyBorder="1" applyAlignment="1">
      <alignment horizontal="center"/>
    </xf>
    <xf numFmtId="166" fontId="6" fillId="5" borderId="15" xfId="0" applyNumberFormat="1" applyFont="1" applyFill="1" applyBorder="1" applyAlignment="1">
      <alignment horizontal="center"/>
    </xf>
    <xf numFmtId="166" fontId="6" fillId="2" borderId="15" xfId="0" applyNumberFormat="1" applyFont="1" applyFill="1" applyBorder="1" applyAlignment="1">
      <alignment horizontal="center"/>
    </xf>
    <xf numFmtId="166" fontId="6" fillId="2" borderId="38" xfId="2" applyNumberFormat="1" applyFont="1" applyFill="1" applyBorder="1" applyAlignment="1">
      <alignment horizontal="center"/>
    </xf>
    <xf numFmtId="11" fontId="6" fillId="2" borderId="0" xfId="2" applyNumberFormat="1" applyFont="1" applyFill="1" applyAlignment="1">
      <alignment horizontal="center"/>
    </xf>
    <xf numFmtId="1" fontId="6" fillId="2" borderId="56" xfId="0" applyNumberFormat="1" applyFont="1" applyFill="1" applyBorder="1" applyAlignment="1">
      <alignment horizontal="center"/>
    </xf>
    <xf numFmtId="166" fontId="6" fillId="2" borderId="40" xfId="0" applyNumberFormat="1" applyFont="1" applyFill="1" applyBorder="1" applyAlignment="1">
      <alignment horizontal="center"/>
    </xf>
    <xf numFmtId="166" fontId="6" fillId="2" borderId="41" xfId="2" applyNumberFormat="1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165" fontId="6" fillId="2" borderId="0" xfId="2" applyNumberFormat="1" applyFont="1" applyFill="1" applyAlignment="1">
      <alignment horizontal="center"/>
    </xf>
    <xf numFmtId="165" fontId="6" fillId="2" borderId="50" xfId="2" applyNumberFormat="1" applyFont="1" applyFill="1" applyBorder="1" applyAlignment="1">
      <alignment horizontal="center"/>
    </xf>
    <xf numFmtId="0" fontId="8" fillId="2" borderId="50" xfId="2" applyFont="1" applyFill="1" applyBorder="1"/>
    <xf numFmtId="0" fontId="0" fillId="0" borderId="48" xfId="0" applyBorder="1"/>
    <xf numFmtId="0" fontId="9" fillId="2" borderId="50" xfId="2" applyFont="1" applyFill="1" applyBorder="1"/>
    <xf numFmtId="167" fontId="10" fillId="2" borderId="0" xfId="2" applyNumberFormat="1" applyFont="1" applyFill="1" applyAlignment="1">
      <alignment horizontal="center"/>
    </xf>
    <xf numFmtId="166" fontId="6" fillId="2" borderId="56" xfId="0" applyNumberFormat="1" applyFont="1" applyFill="1" applyBorder="1" applyAlignment="1">
      <alignment horizontal="center" vertical="center"/>
    </xf>
    <xf numFmtId="166" fontId="6" fillId="2" borderId="40" xfId="0" applyNumberFormat="1" applyFont="1" applyFill="1" applyBorder="1" applyAlignment="1">
      <alignment horizontal="center" vertical="center"/>
    </xf>
    <xf numFmtId="166" fontId="6" fillId="2" borderId="41" xfId="0" applyNumberFormat="1" applyFont="1" applyFill="1" applyBorder="1" applyAlignment="1">
      <alignment horizontal="center" vertical="center"/>
    </xf>
    <xf numFmtId="164" fontId="7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vertical="center"/>
    </xf>
    <xf numFmtId="166" fontId="6" fillId="2" borderId="0" xfId="0" applyNumberFormat="1" applyFont="1" applyFill="1"/>
    <xf numFmtId="0" fontId="10" fillId="2" borderId="0" xfId="2" applyFont="1" applyFill="1"/>
    <xf numFmtId="0" fontId="9" fillId="2" borderId="0" xfId="2" applyFont="1" applyFill="1"/>
    <xf numFmtId="165" fontId="9" fillId="2" borderId="0" xfId="2" applyNumberFormat="1" applyFont="1" applyFill="1" applyAlignment="1">
      <alignment horizontal="center"/>
    </xf>
    <xf numFmtId="0" fontId="16" fillId="2" borderId="59" xfId="0" applyFont="1" applyFill="1" applyBorder="1" applyAlignment="1">
      <alignment horizontal="center" vertical="center"/>
    </xf>
    <xf numFmtId="166" fontId="16" fillId="2" borderId="60" xfId="0" applyNumberFormat="1" applyFont="1" applyFill="1" applyBorder="1" applyAlignment="1">
      <alignment horizontal="center"/>
    </xf>
    <xf numFmtId="166" fontId="16" fillId="2" borderId="61" xfId="0" applyNumberFormat="1" applyFont="1" applyFill="1" applyBorder="1" applyAlignment="1">
      <alignment horizontal="center"/>
    </xf>
    <xf numFmtId="0" fontId="18" fillId="2" borderId="0" xfId="0" applyFont="1" applyFill="1" applyAlignment="1">
      <alignment vertical="center"/>
    </xf>
    <xf numFmtId="0" fontId="16" fillId="2" borderId="57" xfId="0" applyFont="1" applyFill="1" applyBorder="1" applyAlignment="1">
      <alignment horizontal="center" vertical="center"/>
    </xf>
    <xf numFmtId="0" fontId="6" fillId="2" borderId="50" xfId="0" applyFont="1" applyFill="1" applyBorder="1"/>
    <xf numFmtId="0" fontId="6" fillId="2" borderId="0" xfId="2" applyFont="1" applyFill="1"/>
    <xf numFmtId="166" fontId="16" fillId="2" borderId="44" xfId="0" applyNumberFormat="1" applyFont="1" applyFill="1" applyBorder="1" applyAlignment="1">
      <alignment horizontal="center" vertical="center"/>
    </xf>
    <xf numFmtId="166" fontId="16" fillId="2" borderId="15" xfId="0" applyNumberFormat="1" applyFont="1" applyFill="1" applyBorder="1" applyAlignment="1">
      <alignment horizontal="center"/>
    </xf>
    <xf numFmtId="166" fontId="16" fillId="2" borderId="38" xfId="0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166" fontId="16" fillId="2" borderId="65" xfId="0" applyNumberFormat="1" applyFont="1" applyFill="1" applyBorder="1" applyAlignment="1">
      <alignment horizontal="center"/>
    </xf>
    <xf numFmtId="166" fontId="16" fillId="2" borderId="40" xfId="0" applyNumberFormat="1" applyFont="1" applyFill="1" applyBorder="1" applyAlignment="1">
      <alignment horizontal="center"/>
    </xf>
    <xf numFmtId="166" fontId="16" fillId="2" borderId="67" xfId="0" applyNumberFormat="1" applyFont="1" applyFill="1" applyBorder="1" applyAlignment="1">
      <alignment horizontal="center"/>
    </xf>
    <xf numFmtId="164" fontId="6" fillId="2" borderId="52" xfId="0" applyNumberFormat="1" applyFont="1" applyFill="1" applyBorder="1" applyAlignment="1">
      <alignment horizontal="center"/>
    </xf>
    <xf numFmtId="0" fontId="6" fillId="2" borderId="52" xfId="0" applyFont="1" applyFill="1" applyBorder="1"/>
    <xf numFmtId="0" fontId="6" fillId="2" borderId="53" xfId="0" applyFont="1" applyFill="1" applyBorder="1"/>
    <xf numFmtId="2" fontId="6" fillId="2" borderId="0" xfId="2" applyNumberFormat="1" applyFont="1" applyFill="1" applyAlignment="1">
      <alignment horizontal="center"/>
    </xf>
    <xf numFmtId="0" fontId="6" fillId="11" borderId="36" xfId="0" applyFont="1" applyFill="1" applyBorder="1" applyAlignment="1" applyProtection="1">
      <alignment vertical="center"/>
      <protection locked="0"/>
    </xf>
    <xf numFmtId="0" fontId="6" fillId="11" borderId="22" xfId="0" applyFont="1" applyFill="1" applyBorder="1" applyAlignment="1" applyProtection="1">
      <alignment horizontal="center" vertical="center"/>
      <protection locked="0"/>
    </xf>
    <xf numFmtId="0" fontId="6" fillId="11" borderId="22" xfId="0" applyFont="1" applyFill="1" applyBorder="1" applyAlignment="1" applyProtection="1">
      <alignment vertical="center"/>
      <protection locked="0"/>
    </xf>
    <xf numFmtId="0" fontId="6" fillId="11" borderId="23" xfId="0" applyFont="1" applyFill="1" applyBorder="1" applyAlignment="1" applyProtection="1">
      <alignment vertical="center"/>
      <protection locked="0"/>
    </xf>
    <xf numFmtId="0" fontId="6" fillId="11" borderId="18" xfId="0" applyFont="1" applyFill="1" applyBorder="1" applyAlignment="1" applyProtection="1">
      <alignment vertical="center"/>
      <protection locked="0"/>
    </xf>
    <xf numFmtId="0" fontId="6" fillId="11" borderId="15" xfId="0" applyFont="1" applyFill="1" applyBorder="1" applyAlignment="1" applyProtection="1">
      <alignment horizontal="center" vertical="center"/>
      <protection locked="0"/>
    </xf>
    <xf numFmtId="0" fontId="6" fillId="11" borderId="54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/>
    <xf numFmtId="2" fontId="11" fillId="0" borderId="15" xfId="0" applyNumberFormat="1" applyFont="1" applyBorder="1" applyAlignment="1">
      <alignment horizontal="center" vertical="center"/>
    </xf>
    <xf numFmtId="0" fontId="6" fillId="11" borderId="15" xfId="0" quotePrefix="1" applyFont="1" applyFill="1" applyBorder="1" applyAlignment="1" applyProtection="1">
      <alignment horizontal="center" vertical="center"/>
      <protection locked="0"/>
    </xf>
    <xf numFmtId="0" fontId="6" fillId="11" borderId="1" xfId="0" applyFont="1" applyFill="1" applyBorder="1" applyAlignment="1" applyProtection="1">
      <alignment horizontal="center" vertical="center"/>
      <protection locked="0"/>
    </xf>
    <xf numFmtId="0" fontId="6" fillId="11" borderId="1" xfId="0" applyFont="1" applyFill="1" applyBorder="1" applyAlignment="1" applyProtection="1">
      <alignment vertical="center"/>
      <protection locked="0"/>
    </xf>
    <xf numFmtId="0" fontId="6" fillId="11" borderId="27" xfId="0" applyFont="1" applyFill="1" applyBorder="1" applyAlignment="1" applyProtection="1">
      <alignment vertical="center"/>
      <protection locked="0"/>
    </xf>
    <xf numFmtId="0" fontId="6" fillId="11" borderId="20" xfId="0" applyFont="1" applyFill="1" applyBorder="1" applyAlignment="1" applyProtection="1">
      <alignment vertical="center"/>
      <protection locked="0"/>
    </xf>
    <xf numFmtId="0" fontId="6" fillId="11" borderId="82" xfId="0" applyFont="1" applyFill="1" applyBorder="1" applyAlignment="1" applyProtection="1">
      <alignment horizontal="center" vertical="center"/>
      <protection locked="0"/>
    </xf>
    <xf numFmtId="0" fontId="6" fillId="11" borderId="16" xfId="0" applyFont="1" applyFill="1" applyBorder="1" applyAlignment="1" applyProtection="1">
      <alignment horizontal="center" vertical="center"/>
      <protection locked="0"/>
    </xf>
    <xf numFmtId="0" fontId="6" fillId="11" borderId="16" xfId="0" quotePrefix="1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0" fillId="7" borderId="15" xfId="5" applyFont="1" applyFill="1" applyBorder="1" applyAlignment="1" applyProtection="1">
      <alignment horizontal="center" vertical="center"/>
      <protection locked="0"/>
    </xf>
    <xf numFmtId="2" fontId="0" fillId="7" borderId="15" xfId="0" applyNumberFormat="1" applyFill="1" applyBorder="1" applyAlignment="1" applyProtection="1">
      <alignment horizontal="center" vertical="center"/>
      <protection locked="0"/>
    </xf>
    <xf numFmtId="2" fontId="1" fillId="7" borderId="15" xfId="5" applyNumberFormat="1" applyFill="1" applyBorder="1" applyAlignment="1" applyProtection="1">
      <alignment horizontal="center" vertical="center"/>
      <protection locked="0"/>
    </xf>
    <xf numFmtId="0" fontId="1" fillId="7" borderId="15" xfId="5" applyFill="1" applyBorder="1" applyAlignment="1" applyProtection="1">
      <alignment horizontal="center" vertical="center"/>
      <protection locked="0"/>
    </xf>
    <xf numFmtId="0" fontId="59" fillId="9" borderId="0" xfId="5" applyFont="1" applyFill="1" applyProtection="1">
      <protection locked="0"/>
    </xf>
    <xf numFmtId="0" fontId="1" fillId="7" borderId="0" xfId="5" applyFill="1" applyProtection="1">
      <protection locked="0"/>
    </xf>
    <xf numFmtId="0" fontId="13" fillId="7" borderId="15" xfId="5" applyFont="1" applyFill="1" applyBorder="1" applyAlignment="1" applyProtection="1">
      <alignment horizontal="center" vertical="center"/>
      <protection locked="0"/>
    </xf>
    <xf numFmtId="0" fontId="15" fillId="7" borderId="15" xfId="5" applyFont="1" applyFill="1" applyBorder="1" applyAlignment="1" applyProtection="1">
      <alignment horizontal="center" vertical="center"/>
      <protection locked="0"/>
    </xf>
    <xf numFmtId="0" fontId="21" fillId="7" borderId="15" xfId="0" applyFont="1" applyFill="1" applyBorder="1" applyAlignment="1" applyProtection="1">
      <alignment horizontal="center" vertical="center"/>
      <protection locked="0"/>
    </xf>
    <xf numFmtId="0" fontId="21" fillId="7" borderId="15" xfId="5" applyFont="1" applyFill="1" applyBorder="1" applyAlignment="1" applyProtection="1">
      <alignment horizontal="center" vertical="center"/>
      <protection locked="0"/>
    </xf>
    <xf numFmtId="164" fontId="0" fillId="7" borderId="15" xfId="0" applyNumberFormat="1" applyFill="1" applyBorder="1" applyAlignment="1" applyProtection="1">
      <alignment horizontal="center" vertical="center"/>
      <protection locked="0"/>
    </xf>
    <xf numFmtId="164" fontId="1" fillId="7" borderId="15" xfId="5" applyNumberFormat="1" applyFill="1" applyBorder="1" applyAlignment="1" applyProtection="1">
      <alignment horizontal="center" vertical="center"/>
      <protection locked="0"/>
    </xf>
    <xf numFmtId="0" fontId="21" fillId="2" borderId="15" xfId="0" quotePrefix="1" applyFont="1" applyFill="1" applyBorder="1" applyAlignment="1" applyProtection="1">
      <alignment horizontal="center" vertical="center"/>
      <protection locked="0"/>
    </xf>
    <xf numFmtId="0" fontId="1" fillId="7" borderId="15" xfId="5" applyFill="1" applyBorder="1" applyAlignment="1" applyProtection="1">
      <alignment horizontal="right" vertical="center"/>
      <protection locked="0"/>
    </xf>
    <xf numFmtId="0" fontId="21" fillId="2" borderId="15" xfId="0" applyFont="1" applyFill="1" applyBorder="1" applyAlignment="1" applyProtection="1">
      <alignment horizontal="center" vertical="center"/>
      <protection locked="0"/>
    </xf>
    <xf numFmtId="166" fontId="0" fillId="2" borderId="15" xfId="0" quotePrefix="1" applyNumberFormat="1" applyFill="1" applyBorder="1" applyAlignment="1" applyProtection="1">
      <alignment horizontal="center" vertical="center"/>
      <protection locked="0"/>
    </xf>
    <xf numFmtId="166" fontId="0" fillId="2" borderId="15" xfId="0" applyNumberFormat="1" applyFill="1" applyBorder="1" applyAlignment="1" applyProtection="1">
      <alignment horizontal="center" vertical="center"/>
      <protection locked="0"/>
    </xf>
    <xf numFmtId="0" fontId="0" fillId="2" borderId="15" xfId="0" quotePrefix="1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2" fontId="6" fillId="4" borderId="34" xfId="5" applyNumberFormat="1" applyFont="1" applyFill="1" applyBorder="1" applyAlignment="1">
      <alignment horizontal="center" vertical="center"/>
    </xf>
    <xf numFmtId="166" fontId="44" fillId="4" borderId="61" xfId="5" applyNumberFormat="1" applyFont="1" applyFill="1" applyBorder="1" applyAlignment="1">
      <alignment horizontal="center" vertical="center"/>
    </xf>
    <xf numFmtId="164" fontId="44" fillId="4" borderId="18" xfId="5" applyNumberFormat="1" applyFont="1" applyFill="1" applyBorder="1" applyAlignment="1">
      <alignment horizontal="center" vertical="center"/>
    </xf>
    <xf numFmtId="164" fontId="44" fillId="4" borderId="37" xfId="5" applyNumberFormat="1" applyFont="1" applyFill="1" applyBorder="1" applyAlignment="1">
      <alignment horizontal="center" vertical="center"/>
    </xf>
    <xf numFmtId="165" fontId="6" fillId="4" borderId="18" xfId="5" applyNumberFormat="1" applyFont="1" applyFill="1" applyBorder="1" applyAlignment="1">
      <alignment horizontal="center" vertical="center"/>
    </xf>
    <xf numFmtId="165" fontId="44" fillId="4" borderId="37" xfId="5" applyNumberFormat="1" applyFont="1" applyFill="1" applyBorder="1" applyAlignment="1">
      <alignment horizontal="center" vertical="center"/>
    </xf>
    <xf numFmtId="165" fontId="6" fillId="4" borderId="69" xfId="5" applyNumberFormat="1" applyFont="1" applyFill="1" applyBorder="1" applyAlignment="1">
      <alignment horizontal="center" vertical="center"/>
    </xf>
    <xf numFmtId="2" fontId="44" fillId="4" borderId="67" xfId="5" applyNumberFormat="1" applyFont="1" applyFill="1" applyBorder="1" applyAlignment="1">
      <alignment horizontal="center" vertical="center"/>
    </xf>
    <xf numFmtId="0" fontId="10" fillId="9" borderId="36" xfId="5" applyFont="1" applyFill="1" applyBorder="1" applyProtection="1">
      <protection locked="0"/>
    </xf>
    <xf numFmtId="0" fontId="10" fillId="9" borderId="22" xfId="5" applyFont="1" applyFill="1" applyBorder="1" applyAlignment="1" applyProtection="1">
      <alignment horizontal="center" vertical="center"/>
      <protection locked="0"/>
    </xf>
    <xf numFmtId="0" fontId="6" fillId="9" borderId="22" xfId="5" applyFont="1" applyFill="1" applyBorder="1" applyAlignment="1" applyProtection="1">
      <alignment horizontal="center" vertical="center"/>
      <protection locked="0"/>
    </xf>
    <xf numFmtId="0" fontId="6" fillId="9" borderId="22" xfId="5" applyFont="1" applyFill="1" applyBorder="1" applyAlignment="1" applyProtection="1">
      <alignment vertical="center"/>
      <protection locked="0"/>
    </xf>
    <xf numFmtId="0" fontId="6" fillId="9" borderId="15" xfId="5" applyFont="1" applyFill="1" applyBorder="1" applyAlignment="1" applyProtection="1">
      <alignment vertical="center"/>
      <protection locked="0"/>
    </xf>
    <xf numFmtId="0" fontId="6" fillId="9" borderId="38" xfId="5" applyFont="1" applyFill="1" applyBorder="1" applyAlignment="1" applyProtection="1">
      <alignment horizontal="center" vertical="center"/>
      <protection locked="0"/>
    </xf>
    <xf numFmtId="0" fontId="15" fillId="11" borderId="15" xfId="0" applyFont="1" applyFill="1" applyBorder="1" applyAlignment="1">
      <alignment horizontal="center" vertical="center"/>
    </xf>
    <xf numFmtId="0" fontId="13" fillId="11" borderId="15" xfId="2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76" fontId="26" fillId="0" borderId="15" xfId="0" applyNumberFormat="1" applyFont="1" applyBorder="1" applyAlignment="1">
      <alignment horizontal="center" vertical="center" wrapText="1"/>
    </xf>
    <xf numFmtId="0" fontId="41" fillId="0" borderId="0" xfId="3" applyFont="1" applyAlignment="1" applyProtection="1">
      <alignment horizontal="center" vertical="center" wrapText="1"/>
      <protection locked="0"/>
    </xf>
    <xf numFmtId="0" fontId="5" fillId="0" borderId="33" xfId="5" applyFont="1" applyBorder="1" applyAlignment="1" applyProtection="1">
      <alignment horizontal="center"/>
      <protection locked="0"/>
    </xf>
    <xf numFmtId="0" fontId="5" fillId="0" borderId="42" xfId="5" applyFont="1" applyBorder="1" applyAlignment="1" applyProtection="1">
      <alignment horizontal="center"/>
      <protection locked="0"/>
    </xf>
    <xf numFmtId="0" fontId="5" fillId="0" borderId="43" xfId="5" applyFont="1" applyBorder="1" applyAlignment="1" applyProtection="1">
      <alignment horizontal="center"/>
      <protection locked="0"/>
    </xf>
    <xf numFmtId="166" fontId="10" fillId="2" borderId="15" xfId="2" applyNumberFormat="1" applyFont="1" applyFill="1" applyBorder="1" applyAlignment="1">
      <alignment horizontal="center" vertical="center"/>
    </xf>
    <xf numFmtId="1" fontId="10" fillId="2" borderId="15" xfId="2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180" fontId="26" fillId="0" borderId="0" xfId="1" quotePrefix="1" applyNumberFormat="1" applyFont="1" applyBorder="1" applyAlignment="1">
      <alignment horizontal="center" vertical="center" wrapText="1"/>
    </xf>
    <xf numFmtId="166" fontId="26" fillId="3" borderId="0" xfId="0" quotePrefix="1" applyNumberFormat="1" applyFont="1" applyFill="1" applyAlignment="1" applyProtection="1">
      <alignment horizontal="center" vertical="center"/>
      <protection locked="0"/>
    </xf>
    <xf numFmtId="166" fontId="26" fillId="3" borderId="0" xfId="0" applyNumberFormat="1" applyFont="1" applyFill="1" applyAlignment="1" applyProtection="1">
      <alignment horizontal="center" vertical="center"/>
      <protection locked="0"/>
    </xf>
    <xf numFmtId="2" fontId="26" fillId="0" borderId="0" xfId="0" quotePrefix="1" applyNumberFormat="1" applyFont="1" applyAlignment="1" applyProtection="1">
      <alignment horizontal="center" vertical="center" wrapText="1"/>
      <protection locked="0"/>
    </xf>
    <xf numFmtId="2" fontId="26" fillId="0" borderId="0" xfId="1" applyNumberFormat="1" applyFont="1" applyBorder="1" applyAlignment="1" applyProtection="1">
      <alignment horizontal="center" vertical="center"/>
      <protection locked="0"/>
    </xf>
    <xf numFmtId="2" fontId="26" fillId="0" borderId="0" xfId="0" quotePrefix="1" applyNumberFormat="1" applyFont="1" applyAlignment="1" applyProtection="1">
      <alignment vertical="center" wrapText="1"/>
      <protection locked="0"/>
    </xf>
    <xf numFmtId="0" fontId="20" fillId="0" borderId="23" xfId="0" applyFont="1" applyBorder="1" applyAlignment="1" applyProtection="1">
      <alignment horizontal="left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left"/>
    </xf>
    <xf numFmtId="0" fontId="26" fillId="0" borderId="83" xfId="0" applyFont="1" applyBorder="1" applyAlignment="1">
      <alignment horizontal="left"/>
    </xf>
    <xf numFmtId="0" fontId="26" fillId="0" borderId="83" xfId="0" applyFont="1" applyBorder="1"/>
    <xf numFmtId="2" fontId="2" fillId="0" borderId="0" xfId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165" fontId="1" fillId="0" borderId="20" xfId="2" applyNumberFormat="1" applyBorder="1" applyAlignment="1">
      <alignment horizontal="center"/>
    </xf>
    <xf numFmtId="165" fontId="1" fillId="0" borderId="82" xfId="2" applyNumberFormat="1" applyBorder="1"/>
    <xf numFmtId="164" fontId="2" fillId="0" borderId="84" xfId="2" applyNumberFormat="1" applyFont="1" applyBorder="1" applyAlignment="1">
      <alignment horizontal="left"/>
    </xf>
    <xf numFmtId="1" fontId="2" fillId="0" borderId="15" xfId="2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2" applyNumberFormat="1" applyFont="1" applyAlignment="1">
      <alignment horizontal="left"/>
    </xf>
    <xf numFmtId="2" fontId="2" fillId="0" borderId="0" xfId="1" applyNumberFormat="1" applyFont="1" applyFill="1" applyBorder="1" applyAlignment="1">
      <alignment horizontal="center"/>
    </xf>
    <xf numFmtId="166" fontId="2" fillId="0" borderId="85" xfId="2" applyNumberFormat="1" applyFont="1" applyBorder="1" applyAlignment="1">
      <alignment horizontal="center"/>
    </xf>
    <xf numFmtId="166" fontId="2" fillId="0" borderId="15" xfId="2" applyNumberFormat="1" applyFont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7" fillId="0" borderId="16" xfId="0" applyFont="1" applyBorder="1" applyAlignment="1">
      <alignment horizontal="center" vertical="center"/>
    </xf>
    <xf numFmtId="0" fontId="24" fillId="0" borderId="0" xfId="0" applyFont="1" applyAlignment="1" applyProtection="1">
      <alignment horizontal="left" vertical="center"/>
      <protection locked="0"/>
    </xf>
    <xf numFmtId="182" fontId="26" fillId="0" borderId="0" xfId="0" quotePrefix="1" applyNumberFormat="1" applyFont="1" applyAlignment="1">
      <alignment horizontal="center"/>
    </xf>
    <xf numFmtId="182" fontId="26" fillId="0" borderId="0" xfId="0" quotePrefix="1" applyNumberFormat="1" applyFont="1" applyAlignment="1">
      <alignment horizontal="center" vertical="center"/>
    </xf>
    <xf numFmtId="0" fontId="3" fillId="2" borderId="0" xfId="0" applyFont="1" applyFill="1" applyAlignment="1" applyProtection="1">
      <alignment vertical="center"/>
      <protection locked="0"/>
    </xf>
    <xf numFmtId="1" fontId="26" fillId="2" borderId="0" xfId="0" applyNumberFormat="1" applyFont="1" applyFill="1" applyAlignment="1" applyProtection="1">
      <alignment horizontal="center" vertical="center"/>
      <protection locked="0"/>
    </xf>
    <xf numFmtId="2" fontId="26" fillId="0" borderId="25" xfId="0" applyNumberFormat="1" applyFont="1" applyBorder="1" applyAlignment="1">
      <alignment horizontal="center"/>
    </xf>
    <xf numFmtId="1" fontId="26" fillId="0" borderId="20" xfId="0" applyNumberFormat="1" applyFont="1" applyBorder="1" applyAlignment="1">
      <alignment horizontal="right" vertical="center" wrapText="1"/>
    </xf>
    <xf numFmtId="0" fontId="3" fillId="0" borderId="0" xfId="0" applyFont="1" applyAlignment="1" applyProtection="1">
      <alignment vertical="top" wrapText="1"/>
      <protection locked="0"/>
    </xf>
    <xf numFmtId="0" fontId="52" fillId="0" borderId="0" xfId="0" applyFont="1" applyAlignment="1" applyProtection="1">
      <alignment vertical="center"/>
      <protection locked="0"/>
    </xf>
    <xf numFmtId="0" fontId="21" fillId="0" borderId="0" xfId="0" applyFont="1" applyAlignment="1">
      <alignment horizontal="center" vertical="center"/>
    </xf>
    <xf numFmtId="1" fontId="26" fillId="12" borderId="0" xfId="0" applyNumberFormat="1" applyFont="1" applyFill="1" applyAlignment="1" applyProtection="1">
      <alignment horizontal="center" vertical="center"/>
      <protection locked="0"/>
    </xf>
    <xf numFmtId="0" fontId="1" fillId="0" borderId="15" xfId="0" applyFont="1" applyBorder="1"/>
    <xf numFmtId="166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12" borderId="15" xfId="0" applyFill="1" applyBorder="1"/>
    <xf numFmtId="183" fontId="26" fillId="0" borderId="0" xfId="1" applyNumberFormat="1" applyFont="1" applyBorder="1" applyAlignment="1" applyProtection="1">
      <alignment horizontal="center" vertical="center"/>
    </xf>
    <xf numFmtId="183" fontId="26" fillId="0" borderId="25" xfId="1" applyNumberFormat="1" applyFont="1" applyBorder="1" applyAlignment="1" applyProtection="1">
      <alignment horizontal="center" vertical="center"/>
    </xf>
    <xf numFmtId="1" fontId="24" fillId="0" borderId="0" xfId="0" applyNumberFormat="1" applyFont="1" applyAlignment="1" applyProtection="1">
      <alignment horizontal="right" vertical="center"/>
      <protection locked="0"/>
    </xf>
    <xf numFmtId="183" fontId="50" fillId="0" borderId="26" xfId="1" applyNumberFormat="1" applyFont="1" applyBorder="1" applyAlignment="1" applyProtection="1">
      <alignment horizontal="center" vertical="center"/>
    </xf>
    <xf numFmtId="0" fontId="1" fillId="0" borderId="16" xfId="0" quotePrefix="1" applyFont="1" applyBorder="1"/>
    <xf numFmtId="0" fontId="6" fillId="4" borderId="69" xfId="5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6" fillId="0" borderId="0" xfId="0" applyFont="1" applyAlignment="1">
      <alignment vertical="top" wrapText="1"/>
    </xf>
    <xf numFmtId="0" fontId="27" fillId="0" borderId="2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4" fontId="1" fillId="0" borderId="15" xfId="0" applyNumberFormat="1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174" fontId="0" fillId="0" borderId="1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174" fontId="1" fillId="0" borderId="26" xfId="0" applyNumberFormat="1" applyFont="1" applyBorder="1" applyAlignment="1">
      <alignment horizontal="center" vertical="center"/>
    </xf>
    <xf numFmtId="0" fontId="67" fillId="0" borderId="0" xfId="0" applyFont="1"/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35" fillId="0" borderId="22" xfId="2" applyNumberFormat="1" applyFont="1" applyBorder="1" applyAlignment="1">
      <alignment horizontal="center" vertical="center"/>
    </xf>
    <xf numFmtId="0" fontId="11" fillId="2" borderId="0" xfId="3" applyFont="1" applyFill="1" applyAlignment="1" applyProtection="1">
      <alignment vertical="center"/>
      <protection locked="0"/>
    </xf>
    <xf numFmtId="166" fontId="26" fillId="0" borderId="0" xfId="0" applyNumberFormat="1" applyFont="1" applyAlignment="1">
      <alignment horizontal="center" vertical="center"/>
    </xf>
    <xf numFmtId="0" fontId="28" fillId="0" borderId="0" xfId="0" quotePrefix="1" applyFont="1" applyAlignment="1">
      <alignment horizontal="left" vertical="center"/>
    </xf>
    <xf numFmtId="0" fontId="2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26" fillId="0" borderId="0" xfId="0" applyNumberFormat="1" applyFont="1" applyAlignment="1">
      <alignment horizontal="right" vertical="center" wrapText="1"/>
    </xf>
    <xf numFmtId="0" fontId="2" fillId="2" borderId="25" xfId="0" applyFont="1" applyFill="1" applyBorder="1" applyAlignment="1">
      <alignment horizontal="center" vertical="center" wrapText="1"/>
    </xf>
    <xf numFmtId="1" fontId="26" fillId="0" borderId="0" xfId="0" quotePrefix="1" applyNumberFormat="1" applyFont="1" applyAlignment="1">
      <alignment horizontal="left" vertical="center" wrapText="1"/>
    </xf>
    <xf numFmtId="1" fontId="66" fillId="0" borderId="19" xfId="0" quotePrefix="1" applyNumberFormat="1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2" fontId="2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center" vertical="center" wrapText="1"/>
    </xf>
    <xf numFmtId="178" fontId="1" fillId="0" borderId="0" xfId="0" quotePrefix="1" applyNumberFormat="1" applyFont="1" applyAlignment="1">
      <alignment horizontal="center" vertical="center" wrapText="1"/>
    </xf>
    <xf numFmtId="181" fontId="1" fillId="0" borderId="0" xfId="0" quotePrefix="1" applyNumberFormat="1" applyFont="1" applyAlignment="1">
      <alignment horizontal="center" vertical="center" wrapText="1"/>
    </xf>
    <xf numFmtId="2" fontId="27" fillId="0" borderId="0" xfId="0" applyNumberFormat="1" applyFont="1" applyAlignment="1">
      <alignment vertical="center"/>
    </xf>
    <xf numFmtId="0" fontId="26" fillId="0" borderId="0" xfId="0" applyFont="1" applyAlignment="1" applyProtection="1">
      <alignment horizontal="right" vertical="center"/>
      <protection hidden="1"/>
    </xf>
    <xf numFmtId="0" fontId="26" fillId="2" borderId="0" xfId="2" applyFont="1" applyFill="1" applyAlignment="1" applyProtection="1">
      <alignment vertical="center"/>
      <protection locked="0"/>
    </xf>
    <xf numFmtId="0" fontId="26" fillId="0" borderId="0" xfId="2" applyFont="1" applyAlignment="1" applyProtection="1">
      <alignment vertical="center"/>
      <protection locked="0"/>
    </xf>
    <xf numFmtId="0" fontId="26" fillId="2" borderId="0" xfId="2" applyFont="1" applyFill="1" applyAlignment="1" applyProtection="1">
      <alignment horizontal="right"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4" fillId="2" borderId="0" xfId="3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26" fillId="2" borderId="0" xfId="0" applyFont="1" applyFill="1" applyAlignment="1">
      <alignment vertical="center"/>
    </xf>
    <xf numFmtId="0" fontId="68" fillId="0" borderId="0" xfId="0" applyFont="1"/>
    <xf numFmtId="0" fontId="11" fillId="2" borderId="0" xfId="3" applyFont="1" applyFill="1" applyAlignment="1">
      <alignment vertical="center"/>
    </xf>
    <xf numFmtId="0" fontId="69" fillId="2" borderId="0" xfId="3" applyFont="1" applyFill="1" applyAlignment="1">
      <alignment vertical="center"/>
    </xf>
    <xf numFmtId="0" fontId="48" fillId="0" borderId="0" xfId="0" applyFont="1" applyAlignment="1" applyProtection="1">
      <alignment vertical="center"/>
      <protection hidden="1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74" fontId="26" fillId="0" borderId="0" xfId="0" applyNumberFormat="1" applyFont="1" applyAlignment="1">
      <alignment horizontal="left" vertical="center"/>
    </xf>
    <xf numFmtId="0" fontId="26" fillId="0" borderId="15" xfId="0" applyFont="1" applyBorder="1" applyAlignment="1">
      <alignment vertical="center"/>
    </xf>
    <xf numFmtId="0" fontId="26" fillId="0" borderId="2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6" fontId="26" fillId="2" borderId="0" xfId="0" applyNumberFormat="1" applyFont="1" applyFill="1" applyAlignment="1">
      <alignment horizontal="left" vertical="center"/>
    </xf>
    <xf numFmtId="2" fontId="26" fillId="2" borderId="0" xfId="0" applyNumberFormat="1" applyFont="1" applyFill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" fontId="1" fillId="4" borderId="15" xfId="0" applyNumberFormat="1" applyFont="1" applyFill="1" applyBorder="1" applyAlignment="1">
      <alignment horizontal="center"/>
    </xf>
    <xf numFmtId="2" fontId="26" fillId="0" borderId="15" xfId="0" applyNumberFormat="1" applyFont="1" applyBorder="1" applyAlignment="1">
      <alignment horizontal="center" vertical="center"/>
    </xf>
    <xf numFmtId="171" fontId="26" fillId="0" borderId="15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1" fontId="1" fillId="4" borderId="0" xfId="0" applyNumberFormat="1" applyFont="1" applyFill="1" applyAlignment="1">
      <alignment vertical="center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0" fontId="2" fillId="0" borderId="0" xfId="0" applyFont="1" applyAlignment="1">
      <alignment vertical="center" wrapText="1"/>
    </xf>
    <xf numFmtId="9" fontId="26" fillId="0" borderId="0" xfId="0" applyNumberFormat="1" applyFont="1" applyAlignment="1">
      <alignment vertical="center"/>
    </xf>
    <xf numFmtId="0" fontId="27" fillId="0" borderId="15" xfId="0" applyFont="1" applyBorder="1" applyAlignment="1">
      <alignment vertical="center"/>
    </xf>
    <xf numFmtId="181" fontId="26" fillId="0" borderId="0" xfId="0" applyNumberFormat="1" applyFont="1" applyAlignment="1">
      <alignment vertical="center" wrapText="1"/>
    </xf>
    <xf numFmtId="0" fontId="63" fillId="0" borderId="0" xfId="0" applyFont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1" fontId="26" fillId="0" borderId="15" xfId="0" applyNumberFormat="1" applyFont="1" applyBorder="1" applyAlignment="1">
      <alignment vertical="center"/>
    </xf>
    <xf numFmtId="166" fontId="26" fillId="0" borderId="15" xfId="0" applyNumberFormat="1" applyFont="1" applyBorder="1" applyAlignment="1">
      <alignment horizontal="center" vertical="center"/>
    </xf>
    <xf numFmtId="166" fontId="27" fillId="2" borderId="15" xfId="0" applyNumberFormat="1" applyFont="1" applyFill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 wrapText="1"/>
    </xf>
    <xf numFmtId="10" fontId="26" fillId="0" borderId="0" xfId="0" applyNumberFormat="1" applyFont="1" applyAlignment="1">
      <alignment horizontal="center" vertical="center" wrapText="1"/>
    </xf>
    <xf numFmtId="0" fontId="27" fillId="2" borderId="0" xfId="0" applyFont="1" applyFill="1" applyAlignment="1">
      <alignment vertical="center"/>
    </xf>
    <xf numFmtId="2" fontId="27" fillId="2" borderId="0" xfId="0" applyNumberFormat="1" applyFont="1" applyFill="1" applyAlignment="1">
      <alignment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1" applyNumberFormat="1" applyFont="1" applyAlignment="1" applyProtection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" fontId="66" fillId="0" borderId="0" xfId="0" quotePrefix="1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166" fontId="26" fillId="2" borderId="0" xfId="0" quotePrefix="1" applyNumberFormat="1" applyFont="1" applyFill="1" applyAlignment="1">
      <alignment horizontal="center" vertical="center"/>
    </xf>
    <xf numFmtId="0" fontId="27" fillId="0" borderId="0" xfId="0" quotePrefix="1" applyFont="1" applyAlignment="1">
      <alignment vertical="center"/>
    </xf>
    <xf numFmtId="0" fontId="27" fillId="0" borderId="0" xfId="0" applyFont="1" applyAlignment="1">
      <alignment vertical="center" wrapText="1"/>
    </xf>
    <xf numFmtId="166" fontId="26" fillId="2" borderId="15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left" vertical="center"/>
    </xf>
    <xf numFmtId="0" fontId="26" fillId="0" borderId="23" xfId="0" applyFont="1" applyBorder="1" applyAlignment="1">
      <alignment vertical="center"/>
    </xf>
    <xf numFmtId="0" fontId="26" fillId="2" borderId="15" xfId="0" applyFont="1" applyFill="1" applyBorder="1" applyAlignment="1">
      <alignment vertical="center"/>
    </xf>
    <xf numFmtId="165" fontId="26" fillId="2" borderId="18" xfId="0" applyNumberFormat="1" applyFont="1" applyFill="1" applyBorder="1" applyAlignment="1">
      <alignment horizontal="left" vertical="center"/>
    </xf>
    <xf numFmtId="165" fontId="26" fillId="2" borderId="22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0" borderId="22" xfId="0" applyFont="1" applyBorder="1"/>
    <xf numFmtId="0" fontId="5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8" xfId="0" applyFont="1" applyBorder="1"/>
    <xf numFmtId="0" fontId="5" fillId="0" borderId="22" xfId="0" applyFont="1" applyBorder="1" applyAlignment="1">
      <alignment horizontal="center" vertical="center"/>
    </xf>
    <xf numFmtId="0" fontId="26" fillId="0" borderId="22" xfId="0" applyFont="1" applyBorder="1" applyAlignment="1">
      <alignment vertical="center"/>
    </xf>
    <xf numFmtId="0" fontId="5" fillId="0" borderId="54" xfId="0" applyFont="1" applyBorder="1"/>
    <xf numFmtId="0" fontId="5" fillId="0" borderId="1" xfId="0" applyFont="1" applyBorder="1"/>
    <xf numFmtId="0" fontId="0" fillId="0" borderId="1" xfId="0" applyBorder="1"/>
    <xf numFmtId="0" fontId="26" fillId="0" borderId="1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5" fillId="0" borderId="17" xfId="0" applyFont="1" applyBorder="1"/>
    <xf numFmtId="0" fontId="26" fillId="0" borderId="17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54" fillId="0" borderId="18" xfId="0" applyFont="1" applyBorder="1"/>
    <xf numFmtId="0" fontId="5" fillId="0" borderId="57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71" xfId="0" applyFont="1" applyBorder="1" applyAlignment="1">
      <alignment horizontal="center" vertical="center"/>
    </xf>
    <xf numFmtId="0" fontId="5" fillId="2" borderId="81" xfId="0" quotePrefix="1" applyFont="1" applyFill="1" applyBorder="1" applyAlignment="1">
      <alignment vertical="center"/>
    </xf>
    <xf numFmtId="0" fontId="26" fillId="0" borderId="15" xfId="0" applyFont="1" applyBorder="1" applyAlignment="1" applyProtection="1">
      <alignment horizontal="center" vertical="center"/>
      <protection locked="0"/>
    </xf>
    <xf numFmtId="0" fontId="26" fillId="0" borderId="15" xfId="0" applyFont="1" applyBorder="1" applyAlignment="1" applyProtection="1">
      <alignment horizontal="center" vertical="center" wrapText="1"/>
      <protection locked="0"/>
    </xf>
    <xf numFmtId="171" fontId="26" fillId="0" borderId="15" xfId="0" applyNumberFormat="1" applyFont="1" applyBorder="1" applyAlignment="1" applyProtection="1">
      <alignment horizontal="center" vertical="center"/>
      <protection locked="0"/>
    </xf>
    <xf numFmtId="166" fontId="26" fillId="0" borderId="15" xfId="3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27" fillId="0" borderId="27" xfId="0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2" borderId="15" xfId="0" applyFill="1" applyBorder="1"/>
    <xf numFmtId="184" fontId="21" fillId="0" borderId="15" xfId="0" applyNumberFormat="1" applyFont="1" applyBorder="1" applyAlignment="1">
      <alignment horizontal="center" vertical="center"/>
    </xf>
    <xf numFmtId="1" fontId="0" fillId="0" borderId="15" xfId="0" applyNumberFormat="1" applyBorder="1"/>
    <xf numFmtId="0" fontId="1" fillId="12" borderId="25" xfId="0" applyFont="1" applyFill="1" applyBorder="1"/>
    <xf numFmtId="0" fontId="72" fillId="0" borderId="0" xfId="8" applyFont="1"/>
    <xf numFmtId="0" fontId="74" fillId="0" borderId="18" xfId="8" applyFont="1" applyBorder="1" applyAlignment="1">
      <alignment horizontal="left" vertical="top"/>
    </xf>
    <xf numFmtId="0" fontId="74" fillId="0" borderId="23" xfId="8" applyFont="1" applyBorder="1" applyAlignment="1">
      <alignment vertical="top"/>
    </xf>
    <xf numFmtId="0" fontId="74" fillId="0" borderId="0" xfId="8" applyFont="1"/>
    <xf numFmtId="0" fontId="72" fillId="0" borderId="18" xfId="8" applyFont="1" applyBorder="1" applyAlignment="1">
      <alignment vertical="top"/>
    </xf>
    <xf numFmtId="0" fontId="72" fillId="0" borderId="22" xfId="8" applyFont="1" applyBorder="1"/>
    <xf numFmtId="0" fontId="72" fillId="0" borderId="23" xfId="8" applyFont="1" applyBorder="1" applyAlignment="1">
      <alignment horizontal="left" vertical="top"/>
    </xf>
    <xf numFmtId="0" fontId="9" fillId="0" borderId="18" xfId="7" applyFont="1" applyBorder="1" applyAlignment="1">
      <alignment vertical="top"/>
    </xf>
    <xf numFmtId="0" fontId="72" fillId="0" borderId="23" xfId="8" applyFont="1" applyBorder="1"/>
    <xf numFmtId="0" fontId="9" fillId="0" borderId="23" xfId="7" applyFont="1" applyBorder="1" applyAlignment="1" applyProtection="1">
      <alignment vertical="top"/>
      <protection locked="0"/>
    </xf>
    <xf numFmtId="0" fontId="72" fillId="0" borderId="0" xfId="8" applyFont="1" applyAlignment="1">
      <alignment vertical="top"/>
    </xf>
    <xf numFmtId="174" fontId="72" fillId="0" borderId="0" xfId="8" applyNumberFormat="1" applyFont="1"/>
    <xf numFmtId="0" fontId="74" fillId="0" borderId="0" xfId="8" applyFont="1" applyAlignment="1">
      <alignment vertical="top"/>
    </xf>
    <xf numFmtId="0" fontId="9" fillId="0" borderId="0" xfId="7" applyFont="1" applyAlignment="1">
      <alignment vertical="top" wrapText="1"/>
    </xf>
    <xf numFmtId="0" fontId="9" fillId="0" borderId="0" xfId="7" applyFont="1" applyAlignment="1">
      <alignment horizontal="justify" vertical="center" wrapText="1"/>
    </xf>
    <xf numFmtId="0" fontId="2" fillId="0" borderId="0" xfId="7" applyFont="1"/>
    <xf numFmtId="0" fontId="2" fillId="0" borderId="46" xfId="7" applyFont="1" applyBorder="1"/>
    <xf numFmtId="0" fontId="72" fillId="0" borderId="47" xfId="8" applyFont="1" applyBorder="1"/>
    <xf numFmtId="0" fontId="72" fillId="0" borderId="48" xfId="8" applyFont="1" applyBorder="1"/>
    <xf numFmtId="0" fontId="2" fillId="0" borderId="49" xfId="7" applyFont="1" applyBorder="1"/>
    <xf numFmtId="0" fontId="72" fillId="0" borderId="50" xfId="8" applyFont="1" applyBorder="1"/>
    <xf numFmtId="0" fontId="2" fillId="0" borderId="49" xfId="7" applyFont="1" applyBorder="1" applyAlignment="1">
      <alignment wrapText="1"/>
    </xf>
    <xf numFmtId="0" fontId="2" fillId="0" borderId="50" xfId="7" applyFont="1" applyBorder="1"/>
    <xf numFmtId="0" fontId="74" fillId="0" borderId="0" xfId="7" applyFont="1" applyAlignment="1">
      <alignment horizontal="left" vertical="top" wrapText="1"/>
    </xf>
    <xf numFmtId="0" fontId="74" fillId="0" borderId="49" xfId="7" applyFont="1" applyBorder="1" applyAlignment="1">
      <alignment wrapText="1"/>
    </xf>
    <xf numFmtId="174" fontId="72" fillId="0" borderId="0" xfId="8" applyNumberFormat="1" applyFont="1" applyAlignment="1">
      <alignment horizontal="center" vertical="center"/>
    </xf>
    <xf numFmtId="0" fontId="74" fillId="0" borderId="49" xfId="7" applyFont="1" applyBorder="1"/>
    <xf numFmtId="0" fontId="72" fillId="0" borderId="0" xfId="8" applyFont="1" applyAlignment="1">
      <alignment horizontal="left" vertical="top"/>
    </xf>
    <xf numFmtId="0" fontId="74" fillId="0" borderId="51" xfId="7" applyFont="1" applyBorder="1"/>
    <xf numFmtId="0" fontId="72" fillId="0" borderId="52" xfId="8" applyFont="1" applyBorder="1"/>
    <xf numFmtId="0" fontId="72" fillId="0" borderId="53" xfId="8" applyFont="1" applyBorder="1"/>
    <xf numFmtId="0" fontId="9" fillId="0" borderId="0" xfId="7" applyFont="1" applyAlignment="1" applyProtection="1">
      <alignment horizontal="left" vertical="center" wrapText="1"/>
      <protection locked="0"/>
    </xf>
    <xf numFmtId="1" fontId="72" fillId="0" borderId="0" xfId="8" applyNumberFormat="1" applyFont="1" applyAlignment="1">
      <alignment horizontal="left"/>
    </xf>
    <xf numFmtId="0" fontId="9" fillId="0" borderId="0" xfId="7" applyFont="1" applyAlignment="1" applyProtection="1">
      <alignment vertical="center" wrapText="1"/>
      <protection locked="0"/>
    </xf>
    <xf numFmtId="166" fontId="46" fillId="3" borderId="0" xfId="0" quotePrefix="1" applyNumberFormat="1" applyFont="1" applyFill="1" applyAlignment="1" applyProtection="1">
      <alignment horizontal="left" vertical="center"/>
      <protection locked="0"/>
    </xf>
    <xf numFmtId="166" fontId="46" fillId="3" borderId="0" xfId="0" applyNumberFormat="1" applyFont="1" applyFill="1" applyAlignment="1" applyProtection="1">
      <alignment horizontal="left" vertical="center"/>
      <protection locked="0"/>
    </xf>
    <xf numFmtId="0" fontId="76" fillId="12" borderId="15" xfId="0" applyFont="1" applyFill="1" applyBorder="1"/>
    <xf numFmtId="166" fontId="46" fillId="3" borderId="15" xfId="3" applyNumberFormat="1" applyFont="1" applyFill="1" applyBorder="1" applyAlignment="1" applyProtection="1">
      <alignment horizontal="center" vertical="center"/>
      <protection locked="0"/>
    </xf>
    <xf numFmtId="166" fontId="46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46" fillId="3" borderId="76" xfId="0" quotePrefix="1" applyNumberFormat="1" applyFont="1" applyFill="1" applyBorder="1" applyAlignment="1" applyProtection="1">
      <alignment horizontal="right" vertical="center" wrapText="1"/>
      <protection locked="0"/>
    </xf>
    <xf numFmtId="166" fontId="46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0" fontId="46" fillId="0" borderId="0" xfId="0" applyFont="1" applyAlignment="1">
      <alignment vertical="center"/>
    </xf>
    <xf numFmtId="0" fontId="46" fillId="3" borderId="0" xfId="0" applyFont="1" applyFill="1" applyAlignment="1" applyProtection="1">
      <alignment vertical="center"/>
      <protection locked="0"/>
    </xf>
    <xf numFmtId="2" fontId="46" fillId="0" borderId="0" xfId="0" applyNumberFormat="1" applyFont="1" applyAlignment="1">
      <alignment horizontal="center" vertical="center"/>
    </xf>
    <xf numFmtId="166" fontId="46" fillId="0" borderId="0" xfId="0" applyNumberFormat="1" applyFont="1" applyAlignment="1">
      <alignment horizontal="right" vertical="center"/>
    </xf>
    <xf numFmtId="172" fontId="46" fillId="0" borderId="0" xfId="0" applyNumberFormat="1" applyFont="1" applyAlignment="1">
      <alignment horizontal="right" vertical="center"/>
    </xf>
    <xf numFmtId="2" fontId="11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173" fontId="76" fillId="2" borderId="0" xfId="0" applyNumberFormat="1" applyFont="1" applyFill="1" applyBorder="1" applyAlignment="1">
      <alignment horizontal="right" vertical="center" wrapText="1"/>
    </xf>
    <xf numFmtId="166" fontId="76" fillId="2" borderId="0" xfId="0" applyNumberFormat="1" applyFont="1" applyFill="1" applyBorder="1" applyAlignment="1">
      <alignment horizontal="right" vertical="center" wrapText="1"/>
    </xf>
    <xf numFmtId="166" fontId="76" fillId="2" borderId="19" xfId="0" applyNumberFormat="1" applyFont="1" applyFill="1" applyBorder="1" applyAlignment="1">
      <alignment horizontal="right" vertical="center" wrapText="1"/>
    </xf>
    <xf numFmtId="181" fontId="76" fillId="0" borderId="0" xfId="0" quotePrefix="1" applyNumberFormat="1" applyFont="1" applyBorder="1" applyAlignment="1">
      <alignment horizontal="center" vertical="center" wrapText="1"/>
    </xf>
    <xf numFmtId="181" fontId="46" fillId="0" borderId="0" xfId="0" quotePrefix="1" applyNumberFormat="1" applyFont="1" applyBorder="1" applyAlignment="1">
      <alignment horizontal="center" vertical="center" wrapText="1"/>
    </xf>
    <xf numFmtId="183" fontId="46" fillId="0" borderId="20" xfId="1" applyNumberFormat="1" applyFont="1" applyBorder="1" applyAlignment="1" applyProtection="1">
      <alignment horizontal="center" vertical="center"/>
    </xf>
    <xf numFmtId="183" fontId="77" fillId="0" borderId="19" xfId="1" applyNumberFormat="1" applyFont="1" applyBorder="1" applyAlignment="1" applyProtection="1">
      <alignment horizontal="center" vertical="center"/>
    </xf>
    <xf numFmtId="0" fontId="26" fillId="0" borderId="0" xfId="0" applyFont="1" applyAlignment="1">
      <alignment horizontal="center" vertical="center" wrapText="1"/>
    </xf>
    <xf numFmtId="9" fontId="30" fillId="0" borderId="0" xfId="0" quotePrefix="1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left" vertical="center" wrapText="1"/>
      <protection locked="0"/>
    </xf>
    <xf numFmtId="0" fontId="27" fillId="0" borderId="18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6" fillId="4" borderId="0" xfId="0" applyFont="1" applyFill="1" applyAlignment="1" applyProtection="1">
      <alignment horizontal="center" vertical="center" textRotation="90" wrapText="1"/>
      <protection locked="0"/>
    </xf>
    <xf numFmtId="0" fontId="24" fillId="4" borderId="0" xfId="0" applyFont="1" applyFill="1" applyAlignment="1" applyProtection="1">
      <alignment horizontal="center" vertical="center" textRotation="90" wrapText="1"/>
      <protection locked="0"/>
    </xf>
    <xf numFmtId="166" fontId="26" fillId="0" borderId="25" xfId="0" applyNumberFormat="1" applyFont="1" applyBorder="1" applyAlignment="1">
      <alignment horizontal="center" vertical="center"/>
    </xf>
    <xf numFmtId="166" fontId="26" fillId="0" borderId="26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166" fontId="46" fillId="3" borderId="25" xfId="0" quotePrefix="1" applyNumberFormat="1" applyFont="1" applyFill="1" applyBorder="1" applyAlignment="1" applyProtection="1">
      <alignment horizontal="center" vertical="center"/>
      <protection locked="0"/>
    </xf>
    <xf numFmtId="166" fontId="46" fillId="3" borderId="26" xfId="0" quotePrefix="1" applyNumberFormat="1" applyFont="1" applyFill="1" applyBorder="1" applyAlignment="1" applyProtection="1">
      <alignment horizontal="center" vertical="center"/>
      <protection locked="0"/>
    </xf>
    <xf numFmtId="166" fontId="26" fillId="0" borderId="25" xfId="0" quotePrefix="1" applyNumberFormat="1" applyFont="1" applyBorder="1" applyAlignment="1">
      <alignment horizontal="center" vertical="center" wrapText="1"/>
    </xf>
    <xf numFmtId="166" fontId="26" fillId="0" borderId="26" xfId="0" quotePrefix="1" applyNumberFormat="1" applyFont="1" applyBorder="1" applyAlignment="1">
      <alignment horizontal="center" vertical="center" wrapText="1"/>
    </xf>
    <xf numFmtId="0" fontId="26" fillId="0" borderId="25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0" fontId="20" fillId="0" borderId="1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2" fillId="0" borderId="0" xfId="0" applyFont="1" applyAlignment="1" applyProtection="1">
      <alignment horizontal="center" vertical="center"/>
      <protection locked="0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177" fontId="26" fillId="0" borderId="12" xfId="0" applyNumberFormat="1" applyFont="1" applyBorder="1" applyAlignment="1">
      <alignment horizontal="center" vertical="center" wrapText="1"/>
    </xf>
    <xf numFmtId="177" fontId="26" fillId="0" borderId="14" xfId="0" applyNumberFormat="1" applyFont="1" applyBorder="1" applyAlignment="1">
      <alignment horizontal="center" vertical="center" wrapText="1"/>
    </xf>
    <xf numFmtId="170" fontId="26" fillId="0" borderId="4" xfId="0" applyNumberFormat="1" applyFont="1" applyBorder="1" applyAlignment="1">
      <alignment horizontal="center" vertical="center" wrapText="1"/>
    </xf>
    <xf numFmtId="170" fontId="26" fillId="0" borderId="6" xfId="0" applyNumberFormat="1" applyFont="1" applyBorder="1" applyAlignment="1">
      <alignment horizontal="center" vertical="center" wrapText="1"/>
    </xf>
    <xf numFmtId="171" fontId="26" fillId="0" borderId="8" xfId="0" applyNumberFormat="1" applyFont="1" applyBorder="1" applyAlignment="1">
      <alignment horizontal="center" vertical="center" wrapText="1"/>
    </xf>
    <xf numFmtId="171" fontId="26" fillId="0" borderId="10" xfId="0" applyNumberFormat="1" applyFont="1" applyBorder="1" applyAlignment="1">
      <alignment horizontal="center" vertical="center" wrapText="1"/>
    </xf>
    <xf numFmtId="0" fontId="46" fillId="3" borderId="8" xfId="0" applyFont="1" applyFill="1" applyBorder="1" applyAlignment="1" applyProtection="1">
      <alignment horizontal="left" vertical="center"/>
      <protection locked="0"/>
    </xf>
    <xf numFmtId="0" fontId="46" fillId="3" borderId="9" xfId="0" applyFont="1" applyFill="1" applyBorder="1" applyAlignment="1" applyProtection="1">
      <alignment horizontal="left" vertical="center"/>
      <protection locked="0"/>
    </xf>
    <xf numFmtId="0" fontId="46" fillId="3" borderId="10" xfId="0" applyFont="1" applyFill="1" applyBorder="1" applyAlignment="1" applyProtection="1">
      <alignment horizontal="left" vertical="center"/>
      <protection locked="0"/>
    </xf>
    <xf numFmtId="174" fontId="26" fillId="3" borderId="0" xfId="0" quotePrefix="1" applyNumberFormat="1" applyFont="1" applyFill="1" applyAlignment="1" applyProtection="1">
      <alignment horizontal="left" vertical="center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6" fontId="46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6" fillId="0" borderId="15" xfId="0" applyFont="1" applyBorder="1" applyAlignment="1" applyProtection="1">
      <alignment horizontal="center" vertical="center"/>
      <protection locked="0"/>
    </xf>
    <xf numFmtId="0" fontId="58" fillId="0" borderId="15" xfId="0" applyFont="1" applyBorder="1" applyAlignment="1" applyProtection="1">
      <alignment horizontal="center" vertical="center"/>
      <protection locked="0"/>
    </xf>
    <xf numFmtId="0" fontId="46" fillId="3" borderId="0" xfId="0" quotePrefix="1" applyFont="1" applyFill="1" applyAlignment="1" applyProtection="1">
      <alignment horizontal="left" vertical="center"/>
      <protection locked="0"/>
    </xf>
    <xf numFmtId="0" fontId="4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75" fillId="3" borderId="0" xfId="0" applyFont="1" applyFill="1" applyAlignment="1" applyProtection="1">
      <alignment horizontal="left" vertical="center"/>
      <protection locked="0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46" fillId="3" borderId="4" xfId="0" applyFont="1" applyFill="1" applyBorder="1" applyAlignment="1" applyProtection="1">
      <alignment horizontal="left" vertical="center"/>
      <protection locked="0"/>
    </xf>
    <xf numFmtId="0" fontId="46" fillId="3" borderId="5" xfId="0" applyFont="1" applyFill="1" applyBorder="1" applyAlignment="1" applyProtection="1">
      <alignment horizontal="left" vertical="center"/>
      <protection locked="0"/>
    </xf>
    <xf numFmtId="0" fontId="46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9" fillId="0" borderId="0" xfId="7" applyFont="1" applyAlignment="1">
      <alignment horizontal="left" vertical="center" wrapText="1"/>
    </xf>
    <xf numFmtId="0" fontId="72" fillId="0" borderId="0" xfId="8" applyFont="1" applyAlignment="1">
      <alignment horizontal="left" vertical="top"/>
    </xf>
    <xf numFmtId="174" fontId="9" fillId="0" borderId="0" xfId="7" applyNumberFormat="1" applyFont="1" applyAlignment="1">
      <alignment horizontal="left" vertical="top" wrapText="1"/>
    </xf>
    <xf numFmtId="0" fontId="9" fillId="0" borderId="0" xfId="7" applyFont="1" applyAlignment="1" applyProtection="1">
      <alignment horizontal="left" vertical="center" wrapText="1"/>
      <protection locked="0"/>
    </xf>
    <xf numFmtId="0" fontId="9" fillId="0" borderId="18" xfId="7" applyFont="1" applyBorder="1" applyAlignment="1">
      <alignment horizontal="left" vertical="top" wrapText="1"/>
    </xf>
    <xf numFmtId="0" fontId="9" fillId="0" borderId="22" xfId="7" applyFont="1" applyBorder="1" applyAlignment="1">
      <alignment horizontal="left" vertical="top" wrapText="1"/>
    </xf>
    <xf numFmtId="0" fontId="70" fillId="0" borderId="0" xfId="7" applyFont="1" applyAlignment="1" applyProtection="1">
      <alignment horizontal="center" vertical="center"/>
      <protection locked="0"/>
    </xf>
    <xf numFmtId="0" fontId="9" fillId="0" borderId="0" xfId="7" applyFont="1" applyAlignment="1">
      <alignment horizontal="center"/>
    </xf>
    <xf numFmtId="0" fontId="73" fillId="0" borderId="0" xfId="8" applyFont="1" applyAlignment="1">
      <alignment horizontal="right"/>
    </xf>
    <xf numFmtId="0" fontId="38" fillId="0" borderId="46" xfId="0" applyFont="1" applyBorder="1" applyAlignment="1">
      <alignment horizontal="center" vertical="center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51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166" fontId="26" fillId="2" borderId="25" xfId="0" quotePrefix="1" applyNumberFormat="1" applyFont="1" applyFill="1" applyBorder="1" applyAlignment="1">
      <alignment horizontal="center" vertical="center"/>
    </xf>
    <xf numFmtId="166" fontId="26" fillId="2" borderId="26" xfId="0" quotePrefix="1" applyNumberFormat="1" applyFont="1" applyFill="1" applyBorder="1" applyAlignment="1">
      <alignment horizontal="center" vertical="center"/>
    </xf>
    <xf numFmtId="181" fontId="1" fillId="0" borderId="25" xfId="0" quotePrefix="1" applyNumberFormat="1" applyFont="1" applyBorder="1" applyAlignment="1">
      <alignment horizontal="center" vertical="center" wrapText="1"/>
    </xf>
    <xf numFmtId="181" fontId="1" fillId="0" borderId="26" xfId="0" quotePrefix="1" applyNumberFormat="1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175" fontId="26" fillId="0" borderId="0" xfId="0" applyNumberFormat="1" applyFont="1" applyAlignment="1">
      <alignment horizontal="left" vertical="center"/>
    </xf>
    <xf numFmtId="0" fontId="26" fillId="2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76" fontId="42" fillId="8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81" fontId="26" fillId="0" borderId="25" xfId="0" quotePrefix="1" applyNumberFormat="1" applyFont="1" applyBorder="1" applyAlignment="1">
      <alignment horizontal="center" vertical="center" wrapText="1"/>
    </xf>
    <xf numFmtId="181" fontId="26" fillId="0" borderId="26" xfId="0" quotePrefix="1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1" fontId="26" fillId="4" borderId="25" xfId="0" applyNumberFormat="1" applyFont="1" applyFill="1" applyBorder="1" applyAlignment="1">
      <alignment horizontal="center" vertical="center"/>
    </xf>
    <xf numFmtId="1" fontId="26" fillId="4" borderId="16" xfId="0" applyNumberFormat="1" applyFont="1" applyFill="1" applyBorder="1" applyAlignment="1">
      <alignment horizontal="center" vertical="center"/>
    </xf>
    <xf numFmtId="1" fontId="26" fillId="4" borderId="26" xfId="0" applyNumberFormat="1" applyFont="1" applyFill="1" applyBorder="1" applyAlignment="1">
      <alignment horizontal="center" vertical="center"/>
    </xf>
    <xf numFmtId="169" fontId="26" fillId="0" borderId="8" xfId="0" applyNumberFormat="1" applyFont="1" applyBorder="1" applyAlignment="1">
      <alignment horizontal="center" vertical="center" wrapText="1"/>
    </xf>
    <xf numFmtId="169" fontId="26" fillId="0" borderId="10" xfId="0" applyNumberFormat="1" applyFont="1" applyBorder="1" applyAlignment="1">
      <alignment horizontal="center" vertical="center" wrapText="1"/>
    </xf>
    <xf numFmtId="173" fontId="26" fillId="0" borderId="12" xfId="0" applyNumberFormat="1" applyFont="1" applyBorder="1" applyAlignment="1">
      <alignment horizontal="center" vertical="center" wrapText="1"/>
    </xf>
    <xf numFmtId="173" fontId="26" fillId="0" borderId="14" xfId="0" applyNumberFormat="1" applyFont="1" applyBorder="1" applyAlignment="1">
      <alignment horizontal="center" vertical="center" wrapText="1"/>
    </xf>
    <xf numFmtId="168" fontId="26" fillId="0" borderId="4" xfId="0" applyNumberFormat="1" applyFont="1" applyBorder="1" applyAlignment="1">
      <alignment horizontal="center" vertical="center" wrapText="1"/>
    </xf>
    <xf numFmtId="168" fontId="26" fillId="0" borderId="6" xfId="0" applyNumberFormat="1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/>
    </xf>
    <xf numFmtId="0" fontId="27" fillId="0" borderId="22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6" fillId="0" borderId="0" xfId="0" applyFont="1" applyAlignment="1">
      <alignment horizontal="left" vertical="center"/>
    </xf>
    <xf numFmtId="172" fontId="26" fillId="0" borderId="0" xfId="0" applyNumberFormat="1" applyFont="1" applyAlignment="1">
      <alignment horizontal="left" vertical="center"/>
    </xf>
    <xf numFmtId="174" fontId="26" fillId="0" borderId="0" xfId="0" applyNumberFormat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64" fillId="0" borderId="0" xfId="0" applyFont="1" applyAlignment="1">
      <alignment horizontal="center" vertical="center" textRotation="90"/>
    </xf>
    <xf numFmtId="0" fontId="65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" fontId="62" fillId="0" borderId="25" xfId="0" applyNumberFormat="1" applyFont="1" applyBorder="1" applyAlignment="1">
      <alignment horizontal="center" vertical="center"/>
    </xf>
    <xf numFmtId="1" fontId="62" fillId="0" borderId="16" xfId="0" applyNumberFormat="1" applyFont="1" applyBorder="1" applyAlignment="1">
      <alignment horizontal="center" vertical="center"/>
    </xf>
    <xf numFmtId="1" fontId="62" fillId="0" borderId="26" xfId="0" applyNumberFormat="1" applyFont="1" applyBorder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80" fontId="42" fillId="4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23" fillId="6" borderId="49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11" borderId="15" xfId="2" applyFont="1" applyFill="1" applyBorder="1" applyAlignment="1">
      <alignment horizontal="center" vertical="center"/>
    </xf>
    <xf numFmtId="1" fontId="12" fillId="11" borderId="15" xfId="0" applyNumberFormat="1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16" fillId="11" borderId="46" xfId="2" applyFont="1" applyFill="1" applyBorder="1" applyAlignment="1">
      <alignment horizontal="center" vertical="center"/>
    </xf>
    <xf numFmtId="0" fontId="16" fillId="11" borderId="47" xfId="2" applyFont="1" applyFill="1" applyBorder="1" applyAlignment="1">
      <alignment horizontal="center" vertical="center"/>
    </xf>
    <xf numFmtId="0" fontId="16" fillId="11" borderId="48" xfId="2" applyFont="1" applyFill="1" applyBorder="1" applyAlignment="1">
      <alignment horizontal="center" vertical="center"/>
    </xf>
    <xf numFmtId="1" fontId="12" fillId="11" borderId="46" xfId="0" applyNumberFormat="1" applyFont="1" applyFill="1" applyBorder="1" applyAlignment="1">
      <alignment horizontal="center" vertical="center"/>
    </xf>
    <xf numFmtId="1" fontId="12" fillId="11" borderId="48" xfId="0" applyNumberFormat="1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63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5" fillId="11" borderId="74" xfId="0" applyFont="1" applyFill="1" applyBorder="1" applyAlignment="1">
      <alignment horizontal="center" vertical="center"/>
    </xf>
    <xf numFmtId="0" fontId="15" fillId="11" borderId="73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29" xfId="0" applyFont="1" applyFill="1" applyBorder="1" applyAlignment="1">
      <alignment horizontal="center" vertical="center"/>
    </xf>
    <xf numFmtId="0" fontId="13" fillId="11" borderId="15" xfId="2" applyFont="1" applyFill="1" applyBorder="1" applyAlignment="1">
      <alignment horizontal="center" vertical="center"/>
    </xf>
    <xf numFmtId="0" fontId="14" fillId="11" borderId="15" xfId="2" applyFont="1" applyFill="1" applyBorder="1" applyAlignment="1">
      <alignment horizontal="center" vertical="center"/>
    </xf>
    <xf numFmtId="0" fontId="13" fillId="11" borderId="30" xfId="2" applyFont="1" applyFill="1" applyBorder="1" applyAlignment="1">
      <alignment horizontal="center" vertical="center"/>
    </xf>
    <xf numFmtId="0" fontId="13" fillId="11" borderId="29" xfId="2" applyFont="1" applyFill="1" applyBorder="1" applyAlignment="1">
      <alignment horizontal="center" vertical="center"/>
    </xf>
    <xf numFmtId="0" fontId="14" fillId="11" borderId="51" xfId="2" applyFont="1" applyFill="1" applyBorder="1" applyAlignment="1">
      <alignment horizontal="center" vertical="center"/>
    </xf>
    <xf numFmtId="0" fontId="13" fillId="11" borderId="64" xfId="2" applyFont="1" applyFill="1" applyBorder="1" applyAlignment="1">
      <alignment horizontal="center" vertical="center"/>
    </xf>
    <xf numFmtId="0" fontId="16" fillId="11" borderId="30" xfId="2" applyFont="1" applyFill="1" applyBorder="1" applyAlignment="1">
      <alignment horizontal="center" vertical="center"/>
    </xf>
    <xf numFmtId="0" fontId="16" fillId="11" borderId="28" xfId="2" applyFont="1" applyFill="1" applyBorder="1" applyAlignment="1">
      <alignment horizontal="center" vertical="center"/>
    </xf>
    <xf numFmtId="0" fontId="16" fillId="11" borderId="58" xfId="2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16" fillId="11" borderId="60" xfId="2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78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16" fillId="2" borderId="60" xfId="2" applyFont="1" applyFill="1" applyBorder="1" applyAlignment="1">
      <alignment horizontal="left" vertical="center" wrapText="1"/>
    </xf>
    <xf numFmtId="0" fontId="16" fillId="2" borderId="61" xfId="2" applyFont="1" applyFill="1" applyBorder="1" applyAlignment="1">
      <alignment horizontal="left" vertical="center" wrapText="1"/>
    </xf>
    <xf numFmtId="0" fontId="6" fillId="2" borderId="74" xfId="0" applyFont="1" applyFill="1" applyBorder="1" applyAlignment="1">
      <alignment horizontal="center" vertical="center"/>
    </xf>
    <xf numFmtId="0" fontId="6" fillId="2" borderId="73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/>
    </xf>
    <xf numFmtId="0" fontId="8" fillId="11" borderId="33" xfId="0" applyFont="1" applyFill="1" applyBorder="1" applyAlignment="1" applyProtection="1">
      <alignment horizontal="center" vertical="center"/>
      <protection locked="0"/>
    </xf>
    <xf numFmtId="0" fontId="8" fillId="11" borderId="42" xfId="0" applyFont="1" applyFill="1" applyBorder="1" applyAlignment="1" applyProtection="1">
      <alignment horizontal="center" vertical="center"/>
      <protection locked="0"/>
    </xf>
    <xf numFmtId="0" fontId="8" fillId="11" borderId="47" xfId="0" applyFont="1" applyFill="1" applyBorder="1" applyAlignment="1" applyProtection="1">
      <alignment horizontal="center" vertical="center"/>
      <protection locked="0"/>
    </xf>
    <xf numFmtId="0" fontId="8" fillId="11" borderId="43" xfId="0" applyFont="1" applyFill="1" applyBorder="1" applyAlignment="1" applyProtection="1">
      <alignment horizontal="center" vertical="center"/>
      <protection locked="0"/>
    </xf>
    <xf numFmtId="0" fontId="8" fillId="2" borderId="15" xfId="2" applyFont="1" applyFill="1" applyBorder="1" applyAlignment="1">
      <alignment horizontal="center" vertical="center"/>
    </xf>
    <xf numFmtId="0" fontId="8" fillId="11" borderId="56" xfId="0" applyFont="1" applyFill="1" applyBorder="1" applyAlignment="1" applyProtection="1">
      <alignment horizontal="center" vertical="center"/>
      <protection locked="0"/>
    </xf>
    <xf numFmtId="0" fontId="8" fillId="11" borderId="40" xfId="0" applyFont="1" applyFill="1" applyBorder="1" applyAlignment="1" applyProtection="1">
      <alignment horizontal="center" vertical="center"/>
      <protection locked="0"/>
    </xf>
    <xf numFmtId="0" fontId="8" fillId="11" borderId="65" xfId="0" applyFont="1" applyFill="1" applyBorder="1" applyAlignment="1" applyProtection="1">
      <alignment horizontal="center" vertical="center"/>
      <protection locked="0"/>
    </xf>
    <xf numFmtId="0" fontId="8" fillId="11" borderId="41" xfId="0" applyFont="1" applyFill="1" applyBorder="1" applyAlignment="1" applyProtection="1">
      <alignment horizontal="center" vertical="center"/>
      <protection locked="0"/>
    </xf>
    <xf numFmtId="0" fontId="16" fillId="2" borderId="34" xfId="2" applyFont="1" applyFill="1" applyBorder="1" applyAlignment="1">
      <alignment horizontal="left" vertical="center" wrapText="1"/>
    </xf>
    <xf numFmtId="0" fontId="16" fillId="2" borderId="42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6" fillId="2" borderId="71" xfId="0" applyFont="1" applyFill="1" applyBorder="1" applyAlignment="1">
      <alignment horizontal="center" vertical="center" wrapText="1"/>
    </xf>
    <xf numFmtId="0" fontId="16" fillId="2" borderId="70" xfId="0" applyFont="1" applyFill="1" applyBorder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8" fillId="2" borderId="38" xfId="2" applyFont="1" applyFill="1" applyBorder="1" applyAlignment="1">
      <alignment horizontal="center" vertical="center" wrapText="1"/>
    </xf>
    <xf numFmtId="166" fontId="46" fillId="0" borderId="1" xfId="0" quotePrefix="1" applyNumberFormat="1" applyFont="1" applyBorder="1" applyAlignment="1">
      <alignment horizontal="left" vertical="center" wrapText="1"/>
    </xf>
    <xf numFmtId="166" fontId="46" fillId="0" borderId="17" xfId="0" quotePrefix="1" applyNumberFormat="1" applyFont="1" applyBorder="1" applyAlignment="1">
      <alignment horizontal="left" vertical="center" wrapText="1"/>
    </xf>
    <xf numFmtId="0" fontId="26" fillId="0" borderId="20" xfId="0" applyFont="1" applyBorder="1" applyAlignment="1">
      <alignment horizontal="right" vertical="center"/>
    </xf>
    <xf numFmtId="0" fontId="26" fillId="0" borderId="19" xfId="0" applyFont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77" fontId="1" fillId="0" borderId="15" xfId="0" applyNumberFormat="1" applyFont="1" applyBorder="1" applyAlignment="1">
      <alignment horizontal="center" vertical="center" wrapText="1"/>
    </xf>
    <xf numFmtId="170" fontId="1" fillId="0" borderId="15" xfId="0" applyNumberFormat="1" applyFont="1" applyBorder="1" applyAlignment="1">
      <alignment horizontal="center" vertical="center" wrapText="1"/>
    </xf>
    <xf numFmtId="171" fontId="1" fillId="0" borderId="15" xfId="0" applyNumberFormat="1" applyFont="1" applyBorder="1" applyAlignment="1">
      <alignment horizontal="center" vertical="center" wrapText="1"/>
    </xf>
    <xf numFmtId="0" fontId="46" fillId="2" borderId="25" xfId="0" applyFont="1" applyFill="1" applyBorder="1" applyAlignment="1">
      <alignment horizontal="center" vertical="center"/>
    </xf>
    <xf numFmtId="0" fontId="46" fillId="2" borderId="26" xfId="0" applyFont="1" applyFill="1" applyBorder="1" applyAlignment="1">
      <alignment horizontal="center" vertical="center"/>
    </xf>
    <xf numFmtId="166" fontId="46" fillId="2" borderId="25" xfId="0" quotePrefix="1" applyNumberFormat="1" applyFont="1" applyFill="1" applyBorder="1" applyAlignment="1">
      <alignment horizontal="center" vertical="center"/>
    </xf>
    <xf numFmtId="166" fontId="46" fillId="2" borderId="26" xfId="0" quotePrefix="1" applyNumberFormat="1" applyFont="1" applyFill="1" applyBorder="1" applyAlignment="1">
      <alignment horizontal="center" vertical="center"/>
    </xf>
    <xf numFmtId="166" fontId="76" fillId="0" borderId="1" xfId="0" quotePrefix="1" applyNumberFormat="1" applyFont="1" applyBorder="1" applyAlignment="1">
      <alignment horizontal="left" vertical="center" wrapText="1"/>
    </xf>
    <xf numFmtId="166" fontId="76" fillId="0" borderId="17" xfId="0" quotePrefix="1" applyNumberFormat="1" applyFont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75" fillId="0" borderId="0" xfId="0" applyFont="1" applyAlignment="1">
      <alignment horizontal="center" vertical="center"/>
    </xf>
    <xf numFmtId="0" fontId="2" fillId="9" borderId="62" xfId="5" applyFont="1" applyFill="1" applyBorder="1" applyAlignment="1" applyProtection="1">
      <alignment horizontal="center"/>
      <protection locked="0"/>
    </xf>
    <xf numFmtId="0" fontId="2" fillId="9" borderId="55" xfId="5" applyFont="1" applyFill="1" applyBorder="1" applyAlignment="1" applyProtection="1">
      <alignment horizontal="center"/>
      <protection locked="0"/>
    </xf>
    <xf numFmtId="0" fontId="2" fillId="9" borderId="68" xfId="5" applyFont="1" applyFill="1" applyBorder="1" applyAlignment="1" applyProtection="1">
      <alignment horizontal="center"/>
      <protection locked="0"/>
    </xf>
    <xf numFmtId="0" fontId="43" fillId="2" borderId="0" xfId="5" applyFont="1" applyFill="1" applyAlignment="1">
      <alignment horizontal="center" vertical="center" wrapText="1"/>
    </xf>
    <xf numFmtId="0" fontId="15" fillId="2" borderId="59" xfId="5" applyFont="1" applyFill="1" applyBorder="1" applyAlignment="1">
      <alignment horizontal="center" vertical="center" wrapText="1"/>
    </xf>
    <xf numFmtId="0" fontId="15" fillId="2" borderId="60" xfId="5" applyFont="1" applyFill="1" applyBorder="1" applyAlignment="1">
      <alignment horizontal="center" vertical="center" wrapText="1"/>
    </xf>
    <xf numFmtId="0" fontId="9" fillId="9" borderId="33" xfId="5" quotePrefix="1" applyFont="1" applyFill="1" applyBorder="1" applyAlignment="1" applyProtection="1">
      <alignment horizontal="center" vertical="center"/>
      <protection locked="0"/>
    </xf>
    <xf numFmtId="0" fontId="9" fillId="9" borderId="42" xfId="5" applyFont="1" applyFill="1" applyBorder="1" applyAlignment="1" applyProtection="1">
      <alignment horizontal="center" vertical="center"/>
      <protection locked="0"/>
    </xf>
    <xf numFmtId="0" fontId="9" fillId="9" borderId="43" xfId="5" applyFont="1" applyFill="1" applyBorder="1" applyAlignment="1" applyProtection="1">
      <alignment horizontal="center" vertical="center"/>
      <protection locked="0"/>
    </xf>
    <xf numFmtId="0" fontId="16" fillId="4" borderId="44" xfId="5" applyFont="1" applyFill="1" applyBorder="1" applyAlignment="1">
      <alignment horizontal="center" vertical="center" wrapText="1"/>
    </xf>
    <xf numFmtId="0" fontId="16" fillId="4" borderId="15" xfId="5" applyFont="1" applyFill="1" applyBorder="1" applyAlignment="1">
      <alignment horizontal="center" vertical="center" wrapText="1"/>
    </xf>
    <xf numFmtId="0" fontId="16" fillId="4" borderId="38" xfId="5" applyFont="1" applyFill="1" applyBorder="1" applyAlignment="1">
      <alignment horizontal="center" vertical="center" wrapText="1"/>
    </xf>
    <xf numFmtId="0" fontId="19" fillId="2" borderId="60" xfId="5" applyFont="1" applyFill="1" applyBorder="1" applyAlignment="1">
      <alignment horizontal="left" vertical="center" wrapText="1"/>
    </xf>
    <xf numFmtId="0" fontId="19" fillId="2" borderId="61" xfId="5" applyFont="1" applyFill="1" applyBorder="1" applyAlignment="1">
      <alignment horizontal="left" vertical="center" wrapText="1"/>
    </xf>
    <xf numFmtId="0" fontId="16" fillId="4" borderId="59" xfId="5" applyFont="1" applyFill="1" applyBorder="1" applyAlignment="1">
      <alignment horizontal="center" vertical="center"/>
    </xf>
    <xf numFmtId="0" fontId="16" fillId="4" borderId="60" xfId="5" applyFont="1" applyFill="1" applyBorder="1" applyAlignment="1">
      <alignment horizontal="center" vertical="center"/>
    </xf>
    <xf numFmtId="0" fontId="16" fillId="4" borderId="61" xfId="5" applyFont="1" applyFill="1" applyBorder="1" applyAlignment="1">
      <alignment horizontal="center" vertical="center"/>
    </xf>
    <xf numFmtId="0" fontId="12" fillId="2" borderId="59" xfId="5" applyFont="1" applyFill="1" applyBorder="1" applyAlignment="1">
      <alignment horizontal="center" vertical="center" wrapText="1"/>
    </xf>
    <xf numFmtId="0" fontId="12" fillId="2" borderId="44" xfId="5" applyFont="1" applyFill="1" applyBorder="1" applyAlignment="1">
      <alignment horizontal="center" vertical="center" wrapText="1"/>
    </xf>
    <xf numFmtId="0" fontId="12" fillId="2" borderId="71" xfId="5" applyFont="1" applyFill="1" applyBorder="1" applyAlignment="1">
      <alignment horizontal="center" vertical="center" wrapText="1"/>
    </xf>
    <xf numFmtId="0" fontId="12" fillId="2" borderId="34" xfId="5" applyFont="1" applyFill="1" applyBorder="1" applyAlignment="1">
      <alignment horizontal="center" vertical="center" wrapText="1"/>
    </xf>
    <xf numFmtId="0" fontId="12" fillId="2" borderId="18" xfId="5" applyFont="1" applyFill="1" applyBorder="1" applyAlignment="1">
      <alignment horizontal="center" vertical="center" wrapText="1"/>
    </xf>
    <xf numFmtId="0" fontId="12" fillId="2" borderId="20" xfId="5" applyFont="1" applyFill="1" applyBorder="1" applyAlignment="1">
      <alignment horizontal="center" vertical="center" wrapText="1"/>
    </xf>
    <xf numFmtId="0" fontId="2" fillId="2" borderId="32" xfId="5" applyFont="1" applyFill="1" applyBorder="1" applyAlignment="1">
      <alignment horizontal="center" vertical="center" wrapText="1"/>
    </xf>
    <xf numFmtId="0" fontId="2" fillId="2" borderId="35" xfId="5" applyFont="1" applyFill="1" applyBorder="1" applyAlignment="1">
      <alignment horizontal="center" vertical="center" wrapText="1"/>
    </xf>
    <xf numFmtId="0" fontId="13" fillId="2" borderId="71" xfId="5" applyFont="1" applyFill="1" applyBorder="1" applyAlignment="1">
      <alignment horizontal="center" vertical="center" wrapText="1"/>
    </xf>
    <xf numFmtId="0" fontId="13" fillId="2" borderId="25" xfId="5" applyFont="1" applyFill="1" applyBorder="1" applyAlignment="1">
      <alignment horizontal="center" vertical="center" wrapText="1"/>
    </xf>
    <xf numFmtId="0" fontId="13" fillId="2" borderId="39" xfId="5" applyFont="1" applyFill="1" applyBorder="1" applyAlignment="1">
      <alignment horizontal="center" vertical="center" wrapText="1"/>
    </xf>
    <xf numFmtId="0" fontId="15" fillId="2" borderId="59" xfId="5" applyFont="1" applyFill="1" applyBorder="1" applyAlignment="1">
      <alignment horizontal="center" vertical="center"/>
    </xf>
    <xf numFmtId="0" fontId="15" fillId="2" borderId="60" xfId="5" applyFont="1" applyFill="1" applyBorder="1" applyAlignment="1">
      <alignment horizontal="center" vertical="center"/>
    </xf>
    <xf numFmtId="0" fontId="15" fillId="2" borderId="31" xfId="5" applyFont="1" applyFill="1" applyBorder="1" applyAlignment="1">
      <alignment horizontal="center" vertical="center"/>
    </xf>
    <xf numFmtId="0" fontId="15" fillId="2" borderId="26" xfId="5" applyFont="1" applyFill="1" applyBorder="1" applyAlignment="1">
      <alignment horizontal="center" vertical="center"/>
    </xf>
    <xf numFmtId="0" fontId="15" fillId="2" borderId="32" xfId="5" applyFont="1" applyFill="1" applyBorder="1" applyAlignment="1">
      <alignment horizontal="center" vertical="center"/>
    </xf>
    <xf numFmtId="0" fontId="15" fillId="2" borderId="37" xfId="5" applyFont="1" applyFill="1" applyBorder="1" applyAlignment="1">
      <alignment horizontal="center" vertical="center"/>
    </xf>
    <xf numFmtId="0" fontId="1" fillId="9" borderId="15" xfId="5" applyFill="1" applyBorder="1" applyAlignment="1">
      <alignment horizontal="center" vertical="center" wrapText="1"/>
    </xf>
    <xf numFmtId="0" fontId="17" fillId="9" borderId="15" xfId="5" applyFont="1" applyFill="1" applyBorder="1" applyAlignment="1">
      <alignment horizontal="center" vertical="center" wrapText="1"/>
    </xf>
    <xf numFmtId="0" fontId="9" fillId="9" borderId="15" xfId="5" applyFont="1" applyFill="1" applyBorder="1" applyAlignment="1">
      <alignment horizontal="center" vertical="center"/>
    </xf>
    <xf numFmtId="0" fontId="15" fillId="2" borderId="15" xfId="5" applyFont="1" applyFill="1" applyBorder="1" applyAlignment="1">
      <alignment horizontal="center" vertical="center" wrapText="1"/>
    </xf>
    <xf numFmtId="0" fontId="1" fillId="9" borderId="15" xfId="5" applyFill="1" applyBorder="1" applyAlignment="1">
      <alignment horizontal="center" vertical="center"/>
    </xf>
    <xf numFmtId="0" fontId="2" fillId="9" borderId="15" xfId="5" applyFont="1" applyFill="1" applyBorder="1" applyAlignment="1">
      <alignment horizontal="center" vertical="center"/>
    </xf>
    <xf numFmtId="0" fontId="9" fillId="9" borderId="15" xfId="5" applyFont="1" applyFill="1" applyBorder="1" applyAlignment="1">
      <alignment horizontal="center"/>
    </xf>
    <xf numFmtId="0" fontId="2" fillId="2" borderId="15" xfId="5" applyFont="1" applyFill="1" applyBorder="1" applyAlignment="1">
      <alignment horizontal="center" vertical="center"/>
    </xf>
    <xf numFmtId="0" fontId="2" fillId="2" borderId="15" xfId="5" applyFont="1" applyFill="1" applyBorder="1" applyAlignment="1">
      <alignment horizontal="center" vertical="center" wrapText="1"/>
    </xf>
    <xf numFmtId="0" fontId="15" fillId="9" borderId="15" xfId="5" applyFont="1" applyFill="1" applyBorder="1" applyAlignment="1" applyProtection="1">
      <alignment horizontal="center" vertical="center" wrapText="1"/>
      <protection locked="0"/>
    </xf>
    <xf numFmtId="0" fontId="15" fillId="9" borderId="15" xfId="5" applyFont="1" applyFill="1" applyBorder="1" applyAlignment="1" applyProtection="1">
      <alignment horizontal="center" vertical="center"/>
      <protection locked="0"/>
    </xf>
    <xf numFmtId="0" fontId="20" fillId="6" borderId="30" xfId="5" applyFont="1" applyFill="1" applyBorder="1" applyAlignment="1" applyProtection="1">
      <alignment horizontal="center" vertical="center" wrapText="1"/>
      <protection locked="0"/>
    </xf>
    <xf numFmtId="0" fontId="20" fillId="6" borderId="28" xfId="5" applyFont="1" applyFill="1" applyBorder="1" applyAlignment="1" applyProtection="1">
      <alignment horizontal="center" vertical="center" wrapText="1"/>
      <protection locked="0"/>
    </xf>
    <xf numFmtId="0" fontId="20" fillId="9" borderId="15" xfId="5" applyFont="1" applyFill="1" applyBorder="1" applyAlignment="1" applyProtection="1">
      <alignment horizontal="center" vertical="center" wrapText="1"/>
      <protection locked="0"/>
    </xf>
    <xf numFmtId="0" fontId="2" fillId="9" borderId="15" xfId="5" applyFont="1" applyFill="1" applyBorder="1" applyAlignment="1" applyProtection="1">
      <alignment horizontal="center" vertical="center"/>
      <protection locked="0"/>
    </xf>
    <xf numFmtId="0" fontId="17" fillId="9" borderId="15" xfId="5" applyFont="1" applyFill="1" applyBorder="1" applyAlignment="1" applyProtection="1">
      <alignment horizontal="center" vertical="center"/>
      <protection locked="0"/>
    </xf>
    <xf numFmtId="0" fontId="13" fillId="9" borderId="15" xfId="5" applyFont="1" applyFill="1" applyBorder="1" applyAlignment="1" applyProtection="1">
      <alignment horizontal="center"/>
      <protection locked="0"/>
    </xf>
    <xf numFmtId="0" fontId="13" fillId="9" borderId="15" xfId="5" applyFont="1" applyFill="1" applyBorder="1" applyAlignment="1" applyProtection="1">
      <alignment horizontal="center" vertical="center"/>
      <protection locked="0"/>
    </xf>
    <xf numFmtId="0" fontId="15" fillId="7" borderId="15" xfId="5" applyFont="1" applyFill="1" applyBorder="1" applyAlignment="1" applyProtection="1">
      <alignment horizontal="center" vertical="center" wrapText="1"/>
      <protection locked="0"/>
    </xf>
    <xf numFmtId="0" fontId="8" fillId="2" borderId="18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2" fillId="6" borderId="46" xfId="5" applyFont="1" applyFill="1" applyBorder="1" applyAlignment="1">
      <alignment horizontal="center" vertical="center"/>
    </xf>
    <xf numFmtId="0" fontId="22" fillId="6" borderId="47" xfId="5" applyFont="1" applyFill="1" applyBorder="1" applyAlignment="1">
      <alignment horizontal="center" vertical="center"/>
    </xf>
    <xf numFmtId="0" fontId="22" fillId="6" borderId="48" xfId="5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166" fontId="46" fillId="0" borderId="0" xfId="0" applyNumberFormat="1" applyFont="1" applyAlignment="1">
      <alignment horizontal="center" vertical="center"/>
    </xf>
  </cellXfs>
  <cellStyles count="9">
    <cellStyle name="Normal" xfId="0" builtinId="0"/>
    <cellStyle name="Normal 2" xfId="2" xr:uid="{00000000-0005-0000-0000-000001000000}"/>
    <cellStyle name="Normal 2 2" xfId="5" xr:uid="{A2A43321-E0B3-45DA-9277-106A45F9B161}"/>
    <cellStyle name="Normal 2 3" xfId="7" xr:uid="{D2D14310-E075-439E-BA48-C8744064BE74}"/>
    <cellStyle name="Normal 3" xfId="6" xr:uid="{54EF6248-9959-4AE4-9478-D9EAC8D4E32A}"/>
    <cellStyle name="Normal 4" xfId="8" xr:uid="{92E92EBD-8846-4AEF-94FC-2BC5B9030AFB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69</xdr:row>
          <xdr:rowOff>144780</xdr:rowOff>
        </xdr:from>
        <xdr:to>
          <xdr:col>13</xdr:col>
          <xdr:colOff>434340</xdr:colOff>
          <xdr:row>69</xdr:row>
          <xdr:rowOff>144780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69</xdr:row>
          <xdr:rowOff>144780</xdr:rowOff>
        </xdr:from>
        <xdr:to>
          <xdr:col>13</xdr:col>
          <xdr:colOff>441960</xdr:colOff>
          <xdr:row>69</xdr:row>
          <xdr:rowOff>144780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92</xdr:row>
          <xdr:rowOff>0</xdr:rowOff>
        </xdr:from>
        <xdr:to>
          <xdr:col>11</xdr:col>
          <xdr:colOff>411480</xdr:colOff>
          <xdr:row>92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3"/>
  <sheetViews>
    <sheetView view="pageBreakPreview" zoomScaleNormal="100" zoomScaleSheetLayoutView="100" workbookViewId="0">
      <selection activeCell="G13" sqref="G13"/>
    </sheetView>
  </sheetViews>
  <sheetFormatPr defaultColWidth="9.21875" defaultRowHeight="13.8" x14ac:dyDescent="0.25"/>
  <cols>
    <col min="1" max="1" width="4.21875" style="13" customWidth="1"/>
    <col min="2" max="2" width="4.77734375" style="13" customWidth="1"/>
    <col min="3" max="3" width="16.77734375" style="13" customWidth="1"/>
    <col min="4" max="4" width="14.44140625" style="13" customWidth="1"/>
    <col min="5" max="5" width="14.5546875" style="13" customWidth="1"/>
    <col min="6" max="9" width="10.77734375" style="13" customWidth="1"/>
    <col min="10" max="10" width="12" style="13" customWidth="1"/>
    <col min="11" max="11" width="10.44140625" style="13" customWidth="1"/>
    <col min="12" max="12" width="6.77734375" style="13" customWidth="1"/>
    <col min="13" max="13" width="10.21875" style="13" customWidth="1"/>
    <col min="14" max="16384" width="9.21875" style="13"/>
  </cols>
  <sheetData>
    <row r="1" spans="1:16" ht="17.399999999999999" x14ac:dyDescent="0.25">
      <c r="A1" s="829" t="s">
        <v>0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12"/>
      <c r="O1" s="12"/>
      <c r="P1" s="12"/>
    </row>
    <row r="2" spans="1:16" ht="15" x14ac:dyDescent="0.25">
      <c r="A2" s="830" t="s">
        <v>1</v>
      </c>
      <c r="B2" s="830"/>
      <c r="C2" s="830"/>
      <c r="D2" s="830"/>
      <c r="E2" s="830"/>
      <c r="F2" s="830"/>
      <c r="G2" s="830"/>
      <c r="H2" s="830"/>
      <c r="I2" s="830"/>
      <c r="J2" s="830"/>
      <c r="K2" s="830"/>
      <c r="L2" s="830"/>
      <c r="M2" s="830"/>
    </row>
    <row r="3" spans="1:16" x14ac:dyDescent="0.25">
      <c r="K3" s="15"/>
      <c r="L3" s="15"/>
    </row>
    <row r="4" spans="1:16" x14ac:dyDescent="0.25">
      <c r="A4" s="13" t="s">
        <v>2</v>
      </c>
      <c r="D4" s="16" t="s">
        <v>3</v>
      </c>
      <c r="E4" s="17"/>
      <c r="F4" s="17"/>
      <c r="K4" s="15"/>
      <c r="L4" s="15"/>
    </row>
    <row r="5" spans="1:16" x14ac:dyDescent="0.25">
      <c r="A5" s="13" t="s">
        <v>4</v>
      </c>
      <c r="D5" s="18" t="s">
        <v>3</v>
      </c>
      <c r="E5" s="19"/>
      <c r="F5" s="19"/>
      <c r="K5" s="15"/>
      <c r="L5" s="15"/>
    </row>
    <row r="6" spans="1:16" x14ac:dyDescent="0.25">
      <c r="A6" s="13" t="s">
        <v>5</v>
      </c>
      <c r="D6" s="559" t="s">
        <v>3</v>
      </c>
      <c r="E6" s="19"/>
      <c r="K6" s="15"/>
      <c r="L6" s="15"/>
    </row>
    <row r="7" spans="1:16" ht="15" x14ac:dyDescent="0.25">
      <c r="A7" s="13" t="s">
        <v>6</v>
      </c>
      <c r="C7" s="594" t="str">
        <f>ID!C9</f>
        <v>Cholesterol</v>
      </c>
      <c r="D7" s="18" t="s">
        <v>3</v>
      </c>
      <c r="E7" s="577" t="str">
        <f>ID!F9</f>
        <v>mg/dL</v>
      </c>
      <c r="F7" s="561"/>
      <c r="K7" s="15"/>
      <c r="L7" s="15"/>
    </row>
    <row r="8" spans="1:16" ht="15" x14ac:dyDescent="0.25">
      <c r="C8" s="594" t="str">
        <f>ID!C10</f>
        <v>Glucose</v>
      </c>
      <c r="D8" s="18" t="s">
        <v>3</v>
      </c>
      <c r="E8" s="577" t="str">
        <f>ID!F10</f>
        <v>mg/dL</v>
      </c>
      <c r="K8" s="15"/>
      <c r="L8" s="15"/>
    </row>
    <row r="9" spans="1:16" ht="15" x14ac:dyDescent="0.25">
      <c r="C9" s="594" t="str">
        <f>ID!C11</f>
        <v>Asam Urat</v>
      </c>
      <c r="D9" s="18" t="s">
        <v>3</v>
      </c>
      <c r="E9" s="577" t="str">
        <f>ID!F11</f>
        <v>mg/dL</v>
      </c>
      <c r="K9" s="15"/>
      <c r="L9" s="15"/>
    </row>
    <row r="10" spans="1:16" ht="15" x14ac:dyDescent="0.25">
      <c r="C10" s="594" t="str">
        <f>ID!C12</f>
        <v>Triglycerides</v>
      </c>
      <c r="D10" s="18" t="s">
        <v>3</v>
      </c>
      <c r="E10" s="577" t="str">
        <f>ID!F12</f>
        <v>mg/dL</v>
      </c>
      <c r="K10" s="15"/>
      <c r="L10" s="15"/>
    </row>
    <row r="11" spans="1:16" ht="15" x14ac:dyDescent="0.25">
      <c r="C11" s="594" t="str">
        <f>ID!C13</f>
        <v>SGOT</v>
      </c>
      <c r="D11" s="18" t="s">
        <v>3</v>
      </c>
      <c r="E11" s="577" t="str">
        <f>ID!F13</f>
        <v>U/L</v>
      </c>
      <c r="K11" s="15"/>
      <c r="L11" s="15"/>
    </row>
    <row r="12" spans="1:16" ht="15" x14ac:dyDescent="0.25">
      <c r="C12" s="594" t="str">
        <f>ID!C14</f>
        <v>SGPT</v>
      </c>
      <c r="D12" s="18" t="s">
        <v>3</v>
      </c>
      <c r="E12" s="577" t="str">
        <f>ID!F14</f>
        <v>U/L</v>
      </c>
      <c r="K12" s="15"/>
      <c r="L12" s="15"/>
    </row>
    <row r="13" spans="1:16" x14ac:dyDescent="0.25">
      <c r="C13" s="30"/>
      <c r="D13" s="559"/>
      <c r="K13" s="15"/>
      <c r="L13" s="15"/>
    </row>
    <row r="14" spans="1:16" x14ac:dyDescent="0.25">
      <c r="A14" s="13" t="s">
        <v>7</v>
      </c>
      <c r="D14" s="16" t="s">
        <v>8</v>
      </c>
      <c r="K14" s="15"/>
      <c r="L14" s="15"/>
    </row>
    <row r="15" spans="1:16" x14ac:dyDescent="0.25">
      <c r="A15" s="13" t="s">
        <v>9</v>
      </c>
      <c r="D15" s="18" t="s">
        <v>3</v>
      </c>
      <c r="E15" s="19"/>
      <c r="K15" s="15"/>
      <c r="L15" s="15"/>
    </row>
    <row r="16" spans="1:16" x14ac:dyDescent="0.25">
      <c r="A16" s="13" t="s">
        <v>10</v>
      </c>
      <c r="D16" s="18" t="s">
        <v>3</v>
      </c>
      <c r="K16" s="15"/>
      <c r="L16" s="15"/>
    </row>
    <row r="17" spans="1:14" x14ac:dyDescent="0.25">
      <c r="A17" s="13" t="s">
        <v>11</v>
      </c>
      <c r="D17" s="559" t="s">
        <v>3</v>
      </c>
      <c r="E17" s="19"/>
      <c r="F17" s="561"/>
      <c r="K17" s="15"/>
      <c r="L17" s="15"/>
    </row>
    <row r="18" spans="1:14" x14ac:dyDescent="0.25">
      <c r="D18" s="560"/>
      <c r="F18" s="561"/>
      <c r="K18" s="15"/>
      <c r="L18" s="15"/>
    </row>
    <row r="19" spans="1:14" ht="15.75" customHeight="1" x14ac:dyDescent="0.25">
      <c r="A19" s="14" t="s">
        <v>12</v>
      </c>
      <c r="B19" s="14" t="s">
        <v>13</v>
      </c>
    </row>
    <row r="20" spans="1:14" ht="15.75" customHeight="1" x14ac:dyDescent="0.25">
      <c r="B20" s="14"/>
      <c r="C20" s="14"/>
      <c r="D20" s="20" t="s">
        <v>14</v>
      </c>
      <c r="E20" s="20" t="s">
        <v>15</v>
      </c>
    </row>
    <row r="21" spans="1:14" ht="15.75" customHeight="1" x14ac:dyDescent="0.25">
      <c r="B21" s="13" t="s">
        <v>16</v>
      </c>
      <c r="D21" s="21"/>
      <c r="E21" s="21"/>
      <c r="F21" s="22" t="s">
        <v>17</v>
      </c>
    </row>
    <row r="22" spans="1:14" ht="15.75" customHeight="1" x14ac:dyDescent="0.25">
      <c r="B22" s="13" t="s">
        <v>18</v>
      </c>
      <c r="D22" s="21"/>
      <c r="E22" s="21"/>
      <c r="F22" s="22" t="s">
        <v>19</v>
      </c>
      <c r="I22" s="23"/>
    </row>
    <row r="23" spans="1:14" ht="15.75" customHeight="1" x14ac:dyDescent="0.25">
      <c r="B23" s="13" t="s">
        <v>20</v>
      </c>
      <c r="D23" s="24" t="s">
        <v>8</v>
      </c>
      <c r="E23" s="24"/>
      <c r="F23" s="22" t="s">
        <v>21</v>
      </c>
      <c r="I23" s="23"/>
    </row>
    <row r="24" spans="1:14" ht="15.75" customHeight="1" x14ac:dyDescent="0.25">
      <c r="F24" s="22"/>
      <c r="I24" s="23"/>
    </row>
    <row r="25" spans="1:14" ht="15.75" customHeight="1" x14ac:dyDescent="0.25">
      <c r="A25" s="14" t="s">
        <v>22</v>
      </c>
      <c r="B25" s="14" t="str">
        <f>ID!B27</f>
        <v>Pemeriksaan Kondisi Fisik dan Fungsi Alat</v>
      </c>
      <c r="F25" s="20" t="s">
        <v>23</v>
      </c>
      <c r="G25" s="25"/>
      <c r="I25" s="23"/>
    </row>
    <row r="26" spans="1:14" ht="15.75" customHeight="1" x14ac:dyDescent="0.25">
      <c r="B26" s="13" t="s">
        <v>24</v>
      </c>
      <c r="D26" s="13" t="s">
        <v>25</v>
      </c>
      <c r="F26" s="542">
        <v>5</v>
      </c>
      <c r="G26" s="54"/>
      <c r="H26" s="54"/>
      <c r="I26" s="54"/>
      <c r="J26" s="54"/>
    </row>
    <row r="27" spans="1:14" ht="15.75" customHeight="1" x14ac:dyDescent="0.25">
      <c r="B27" s="13" t="s">
        <v>26</v>
      </c>
      <c r="D27" s="13" t="s">
        <v>25</v>
      </c>
      <c r="F27" s="542">
        <v>5</v>
      </c>
      <c r="G27" s="54"/>
      <c r="H27" s="54"/>
      <c r="I27" s="54"/>
      <c r="J27" s="54"/>
    </row>
    <row r="28" spans="1:14" ht="15.75" customHeight="1" x14ac:dyDescent="0.25">
      <c r="F28" s="26"/>
      <c r="G28" s="26"/>
      <c r="H28" s="26"/>
      <c r="I28" s="26"/>
      <c r="J28" s="26"/>
    </row>
    <row r="29" spans="1:14" ht="15.75" customHeight="1" x14ac:dyDescent="0.25">
      <c r="A29" s="14" t="s">
        <v>27</v>
      </c>
      <c r="B29" s="14" t="str">
        <f>ID!B31</f>
        <v>Pengujian Keselamatan Listrik</v>
      </c>
      <c r="G29" s="25"/>
      <c r="I29" s="23"/>
    </row>
    <row r="30" spans="1:14" ht="30.75" customHeight="1" x14ac:dyDescent="0.25">
      <c r="B30" s="164" t="s">
        <v>28</v>
      </c>
      <c r="C30" s="827" t="s">
        <v>29</v>
      </c>
      <c r="D30" s="833"/>
      <c r="E30" s="833"/>
      <c r="F30" s="833"/>
      <c r="G30" s="833"/>
      <c r="H30" s="827" t="s">
        <v>30</v>
      </c>
      <c r="I30" s="828"/>
      <c r="J30" s="827" t="s">
        <v>31</v>
      </c>
      <c r="K30" s="828"/>
      <c r="L30" s="20" t="s">
        <v>23</v>
      </c>
      <c r="M30" s="27"/>
      <c r="N30" s="27"/>
    </row>
    <row r="31" spans="1:14" ht="15.75" customHeight="1" x14ac:dyDescent="0.25">
      <c r="B31" s="175">
        <v>1</v>
      </c>
      <c r="C31" s="182" t="s">
        <v>32</v>
      </c>
      <c r="D31" s="176"/>
      <c r="E31" s="176"/>
      <c r="F31" s="176"/>
      <c r="G31" s="177"/>
      <c r="H31" s="178"/>
      <c r="I31" s="183" t="s">
        <v>33</v>
      </c>
      <c r="J31" s="186" t="s">
        <v>34</v>
      </c>
      <c r="K31" s="179" t="s">
        <v>33</v>
      </c>
      <c r="L31" s="165">
        <v>10</v>
      </c>
      <c r="M31" s="28"/>
      <c r="N31" s="29"/>
    </row>
    <row r="32" spans="1:14" ht="15.75" customHeight="1" x14ac:dyDescent="0.25">
      <c r="B32" s="184">
        <v>2</v>
      </c>
      <c r="C32" s="182" t="s">
        <v>35</v>
      </c>
      <c r="D32" s="176"/>
      <c r="E32" s="176"/>
      <c r="F32" s="176"/>
      <c r="G32" s="177"/>
      <c r="H32" s="178"/>
      <c r="I32" s="183" t="s">
        <v>36</v>
      </c>
      <c r="J32" s="186" t="s">
        <v>37</v>
      </c>
      <c r="K32" s="179" t="s">
        <v>36</v>
      </c>
      <c r="L32" s="165">
        <v>10</v>
      </c>
      <c r="M32" s="28"/>
      <c r="N32" s="29"/>
    </row>
    <row r="33" spans="1:16" ht="15.75" customHeight="1" x14ac:dyDescent="0.25">
      <c r="B33" s="185">
        <v>3</v>
      </c>
      <c r="C33" s="182" t="s">
        <v>38</v>
      </c>
      <c r="D33" s="176"/>
      <c r="E33" s="176"/>
      <c r="F33" s="176"/>
      <c r="G33" s="177"/>
      <c r="H33" s="178"/>
      <c r="I33" s="183" t="s">
        <v>39</v>
      </c>
      <c r="J33" s="186" t="s">
        <v>40</v>
      </c>
      <c r="K33" s="180" t="s">
        <v>39</v>
      </c>
      <c r="L33" s="165">
        <v>20</v>
      </c>
      <c r="M33" s="28"/>
      <c r="N33" s="29"/>
    </row>
    <row r="34" spans="1:16" ht="15.75" hidden="1" customHeight="1" x14ac:dyDescent="0.25">
      <c r="B34" s="191" t="s">
        <v>41</v>
      </c>
      <c r="C34" s="31"/>
      <c r="G34" s="25"/>
      <c r="H34" s="28"/>
      <c r="J34" s="28"/>
      <c r="M34" s="28"/>
    </row>
    <row r="35" spans="1:16" ht="15.75" customHeight="1" x14ac:dyDescent="0.25">
      <c r="B35" s="187"/>
      <c r="C35" s="31"/>
      <c r="G35" s="25"/>
      <c r="H35" s="28"/>
      <c r="J35" s="28"/>
      <c r="M35" s="28"/>
    </row>
    <row r="36" spans="1:16" ht="15.75" customHeight="1" x14ac:dyDescent="0.25">
      <c r="A36" s="14" t="s">
        <v>42</v>
      </c>
      <c r="B36" s="14" t="str">
        <f>ID!B37</f>
        <v>Pengujian Kinerja</v>
      </c>
      <c r="D36" s="14"/>
      <c r="E36" s="14"/>
      <c r="F36" s="14"/>
      <c r="G36" s="30"/>
      <c r="K36" s="15"/>
      <c r="L36" s="15"/>
    </row>
    <row r="37" spans="1:16" ht="20.25" customHeight="1" x14ac:dyDescent="0.25">
      <c r="B37" s="831" t="s">
        <v>43</v>
      </c>
      <c r="C37" s="837" t="s">
        <v>29</v>
      </c>
      <c r="D37" s="837"/>
      <c r="E37" s="831" t="s">
        <v>44</v>
      </c>
      <c r="F37" s="838" t="s">
        <v>45</v>
      </c>
      <c r="G37" s="839"/>
      <c r="H37" s="840"/>
      <c r="I37" s="835" t="s">
        <v>46</v>
      </c>
      <c r="K37" s="825"/>
      <c r="L37" s="825"/>
      <c r="M37" s="823"/>
      <c r="N37" s="823"/>
      <c r="O37" s="823"/>
      <c r="P37" s="823"/>
    </row>
    <row r="38" spans="1:16" ht="22.5" customHeight="1" x14ac:dyDescent="0.25">
      <c r="B38" s="832"/>
      <c r="C38" s="831"/>
      <c r="D38" s="831"/>
      <c r="E38" s="834"/>
      <c r="F38" s="576" t="s">
        <v>47</v>
      </c>
      <c r="G38" s="576" t="s">
        <v>48</v>
      </c>
      <c r="H38" s="600" t="s">
        <v>49</v>
      </c>
      <c r="I38" s="836"/>
      <c r="K38" s="825"/>
      <c r="L38" s="825"/>
      <c r="M38" s="823"/>
      <c r="N38" s="823"/>
      <c r="O38" s="823"/>
      <c r="P38" s="823"/>
    </row>
    <row r="39" spans="1:16" ht="24" customHeight="1" x14ac:dyDescent="0.25">
      <c r="B39" s="36">
        <v>1</v>
      </c>
      <c r="C39" s="583" t="str">
        <f>ID!C9</f>
        <v>Cholesterol</v>
      </c>
      <c r="D39" s="557" t="str">
        <f>ID!F9</f>
        <v>mg/dL</v>
      </c>
      <c r="E39" s="185">
        <f>ID!F41</f>
        <v>93.6</v>
      </c>
      <c r="F39" s="582"/>
      <c r="G39" s="582"/>
      <c r="H39" s="582"/>
      <c r="I39" s="593">
        <f>ID!L41</f>
        <v>15.064102564102555</v>
      </c>
      <c r="K39" s="578"/>
      <c r="L39" s="551"/>
      <c r="M39" s="33"/>
      <c r="N39" s="824"/>
      <c r="O39" s="34"/>
      <c r="P39" s="35"/>
    </row>
    <row r="40" spans="1:16" ht="24" customHeight="1" x14ac:dyDescent="0.25">
      <c r="B40" s="36">
        <v>2</v>
      </c>
      <c r="C40" s="583" t="str">
        <f>ID!C10</f>
        <v>Glucose</v>
      </c>
      <c r="D40" s="557" t="str">
        <f>ID!F10</f>
        <v>mg/dL</v>
      </c>
      <c r="E40" s="185">
        <f>ID!F43</f>
        <v>105</v>
      </c>
      <c r="F40" s="139"/>
      <c r="G40" s="139"/>
      <c r="H40" s="139"/>
      <c r="I40" s="593">
        <f>ID!L43</f>
        <v>14.285714285714292</v>
      </c>
      <c r="K40" s="578"/>
      <c r="L40" s="551"/>
      <c r="M40" s="33"/>
      <c r="N40" s="824"/>
      <c r="O40" s="34"/>
      <c r="P40" s="35"/>
    </row>
    <row r="41" spans="1:16" ht="26.1" customHeight="1" x14ac:dyDescent="0.25">
      <c r="B41" s="36">
        <v>3</v>
      </c>
      <c r="C41" s="583" t="str">
        <f>ID!C11</f>
        <v>Asam Urat</v>
      </c>
      <c r="D41" s="557" t="str">
        <f>ID!F11</f>
        <v>mg/dL</v>
      </c>
      <c r="E41" s="185">
        <f>ID!F45</f>
        <v>5.0199999999999996</v>
      </c>
      <c r="F41" s="139"/>
      <c r="G41" s="139"/>
      <c r="H41" s="139"/>
      <c r="I41" s="593">
        <f>ID!L45</f>
        <v>14.940239043824704</v>
      </c>
      <c r="K41" s="578"/>
      <c r="L41" s="551"/>
      <c r="M41" s="33"/>
      <c r="N41" s="824"/>
      <c r="O41" s="34"/>
      <c r="P41" s="35"/>
    </row>
    <row r="42" spans="1:16" ht="21.6" customHeight="1" x14ac:dyDescent="0.25">
      <c r="B42" s="36">
        <v>4</v>
      </c>
      <c r="C42" s="583" t="str">
        <f>ID!C12</f>
        <v>Triglycerides</v>
      </c>
      <c r="D42" s="557" t="str">
        <f>ID!F12</f>
        <v>mg/dL</v>
      </c>
      <c r="E42" s="185">
        <f>ID!F47</f>
        <v>120</v>
      </c>
      <c r="F42" s="139"/>
      <c r="G42" s="139"/>
      <c r="H42" s="139"/>
      <c r="I42" s="593">
        <f>ID!L47</f>
        <v>15</v>
      </c>
      <c r="K42" s="578"/>
      <c r="L42" s="551"/>
      <c r="M42" s="33"/>
      <c r="N42" s="824"/>
      <c r="O42" s="34"/>
      <c r="P42" s="35"/>
    </row>
    <row r="43" spans="1:16" ht="27" customHeight="1" x14ac:dyDescent="0.25">
      <c r="B43" s="36">
        <v>5</v>
      </c>
      <c r="C43" s="583" t="str">
        <f>ID!C13</f>
        <v>SGOT</v>
      </c>
      <c r="D43" s="557" t="str">
        <f>ID!F13</f>
        <v>U/L</v>
      </c>
      <c r="E43" s="185">
        <f>ID!F49</f>
        <v>46.3</v>
      </c>
      <c r="F43" s="139"/>
      <c r="G43" s="139"/>
      <c r="H43" s="139"/>
      <c r="I43" s="593" t="str">
        <f>ID!L49</f>
        <v>-</v>
      </c>
      <c r="K43" s="578"/>
      <c r="L43" s="551"/>
      <c r="M43" s="33"/>
      <c r="N43" s="824"/>
      <c r="O43" s="34"/>
      <c r="P43" s="35"/>
    </row>
    <row r="44" spans="1:16" ht="20.55" customHeight="1" x14ac:dyDescent="0.25">
      <c r="B44" s="36">
        <v>6</v>
      </c>
      <c r="C44" s="583" t="str">
        <f>ID!C14</f>
        <v>SGPT</v>
      </c>
      <c r="D44" s="557" t="str">
        <f>ID!F14</f>
        <v>U/L</v>
      </c>
      <c r="E44" s="185">
        <f>ID!F51</f>
        <v>47.1</v>
      </c>
      <c r="F44" s="139"/>
      <c r="G44" s="139"/>
      <c r="H44" s="139"/>
      <c r="I44" s="593" t="str">
        <f>ID!L51</f>
        <v>-</v>
      </c>
      <c r="K44" s="579"/>
      <c r="L44" s="551"/>
      <c r="M44" s="33"/>
      <c r="N44" s="824"/>
      <c r="O44" s="34"/>
      <c r="P44" s="35"/>
    </row>
    <row r="45" spans="1:16" ht="14.1" customHeight="1" x14ac:dyDescent="0.25">
      <c r="B45" s="584" t="s">
        <v>50</v>
      </c>
      <c r="C45" s="826" t="s">
        <v>51</v>
      </c>
      <c r="D45" s="826"/>
      <c r="E45" s="826"/>
      <c r="F45" s="826"/>
      <c r="G45" s="826"/>
      <c r="H45" s="826"/>
      <c r="I45" s="826"/>
      <c r="J45" s="188"/>
      <c r="K45" s="188"/>
      <c r="L45" s="188"/>
      <c r="M45" s="188"/>
      <c r="N45" s="188"/>
      <c r="O45" s="34"/>
      <c r="P45" s="35"/>
    </row>
    <row r="46" spans="1:16" ht="15.6" customHeight="1" x14ac:dyDescent="0.25">
      <c r="B46" s="585" t="s">
        <v>52</v>
      </c>
      <c r="C46" s="826" t="s">
        <v>53</v>
      </c>
      <c r="D46" s="826"/>
      <c r="E46" s="826"/>
      <c r="F46" s="826"/>
      <c r="G46" s="826"/>
      <c r="H46" s="826"/>
      <c r="I46" s="826"/>
      <c r="J46" s="33"/>
      <c r="K46" s="38"/>
      <c r="L46" s="39"/>
      <c r="M46" s="38"/>
      <c r="N46" s="29"/>
      <c r="O46" s="34"/>
      <c r="P46" s="40"/>
    </row>
    <row r="47" spans="1:16" ht="14.25" customHeight="1" x14ac:dyDescent="0.25">
      <c r="B47" s="189"/>
      <c r="C47" s="826" t="s">
        <v>54</v>
      </c>
      <c r="D47" s="826"/>
      <c r="E47" s="826"/>
      <c r="F47" s="826"/>
      <c r="G47" s="826"/>
      <c r="H47" s="826"/>
      <c r="I47" s="826"/>
      <c r="J47" s="33"/>
      <c r="K47" s="38"/>
      <c r="L47" s="39"/>
      <c r="M47" s="38"/>
      <c r="N47" s="29"/>
      <c r="O47" s="34"/>
      <c r="P47" s="40"/>
    </row>
    <row r="48" spans="1:16" ht="15.75" customHeight="1" x14ac:dyDescent="0.25">
      <c r="A48" s="41" t="s">
        <v>55</v>
      </c>
      <c r="B48" s="42" t="s">
        <v>56</v>
      </c>
      <c r="D48" s="43"/>
      <c r="E48" s="44"/>
      <c r="F48" s="44"/>
      <c r="G48" s="44"/>
      <c r="H48" s="44"/>
      <c r="I48" s="44"/>
      <c r="J48" s="44"/>
      <c r="K48" s="45"/>
      <c r="L48" s="45"/>
      <c r="M48" s="46"/>
      <c r="N48" s="30"/>
      <c r="O48" s="47"/>
      <c r="P48" s="40"/>
    </row>
    <row r="49" spans="1:14" ht="15.75" customHeight="1" x14ac:dyDescent="0.25">
      <c r="B49" s="140" t="s">
        <v>57</v>
      </c>
      <c r="C49" s="141"/>
      <c r="D49" s="142"/>
      <c r="E49" s="142"/>
      <c r="F49" s="143"/>
      <c r="G49" s="142"/>
      <c r="H49" s="142"/>
      <c r="I49" s="142"/>
      <c r="J49" s="144"/>
      <c r="K49" s="144"/>
      <c r="L49" s="48"/>
      <c r="M49" s="49"/>
      <c r="N49" s="49"/>
    </row>
    <row r="50" spans="1:14" ht="15.75" customHeight="1" x14ac:dyDescent="0.25">
      <c r="B50" s="145"/>
      <c r="C50" s="146"/>
      <c r="D50" s="147"/>
      <c r="E50" s="148"/>
      <c r="F50" s="149"/>
      <c r="G50" s="147"/>
      <c r="H50" s="147"/>
      <c r="I50" s="147"/>
      <c r="J50" s="150"/>
      <c r="K50" s="150"/>
      <c r="L50" s="48"/>
      <c r="M50" s="49"/>
      <c r="N50" s="49"/>
    </row>
    <row r="51" spans="1:14" ht="15.75" customHeight="1" x14ac:dyDescent="0.25">
      <c r="B51" s="151"/>
      <c r="C51" s="146"/>
      <c r="D51" s="147"/>
      <c r="E51" s="148"/>
      <c r="F51" s="149"/>
      <c r="G51" s="147"/>
      <c r="H51" s="147"/>
      <c r="I51" s="147"/>
      <c r="J51" s="150"/>
      <c r="K51" s="150"/>
      <c r="L51" s="48"/>
      <c r="M51" s="49"/>
      <c r="N51" s="49"/>
    </row>
    <row r="52" spans="1:14" customFormat="1" ht="15.75" customHeight="1" x14ac:dyDescent="0.25"/>
    <row r="53" spans="1:14" ht="15.75" customHeight="1" x14ac:dyDescent="0.25">
      <c r="A53" s="42" t="s">
        <v>58</v>
      </c>
      <c r="B53" s="42" t="s">
        <v>59</v>
      </c>
      <c r="D53" s="32"/>
      <c r="E53" s="32"/>
      <c r="F53" s="32"/>
      <c r="G53" s="32"/>
      <c r="H53" s="32"/>
      <c r="I53" s="32"/>
      <c r="J53" s="32"/>
      <c r="K53" s="30"/>
      <c r="L53" s="30"/>
      <c r="M53" s="30"/>
      <c r="N53" s="30"/>
    </row>
    <row r="54" spans="1:14" ht="15.75" customHeight="1" x14ac:dyDescent="0.25">
      <c r="B54" s="51"/>
      <c r="C54" s="342" t="s">
        <v>60</v>
      </c>
      <c r="D54" s="32"/>
      <c r="E54" s="32"/>
      <c r="F54" s="32"/>
      <c r="G54" s="32"/>
      <c r="H54" s="32"/>
      <c r="I54" s="32"/>
      <c r="K54" s="30"/>
      <c r="L54" s="30"/>
      <c r="M54" s="30"/>
      <c r="N54" s="30"/>
    </row>
    <row r="55" spans="1:14" ht="15.75" customHeight="1" x14ac:dyDescent="0.25">
      <c r="B55" s="51"/>
      <c r="C55" s="31" t="s">
        <v>61</v>
      </c>
      <c r="D55" s="32"/>
      <c r="E55" s="32"/>
      <c r="F55" s="32"/>
      <c r="G55" s="32"/>
      <c r="H55" s="32"/>
      <c r="I55" s="32"/>
      <c r="K55" s="30"/>
      <c r="L55" s="30"/>
      <c r="M55" s="30"/>
      <c r="N55" s="30"/>
    </row>
    <row r="56" spans="1:14" ht="15.75" customHeight="1" x14ac:dyDescent="0.25">
      <c r="B56" s="51"/>
      <c r="C56" s="31" t="s">
        <v>62</v>
      </c>
      <c r="D56" s="32"/>
      <c r="E56" s="32"/>
      <c r="F56" s="32"/>
      <c r="G56" s="32"/>
      <c r="H56" s="32"/>
      <c r="I56" s="32"/>
      <c r="K56" s="30"/>
      <c r="L56" s="30"/>
      <c r="M56" s="30"/>
      <c r="N56" s="30"/>
    </row>
    <row r="57" spans="1:14" ht="15.75" customHeight="1" x14ac:dyDescent="0.25">
      <c r="B57" s="51"/>
      <c r="C57" s="31" t="s">
        <v>63</v>
      </c>
      <c r="D57" s="32"/>
      <c r="E57" s="32"/>
      <c r="F57" s="32"/>
      <c r="G57" s="32"/>
      <c r="H57" s="32"/>
      <c r="I57" s="32"/>
      <c r="K57" s="30"/>
      <c r="L57" s="30"/>
      <c r="M57" s="30"/>
      <c r="N57" s="30"/>
    </row>
    <row r="58" spans="1:14" ht="15.75" customHeight="1" x14ac:dyDescent="0.25">
      <c r="B58" s="51"/>
      <c r="C58" s="31" t="s">
        <v>64</v>
      </c>
      <c r="D58" s="32"/>
      <c r="E58" s="32"/>
      <c r="F58" s="32"/>
      <c r="G58" s="32"/>
      <c r="H58" s="32"/>
      <c r="I58" s="32"/>
      <c r="K58" s="30"/>
      <c r="L58" s="30"/>
      <c r="M58" s="30"/>
      <c r="N58" s="30"/>
    </row>
    <row r="59" spans="1:14" ht="15.75" customHeight="1" x14ac:dyDescent="0.25">
      <c r="B59" s="51"/>
      <c r="C59" s="31" t="s">
        <v>65</v>
      </c>
      <c r="D59" s="32"/>
      <c r="E59" s="32"/>
      <c r="F59" s="32"/>
      <c r="G59" s="32"/>
      <c r="H59" s="32"/>
      <c r="I59" s="32"/>
      <c r="K59" s="30"/>
      <c r="L59" s="30"/>
      <c r="M59" s="30"/>
      <c r="N59" s="30"/>
    </row>
    <row r="60" spans="1:14" ht="15.75" customHeight="1" x14ac:dyDescent="0.25">
      <c r="B60" s="51"/>
      <c r="C60" s="31" t="s">
        <v>66</v>
      </c>
      <c r="D60" s="32"/>
      <c r="E60" s="32"/>
      <c r="F60" s="32"/>
      <c r="G60" s="32"/>
      <c r="H60" s="32"/>
      <c r="I60" s="32"/>
      <c r="K60" s="30"/>
      <c r="L60" s="30"/>
      <c r="M60" s="30"/>
      <c r="N60" s="30"/>
    </row>
    <row r="61" spans="1:14" ht="15.75" customHeight="1" x14ac:dyDescent="0.25">
      <c r="B61" s="42"/>
      <c r="C61" s="152"/>
      <c r="D61" s="32"/>
      <c r="E61" s="32"/>
      <c r="F61" s="32"/>
      <c r="G61" s="32"/>
      <c r="H61" s="32"/>
      <c r="I61" s="32"/>
      <c r="K61" s="30"/>
      <c r="L61" s="30"/>
      <c r="M61" s="30"/>
      <c r="N61" s="30"/>
    </row>
    <row r="62" spans="1:14" ht="15.75" customHeight="1" x14ac:dyDescent="0.25">
      <c r="A62" s="14" t="s">
        <v>67</v>
      </c>
      <c r="B62" s="42" t="s">
        <v>68</v>
      </c>
      <c r="D62" s="32"/>
      <c r="E62" s="32"/>
      <c r="F62" s="54"/>
      <c r="G62" s="54"/>
      <c r="H62" s="54"/>
      <c r="I62" s="54"/>
      <c r="J62" s="31"/>
    </row>
    <row r="63" spans="1:14" ht="15.75" customHeight="1" thickBot="1" x14ac:dyDescent="0.3">
      <c r="A63" s="14"/>
      <c r="B63" s="42" t="s">
        <v>69</v>
      </c>
      <c r="D63" s="32"/>
      <c r="E63" s="32"/>
      <c r="F63" s="54"/>
      <c r="G63" s="54"/>
      <c r="H63" s="54"/>
      <c r="I63" s="54"/>
      <c r="J63" s="31"/>
    </row>
    <row r="64" spans="1:14" ht="15.75" customHeight="1" x14ac:dyDescent="0.25">
      <c r="B64" s="31"/>
      <c r="C64" s="53"/>
      <c r="D64" s="31"/>
      <c r="E64" s="54"/>
      <c r="F64" s="26"/>
      <c r="G64" s="26"/>
      <c r="H64" s="26"/>
      <c r="I64" s="26"/>
      <c r="J64" s="31"/>
      <c r="K64" s="153"/>
    </row>
    <row r="65" spans="1:13" ht="15.75" customHeight="1" thickBot="1" x14ac:dyDescent="0.3">
      <c r="A65" s="42" t="s">
        <v>70</v>
      </c>
      <c r="B65" s="41" t="s">
        <v>71</v>
      </c>
      <c r="D65" s="31"/>
      <c r="E65" s="31"/>
      <c r="F65" s="31"/>
      <c r="G65" s="31"/>
      <c r="H65" s="31"/>
      <c r="I65" s="31"/>
      <c r="J65" s="31"/>
      <c r="K65" s="154"/>
      <c r="M65" s="55"/>
    </row>
    <row r="66" spans="1:13" ht="15.75" customHeight="1" x14ac:dyDescent="0.25">
      <c r="B66" s="50"/>
      <c r="C66" s="17"/>
      <c r="D66" s="31"/>
      <c r="E66" s="31"/>
      <c r="F66" s="31"/>
      <c r="G66" s="31"/>
      <c r="H66" s="31"/>
      <c r="I66" s="31"/>
      <c r="J66" s="31"/>
    </row>
    <row r="67" spans="1:13" ht="15.75" customHeight="1" x14ac:dyDescent="0.25">
      <c r="B67" s="22"/>
      <c r="D67" s="31"/>
      <c r="E67" s="31"/>
      <c r="F67" s="31"/>
      <c r="G67" s="31"/>
      <c r="H67" s="31"/>
      <c r="I67" s="31"/>
      <c r="J67" s="31"/>
    </row>
    <row r="68" spans="1:13" ht="15.75" customHeight="1" x14ac:dyDescent="0.25">
      <c r="B68" s="22"/>
      <c r="D68" s="31"/>
      <c r="E68" s="31"/>
      <c r="F68" s="31"/>
      <c r="G68" s="31"/>
      <c r="H68" s="31"/>
      <c r="I68" s="31"/>
      <c r="J68" s="31"/>
    </row>
    <row r="69" spans="1:13" ht="15.75" customHeight="1" x14ac:dyDescent="0.25">
      <c r="B69" s="22"/>
      <c r="D69" s="31"/>
      <c r="E69" s="31"/>
      <c r="F69" s="31"/>
      <c r="G69" s="31"/>
      <c r="H69" s="31"/>
      <c r="I69" s="31"/>
      <c r="J69" s="31"/>
    </row>
    <row r="70" spans="1:13" ht="15.75" customHeight="1" x14ac:dyDescent="0.25">
      <c r="B70" s="22"/>
      <c r="D70" s="31"/>
      <c r="E70" s="31"/>
      <c r="F70" s="31"/>
      <c r="G70" s="31"/>
      <c r="H70" s="31"/>
      <c r="I70" s="31"/>
      <c r="J70" s="31"/>
    </row>
    <row r="71" spans="1:13" ht="15.75" customHeight="1" x14ac:dyDescent="0.25">
      <c r="B71" s="22"/>
      <c r="D71" s="31"/>
      <c r="E71" s="31"/>
      <c r="F71" s="31"/>
      <c r="G71" s="31"/>
      <c r="H71" s="31"/>
      <c r="I71" s="31"/>
      <c r="J71" s="31"/>
    </row>
    <row r="72" spans="1:13" ht="15.75" customHeight="1" x14ac:dyDescent="0.25">
      <c r="B72" s="22"/>
      <c r="D72" s="31"/>
      <c r="E72" s="31"/>
      <c r="F72" s="31"/>
      <c r="G72" s="31"/>
      <c r="H72" s="31"/>
      <c r="I72" s="31"/>
      <c r="J72" s="31"/>
    </row>
    <row r="73" spans="1:13" ht="15.75" customHeight="1" x14ac:dyDescent="0.25">
      <c r="B73" s="22"/>
      <c r="D73" s="31"/>
      <c r="E73" s="31"/>
      <c r="F73" s="31"/>
      <c r="G73" s="31"/>
      <c r="H73" s="31"/>
      <c r="I73" s="31"/>
      <c r="J73" s="31"/>
    </row>
  </sheetData>
  <sheetProtection insertRows="0"/>
  <mergeCells count="19">
    <mergeCell ref="C46:I46"/>
    <mergeCell ref="C47:I47"/>
    <mergeCell ref="H30:I30"/>
    <mergeCell ref="J30:K30"/>
    <mergeCell ref="A1:M1"/>
    <mergeCell ref="A2:M2"/>
    <mergeCell ref="B37:B38"/>
    <mergeCell ref="C30:G30"/>
    <mergeCell ref="E37:E38"/>
    <mergeCell ref="I37:I38"/>
    <mergeCell ref="K37:K38"/>
    <mergeCell ref="C37:D38"/>
    <mergeCell ref="F37:H37"/>
    <mergeCell ref="O37:P38"/>
    <mergeCell ref="N39:N44"/>
    <mergeCell ref="L37:L38"/>
    <mergeCell ref="M37:M38"/>
    <mergeCell ref="C45:I45"/>
    <mergeCell ref="N37:N38"/>
  </mergeCells>
  <phoneticPr fontId="49" type="noConversion"/>
  <printOptions horizontalCentered="1"/>
  <pageMargins left="0.51181102362204722" right="0.23622047244094491" top="0.51181102362204722" bottom="0.23622047244094491" header="0.23622047244094491" footer="0.23622047244094491"/>
  <pageSetup paperSize="9" scale="69" orientation="portrait" horizontalDpi="4294967294" verticalDpi="4294967294" r:id="rId1"/>
  <headerFooter>
    <oddHeader>&amp;R&amp;"-,Regular"&amp;8OA.LK - 0122-2019 / REV : 0</oddHeader>
    <oddFooter xml:space="preserve">&amp;R&amp;"-,Regular"&amp;8&amp;K00-012Software Infusion Pump 2019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C275-105B-4B77-ADBF-F8B6965B04CD}">
  <sheetPr>
    <tabColor rgb="FFFF0000"/>
  </sheetPr>
  <dimension ref="A1:S27"/>
  <sheetViews>
    <sheetView topLeftCell="A9" workbookViewId="0">
      <selection activeCell="K16" sqref="K16"/>
    </sheetView>
  </sheetViews>
  <sheetFormatPr defaultRowHeight="13.2" x14ac:dyDescent="0.25"/>
  <cols>
    <col min="1" max="1" width="3.5546875" customWidth="1"/>
    <col min="2" max="2" width="14.77734375" customWidth="1"/>
    <col min="3" max="3" width="12.21875" customWidth="1"/>
    <col min="4" max="4" width="11.21875" customWidth="1"/>
    <col min="5" max="7" width="8.77734375" customWidth="1"/>
    <col min="8" max="8" width="5.77734375" bestFit="1" customWidth="1"/>
    <col min="9" max="9" width="17" bestFit="1" customWidth="1"/>
    <col min="10" max="10" width="17.5546875" customWidth="1"/>
    <col min="12" max="12" width="12.88671875" customWidth="1"/>
    <col min="14" max="14" width="13.33203125" customWidth="1"/>
    <col min="19" max="19" width="17.21875" customWidth="1"/>
  </cols>
  <sheetData>
    <row r="1" spans="1:19" x14ac:dyDescent="0.25">
      <c r="K1" s="1108" t="str">
        <f>ID!B62</f>
        <v>Kontrol_Merek : Roche_Model : PreciControl ClinChem Multi 1_Lot : 525027 Ver.1</v>
      </c>
      <c r="L1" s="1108"/>
      <c r="M1" s="1108"/>
      <c r="N1" s="1108"/>
      <c r="O1" s="1108"/>
      <c r="P1" s="1108"/>
      <c r="Q1" s="1108"/>
      <c r="R1" s="1108"/>
      <c r="S1" s="1108"/>
    </row>
    <row r="2" spans="1:19" x14ac:dyDescent="0.25">
      <c r="A2" s="588" t="s">
        <v>170</v>
      </c>
      <c r="B2" s="588" t="s">
        <v>75</v>
      </c>
      <c r="C2" s="588" t="s">
        <v>171</v>
      </c>
      <c r="D2" s="588" t="s">
        <v>172</v>
      </c>
      <c r="E2" s="588" t="s">
        <v>173</v>
      </c>
      <c r="F2" s="588" t="s">
        <v>174</v>
      </c>
      <c r="G2" s="588" t="s">
        <v>175</v>
      </c>
      <c r="H2" s="588" t="s">
        <v>176</v>
      </c>
      <c r="I2" s="588" t="s">
        <v>177</v>
      </c>
      <c r="K2" s="767" t="s">
        <v>170</v>
      </c>
      <c r="L2" s="767" t="s">
        <v>75</v>
      </c>
      <c r="M2" s="767" t="s">
        <v>171</v>
      </c>
      <c r="N2" s="767" t="s">
        <v>172</v>
      </c>
      <c r="O2" s="767" t="s">
        <v>173</v>
      </c>
      <c r="P2" s="767" t="s">
        <v>174</v>
      </c>
      <c r="Q2" s="767" t="s">
        <v>175</v>
      </c>
      <c r="R2" s="767" t="s">
        <v>176</v>
      </c>
      <c r="S2" s="767" t="s">
        <v>177</v>
      </c>
    </row>
    <row r="3" spans="1:19" x14ac:dyDescent="0.25">
      <c r="A3" s="349">
        <v>1</v>
      </c>
      <c r="B3" s="588" t="s">
        <v>87</v>
      </c>
      <c r="C3" s="589"/>
      <c r="D3" s="590" t="s">
        <v>178</v>
      </c>
      <c r="E3" s="591"/>
      <c r="F3" s="591"/>
      <c r="G3" s="591"/>
      <c r="H3" s="588" t="s">
        <v>179</v>
      </c>
      <c r="I3" s="349" t="str">
        <f>"("&amp;E3&amp;"-"&amp;G3&amp;")"&amp;H3</f>
        <v>(-)U/L</v>
      </c>
      <c r="K3" s="591">
        <v>1</v>
      </c>
      <c r="L3" s="766" t="str">
        <f>ID!C9</f>
        <v>Cholesterol</v>
      </c>
      <c r="M3" s="765">
        <f>100-((O3/P3)*100)</f>
        <v>15.064102564102555</v>
      </c>
      <c r="N3" s="349" t="str">
        <f>VLOOKUP(L3,$B$3:$D$21,3,FALSE)</f>
        <v>( CHO2A )</v>
      </c>
      <c r="O3" s="349">
        <f>ID!H9</f>
        <v>79.5</v>
      </c>
      <c r="P3" s="764">
        <f>ID!J9</f>
        <v>93.6</v>
      </c>
      <c r="Q3" s="349">
        <f>ID!L9</f>
        <v>107.7</v>
      </c>
      <c r="R3" s="349" t="str">
        <f>VLOOKUP(L3,$B$3:$H$21,7,FALSE)</f>
        <v>mg/dL</v>
      </c>
      <c r="S3" s="349" t="str">
        <f>"("&amp;O3&amp;"-"&amp;Q3&amp;")"&amp;R3</f>
        <v>(79.5-107.7)mg/dL</v>
      </c>
    </row>
    <row r="4" spans="1:19" x14ac:dyDescent="0.25">
      <c r="A4" s="349">
        <v>2</v>
      </c>
      <c r="B4" s="588" t="s">
        <v>88</v>
      </c>
      <c r="C4" s="589"/>
      <c r="D4" s="590" t="s">
        <v>180</v>
      </c>
      <c r="E4" s="591"/>
      <c r="F4" s="591"/>
      <c r="G4" s="591"/>
      <c r="H4" s="588" t="s">
        <v>179</v>
      </c>
      <c r="I4" s="349" t="str">
        <f t="shared" ref="I4:I21" si="0">"("&amp;E4&amp;"-"&amp;G4&amp;")"&amp;H4</f>
        <v>(-)U/L</v>
      </c>
      <c r="K4" s="591">
        <v>2</v>
      </c>
      <c r="L4" s="766" t="str">
        <f>ID!C10</f>
        <v>Glucose</v>
      </c>
      <c r="M4" s="765">
        <f t="shared" ref="M4:M8" si="1">100-((O4/P4)*100)</f>
        <v>14.285714285714292</v>
      </c>
      <c r="N4" s="349" t="str">
        <f t="shared" ref="N4:N8" si="2">VLOOKUP(L4,$B$3:$D$21,3,FALSE)</f>
        <v>( GLUC2 )</v>
      </c>
      <c r="O4" s="349">
        <f>ID!H10</f>
        <v>90</v>
      </c>
      <c r="P4" s="764">
        <f>ID!J10</f>
        <v>105</v>
      </c>
      <c r="Q4" s="349">
        <f>ID!L10</f>
        <v>120</v>
      </c>
      <c r="R4" s="349" t="str">
        <f t="shared" ref="R4:R8" si="3">VLOOKUP(L4,$B$3:$H$21,7,FALSE)</f>
        <v>mg/dL</v>
      </c>
      <c r="S4" s="349" t="str">
        <f t="shared" ref="S4:S8" si="4">"("&amp;O4&amp;"-"&amp;Q4&amp;")"&amp;R4</f>
        <v>(90-120)mg/dL</v>
      </c>
    </row>
    <row r="5" spans="1:19" x14ac:dyDescent="0.25">
      <c r="A5" s="349">
        <v>3</v>
      </c>
      <c r="B5" s="588" t="s">
        <v>181</v>
      </c>
      <c r="C5" s="589"/>
      <c r="D5" s="590" t="s">
        <v>182</v>
      </c>
      <c r="E5" s="591"/>
      <c r="F5" s="591"/>
      <c r="G5" s="591"/>
      <c r="H5" s="588" t="s">
        <v>179</v>
      </c>
      <c r="I5" s="349" t="str">
        <f t="shared" si="0"/>
        <v>(-)U/L</v>
      </c>
      <c r="K5" s="591">
        <v>3</v>
      </c>
      <c r="L5" s="766" t="str">
        <f>ID!C11</f>
        <v>Asam Urat</v>
      </c>
      <c r="M5" s="765">
        <f t="shared" si="1"/>
        <v>14.940239043824704</v>
      </c>
      <c r="N5" s="349" t="str">
        <f t="shared" si="2"/>
        <v>( UA2 )</v>
      </c>
      <c r="O5" s="349">
        <f>ID!H11</f>
        <v>4.2699999999999996</v>
      </c>
      <c r="P5" s="764">
        <f>ID!J11</f>
        <v>5.0199999999999996</v>
      </c>
      <c r="Q5" s="349">
        <f>ID!L11</f>
        <v>5.77</v>
      </c>
      <c r="R5" s="349" t="str">
        <f t="shared" si="3"/>
        <v>mg/dL</v>
      </c>
      <c r="S5" s="349" t="str">
        <f t="shared" si="4"/>
        <v>(4.27-5.77)mg/dL</v>
      </c>
    </row>
    <row r="6" spans="1:19" x14ac:dyDescent="0.25">
      <c r="A6" s="349">
        <v>4</v>
      </c>
      <c r="B6" s="588" t="s">
        <v>183</v>
      </c>
      <c r="C6" s="589"/>
      <c r="D6" s="590" t="s">
        <v>184</v>
      </c>
      <c r="E6" s="591"/>
      <c r="F6" s="591"/>
      <c r="G6" s="591"/>
      <c r="H6" s="588" t="s">
        <v>179</v>
      </c>
      <c r="I6" s="349" t="str">
        <f t="shared" si="0"/>
        <v>(-)U/L</v>
      </c>
      <c r="K6" s="591">
        <v>4</v>
      </c>
      <c r="L6" s="766" t="str">
        <f>ID!C12</f>
        <v>Triglycerides</v>
      </c>
      <c r="M6" s="765">
        <f t="shared" si="1"/>
        <v>15</v>
      </c>
      <c r="N6" s="349" t="str">
        <f t="shared" si="2"/>
        <v>( TRIGL )</v>
      </c>
      <c r="O6" s="349">
        <f>ID!H12</f>
        <v>102</v>
      </c>
      <c r="P6" s="764">
        <f>ID!J12</f>
        <v>120</v>
      </c>
      <c r="Q6" s="349">
        <f>ID!L12</f>
        <v>138</v>
      </c>
      <c r="R6" s="349" t="str">
        <f t="shared" si="3"/>
        <v>mg/dL</v>
      </c>
      <c r="S6" s="349" t="str">
        <f t="shared" si="4"/>
        <v>(102-138)mg/dL</v>
      </c>
    </row>
    <row r="7" spans="1:19" x14ac:dyDescent="0.25">
      <c r="A7" s="349">
        <v>5</v>
      </c>
      <c r="B7" s="588" t="s">
        <v>185</v>
      </c>
      <c r="C7" s="589"/>
      <c r="D7" s="590" t="s">
        <v>186</v>
      </c>
      <c r="E7" s="591"/>
      <c r="F7" s="591"/>
      <c r="G7" s="591"/>
      <c r="H7" s="588" t="s">
        <v>187</v>
      </c>
      <c r="I7" s="349" t="str">
        <f t="shared" si="0"/>
        <v>(-)mg/dL</v>
      </c>
      <c r="K7" s="591">
        <v>5</v>
      </c>
      <c r="L7" s="766" t="str">
        <f>ID!C13</f>
        <v>SGOT</v>
      </c>
      <c r="M7" s="765">
        <f t="shared" si="1"/>
        <v>18.142548596112306</v>
      </c>
      <c r="N7" s="349" t="str">
        <f>VLOOKUP(L7,$B$3:$D$21,3,FALSE)</f>
        <v>( ASTL )</v>
      </c>
      <c r="O7" s="349">
        <f>ID!H13</f>
        <v>37.9</v>
      </c>
      <c r="P7" s="764">
        <f>ID!J13</f>
        <v>46.3</v>
      </c>
      <c r="Q7" s="349">
        <f>ID!L13</f>
        <v>54.7</v>
      </c>
      <c r="R7" s="349" t="str">
        <f>VLOOKUP(L7,$B$3:$H$21,7,FALSE)</f>
        <v>U/L</v>
      </c>
      <c r="S7" s="349" t="str">
        <f t="shared" si="4"/>
        <v>(37.9-54.7)U/L</v>
      </c>
    </row>
    <row r="8" spans="1:19" x14ac:dyDescent="0.25">
      <c r="A8" s="349">
        <v>6</v>
      </c>
      <c r="B8" s="588" t="s">
        <v>188</v>
      </c>
      <c r="C8" s="589"/>
      <c r="D8" s="590" t="s">
        <v>189</v>
      </c>
      <c r="E8" s="591"/>
      <c r="F8" s="591"/>
      <c r="G8" s="591"/>
      <c r="H8" s="588" t="s">
        <v>187</v>
      </c>
      <c r="I8" s="349" t="str">
        <f t="shared" si="0"/>
        <v>(-)mg/dL</v>
      </c>
      <c r="K8" s="591">
        <v>6</v>
      </c>
      <c r="L8" s="766" t="str">
        <f>ID!C14</f>
        <v>SGPT</v>
      </c>
      <c r="M8" s="765">
        <f t="shared" si="1"/>
        <v>22.080679405520158</v>
      </c>
      <c r="N8" s="349" t="str">
        <f t="shared" si="2"/>
        <v>( ALTL )</v>
      </c>
      <c r="O8" s="349">
        <f>ID!H14</f>
        <v>36.700000000000003</v>
      </c>
      <c r="P8" s="764">
        <f>ID!J14</f>
        <v>47.1</v>
      </c>
      <c r="Q8" s="349">
        <f>ID!L14</f>
        <v>55.5</v>
      </c>
      <c r="R8" s="349" t="str">
        <f t="shared" si="3"/>
        <v>U/L</v>
      </c>
      <c r="S8" s="349" t="str">
        <f t="shared" si="4"/>
        <v>(36.7-55.5)U/L</v>
      </c>
    </row>
    <row r="9" spans="1:19" x14ac:dyDescent="0.25">
      <c r="A9" s="349">
        <v>7</v>
      </c>
      <c r="B9" s="588" t="s">
        <v>190</v>
      </c>
      <c r="C9" s="589"/>
      <c r="D9" s="590" t="s">
        <v>191</v>
      </c>
      <c r="E9" s="591"/>
      <c r="F9" s="591"/>
      <c r="G9" s="591"/>
      <c r="H9" s="588" t="s">
        <v>192</v>
      </c>
      <c r="I9" s="349" t="str">
        <f t="shared" si="0"/>
        <v>(-)g/L</v>
      </c>
    </row>
    <row r="10" spans="1:19" x14ac:dyDescent="0.25">
      <c r="A10" s="349">
        <v>8</v>
      </c>
      <c r="B10" s="588" t="s">
        <v>193</v>
      </c>
      <c r="C10" s="589"/>
      <c r="D10" s="590" t="s">
        <v>194</v>
      </c>
      <c r="E10" s="591"/>
      <c r="F10" s="591"/>
      <c r="G10" s="591"/>
      <c r="H10" s="588" t="s">
        <v>192</v>
      </c>
      <c r="I10" s="349" t="str">
        <f t="shared" si="0"/>
        <v>(-)g/L</v>
      </c>
    </row>
    <row r="11" spans="1:19" x14ac:dyDescent="0.25">
      <c r="A11" s="349">
        <v>9</v>
      </c>
      <c r="B11" s="588" t="s">
        <v>195</v>
      </c>
      <c r="C11" s="589"/>
      <c r="D11" s="590" t="s">
        <v>196</v>
      </c>
      <c r="E11" s="591"/>
      <c r="F11" s="591"/>
      <c r="G11" s="591"/>
      <c r="H11" s="588" t="s">
        <v>179</v>
      </c>
      <c r="I11" s="349" t="str">
        <f t="shared" si="0"/>
        <v>(-)U/L</v>
      </c>
    </row>
    <row r="12" spans="1:19" x14ac:dyDescent="0.25">
      <c r="A12" s="349">
        <v>10</v>
      </c>
      <c r="B12" s="588" t="s">
        <v>197</v>
      </c>
      <c r="C12" s="589"/>
      <c r="D12" s="590" t="s">
        <v>198</v>
      </c>
      <c r="E12" s="591"/>
      <c r="F12" s="591"/>
      <c r="G12" s="591"/>
      <c r="H12" s="588" t="s">
        <v>187</v>
      </c>
      <c r="I12" s="349" t="str">
        <f t="shared" si="0"/>
        <v>(-)mg/dL</v>
      </c>
    </row>
    <row r="13" spans="1:19" x14ac:dyDescent="0.25">
      <c r="A13" s="349">
        <v>11</v>
      </c>
      <c r="B13" s="588" t="s">
        <v>199</v>
      </c>
      <c r="C13" s="589"/>
      <c r="D13" s="590" t="s">
        <v>200</v>
      </c>
      <c r="E13" s="591"/>
      <c r="F13" s="591"/>
      <c r="G13" s="591"/>
      <c r="H13" s="588" t="s">
        <v>187</v>
      </c>
      <c r="I13" s="349" t="str">
        <f t="shared" si="0"/>
        <v>(-)mg/dL</v>
      </c>
    </row>
    <row r="14" spans="1:19" x14ac:dyDescent="0.25">
      <c r="A14" s="349">
        <v>12</v>
      </c>
      <c r="B14" s="588" t="s">
        <v>201</v>
      </c>
      <c r="C14" s="589"/>
      <c r="D14" s="590" t="s">
        <v>202</v>
      </c>
      <c r="E14" s="591"/>
      <c r="F14" s="591"/>
      <c r="G14" s="591"/>
      <c r="H14" s="588" t="s">
        <v>187</v>
      </c>
      <c r="I14" s="349" t="str">
        <f t="shared" si="0"/>
        <v>(-)mg/dL</v>
      </c>
    </row>
    <row r="15" spans="1:19" x14ac:dyDescent="0.25">
      <c r="A15" s="349">
        <v>13</v>
      </c>
      <c r="B15" s="588" t="s">
        <v>203</v>
      </c>
      <c r="C15" s="589"/>
      <c r="D15" s="590" t="s">
        <v>204</v>
      </c>
      <c r="E15" s="591"/>
      <c r="F15" s="591"/>
      <c r="G15" s="591"/>
      <c r="H15" s="588" t="s">
        <v>187</v>
      </c>
      <c r="I15" s="349" t="str">
        <f t="shared" si="0"/>
        <v>(-)mg/dL</v>
      </c>
    </row>
    <row r="16" spans="1:19" x14ac:dyDescent="0.25">
      <c r="A16" s="349">
        <v>14</v>
      </c>
      <c r="B16" s="588" t="s">
        <v>83</v>
      </c>
      <c r="C16" s="589"/>
      <c r="D16" s="590" t="s">
        <v>205</v>
      </c>
      <c r="E16" s="591"/>
      <c r="F16" s="591"/>
      <c r="G16" s="591"/>
      <c r="H16" s="588" t="s">
        <v>187</v>
      </c>
      <c r="I16" s="349" t="str">
        <f t="shared" si="0"/>
        <v>(-)mg/dL</v>
      </c>
    </row>
    <row r="17" spans="1:9" x14ac:dyDescent="0.25">
      <c r="A17" s="349">
        <v>15</v>
      </c>
      <c r="B17" s="588" t="s">
        <v>206</v>
      </c>
      <c r="C17" s="589"/>
      <c r="D17" s="590" t="s">
        <v>207</v>
      </c>
      <c r="E17" s="591"/>
      <c r="F17" s="591"/>
      <c r="G17" s="591"/>
      <c r="H17" s="588" t="s">
        <v>187</v>
      </c>
      <c r="I17" s="349" t="str">
        <f t="shared" si="0"/>
        <v>(-)mg/dL</v>
      </c>
    </row>
    <row r="18" spans="1:9" x14ac:dyDescent="0.25">
      <c r="A18" s="349">
        <v>16</v>
      </c>
      <c r="B18" s="588" t="s">
        <v>86</v>
      </c>
      <c r="C18" s="589"/>
      <c r="D18" s="590" t="s">
        <v>208</v>
      </c>
      <c r="E18" s="591"/>
      <c r="F18" s="591"/>
      <c r="G18" s="591"/>
      <c r="H18" s="588" t="s">
        <v>187</v>
      </c>
      <c r="I18" s="349" t="str">
        <f t="shared" si="0"/>
        <v>(-)mg/dL</v>
      </c>
    </row>
    <row r="19" spans="1:9" x14ac:dyDescent="0.25">
      <c r="A19" s="349">
        <v>17</v>
      </c>
      <c r="B19" s="588" t="s">
        <v>84</v>
      </c>
      <c r="C19" s="589"/>
      <c r="D19" s="590" t="s">
        <v>209</v>
      </c>
      <c r="E19" s="591"/>
      <c r="F19" s="591"/>
      <c r="G19" s="591"/>
      <c r="H19" s="588" t="s">
        <v>187</v>
      </c>
      <c r="I19" s="349" t="str">
        <f t="shared" si="0"/>
        <v>(-)mg/dL</v>
      </c>
    </row>
    <row r="20" spans="1:9" x14ac:dyDescent="0.25">
      <c r="A20" s="349">
        <v>18</v>
      </c>
      <c r="B20" s="588" t="s">
        <v>210</v>
      </c>
      <c r="C20" s="589"/>
      <c r="D20" s="590" t="s">
        <v>211</v>
      </c>
      <c r="E20" s="591"/>
      <c r="F20" s="591"/>
      <c r="G20" s="591"/>
      <c r="H20" s="588" t="s">
        <v>179</v>
      </c>
      <c r="I20" s="349" t="str">
        <f t="shared" si="0"/>
        <v>(-)U/L</v>
      </c>
    </row>
    <row r="21" spans="1:9" x14ac:dyDescent="0.25">
      <c r="A21" s="349">
        <v>19</v>
      </c>
      <c r="B21" s="588" t="s">
        <v>85</v>
      </c>
      <c r="C21" s="589"/>
      <c r="D21" s="590" t="s">
        <v>212</v>
      </c>
      <c r="E21" s="591"/>
      <c r="F21" s="591"/>
      <c r="G21" s="591"/>
      <c r="H21" s="588" t="s">
        <v>187</v>
      </c>
      <c r="I21" s="349" t="str">
        <f t="shared" si="0"/>
        <v>(-)mg/dL</v>
      </c>
    </row>
    <row r="22" spans="1:9" x14ac:dyDescent="0.25">
      <c r="A22" s="1"/>
      <c r="B22" s="596" t="s">
        <v>113</v>
      </c>
      <c r="C22" s="596" t="s">
        <v>113</v>
      </c>
      <c r="D22" s="596" t="s">
        <v>113</v>
      </c>
      <c r="E22" s="596" t="s">
        <v>113</v>
      </c>
      <c r="F22" s="596" t="s">
        <v>113</v>
      </c>
      <c r="G22" s="596" t="s">
        <v>113</v>
      </c>
      <c r="H22" s="596" t="s">
        <v>113</v>
      </c>
      <c r="I22" s="596" t="s">
        <v>113</v>
      </c>
    </row>
    <row r="23" spans="1:9" x14ac:dyDescent="0.25">
      <c r="A23" s="1"/>
      <c r="D23" s="586"/>
    </row>
    <row r="24" spans="1:9" x14ac:dyDescent="0.25">
      <c r="A24" s="1"/>
      <c r="D24" s="586"/>
    </row>
    <row r="25" spans="1:9" x14ac:dyDescent="0.25">
      <c r="A25" s="1"/>
      <c r="D25" s="586"/>
    </row>
    <row r="26" spans="1:9" x14ac:dyDescent="0.25">
      <c r="A26" s="1"/>
      <c r="D26" s="586"/>
    </row>
    <row r="27" spans="1:9" x14ac:dyDescent="0.25">
      <c r="A27" s="1"/>
      <c r="D27" s="586"/>
    </row>
  </sheetData>
  <mergeCells count="1">
    <mergeCell ref="K1:S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D8AB-E67F-4367-90D6-499B8CB5C850}">
  <dimension ref="A2:E100"/>
  <sheetViews>
    <sheetView workbookViewId="0">
      <selection activeCell="B10" sqref="B10"/>
    </sheetView>
  </sheetViews>
  <sheetFormatPr defaultRowHeight="13.2" x14ac:dyDescent="0.25"/>
  <cols>
    <col min="2" max="2" width="32.77734375" customWidth="1"/>
    <col min="3" max="3" width="43.44140625" customWidth="1"/>
    <col min="4" max="4" width="49.21875" customWidth="1"/>
    <col min="5" max="5" width="14.5546875" customWidth="1"/>
  </cols>
  <sheetData>
    <row r="2" spans="1:5" x14ac:dyDescent="0.25">
      <c r="A2" s="841" t="s">
        <v>72</v>
      </c>
      <c r="B2" s="841" t="s">
        <v>73</v>
      </c>
      <c r="C2" s="841" t="s">
        <v>74</v>
      </c>
      <c r="D2" s="841"/>
      <c r="E2" s="841" t="s">
        <v>75</v>
      </c>
    </row>
    <row r="3" spans="1:5" x14ac:dyDescent="0.25">
      <c r="A3" s="841"/>
      <c r="B3" s="841"/>
      <c r="C3" s="601" t="s">
        <v>14</v>
      </c>
      <c r="D3" s="601" t="s">
        <v>15</v>
      </c>
      <c r="E3" s="841"/>
    </row>
    <row r="4" spans="1:5" x14ac:dyDescent="0.25">
      <c r="A4" s="602"/>
      <c r="B4" s="603"/>
      <c r="C4" s="604"/>
      <c r="D4" s="605"/>
      <c r="E4" s="602"/>
    </row>
    <row r="5" spans="1:5" ht="13.8" x14ac:dyDescent="0.25">
      <c r="A5" s="602"/>
      <c r="B5" s="603"/>
      <c r="C5" s="203"/>
      <c r="D5" s="598"/>
      <c r="E5" s="602"/>
    </row>
    <row r="6" spans="1:5" x14ac:dyDescent="0.25">
      <c r="A6" s="602"/>
      <c r="B6" s="603"/>
      <c r="C6" s="606"/>
      <c r="D6" s="602"/>
      <c r="E6" s="602"/>
    </row>
    <row r="7" spans="1:5" x14ac:dyDescent="0.25">
      <c r="A7" s="602"/>
      <c r="B7" s="603"/>
      <c r="C7" s="606"/>
      <c r="D7" s="602"/>
      <c r="E7" s="602"/>
    </row>
    <row r="8" spans="1:5" x14ac:dyDescent="0.25">
      <c r="A8" s="602"/>
      <c r="B8" s="603"/>
      <c r="C8" s="606"/>
      <c r="D8" s="606"/>
      <c r="E8" s="602"/>
    </row>
    <row r="9" spans="1:5" x14ac:dyDescent="0.25">
      <c r="A9" s="602"/>
      <c r="B9" s="603"/>
      <c r="C9" s="606"/>
      <c r="D9" s="606"/>
      <c r="E9" s="602"/>
    </row>
    <row r="10" spans="1:5" x14ac:dyDescent="0.25">
      <c r="A10" s="602"/>
      <c r="B10" s="603"/>
      <c r="C10" s="606"/>
      <c r="D10" s="606"/>
      <c r="E10" s="602"/>
    </row>
    <row r="11" spans="1:5" x14ac:dyDescent="0.25">
      <c r="A11" s="602"/>
      <c r="B11" s="603"/>
      <c r="C11" s="606"/>
      <c r="D11" s="602"/>
      <c r="E11" s="602"/>
    </row>
    <row r="12" spans="1:5" x14ac:dyDescent="0.25">
      <c r="A12" s="602"/>
      <c r="B12" s="603"/>
      <c r="C12" s="602"/>
      <c r="D12" s="602"/>
      <c r="E12" s="607"/>
    </row>
    <row r="13" spans="1:5" x14ac:dyDescent="0.25">
      <c r="A13" s="602"/>
      <c r="B13" s="603"/>
      <c r="C13" s="602"/>
      <c r="D13" s="602"/>
      <c r="E13" s="602"/>
    </row>
    <row r="14" spans="1:5" x14ac:dyDescent="0.25">
      <c r="A14" s="192"/>
      <c r="B14" s="608"/>
      <c r="C14" s="192"/>
      <c r="D14" s="192"/>
      <c r="E14" s="192"/>
    </row>
    <row r="15" spans="1:5" x14ac:dyDescent="0.25">
      <c r="A15" s="610"/>
      <c r="B15" s="611"/>
      <c r="C15" s="609"/>
      <c r="D15" s="610"/>
      <c r="E15" s="610"/>
    </row>
    <row r="16" spans="1:5" x14ac:dyDescent="0.25">
      <c r="A16" s="602"/>
      <c r="B16" s="603"/>
      <c r="C16" s="602"/>
      <c r="D16" s="602"/>
      <c r="E16" s="588"/>
    </row>
    <row r="17" spans="1:5" x14ac:dyDescent="0.25">
      <c r="A17" s="602"/>
      <c r="B17" s="603"/>
      <c r="C17" s="602"/>
      <c r="D17" s="602"/>
      <c r="E17" s="588"/>
    </row>
    <row r="18" spans="1:5" x14ac:dyDescent="0.25">
      <c r="A18" s="602"/>
      <c r="B18" s="603"/>
      <c r="C18" s="602"/>
      <c r="D18" s="602"/>
      <c r="E18" s="588"/>
    </row>
    <row r="19" spans="1:5" x14ac:dyDescent="0.25">
      <c r="A19" s="602"/>
      <c r="B19" s="603"/>
      <c r="C19" s="602"/>
      <c r="D19" s="602"/>
      <c r="E19" s="588"/>
    </row>
    <row r="20" spans="1:5" x14ac:dyDescent="0.25">
      <c r="A20" s="602"/>
      <c r="B20" s="603"/>
      <c r="C20" s="602"/>
      <c r="D20" s="602"/>
      <c r="E20" s="588"/>
    </row>
    <row r="21" spans="1:5" x14ac:dyDescent="0.25">
      <c r="A21" s="602"/>
      <c r="B21" s="603"/>
      <c r="C21" s="602"/>
      <c r="D21" s="602"/>
      <c r="E21" s="588"/>
    </row>
    <row r="22" spans="1:5" x14ac:dyDescent="0.25">
      <c r="A22" s="602"/>
      <c r="B22" s="603"/>
      <c r="C22" s="602"/>
      <c r="D22" s="602"/>
      <c r="E22" s="588"/>
    </row>
    <row r="23" spans="1:5" x14ac:dyDescent="0.25">
      <c r="A23" s="602"/>
      <c r="B23" s="603"/>
      <c r="C23" s="602"/>
      <c r="D23" s="602"/>
      <c r="E23" s="588"/>
    </row>
    <row r="24" spans="1:5" x14ac:dyDescent="0.25">
      <c r="A24" s="602"/>
      <c r="B24" s="603"/>
      <c r="C24" s="602"/>
      <c r="D24" s="602"/>
      <c r="E24" s="588"/>
    </row>
    <row r="25" spans="1:5" x14ac:dyDescent="0.25">
      <c r="A25" s="602"/>
      <c r="B25" s="603"/>
      <c r="C25" s="602"/>
      <c r="D25" s="602"/>
      <c r="E25" s="588"/>
    </row>
    <row r="100" spans="1:2" x14ac:dyDescent="0.25">
      <c r="A100" s="612" t="s">
        <v>76</v>
      </c>
      <c r="B100" s="612" t="s">
        <v>77</v>
      </c>
    </row>
  </sheetData>
  <sheetProtection algorithmName="SHA-512" hashValue="hOEwT4XwHkQIki1BGfdzrWxx1iQhADSmwlkfbb14flqk9usyT2FLrTon6RYtrSZDmQHzShEXtG5C7mc1DG2ANg==" saltValue="MTh06d5Vr1xBn5cp25ApMw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X173"/>
  <sheetViews>
    <sheetView showGridLines="0" topLeftCell="A37" zoomScale="70" zoomScaleNormal="70" zoomScaleSheetLayoutView="100" zoomScalePageLayoutView="80" workbookViewId="0">
      <selection activeCell="B59" sqref="B59"/>
    </sheetView>
  </sheetViews>
  <sheetFormatPr defaultColWidth="9.21875" defaultRowHeight="13.8" x14ac:dyDescent="0.25"/>
  <cols>
    <col min="1" max="2" width="4.5546875" style="52" customWidth="1"/>
    <col min="3" max="3" width="16.5546875" style="52" customWidth="1"/>
    <col min="4" max="4" width="2.44140625" style="59" customWidth="1"/>
    <col min="5" max="6" width="8.77734375" style="52" customWidth="1"/>
    <col min="7" max="7" width="10.77734375" style="52" customWidth="1"/>
    <col min="8" max="8" width="11" style="52" customWidth="1"/>
    <col min="9" max="9" width="12.5546875" style="52" customWidth="1"/>
    <col min="10" max="10" width="10.21875" style="52" customWidth="1"/>
    <col min="11" max="11" width="13.21875" style="52" customWidth="1"/>
    <col min="12" max="12" width="15" style="52" customWidth="1"/>
    <col min="13" max="13" width="12.5546875" style="52" customWidth="1"/>
    <col min="14" max="14" width="11" style="52" customWidth="1"/>
    <col min="15" max="15" width="9.21875" style="52"/>
    <col min="16" max="16" width="11.21875" style="52" customWidth="1"/>
    <col min="17" max="17" width="11.44140625" style="52" customWidth="1"/>
    <col min="18" max="18" width="9.21875" style="52" bestFit="1" customWidth="1"/>
    <col min="19" max="19" width="10.77734375" style="52" customWidth="1"/>
    <col min="20" max="20" width="13.5546875" style="52" bestFit="1" customWidth="1"/>
    <col min="21" max="21" width="9.21875" style="52" customWidth="1"/>
    <col min="22" max="22" width="11.21875" style="52" customWidth="1"/>
    <col min="23" max="23" width="13" style="52" customWidth="1"/>
    <col min="24" max="16384" width="9.21875" style="52"/>
  </cols>
  <sheetData>
    <row r="1" spans="1:15" ht="17.399999999999999" x14ac:dyDescent="0.25">
      <c r="A1" s="859" t="s">
        <v>78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</row>
    <row r="2" spans="1:15" ht="15.6" x14ac:dyDescent="0.25">
      <c r="A2" s="58"/>
      <c r="B2" s="58"/>
      <c r="C2" s="130"/>
      <c r="D2" s="130"/>
      <c r="E2" s="881" t="str">
        <f>PENYELIA!B78</f>
        <v>Nomor Sertifikat : 85 /</v>
      </c>
      <c r="F2" s="881"/>
      <c r="G2" s="881"/>
      <c r="H2" s="881"/>
      <c r="I2" s="880" t="s">
        <v>419</v>
      </c>
      <c r="J2" s="880"/>
      <c r="K2" s="880"/>
      <c r="L2" s="57"/>
      <c r="M2" s="130"/>
      <c r="N2" s="57"/>
      <c r="O2" s="52" t="s">
        <v>79</v>
      </c>
    </row>
    <row r="3" spans="1:15" ht="15.6" x14ac:dyDescent="0.25">
      <c r="A3" s="58"/>
      <c r="B3" s="58"/>
      <c r="C3" s="58"/>
      <c r="D3" s="58"/>
      <c r="E3" s="56"/>
      <c r="G3" s="57"/>
      <c r="H3" s="344"/>
      <c r="I3" s="129"/>
      <c r="J3" s="130"/>
      <c r="K3" s="130"/>
      <c r="L3" s="131"/>
      <c r="M3" s="58"/>
    </row>
    <row r="4" spans="1:15" ht="15.6" x14ac:dyDescent="0.25">
      <c r="A4" s="58"/>
      <c r="B4" s="58"/>
      <c r="C4" s="58"/>
      <c r="D4" s="58"/>
      <c r="E4" s="56"/>
      <c r="F4" s="57"/>
      <c r="G4" s="57"/>
      <c r="H4" s="344"/>
      <c r="I4" s="129"/>
      <c r="J4" s="130"/>
      <c r="K4" s="130"/>
      <c r="L4" s="131"/>
      <c r="M4" s="58"/>
    </row>
    <row r="5" spans="1:15" x14ac:dyDescent="0.25">
      <c r="L5" s="60"/>
      <c r="M5" s="60"/>
    </row>
    <row r="6" spans="1:15" x14ac:dyDescent="0.25">
      <c r="A6" s="52" t="s">
        <v>2</v>
      </c>
      <c r="D6" s="59" t="s">
        <v>8</v>
      </c>
      <c r="E6" s="616" t="s">
        <v>80</v>
      </c>
      <c r="F6" s="207"/>
      <c r="G6" s="207"/>
      <c r="K6" s="580"/>
      <c r="L6" s="581"/>
      <c r="M6" s="60"/>
    </row>
    <row r="7" spans="1:15" x14ac:dyDescent="0.25">
      <c r="A7" s="52" t="s">
        <v>4</v>
      </c>
      <c r="D7" s="59" t="s">
        <v>8</v>
      </c>
      <c r="E7" s="616" t="s">
        <v>81</v>
      </c>
      <c r="F7" s="207"/>
      <c r="G7" s="207"/>
      <c r="M7" s="60"/>
    </row>
    <row r="8" spans="1:15" x14ac:dyDescent="0.25">
      <c r="A8" s="52" t="s">
        <v>5</v>
      </c>
      <c r="D8" s="59" t="s">
        <v>8</v>
      </c>
      <c r="E8" s="615" t="s">
        <v>82</v>
      </c>
      <c r="F8" s="207"/>
      <c r="G8" s="207"/>
      <c r="L8" s="60"/>
      <c r="M8" s="60"/>
    </row>
    <row r="9" spans="1:15" ht="15" x14ac:dyDescent="0.25">
      <c r="A9" s="52" t="s">
        <v>6</v>
      </c>
      <c r="C9" s="587" t="s">
        <v>83</v>
      </c>
      <c r="D9" s="59" t="s">
        <v>8</v>
      </c>
      <c r="E9" s="802">
        <v>1</v>
      </c>
      <c r="F9" s="658" t="str">
        <f>VLOOKUP(ID!C9,'Data Parameter'!$B$3:$I$22,7,FALSE)</f>
        <v>mg/dL</v>
      </c>
      <c r="G9" s="843" t="s">
        <v>380</v>
      </c>
      <c r="H9" s="804">
        <v>79.5</v>
      </c>
      <c r="I9" s="843" t="s">
        <v>379</v>
      </c>
      <c r="J9" s="804">
        <v>93.6</v>
      </c>
      <c r="K9" s="842" t="s">
        <v>381</v>
      </c>
      <c r="L9" s="804">
        <v>107.7</v>
      </c>
      <c r="M9" s="60"/>
    </row>
    <row r="10" spans="1:15" ht="15" x14ac:dyDescent="0.25">
      <c r="C10" s="587" t="s">
        <v>84</v>
      </c>
      <c r="D10" s="59" t="s">
        <v>8</v>
      </c>
      <c r="E10" s="802">
        <v>1</v>
      </c>
      <c r="F10" s="658" t="str">
        <f>VLOOKUP(ID!C10,'Data Parameter'!$B$3:$I$22,7,FALSE)</f>
        <v>mg/dL</v>
      </c>
      <c r="G10" s="843"/>
      <c r="H10" s="804">
        <v>90</v>
      </c>
      <c r="I10" s="843"/>
      <c r="J10" s="804">
        <v>105</v>
      </c>
      <c r="K10" s="842"/>
      <c r="L10" s="804">
        <v>120</v>
      </c>
      <c r="M10" s="60"/>
    </row>
    <row r="11" spans="1:15" ht="15.45" customHeight="1" x14ac:dyDescent="0.25">
      <c r="C11" s="587" t="s">
        <v>85</v>
      </c>
      <c r="D11" s="59" t="s">
        <v>8</v>
      </c>
      <c r="E11" s="803">
        <v>1</v>
      </c>
      <c r="F11" s="658" t="str">
        <f>VLOOKUP(ID!C11,'Data Parameter'!$B$3:$I$22,7,FALSE)</f>
        <v>mg/dL</v>
      </c>
      <c r="G11" s="843"/>
      <c r="H11" s="804">
        <v>4.2699999999999996</v>
      </c>
      <c r="I11" s="843"/>
      <c r="J11" s="804">
        <v>5.0199999999999996</v>
      </c>
      <c r="K11" s="842"/>
      <c r="L11" s="804">
        <v>5.77</v>
      </c>
      <c r="M11" s="60"/>
    </row>
    <row r="12" spans="1:15" ht="15" x14ac:dyDescent="0.25">
      <c r="C12" s="587" t="s">
        <v>86</v>
      </c>
      <c r="D12" s="59" t="s">
        <v>8</v>
      </c>
      <c r="E12" s="803">
        <v>1</v>
      </c>
      <c r="F12" s="658" t="str">
        <f>VLOOKUP(ID!C12,'Data Parameter'!$B$3:$I$22,7,FALSE)</f>
        <v>mg/dL</v>
      </c>
      <c r="G12" s="843"/>
      <c r="H12" s="804">
        <v>102</v>
      </c>
      <c r="I12" s="843"/>
      <c r="J12" s="804">
        <v>120</v>
      </c>
      <c r="K12" s="842"/>
      <c r="L12" s="804">
        <v>138</v>
      </c>
      <c r="M12" s="60"/>
    </row>
    <row r="13" spans="1:15" ht="15" x14ac:dyDescent="0.25">
      <c r="C13" s="587" t="s">
        <v>87</v>
      </c>
      <c r="D13" s="59" t="s">
        <v>8</v>
      </c>
      <c r="E13" s="803">
        <v>1</v>
      </c>
      <c r="F13" s="658" t="str">
        <f>VLOOKUP(ID!C13,'Data Parameter'!$B$3:$I$22,7,FALSE)</f>
        <v>U/L</v>
      </c>
      <c r="G13" s="843"/>
      <c r="H13" s="804">
        <v>37.9</v>
      </c>
      <c r="I13" s="843"/>
      <c r="J13" s="804">
        <v>46.3</v>
      </c>
      <c r="K13" s="842"/>
      <c r="L13" s="804">
        <v>54.7</v>
      </c>
      <c r="M13" s="60"/>
    </row>
    <row r="14" spans="1:15" ht="15" x14ac:dyDescent="0.25">
      <c r="C14" s="587" t="s">
        <v>88</v>
      </c>
      <c r="D14" s="59" t="s">
        <v>8</v>
      </c>
      <c r="E14" s="803">
        <v>1</v>
      </c>
      <c r="F14" s="658" t="str">
        <f>VLOOKUP(ID!C14,'Data Parameter'!$B$3:$I$22,7,FALSE)</f>
        <v>U/L</v>
      </c>
      <c r="G14" s="843"/>
      <c r="H14" s="804">
        <v>36.700000000000003</v>
      </c>
      <c r="I14" s="843"/>
      <c r="J14" s="804">
        <v>47.1</v>
      </c>
      <c r="K14" s="842"/>
      <c r="L14" s="804">
        <v>55.5</v>
      </c>
      <c r="M14" s="60"/>
    </row>
    <row r="15" spans="1:15" x14ac:dyDescent="0.25">
      <c r="A15" s="52" t="s">
        <v>7</v>
      </c>
      <c r="D15" s="59" t="s">
        <v>8</v>
      </c>
      <c r="E15" s="871">
        <v>44483</v>
      </c>
      <c r="F15" s="871"/>
      <c r="G15" s="871"/>
      <c r="L15" s="60"/>
      <c r="M15" s="60"/>
    </row>
    <row r="16" spans="1:15" x14ac:dyDescent="0.25">
      <c r="A16" s="52" t="s">
        <v>9</v>
      </c>
      <c r="D16" s="59" t="s">
        <v>8</v>
      </c>
      <c r="E16" s="871">
        <f>E15</f>
        <v>44483</v>
      </c>
      <c r="F16" s="871"/>
      <c r="G16" s="871"/>
      <c r="L16" s="60"/>
      <c r="M16" s="60"/>
    </row>
    <row r="17" spans="1:16" x14ac:dyDescent="0.25">
      <c r="A17" s="52" t="s">
        <v>10</v>
      </c>
      <c r="D17" s="59" t="s">
        <v>8</v>
      </c>
      <c r="E17" s="615" t="s">
        <v>89</v>
      </c>
      <c r="F17" s="207"/>
      <c r="G17" s="207"/>
      <c r="L17" s="60"/>
      <c r="M17" s="60"/>
    </row>
    <row r="18" spans="1:16" x14ac:dyDescent="0.25">
      <c r="A18" s="52" t="s">
        <v>90</v>
      </c>
      <c r="D18" s="59" t="s">
        <v>8</v>
      </c>
      <c r="E18" s="615" t="s">
        <v>89</v>
      </c>
      <c r="F18" s="207"/>
      <c r="G18" s="207"/>
      <c r="L18" s="60"/>
      <c r="M18" s="60"/>
    </row>
    <row r="19" spans="1:16" x14ac:dyDescent="0.25">
      <c r="A19" s="52" t="s">
        <v>91</v>
      </c>
      <c r="D19" s="59" t="s">
        <v>8</v>
      </c>
      <c r="E19" s="22" t="s">
        <v>92</v>
      </c>
      <c r="L19" s="60"/>
      <c r="M19" s="60"/>
    </row>
    <row r="20" spans="1:16" ht="14.25" customHeight="1" x14ac:dyDescent="0.25">
      <c r="L20" s="60"/>
      <c r="M20" s="60"/>
    </row>
    <row r="21" spans="1:16" x14ac:dyDescent="0.25">
      <c r="A21" s="58" t="s">
        <v>93</v>
      </c>
      <c r="B21" s="58" t="s">
        <v>13</v>
      </c>
      <c r="C21" s="58"/>
      <c r="D21" s="614"/>
    </row>
    <row r="22" spans="1:16" ht="31.5" customHeight="1" x14ac:dyDescent="0.25">
      <c r="B22" s="58"/>
      <c r="C22" s="58"/>
      <c r="D22" s="614"/>
      <c r="E22" s="137" t="s">
        <v>14</v>
      </c>
      <c r="F22" s="137" t="s">
        <v>15</v>
      </c>
      <c r="G22" s="346" t="s">
        <v>94</v>
      </c>
      <c r="H22" s="61"/>
      <c r="I22" s="168"/>
      <c r="J22" s="169"/>
      <c r="K22" s="168"/>
      <c r="P22" s="543"/>
    </row>
    <row r="23" spans="1:16" ht="14.25" customHeight="1" x14ac:dyDescent="0.25">
      <c r="B23" s="52" t="s">
        <v>16</v>
      </c>
      <c r="D23" s="59" t="s">
        <v>8</v>
      </c>
      <c r="E23" s="805">
        <v>26.7</v>
      </c>
      <c r="F23" s="805">
        <v>27.7</v>
      </c>
      <c r="G23" s="758">
        <f>'DB Thermohygro'!M342</f>
        <v>27.012</v>
      </c>
      <c r="H23" s="62" t="s">
        <v>95</v>
      </c>
      <c r="I23" s="170"/>
      <c r="J23" s="171"/>
      <c r="P23" s="65"/>
    </row>
    <row r="24" spans="1:16" ht="14.25" customHeight="1" x14ac:dyDescent="0.25">
      <c r="B24" s="52" t="s">
        <v>18</v>
      </c>
      <c r="D24" s="59" t="s">
        <v>8</v>
      </c>
      <c r="E24" s="805">
        <v>73.3</v>
      </c>
      <c r="F24" s="805">
        <v>72</v>
      </c>
      <c r="G24" s="758">
        <f>'DB Thermohygro'!M343</f>
        <v>71.82350000000001</v>
      </c>
      <c r="H24" s="62" t="s">
        <v>19</v>
      </c>
      <c r="I24" s="172"/>
      <c r="J24" s="171"/>
      <c r="P24" s="65"/>
    </row>
    <row r="25" spans="1:16" ht="14.25" customHeight="1" x14ac:dyDescent="0.25">
      <c r="B25" s="52" t="s">
        <v>20</v>
      </c>
      <c r="D25" s="59" t="s">
        <v>8</v>
      </c>
      <c r="E25" s="874">
        <v>220</v>
      </c>
      <c r="F25" s="874"/>
      <c r="G25" s="758">
        <f>'DB Kelistrikan'!N198</f>
        <v>219.61</v>
      </c>
      <c r="H25" s="64" t="s">
        <v>21</v>
      </c>
      <c r="I25" s="62"/>
      <c r="J25" s="63"/>
    </row>
    <row r="26" spans="1:16" ht="14.25" customHeight="1" x14ac:dyDescent="0.25">
      <c r="J26" s="66"/>
    </row>
    <row r="27" spans="1:16" ht="16.2" x14ac:dyDescent="0.25">
      <c r="A27" s="58" t="s">
        <v>96</v>
      </c>
      <c r="B27" s="58" t="s">
        <v>97</v>
      </c>
      <c r="C27" s="58"/>
      <c r="D27" s="614"/>
      <c r="H27" s="67"/>
      <c r="J27" s="66"/>
    </row>
    <row r="28" spans="1:16" ht="15.75" customHeight="1" x14ac:dyDescent="0.25">
      <c r="B28" s="52" t="s">
        <v>24</v>
      </c>
      <c r="D28" s="59" t="s">
        <v>8</v>
      </c>
      <c r="E28" s="810" t="s">
        <v>98</v>
      </c>
      <c r="G28" s="68"/>
      <c r="H28" s="68"/>
      <c r="I28" s="68"/>
      <c r="J28" s="68"/>
      <c r="K28" s="68"/>
    </row>
    <row r="29" spans="1:16" ht="14.4" x14ac:dyDescent="0.25">
      <c r="B29" s="52" t="s">
        <v>26</v>
      </c>
      <c r="D29" s="59" t="s">
        <v>8</v>
      </c>
      <c r="E29" s="810" t="s">
        <v>98</v>
      </c>
      <c r="G29" s="68"/>
      <c r="H29" s="68"/>
      <c r="I29" s="68"/>
      <c r="J29" s="68"/>
      <c r="K29" s="68"/>
    </row>
    <row r="30" spans="1:16" ht="14.25" customHeight="1" x14ac:dyDescent="0.25">
      <c r="H30" s="67"/>
      <c r="J30" s="66"/>
    </row>
    <row r="31" spans="1:16" ht="16.2" x14ac:dyDescent="0.25">
      <c r="A31" s="58" t="s">
        <v>27</v>
      </c>
      <c r="B31" s="58" t="s">
        <v>99</v>
      </c>
      <c r="C31" s="58"/>
      <c r="D31" s="614"/>
      <c r="H31" s="67"/>
      <c r="J31" s="66"/>
    </row>
    <row r="32" spans="1:16" ht="30" customHeight="1" x14ac:dyDescent="0.25">
      <c r="B32" s="613" t="s">
        <v>28</v>
      </c>
      <c r="C32" s="860" t="s">
        <v>29</v>
      </c>
      <c r="D32" s="882"/>
      <c r="E32" s="882"/>
      <c r="F32" s="882"/>
      <c r="G32" s="882"/>
      <c r="H32" s="861"/>
      <c r="I32" s="860" t="s">
        <v>30</v>
      </c>
      <c r="J32" s="861"/>
      <c r="K32" s="860" t="s">
        <v>31</v>
      </c>
      <c r="L32" s="861"/>
      <c r="N32" s="69"/>
    </row>
    <row r="33" spans="1:24" ht="18" customHeight="1" x14ac:dyDescent="0.25">
      <c r="B33" s="88">
        <v>1</v>
      </c>
      <c r="C33" s="89" t="s">
        <v>100</v>
      </c>
      <c r="D33" s="90"/>
      <c r="E33" s="90"/>
      <c r="F33" s="90"/>
      <c r="G33" s="90"/>
      <c r="H33" s="90"/>
      <c r="I33" s="806" t="s">
        <v>101</v>
      </c>
      <c r="J33" s="193" t="s">
        <v>33</v>
      </c>
      <c r="K33" s="862">
        <v>2</v>
      </c>
      <c r="L33" s="863"/>
      <c r="N33" s="69"/>
      <c r="P33" s="876" t="s">
        <v>102</v>
      </c>
      <c r="Q33" s="876"/>
      <c r="R33" s="875" t="s">
        <v>39</v>
      </c>
      <c r="S33" s="875" t="s">
        <v>46</v>
      </c>
    </row>
    <row r="34" spans="1:24" ht="15.75" customHeight="1" x14ac:dyDescent="0.25">
      <c r="B34" s="347">
        <v>2</v>
      </c>
      <c r="C34" s="883" t="s">
        <v>103</v>
      </c>
      <c r="D34" s="884"/>
      <c r="E34" s="884"/>
      <c r="F34" s="884"/>
      <c r="G34" s="884"/>
      <c r="H34" s="885"/>
      <c r="I34" s="807">
        <v>0.32200000000000001</v>
      </c>
      <c r="J34" s="194" t="s">
        <v>36</v>
      </c>
      <c r="K34" s="864">
        <f>IF(C34=PENYELIA!Y30,PENYELIA!AE30,PENYELIA!AE31)</f>
        <v>0.2</v>
      </c>
      <c r="L34" s="865"/>
      <c r="N34" s="70"/>
      <c r="P34" s="876"/>
      <c r="Q34" s="876"/>
      <c r="R34" s="875"/>
      <c r="S34" s="875"/>
    </row>
    <row r="35" spans="1:24" ht="21.75" customHeight="1" x14ac:dyDescent="0.25">
      <c r="B35" s="348">
        <v>3</v>
      </c>
      <c r="C35" s="868" t="s">
        <v>104</v>
      </c>
      <c r="D35" s="869"/>
      <c r="E35" s="869"/>
      <c r="F35" s="869"/>
      <c r="G35" s="869"/>
      <c r="H35" s="870"/>
      <c r="I35" s="808">
        <v>600</v>
      </c>
      <c r="J35" s="195" t="s">
        <v>39</v>
      </c>
      <c r="K35" s="866">
        <f>IF(C35=PENYELIA!Y32,PENYELIA!AE32,PENYELIA!AE33)</f>
        <v>500</v>
      </c>
      <c r="L35" s="867"/>
      <c r="P35" s="755" t="s">
        <v>105</v>
      </c>
      <c r="Q35" s="756" t="s">
        <v>106</v>
      </c>
      <c r="R35" s="341">
        <v>10</v>
      </c>
      <c r="S35" s="757">
        <v>100</v>
      </c>
    </row>
    <row r="36" spans="1:24" ht="14.25" customHeight="1" x14ac:dyDescent="0.25">
      <c r="B36" s="208"/>
      <c r="C36" s="886"/>
      <c r="D36" s="886"/>
      <c r="E36" s="886"/>
      <c r="F36" s="886"/>
      <c r="G36" s="886"/>
      <c r="H36" s="886"/>
      <c r="L36" s="60"/>
      <c r="M36" s="60"/>
    </row>
    <row r="37" spans="1:24" ht="20.25" customHeight="1" x14ac:dyDescent="0.25">
      <c r="A37" s="58" t="s">
        <v>42</v>
      </c>
      <c r="B37" s="58" t="s">
        <v>107</v>
      </c>
      <c r="C37" s="58"/>
      <c r="D37" s="614"/>
      <c r="E37" s="58"/>
      <c r="F37" s="58"/>
      <c r="G37" s="58"/>
      <c r="H37" s="59"/>
      <c r="L37" s="60"/>
      <c r="M37" s="60"/>
    </row>
    <row r="38" spans="1:24" ht="20.25" customHeight="1" x14ac:dyDescent="0.25">
      <c r="A38" s="58"/>
      <c r="B38" s="58" t="s">
        <v>108</v>
      </c>
      <c r="C38" s="58"/>
      <c r="D38" s="614"/>
      <c r="E38" s="58"/>
      <c r="F38" s="58"/>
      <c r="G38" s="58"/>
      <c r="H38" s="59"/>
      <c r="L38" s="60"/>
      <c r="M38" s="60"/>
    </row>
    <row r="39" spans="1:24" x14ac:dyDescent="0.25">
      <c r="B39" s="872" t="s">
        <v>43</v>
      </c>
      <c r="C39" s="846" t="s">
        <v>29</v>
      </c>
      <c r="D39" s="759"/>
      <c r="E39" s="760"/>
      <c r="F39" s="837" t="s">
        <v>109</v>
      </c>
      <c r="G39" s="887" t="s">
        <v>110</v>
      </c>
      <c r="H39" s="888"/>
      <c r="I39" s="889"/>
      <c r="J39" s="831" t="s">
        <v>111</v>
      </c>
      <c r="K39" s="831" t="s">
        <v>112</v>
      </c>
      <c r="L39" s="831" t="s">
        <v>46</v>
      </c>
      <c r="P39" s="873"/>
      <c r="Q39" s="873"/>
      <c r="R39" s="873"/>
      <c r="S39" s="873"/>
      <c r="T39" s="873"/>
      <c r="U39" s="873"/>
      <c r="V39" s="856"/>
      <c r="W39" s="856"/>
      <c r="X39" s="856"/>
    </row>
    <row r="40" spans="1:24" x14ac:dyDescent="0.25">
      <c r="B40" s="872"/>
      <c r="C40" s="847"/>
      <c r="D40" s="761"/>
      <c r="E40" s="762"/>
      <c r="F40" s="837"/>
      <c r="G40" s="345" t="s">
        <v>47</v>
      </c>
      <c r="H40" s="345" t="s">
        <v>48</v>
      </c>
      <c r="I40" s="345" t="s">
        <v>49</v>
      </c>
      <c r="J40" s="834"/>
      <c r="K40" s="834"/>
      <c r="L40" s="834"/>
      <c r="P40" s="614"/>
      <c r="Q40" s="614"/>
      <c r="R40" s="614"/>
      <c r="S40" s="614"/>
      <c r="T40" s="614"/>
      <c r="U40" s="614"/>
      <c r="V40" s="856"/>
      <c r="W40" s="856"/>
      <c r="X40" s="856"/>
    </row>
    <row r="41" spans="1:24" ht="15.6" x14ac:dyDescent="0.25">
      <c r="B41" s="854">
        <v>1</v>
      </c>
      <c r="C41" s="638" t="str">
        <f>C9</f>
        <v>Cholesterol</v>
      </c>
      <c r="D41" s="857" t="str">
        <f>VLOOKUP(ID!C41,'Data Parameter'!$B$3:$H$21,7,FALSE)</f>
        <v>mg/dL</v>
      </c>
      <c r="E41" s="858"/>
      <c r="F41" s="848">
        <f>IF(E9="-","-",(VLOOKUP(ID!C41,'Data Parameter'!$L$3:$S$8,5,FALSE)))</f>
        <v>93.6</v>
      </c>
      <c r="G41" s="850">
        <v>80</v>
      </c>
      <c r="H41" s="850">
        <v>81</v>
      </c>
      <c r="I41" s="850">
        <v>82</v>
      </c>
      <c r="J41" s="852">
        <f>IF(G41="-","-",(AVERAGE(G41:I41)))</f>
        <v>81</v>
      </c>
      <c r="K41" s="844">
        <f>IF(G41="-","-",(STDEV(G41:I41)))</f>
        <v>1</v>
      </c>
      <c r="L41" s="593">
        <f>IF(G41="-","-",(VLOOKUP(ID!C41,'Data Parameter'!$L$3:$S$8,2,FALSE)))</f>
        <v>15.064102564102555</v>
      </c>
      <c r="P41" s="552"/>
      <c r="Q41" s="552"/>
      <c r="R41" s="552"/>
      <c r="S41" s="552"/>
      <c r="T41" s="552"/>
      <c r="U41" s="552"/>
      <c r="V41" s="554"/>
      <c r="W41" s="555"/>
      <c r="X41" s="556"/>
    </row>
    <row r="42" spans="1:24" ht="15.6" x14ac:dyDescent="0.25">
      <c r="B42" s="855"/>
      <c r="C42" s="639" t="str">
        <f>VLOOKUP(C41,'Data Parameter'!$B$3:$H$21,3,FALSE)</f>
        <v>( CHO2A )</v>
      </c>
      <c r="D42" s="640"/>
      <c r="E42" s="641"/>
      <c r="F42" s="849"/>
      <c r="G42" s="851"/>
      <c r="H42" s="851"/>
      <c r="I42" s="851"/>
      <c r="J42" s="853"/>
      <c r="K42" s="845"/>
      <c r="L42" s="595" t="str">
        <f>IF(G41="-","-",(VLOOKUP(C41,'Data Parameter'!$L$3:$S$8,8,FALSE)))</f>
        <v>(79.5-107.7)mg/dL</v>
      </c>
      <c r="P42" s="552"/>
      <c r="Q42" s="552"/>
      <c r="R42" s="552"/>
      <c r="S42" s="552"/>
      <c r="T42" s="552"/>
      <c r="U42" s="552"/>
      <c r="V42" s="554"/>
      <c r="W42" s="555"/>
      <c r="X42" s="556"/>
    </row>
    <row r="43" spans="1:24" ht="15.6" x14ac:dyDescent="0.25">
      <c r="B43" s="854">
        <v>2</v>
      </c>
      <c r="C43" s="638" t="str">
        <f t="shared" ref="C43" si="0">C10</f>
        <v>Glucose</v>
      </c>
      <c r="D43" s="857" t="str">
        <f>VLOOKUP(ID!C43,'Data Parameter'!$B$3:$H$21,7,FALSE)</f>
        <v>mg/dL</v>
      </c>
      <c r="E43" s="858"/>
      <c r="F43" s="848">
        <f>IF(E11="-","-",(VLOOKUP(ID!C43,'Data Parameter'!$L$3:$S$8,5,FALSE)))</f>
        <v>105</v>
      </c>
      <c r="G43" s="850">
        <v>111</v>
      </c>
      <c r="H43" s="850">
        <v>114</v>
      </c>
      <c r="I43" s="850">
        <v>112</v>
      </c>
      <c r="J43" s="852">
        <f t="shared" ref="J43" si="1">IF(G43="-","-",(AVERAGE(G43:I43)))</f>
        <v>112.33333333333333</v>
      </c>
      <c r="K43" s="844">
        <f>IF(G43="-","-",(STDEV(G43:I43)))</f>
        <v>1.5275252316519468</v>
      </c>
      <c r="L43" s="593">
        <f>IF(G43="-","-",(VLOOKUP(ID!C43,'Data Parameter'!$L$3:$S$8,2,FALSE)))</f>
        <v>14.285714285714292</v>
      </c>
      <c r="P43" s="552"/>
      <c r="Q43" s="552"/>
      <c r="R43" s="552"/>
      <c r="S43" s="552"/>
      <c r="T43" s="552"/>
      <c r="U43" s="552"/>
      <c r="V43" s="554"/>
      <c r="W43" s="555"/>
      <c r="X43" s="556"/>
    </row>
    <row r="44" spans="1:24" ht="15.6" x14ac:dyDescent="0.25">
      <c r="B44" s="855"/>
      <c r="C44" s="639" t="str">
        <f>VLOOKUP(C43,'Data Parameter'!$B$3:$H$21,3,FALSE)</f>
        <v>( GLUC2 )</v>
      </c>
      <c r="D44" s="640"/>
      <c r="E44" s="641"/>
      <c r="F44" s="849"/>
      <c r="G44" s="851"/>
      <c r="H44" s="851"/>
      <c r="I44" s="851"/>
      <c r="J44" s="853"/>
      <c r="K44" s="845"/>
      <c r="L44" s="595" t="str">
        <f>IF(G43="-","-",(VLOOKUP(C43,'Data Parameter'!$L$3:$S$8,8,FALSE)))</f>
        <v>(90-120)mg/dL</v>
      </c>
      <c r="P44" s="552"/>
      <c r="Q44" s="552"/>
      <c r="R44" s="552"/>
      <c r="S44" s="552"/>
      <c r="T44" s="552"/>
      <c r="U44" s="552"/>
      <c r="V44" s="554"/>
      <c r="W44" s="555"/>
      <c r="X44" s="556"/>
    </row>
    <row r="45" spans="1:24" ht="15.6" x14ac:dyDescent="0.25">
      <c r="B45" s="854">
        <v>3</v>
      </c>
      <c r="C45" s="638" t="str">
        <f>C11</f>
        <v>Asam Urat</v>
      </c>
      <c r="D45" s="857" t="str">
        <f>VLOOKUP(ID!C45,'Data Parameter'!$B$3:$H$21,7,FALSE)</f>
        <v>mg/dL</v>
      </c>
      <c r="E45" s="858"/>
      <c r="F45" s="848">
        <f>IF(E13="-","-",(VLOOKUP(ID!C45,'Data Parameter'!$L$3:$S$8,5,FALSE)))</f>
        <v>5.0199999999999996</v>
      </c>
      <c r="G45" s="850">
        <v>5.2</v>
      </c>
      <c r="H45" s="850">
        <v>5</v>
      </c>
      <c r="I45" s="850">
        <v>5.0999999999999996</v>
      </c>
      <c r="J45" s="852">
        <f t="shared" ref="J45" si="2">IF(G45="-","-",(AVERAGE(G45:I45)))</f>
        <v>5.0999999999999996</v>
      </c>
      <c r="K45" s="844">
        <f t="shared" ref="K45" si="3">IF(G45="-","-",(STDEV(G45:I45)))</f>
        <v>0.10000000000000009</v>
      </c>
      <c r="L45" s="593">
        <f>IF(G45="-","-",(VLOOKUP(ID!C45,'Data Parameter'!$L$3:$S$8,2,FALSE)))</f>
        <v>14.940239043824704</v>
      </c>
      <c r="P45" s="552"/>
      <c r="Q45" s="552"/>
      <c r="R45" s="552"/>
      <c r="S45" s="552"/>
      <c r="T45" s="552"/>
      <c r="U45" s="552"/>
      <c r="V45" s="554"/>
      <c r="W45" s="555"/>
      <c r="X45" s="556"/>
    </row>
    <row r="46" spans="1:24" ht="15.6" x14ac:dyDescent="0.25">
      <c r="B46" s="855"/>
      <c r="C46" s="639" t="str">
        <f>VLOOKUP(C45,'Data Parameter'!$B$3:$H$21,3,FALSE)</f>
        <v>( UA2 )</v>
      </c>
      <c r="D46" s="640"/>
      <c r="E46" s="641"/>
      <c r="F46" s="849"/>
      <c r="G46" s="851"/>
      <c r="H46" s="851"/>
      <c r="I46" s="851"/>
      <c r="J46" s="853"/>
      <c r="K46" s="845"/>
      <c r="L46" s="595" t="str">
        <f>IF(G45="-","-",(VLOOKUP(C45,'Data Parameter'!$L$3:$S$8,8,FALSE)))</f>
        <v>(4.27-5.77)mg/dL</v>
      </c>
      <c r="P46" s="552"/>
      <c r="Q46" s="552"/>
      <c r="R46" s="552"/>
      <c r="S46" s="552"/>
      <c r="T46" s="552"/>
      <c r="U46" s="552"/>
      <c r="V46" s="554"/>
      <c r="W46" s="555"/>
      <c r="X46" s="556"/>
    </row>
    <row r="47" spans="1:24" ht="15.6" x14ac:dyDescent="0.25">
      <c r="B47" s="854">
        <v>4</v>
      </c>
      <c r="C47" s="638" t="str">
        <f>C12</f>
        <v>Triglycerides</v>
      </c>
      <c r="D47" s="857" t="str">
        <f>VLOOKUP(ID!C47,'Data Parameter'!$B$3:$H$21,7,FALSE)</f>
        <v>mg/dL</v>
      </c>
      <c r="E47" s="858"/>
      <c r="F47" s="848">
        <f>IF(E15="-","-",(VLOOKUP(ID!C47,'Data Parameter'!$L$3:$S$8,5,FALSE)))</f>
        <v>120</v>
      </c>
      <c r="G47" s="850">
        <v>121.3</v>
      </c>
      <c r="H47" s="850">
        <v>122</v>
      </c>
      <c r="I47" s="850">
        <v>121.4</v>
      </c>
      <c r="J47" s="852">
        <f t="shared" ref="J47" si="4">IF(G47="-","-",(AVERAGE(G47:I47)))</f>
        <v>121.56666666666668</v>
      </c>
      <c r="K47" s="844">
        <f>IF(G47="-","-",(STDEV(G47:I47)))</f>
        <v>0.37859388972001801</v>
      </c>
      <c r="L47" s="593">
        <f>IF(G47="-","-",(VLOOKUP(ID!C47,'Data Parameter'!$L$3:$S$8,2,FALSE)))</f>
        <v>15</v>
      </c>
      <c r="P47" s="552"/>
      <c r="Q47" s="552"/>
      <c r="R47" s="552"/>
      <c r="S47" s="552"/>
      <c r="T47" s="552"/>
      <c r="U47" s="552"/>
      <c r="V47" s="554"/>
      <c r="W47" s="555"/>
      <c r="X47" s="556"/>
    </row>
    <row r="48" spans="1:24" ht="15.6" x14ac:dyDescent="0.25">
      <c r="B48" s="855"/>
      <c r="C48" s="639" t="str">
        <f>VLOOKUP(C47,'Data Parameter'!$B$3:$H$21,3,FALSE)</f>
        <v>( TRIGL )</v>
      </c>
      <c r="D48" s="640"/>
      <c r="E48" s="641"/>
      <c r="F48" s="849"/>
      <c r="G48" s="851"/>
      <c r="H48" s="851"/>
      <c r="I48" s="851"/>
      <c r="J48" s="853"/>
      <c r="K48" s="845"/>
      <c r="L48" s="595" t="str">
        <f>IF(G47="-","-",(VLOOKUP(C47,'Data Parameter'!$L$3:$S$8,8,FALSE)))</f>
        <v>(102-138)mg/dL</v>
      </c>
      <c r="P48" s="552"/>
      <c r="Q48" s="552"/>
      <c r="R48" s="552"/>
      <c r="S48" s="552"/>
      <c r="T48" s="552"/>
      <c r="U48" s="552"/>
      <c r="V48" s="554"/>
      <c r="W48" s="555"/>
      <c r="X48" s="556"/>
    </row>
    <row r="49" spans="1:24" ht="15.6" x14ac:dyDescent="0.25">
      <c r="B49" s="854">
        <v>5</v>
      </c>
      <c r="C49" s="638" t="str">
        <f>C13</f>
        <v>SGOT</v>
      </c>
      <c r="D49" s="857" t="str">
        <f>VLOOKUP(ID!C49,'Data Parameter'!$B$3:$H$21,7,FALSE)</f>
        <v>U/L</v>
      </c>
      <c r="E49" s="858"/>
      <c r="F49" s="848">
        <f>IF(E17="-","-",(VLOOKUP(ID!C49,'Data Parameter'!$L$3:$S$8,5,FALSE)))</f>
        <v>46.3</v>
      </c>
      <c r="G49" s="850" t="s">
        <v>113</v>
      </c>
      <c r="H49" s="850" t="s">
        <v>113</v>
      </c>
      <c r="I49" s="850" t="s">
        <v>113</v>
      </c>
      <c r="J49" s="852" t="str">
        <f t="shared" ref="J49" si="5">IF(G49="-","-",(AVERAGE(G49:I49)))</f>
        <v>-</v>
      </c>
      <c r="K49" s="844" t="str">
        <f t="shared" ref="K49" si="6">IF(G49="-","-",(STDEV(G49:I49)))</f>
        <v>-</v>
      </c>
      <c r="L49" s="593" t="str">
        <f>IF(G49="-","-",(VLOOKUP(ID!C49,'Data Parameter'!$L$3:$S$8,2,FALSE)))</f>
        <v>-</v>
      </c>
      <c r="P49" s="552"/>
      <c r="Q49" s="552"/>
      <c r="R49" s="552"/>
      <c r="S49" s="552"/>
      <c r="T49" s="552"/>
      <c r="U49" s="552"/>
      <c r="V49" s="554"/>
      <c r="W49" s="555"/>
      <c r="X49" s="556"/>
    </row>
    <row r="50" spans="1:24" ht="15.6" x14ac:dyDescent="0.25">
      <c r="B50" s="855"/>
      <c r="C50" s="639" t="str">
        <f>VLOOKUP(C49,'Data Parameter'!$B$3:$H$21,3,FALSE)</f>
        <v>( ASTL )</v>
      </c>
      <c r="D50" s="640"/>
      <c r="E50" s="641"/>
      <c r="F50" s="849"/>
      <c r="G50" s="851"/>
      <c r="H50" s="851"/>
      <c r="I50" s="851"/>
      <c r="J50" s="853"/>
      <c r="K50" s="845"/>
      <c r="L50" s="595" t="str">
        <f>IF(G49="-","-",(VLOOKUP(C49,'Data Parameter'!$L$3:$S$8,8,FALSE)))</f>
        <v>-</v>
      </c>
      <c r="P50" s="552"/>
      <c r="Q50" s="552"/>
      <c r="R50" s="552"/>
      <c r="S50" s="552"/>
      <c r="T50" s="552"/>
      <c r="U50" s="552"/>
      <c r="V50" s="554"/>
      <c r="W50" s="555"/>
      <c r="X50" s="556"/>
    </row>
    <row r="51" spans="1:24" ht="15.6" x14ac:dyDescent="0.25">
      <c r="B51" s="854">
        <v>6</v>
      </c>
      <c r="C51" s="638" t="str">
        <f>C14</f>
        <v>SGPT</v>
      </c>
      <c r="D51" s="857" t="str">
        <f>VLOOKUP(ID!C51,'Data Parameter'!$B$3:$H$21,7,FALSE)</f>
        <v>U/L</v>
      </c>
      <c r="E51" s="858"/>
      <c r="F51" s="848">
        <f>IF(E19="-","-",(VLOOKUP(ID!C51,'Data Parameter'!$L$3:$S$8,5,FALSE)))</f>
        <v>47.1</v>
      </c>
      <c r="G51" s="850" t="s">
        <v>113</v>
      </c>
      <c r="H51" s="850" t="s">
        <v>113</v>
      </c>
      <c r="I51" s="850" t="s">
        <v>113</v>
      </c>
      <c r="J51" s="852" t="str">
        <f t="shared" ref="J51" si="7">IF(G51="-","-",(AVERAGE(G51:I51)))</f>
        <v>-</v>
      </c>
      <c r="K51" s="844" t="str">
        <f t="shared" ref="K51" si="8">IF(G51="-","-",(STDEV(G51:I51)))</f>
        <v>-</v>
      </c>
      <c r="L51" s="593" t="str">
        <f>IF(G51="-","-",(VLOOKUP(ID!C51,'Data Parameter'!$L$3:$S$8,2,FALSE)))</f>
        <v>-</v>
      </c>
      <c r="P51" s="553"/>
      <c r="Q51" s="553"/>
      <c r="R51" s="553"/>
      <c r="S51" s="553"/>
      <c r="T51" s="553"/>
      <c r="U51" s="553"/>
      <c r="V51" s="554"/>
      <c r="W51" s="555"/>
      <c r="X51" s="556"/>
    </row>
    <row r="52" spans="1:24" ht="15.6" x14ac:dyDescent="0.25">
      <c r="B52" s="855"/>
      <c r="C52" s="639" t="str">
        <f>VLOOKUP(C51,'Data Parameter'!$B$3:$H$21,3,FALSE)</f>
        <v>( ALTL )</v>
      </c>
      <c r="D52" s="640"/>
      <c r="E52" s="641"/>
      <c r="F52" s="849"/>
      <c r="G52" s="851"/>
      <c r="H52" s="851"/>
      <c r="I52" s="851"/>
      <c r="J52" s="853"/>
      <c r="K52" s="845"/>
      <c r="L52" s="595" t="str">
        <f>IF(G51="-","-",(VLOOKUP(C51,'Data Parameter'!$L$3:$S$8,8,FALSE)))</f>
        <v>-</v>
      </c>
      <c r="M52" s="188"/>
      <c r="N52" s="188"/>
    </row>
    <row r="53" spans="1:24" x14ac:dyDescent="0.25">
      <c r="B53" s="189"/>
      <c r="C53" s="190"/>
      <c r="D53" s="190"/>
      <c r="E53" s="614"/>
      <c r="F53" s="71"/>
      <c r="G53" s="71"/>
      <c r="H53" s="71"/>
      <c r="I53" s="71"/>
      <c r="J53" s="71"/>
      <c r="K53" s="71"/>
      <c r="L53" s="72"/>
      <c r="M53" s="73"/>
      <c r="N53" s="70"/>
    </row>
    <row r="54" spans="1:24" ht="15" customHeight="1" x14ac:dyDescent="0.25">
      <c r="A54" s="74" t="s">
        <v>55</v>
      </c>
      <c r="B54" s="75" t="s">
        <v>56</v>
      </c>
      <c r="C54" s="75"/>
      <c r="D54" s="614"/>
      <c r="E54" s="76"/>
      <c r="F54" s="77"/>
      <c r="G54" s="77"/>
      <c r="H54" s="77"/>
      <c r="I54" s="77"/>
      <c r="J54" s="77"/>
      <c r="K54" s="77"/>
      <c r="L54" s="77"/>
      <c r="M54" s="77"/>
      <c r="N54" s="59"/>
    </row>
    <row r="55" spans="1:24" ht="15" customHeight="1" x14ac:dyDescent="0.25">
      <c r="B55" s="343" t="s">
        <v>114</v>
      </c>
      <c r="C55" s="343"/>
      <c r="E55" s="76"/>
      <c r="F55" s="77"/>
      <c r="G55" s="77"/>
      <c r="H55" s="77"/>
      <c r="I55" s="77"/>
      <c r="J55" s="77"/>
      <c r="K55" s="68"/>
      <c r="L55" s="68"/>
      <c r="M55" s="78"/>
      <c r="N55" s="78"/>
    </row>
    <row r="56" spans="1:24" ht="15" customHeight="1" x14ac:dyDescent="0.25">
      <c r="B56" s="343" t="str">
        <f>'DB Kelistrikan'!M244</f>
        <v>Hasil pengujian Keselamatan Listrik tertelusur ke Satuan Internasional ( SI ) melalui PT. Kaliman (LK-032-IDN)</v>
      </c>
      <c r="C56" s="343"/>
      <c r="E56" s="76"/>
      <c r="F56" s="77"/>
      <c r="G56" s="77"/>
      <c r="H56" s="77"/>
      <c r="I56" s="77"/>
      <c r="J56" s="77"/>
      <c r="K56" s="68"/>
      <c r="L56" s="68"/>
      <c r="M56" s="78"/>
      <c r="N56" s="78"/>
    </row>
    <row r="57" spans="1:24" ht="15" customHeight="1" x14ac:dyDescent="0.25">
      <c r="B57" s="343" t="s">
        <v>115</v>
      </c>
      <c r="C57" s="343"/>
      <c r="E57" s="76"/>
      <c r="F57" s="77"/>
      <c r="G57" s="77"/>
      <c r="H57" s="77"/>
      <c r="I57" s="77"/>
      <c r="J57" s="77"/>
      <c r="K57" s="68"/>
      <c r="L57" s="68"/>
      <c r="M57" s="78"/>
      <c r="N57" s="78"/>
    </row>
    <row r="58" spans="1:24" ht="15" customHeight="1" x14ac:dyDescent="0.25">
      <c r="B58" s="52" t="str">
        <f>PENYELIA!Y24</f>
        <v>Alat tidak boleh digunakan pada instalasi tanpa dilengkapi grounding</v>
      </c>
      <c r="D58" s="52"/>
      <c r="M58" s="78"/>
      <c r="N58" s="78"/>
    </row>
    <row r="59" spans="1:24" ht="14.4" x14ac:dyDescent="0.25">
      <c r="B59" s="207" t="s">
        <v>116</v>
      </c>
      <c r="C59" s="207"/>
      <c r="D59" s="209"/>
      <c r="E59" s="207"/>
      <c r="M59" s="79"/>
      <c r="N59" s="78"/>
    </row>
    <row r="60" spans="1:24" ht="14.4" x14ac:dyDescent="0.25">
      <c r="B60" s="207"/>
      <c r="C60" s="207"/>
      <c r="D60" s="209"/>
      <c r="E60" s="207"/>
      <c r="M60" s="79"/>
      <c r="N60" s="78"/>
    </row>
    <row r="61" spans="1:24" x14ac:dyDescent="0.25">
      <c r="A61" s="75" t="s">
        <v>58</v>
      </c>
      <c r="B61" s="75" t="s">
        <v>59</v>
      </c>
      <c r="C61" s="75"/>
      <c r="D61" s="614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1:24" x14ac:dyDescent="0.25">
      <c r="B62" s="878" t="s">
        <v>117</v>
      </c>
      <c r="C62" s="878"/>
      <c r="D62" s="878"/>
      <c r="E62" s="878"/>
      <c r="F62" s="878"/>
      <c r="G62" s="878"/>
      <c r="H62" s="878"/>
      <c r="I62" s="878"/>
      <c r="J62" s="878"/>
      <c r="K62" s="878"/>
      <c r="L62" s="878"/>
      <c r="M62" s="59"/>
      <c r="N62" s="59"/>
    </row>
    <row r="63" spans="1:24" x14ac:dyDescent="0.25">
      <c r="B63" s="877" t="s">
        <v>118</v>
      </c>
      <c r="C63" s="877"/>
      <c r="D63" s="877"/>
      <c r="E63" s="877"/>
      <c r="F63" s="877"/>
      <c r="G63" s="877"/>
      <c r="H63" s="877"/>
      <c r="I63" s="877"/>
      <c r="J63" s="877"/>
      <c r="K63" s="877"/>
      <c r="L63" s="877"/>
      <c r="M63" s="59"/>
      <c r="N63" s="59"/>
    </row>
    <row r="64" spans="1:24" x14ac:dyDescent="0.25">
      <c r="B64" s="878" t="s">
        <v>119</v>
      </c>
      <c r="C64" s="878"/>
      <c r="D64" s="878"/>
      <c r="E64" s="878"/>
      <c r="F64" s="878"/>
      <c r="G64" s="878"/>
      <c r="H64" s="878"/>
      <c r="I64" s="878"/>
      <c r="J64" s="878"/>
      <c r="K64" s="878"/>
      <c r="L64" s="878"/>
      <c r="M64" s="59"/>
      <c r="N64" s="59"/>
    </row>
    <row r="65" spans="1:14" ht="14.25" customHeight="1" x14ac:dyDescent="0.25">
      <c r="M65" s="59"/>
      <c r="N65" s="59"/>
    </row>
    <row r="66" spans="1:14" x14ac:dyDescent="0.25">
      <c r="A66" s="75" t="s">
        <v>67</v>
      </c>
      <c r="B66" s="74" t="s">
        <v>68</v>
      </c>
      <c r="C66" s="74"/>
      <c r="D66" s="80"/>
    </row>
    <row r="67" spans="1:14" ht="14.25" customHeight="1" x14ac:dyDescent="0.25">
      <c r="B67" s="879" t="str">
        <f>PENYELIA!B82</f>
        <v>Alat yang dikalibrasi dalam batas toleransi dan dinyatakan LAIK PAKAI, dimana hasil atau skor akhir sama dengan atau melampaui 70% berdasarkan Keputusan Direktur Jenderal Pelayanan Kesehatan No : HK.02.02/V/0412/2020</v>
      </c>
      <c r="C67" s="879"/>
      <c r="D67" s="879"/>
      <c r="E67" s="879"/>
      <c r="F67" s="879"/>
      <c r="G67" s="879"/>
      <c r="H67" s="879"/>
      <c r="I67" s="879"/>
      <c r="J67" s="879"/>
      <c r="K67" s="879"/>
      <c r="L67" s="879"/>
      <c r="M67" s="138"/>
    </row>
    <row r="68" spans="1:14" ht="14.25" customHeight="1" x14ac:dyDescent="0.25">
      <c r="B68" s="879"/>
      <c r="C68" s="879"/>
      <c r="D68" s="879"/>
      <c r="E68" s="879"/>
      <c r="F68" s="879"/>
      <c r="G68" s="879"/>
      <c r="H68" s="879"/>
      <c r="I68" s="879"/>
      <c r="J68" s="879"/>
      <c r="K68" s="879"/>
      <c r="L68" s="879"/>
      <c r="M68" s="138"/>
    </row>
    <row r="69" spans="1:14" ht="14.25" customHeight="1" x14ac:dyDescent="0.25">
      <c r="B69" s="617"/>
      <c r="C69" s="617"/>
      <c r="D69" s="617"/>
      <c r="E69" s="617"/>
      <c r="F69" s="617"/>
      <c r="G69" s="617"/>
      <c r="H69" s="617"/>
      <c r="I69" s="617"/>
      <c r="J69" s="617"/>
      <c r="K69" s="617"/>
      <c r="L69" s="617"/>
      <c r="M69" s="138"/>
    </row>
    <row r="70" spans="1:14" x14ac:dyDescent="0.25">
      <c r="A70" s="75" t="s">
        <v>70</v>
      </c>
      <c r="B70" s="74" t="s">
        <v>71</v>
      </c>
      <c r="C70" s="74"/>
      <c r="D70" s="80"/>
    </row>
    <row r="71" spans="1:14" x14ac:dyDescent="0.25">
      <c r="B71" s="878" t="s">
        <v>120</v>
      </c>
      <c r="C71" s="878"/>
      <c r="D71" s="878"/>
      <c r="E71" s="878"/>
    </row>
    <row r="72" spans="1:14" ht="14.25" customHeight="1" x14ac:dyDescent="0.25"/>
    <row r="73" spans="1:14" x14ac:dyDescent="0.25">
      <c r="A73" s="58" t="s">
        <v>121</v>
      </c>
      <c r="B73" s="58" t="s">
        <v>122</v>
      </c>
      <c r="C73" s="58"/>
      <c r="D73" s="614"/>
    </row>
    <row r="74" spans="1:14" x14ac:dyDescent="0.25">
      <c r="B74" s="877" t="s">
        <v>123</v>
      </c>
      <c r="C74" s="877"/>
    </row>
    <row r="78" spans="1:14" x14ac:dyDescent="0.3">
      <c r="B78" s="166"/>
    </row>
    <row r="79" spans="1:14" x14ac:dyDescent="0.25">
      <c r="B79" s="1" t="s">
        <v>124</v>
      </c>
    </row>
    <row r="80" spans="1:14" x14ac:dyDescent="0.25">
      <c r="B80" s="1" t="s">
        <v>125</v>
      </c>
    </row>
    <row r="81" spans="2:7" x14ac:dyDescent="0.25">
      <c r="B81" s="1" t="s">
        <v>126</v>
      </c>
    </row>
    <row r="82" spans="2:7" x14ac:dyDescent="0.25">
      <c r="B82" s="1" t="s">
        <v>127</v>
      </c>
    </row>
    <row r="83" spans="2:7" x14ac:dyDescent="0.25">
      <c r="B83" s="1" t="s">
        <v>128</v>
      </c>
    </row>
    <row r="84" spans="2:7" x14ac:dyDescent="0.25">
      <c r="B84" s="1" t="s">
        <v>129</v>
      </c>
    </row>
    <row r="85" spans="2:7" x14ac:dyDescent="0.25">
      <c r="B85" s="1" t="s">
        <v>120</v>
      </c>
    </row>
    <row r="86" spans="2:7" x14ac:dyDescent="0.25">
      <c r="B86" s="1" t="s">
        <v>130</v>
      </c>
    </row>
    <row r="87" spans="2:7" x14ac:dyDescent="0.25">
      <c r="B87" s="1" t="s">
        <v>131</v>
      </c>
    </row>
    <row r="88" spans="2:7" x14ac:dyDescent="0.25">
      <c r="B88" s="1" t="s">
        <v>132</v>
      </c>
    </row>
    <row r="89" spans="2:7" x14ac:dyDescent="0.25">
      <c r="B89" s="1" t="s">
        <v>133</v>
      </c>
      <c r="G89" s="550"/>
    </row>
    <row r="90" spans="2:7" x14ac:dyDescent="0.25">
      <c r="B90" s="1" t="s">
        <v>134</v>
      </c>
      <c r="G90" s="550"/>
    </row>
    <row r="91" spans="2:7" x14ac:dyDescent="0.25">
      <c r="B91" s="1" t="s">
        <v>135</v>
      </c>
      <c r="G91" s="550"/>
    </row>
    <row r="92" spans="2:7" x14ac:dyDescent="0.25">
      <c r="B92" s="1" t="s">
        <v>136</v>
      </c>
    </row>
    <row r="93" spans="2:7" x14ac:dyDescent="0.25">
      <c r="B93" s="1" t="s">
        <v>137</v>
      </c>
      <c r="G93" s="549"/>
    </row>
    <row r="94" spans="2:7" x14ac:dyDescent="0.25">
      <c r="B94" s="1" t="s">
        <v>138</v>
      </c>
      <c r="G94" s="549"/>
    </row>
    <row r="95" spans="2:7" x14ac:dyDescent="0.25">
      <c r="B95" s="1" t="s">
        <v>139</v>
      </c>
      <c r="G95" s="549"/>
    </row>
    <row r="96" spans="2:7" x14ac:dyDescent="0.25">
      <c r="B96" s="549" t="s">
        <v>140</v>
      </c>
      <c r="G96" s="550"/>
    </row>
    <row r="97" spans="2:7" x14ac:dyDescent="0.25">
      <c r="B97" s="549" t="s">
        <v>141</v>
      </c>
      <c r="G97" s="550"/>
    </row>
    <row r="98" spans="2:7" x14ac:dyDescent="0.25">
      <c r="B98" s="549" t="s">
        <v>142</v>
      </c>
      <c r="G98" s="549"/>
    </row>
    <row r="99" spans="2:7" x14ac:dyDescent="0.25">
      <c r="B99" s="549" t="s">
        <v>143</v>
      </c>
      <c r="G99" s="549"/>
    </row>
    <row r="100" spans="2:7" x14ac:dyDescent="0.25">
      <c r="B100" s="52" t="s">
        <v>79</v>
      </c>
    </row>
    <row r="118" spans="12:12" x14ac:dyDescent="0.25">
      <c r="L118" s="81"/>
    </row>
    <row r="140" spans="4:4" x14ac:dyDescent="0.25">
      <c r="D140" s="82"/>
    </row>
    <row r="141" spans="4:4" x14ac:dyDescent="0.25">
      <c r="D141" s="82"/>
    </row>
    <row r="143" spans="4:4" x14ac:dyDescent="0.25">
      <c r="D143" s="83"/>
    </row>
    <row r="144" spans="4:4" x14ac:dyDescent="0.25">
      <c r="D144" s="83"/>
    </row>
    <row r="145" spans="4:7" x14ac:dyDescent="0.25">
      <c r="D145" s="83"/>
    </row>
    <row r="146" spans="4:7" x14ac:dyDescent="0.25">
      <c r="D146" s="83"/>
      <c r="G146" s="84"/>
    </row>
    <row r="147" spans="4:7" x14ac:dyDescent="0.25">
      <c r="D147" s="83"/>
      <c r="G147" s="84"/>
    </row>
    <row r="148" spans="4:7" x14ac:dyDescent="0.25">
      <c r="D148" s="83"/>
      <c r="G148" s="84"/>
    </row>
    <row r="149" spans="4:7" x14ac:dyDescent="0.25">
      <c r="D149" s="83"/>
      <c r="G149" s="84"/>
    </row>
    <row r="150" spans="4:7" x14ac:dyDescent="0.25">
      <c r="D150" s="83"/>
      <c r="G150" s="84"/>
    </row>
    <row r="152" spans="4:7" x14ac:dyDescent="0.25">
      <c r="D152" s="83"/>
    </row>
    <row r="153" spans="4:7" x14ac:dyDescent="0.25">
      <c r="D153" s="83"/>
    </row>
    <row r="155" spans="4:7" x14ac:dyDescent="0.25">
      <c r="D155" s="83"/>
    </row>
    <row r="156" spans="4:7" x14ac:dyDescent="0.25">
      <c r="D156" s="83"/>
      <c r="G156" s="85"/>
    </row>
    <row r="157" spans="4:7" x14ac:dyDescent="0.25">
      <c r="G157" s="86"/>
    </row>
    <row r="158" spans="4:7" x14ac:dyDescent="0.25">
      <c r="D158" s="83"/>
      <c r="G158" s="86"/>
    </row>
    <row r="159" spans="4:7" x14ac:dyDescent="0.25">
      <c r="D159" s="83"/>
      <c r="G159" s="86"/>
    </row>
    <row r="160" spans="4:7" x14ac:dyDescent="0.25">
      <c r="G160" s="85"/>
    </row>
    <row r="161" spans="4:10" x14ac:dyDescent="0.25">
      <c r="D161" s="83"/>
      <c r="G161" s="86"/>
    </row>
    <row r="162" spans="4:10" x14ac:dyDescent="0.25">
      <c r="D162" s="83"/>
    </row>
    <row r="163" spans="4:10" x14ac:dyDescent="0.25">
      <c r="D163" s="83"/>
    </row>
    <row r="164" spans="4:10" x14ac:dyDescent="0.25">
      <c r="D164" s="83"/>
    </row>
    <row r="165" spans="4:10" x14ac:dyDescent="0.25">
      <c r="D165" s="83"/>
      <c r="J165" s="87"/>
    </row>
    <row r="166" spans="4:10" x14ac:dyDescent="0.25">
      <c r="J166" s="87"/>
    </row>
    <row r="167" spans="4:10" x14ac:dyDescent="0.25">
      <c r="D167" s="83"/>
    </row>
    <row r="168" spans="4:10" x14ac:dyDescent="0.25">
      <c r="D168" s="83"/>
    </row>
    <row r="169" spans="4:10" x14ac:dyDescent="0.25">
      <c r="D169" s="83"/>
    </row>
    <row r="170" spans="4:10" x14ac:dyDescent="0.25">
      <c r="D170" s="83"/>
    </row>
    <row r="173" spans="4:10" x14ac:dyDescent="0.25">
      <c r="D173" s="83"/>
    </row>
  </sheetData>
  <sheetProtection formatCells="0" formatColumns="0" formatRows="0" insertColumns="0" insertRows="0" deleteColumns="0" deleteRows="0"/>
  <mergeCells count="86">
    <mergeCell ref="I2:K2"/>
    <mergeCell ref="D45:E45"/>
    <mergeCell ref="D47:E47"/>
    <mergeCell ref="E2:H2"/>
    <mergeCell ref="C32:H32"/>
    <mergeCell ref="C34:H34"/>
    <mergeCell ref="C36:H36"/>
    <mergeCell ref="F39:F40"/>
    <mergeCell ref="E16:G16"/>
    <mergeCell ref="D43:E43"/>
    <mergeCell ref="G39:I39"/>
    <mergeCell ref="G43:G44"/>
    <mergeCell ref="B47:B48"/>
    <mergeCell ref="B49:B50"/>
    <mergeCell ref="B51:B52"/>
    <mergeCell ref="F41:F42"/>
    <mergeCell ref="G41:G42"/>
    <mergeCell ref="F43:F44"/>
    <mergeCell ref="F47:F48"/>
    <mergeCell ref="D49:E49"/>
    <mergeCell ref="D51:E51"/>
    <mergeCell ref="B74:C74"/>
    <mergeCell ref="B62:L62"/>
    <mergeCell ref="B67:L68"/>
    <mergeCell ref="B71:E71"/>
    <mergeCell ref="B64:L64"/>
    <mergeCell ref="B63:L63"/>
    <mergeCell ref="X39:X40"/>
    <mergeCell ref="A1:N1"/>
    <mergeCell ref="I32:J32"/>
    <mergeCell ref="K32:L32"/>
    <mergeCell ref="K33:L33"/>
    <mergeCell ref="K34:L34"/>
    <mergeCell ref="K35:L35"/>
    <mergeCell ref="C35:H35"/>
    <mergeCell ref="E15:G15"/>
    <mergeCell ref="B39:B40"/>
    <mergeCell ref="P39:U39"/>
    <mergeCell ref="E25:F25"/>
    <mergeCell ref="S33:S34"/>
    <mergeCell ref="R33:R34"/>
    <mergeCell ref="P33:Q34"/>
    <mergeCell ref="K39:K40"/>
    <mergeCell ref="W39:W40"/>
    <mergeCell ref="J39:J40"/>
    <mergeCell ref="L39:L40"/>
    <mergeCell ref="D41:E41"/>
    <mergeCell ref="H41:H42"/>
    <mergeCell ref="I41:I42"/>
    <mergeCell ref="J41:J42"/>
    <mergeCell ref="K41:K42"/>
    <mergeCell ref="B41:B42"/>
    <mergeCell ref="B43:B44"/>
    <mergeCell ref="B45:B46"/>
    <mergeCell ref="G9:G14"/>
    <mergeCell ref="V39:V40"/>
    <mergeCell ref="H43:H44"/>
    <mergeCell ref="I43:I44"/>
    <mergeCell ref="J43:J44"/>
    <mergeCell ref="K43:K44"/>
    <mergeCell ref="F45:F46"/>
    <mergeCell ref="G45:G46"/>
    <mergeCell ref="H47:H48"/>
    <mergeCell ref="I47:I48"/>
    <mergeCell ref="J47:J48"/>
    <mergeCell ref="K47:K48"/>
    <mergeCell ref="H45:H46"/>
    <mergeCell ref="I45:I46"/>
    <mergeCell ref="J45:J46"/>
    <mergeCell ref="K45:K46"/>
    <mergeCell ref="K9:K14"/>
    <mergeCell ref="I9:I14"/>
    <mergeCell ref="K51:K52"/>
    <mergeCell ref="C39:C40"/>
    <mergeCell ref="F51:F52"/>
    <mergeCell ref="G51:G52"/>
    <mergeCell ref="H51:H52"/>
    <mergeCell ref="I51:I52"/>
    <mergeCell ref="J51:J52"/>
    <mergeCell ref="F49:F50"/>
    <mergeCell ref="G49:G50"/>
    <mergeCell ref="H49:H50"/>
    <mergeCell ref="I49:I50"/>
    <mergeCell ref="J49:J50"/>
    <mergeCell ref="K49:K50"/>
    <mergeCell ref="G47:G48"/>
  </mergeCells>
  <dataValidations count="1">
    <dataValidation type="list" allowBlank="1" showInputMessage="1" showErrorMessage="1" sqref="B71:E71" xr:uid="{00000000-0002-0000-0100-000003000000}">
      <formula1>$B$79:$B$103</formula1>
    </dataValidation>
  </dataValidations>
  <printOptions horizontalCentered="1"/>
  <pageMargins left="0.23622047244094491" right="0.19685039370078741" top="0.51181102362204722" bottom="0.31496062992125984" header="0.23622047244094491" footer="0.23622047244094491"/>
  <pageSetup paperSize="9" scale="65" orientation="portrait" horizontalDpi="4294967294" verticalDpi="4294967294" r:id="rId1"/>
  <headerFooter>
    <oddHeader>&amp;R&amp;"-,Regular"&amp;8OA.ID - 0122-2019 / REV : 0</oddHeader>
    <oddFooter>&amp;R&amp;8&amp;K00-013Software Infusion Pump 2019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1000000}">
          <x14:formula1>
            <xm:f>'DB Thermohygro'!$A$358:$A$376</xm:f>
          </x14:formula1>
          <xm:sqref>B64:L64</xm:sqref>
        </x14:dataValidation>
        <x14:dataValidation type="list" allowBlank="1" showInputMessage="1" showErrorMessage="1" xr:uid="{00000000-0002-0000-0100-000000000000}">
          <x14:formula1>
            <xm:f>'DB Kelistrikan'!$A$235:$A$243</xm:f>
          </x14:formula1>
          <xm:sqref>B63:L63</xm:sqref>
        </x14:dataValidation>
        <x14:dataValidation type="list" allowBlank="1" showInputMessage="1" showErrorMessage="1" xr:uid="{C33C5583-CAE4-4BC6-951D-E95064DBBD74}">
          <x14:formula1>
            <xm:f>PENYELIA!$V$31:$V$32</xm:f>
          </x14:formula1>
          <xm:sqref>P33:Q34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E28:E29</xm:sqref>
        </x14:dataValidation>
        <x14:dataValidation type="list" allowBlank="1" showInputMessage="1" showErrorMessage="1" xr:uid="{41542266-3BBE-4223-A8B7-BFBFD16279BA}">
          <x14:formula1>
            <xm:f>PENYELIA!$Y$30:$Y$31</xm:f>
          </x14:formula1>
          <xm:sqref>C34</xm:sqref>
        </x14:dataValidation>
        <x14:dataValidation type="list" allowBlank="1" showInputMessage="1" showErrorMessage="1" xr:uid="{E6062AD9-68D2-45E0-8AA8-2C6B776AC864}">
          <x14:formula1>
            <xm:f>PENYELIA!$Y$32:$Y$33</xm:f>
          </x14:formula1>
          <xm:sqref>C35:H35</xm:sqref>
        </x14:dataValidation>
        <x14:dataValidation type="list" allowBlank="1" showInputMessage="1" showErrorMessage="1" xr:uid="{7B880510-EC01-4764-9D3F-AEADE3E80911}">
          <x14:formula1>
            <xm:f>'Data Parameter'!$B$3:$B$22</xm:f>
          </x14:formula1>
          <xm:sqref>C9:C14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50D1-BA80-4AD6-A240-D1F92A88D636}">
  <dimension ref="A2:F66"/>
  <sheetViews>
    <sheetView topLeftCell="A52" workbookViewId="0">
      <selection activeCell="B60" sqref="B60"/>
    </sheetView>
  </sheetViews>
  <sheetFormatPr defaultColWidth="9.21875" defaultRowHeight="14.4" x14ac:dyDescent="0.3"/>
  <cols>
    <col min="1" max="1" width="18.21875" style="768" customWidth="1"/>
    <col min="2" max="2" width="25" style="768" customWidth="1"/>
    <col min="3" max="3" width="2.44140625" style="768" customWidth="1"/>
    <col min="4" max="4" width="15.5546875" style="768" customWidth="1"/>
    <col min="5" max="5" width="9.21875" style="768"/>
    <col min="6" max="6" width="22" style="768" customWidth="1"/>
    <col min="7" max="16384" width="9.21875" style="768"/>
  </cols>
  <sheetData>
    <row r="2" spans="1:6" ht="32.25" customHeight="1" x14ac:dyDescent="0.3">
      <c r="A2" s="896" t="s">
        <v>382</v>
      </c>
      <c r="B2" s="896"/>
      <c r="C2" s="896"/>
      <c r="D2" s="896"/>
      <c r="E2" s="896"/>
      <c r="F2" s="896"/>
    </row>
    <row r="3" spans="1:6" x14ac:dyDescent="0.3">
      <c r="A3" s="897" t="str">
        <f>"Nomor : 78 /"&amp;" "&amp;ID!I2</f>
        <v>Nomor : 78 / 1 / 1 - 21 / E - 114.123 DL</v>
      </c>
      <c r="B3" s="897"/>
      <c r="C3" s="897"/>
      <c r="D3" s="897"/>
      <c r="E3" s="897"/>
      <c r="F3" s="897"/>
    </row>
    <row r="4" spans="1:6" x14ac:dyDescent="0.3">
      <c r="D4" s="898" t="s">
        <v>418</v>
      </c>
      <c r="E4" s="898"/>
      <c r="F4" s="898"/>
    </row>
    <row r="6" spans="1:6" ht="28.5" customHeight="1" x14ac:dyDescent="0.3">
      <c r="A6" s="769" t="s">
        <v>383</v>
      </c>
      <c r="B6" s="770" t="s">
        <v>384</v>
      </c>
      <c r="C6" s="771"/>
      <c r="D6" s="772" t="s">
        <v>385</v>
      </c>
      <c r="E6" s="773"/>
      <c r="F6" s="774" t="str">
        <f>MID(A3,SEARCH("E - ",A3),LEN(A3))</f>
        <v>E - 114.123 DL</v>
      </c>
    </row>
    <row r="7" spans="1:6" x14ac:dyDescent="0.3">
      <c r="A7" s="768" t="s">
        <v>79</v>
      </c>
    </row>
    <row r="8" spans="1:6" x14ac:dyDescent="0.3">
      <c r="A8" s="890" t="s">
        <v>2</v>
      </c>
      <c r="B8" s="890"/>
      <c r="C8" s="768" t="s">
        <v>8</v>
      </c>
      <c r="D8" s="768" t="str">
        <f>ID!E6</f>
        <v>Mindray</v>
      </c>
    </row>
    <row r="9" spans="1:6" x14ac:dyDescent="0.3">
      <c r="A9" s="890" t="s">
        <v>386</v>
      </c>
      <c r="B9" s="890"/>
      <c r="C9" s="768" t="s">
        <v>8</v>
      </c>
      <c r="D9" s="768" t="str">
        <f>ID!E7</f>
        <v>BA 88 A</v>
      </c>
    </row>
    <row r="10" spans="1:6" x14ac:dyDescent="0.3">
      <c r="A10" s="890" t="s">
        <v>387</v>
      </c>
      <c r="B10" s="890"/>
      <c r="C10" s="768" t="s">
        <v>8</v>
      </c>
      <c r="D10" s="768" t="str">
        <f>ID!E8</f>
        <v>2019021001</v>
      </c>
    </row>
    <row r="11" spans="1:6" hidden="1" x14ac:dyDescent="0.3">
      <c r="A11" s="893" t="s">
        <v>388</v>
      </c>
      <c r="B11" s="893"/>
    </row>
    <row r="12" spans="1:6" x14ac:dyDescent="0.3">
      <c r="A12" s="801" t="s">
        <v>6</v>
      </c>
      <c r="B12" s="800" t="str">
        <f>ID!C9</f>
        <v>Cholesterol</v>
      </c>
      <c r="C12" s="768" t="s">
        <v>8</v>
      </c>
      <c r="D12" s="800">
        <f>ID!E9</f>
        <v>1</v>
      </c>
    </row>
    <row r="13" spans="1:6" x14ac:dyDescent="0.3">
      <c r="A13" s="799"/>
      <c r="B13" s="800" t="str">
        <f>ID!C10</f>
        <v>Glucose</v>
      </c>
      <c r="C13" s="768" t="s">
        <v>8</v>
      </c>
      <c r="D13" s="800">
        <f>ID!E10</f>
        <v>1</v>
      </c>
    </row>
    <row r="14" spans="1:6" x14ac:dyDescent="0.3">
      <c r="A14" s="799"/>
      <c r="B14" s="800" t="str">
        <f>ID!C11</f>
        <v>Asam Urat</v>
      </c>
      <c r="C14" s="768" t="s">
        <v>8</v>
      </c>
      <c r="D14" s="800">
        <f>ID!E11</f>
        <v>1</v>
      </c>
    </row>
    <row r="15" spans="1:6" x14ac:dyDescent="0.3">
      <c r="A15" s="799"/>
      <c r="B15" s="800" t="str">
        <f>ID!C12</f>
        <v>Triglycerides</v>
      </c>
      <c r="C15" s="768" t="s">
        <v>8</v>
      </c>
      <c r="D15" s="800">
        <f>ID!E12</f>
        <v>1</v>
      </c>
    </row>
    <row r="16" spans="1:6" x14ac:dyDescent="0.3">
      <c r="A16" s="799"/>
      <c r="B16" s="800" t="str">
        <f>ID!C13</f>
        <v>SGOT</v>
      </c>
      <c r="C16" s="768" t="s">
        <v>8</v>
      </c>
      <c r="D16" s="800">
        <f>ID!E13</f>
        <v>1</v>
      </c>
    </row>
    <row r="17" spans="1:6" x14ac:dyDescent="0.3">
      <c r="A17" s="799"/>
      <c r="B17" s="800" t="str">
        <f>ID!C14</f>
        <v>SGPT</v>
      </c>
      <c r="C17" s="768" t="s">
        <v>8</v>
      </c>
      <c r="D17" s="800">
        <f>ID!E14</f>
        <v>1</v>
      </c>
    </row>
    <row r="19" spans="1:6" ht="27.75" customHeight="1" x14ac:dyDescent="0.3">
      <c r="A19" s="775" t="s">
        <v>389</v>
      </c>
      <c r="B19" s="776"/>
      <c r="D19" s="894" t="s">
        <v>390</v>
      </c>
      <c r="E19" s="895"/>
      <c r="F19" s="777"/>
    </row>
    <row r="21" spans="1:6" ht="36.75" customHeight="1" x14ac:dyDescent="0.3">
      <c r="A21" s="778" t="s">
        <v>391</v>
      </c>
      <c r="C21" s="778" t="s">
        <v>8</v>
      </c>
      <c r="D21" s="778" t="s">
        <v>392</v>
      </c>
    </row>
    <row r="22" spans="1:6" x14ac:dyDescent="0.3">
      <c r="A22" s="890" t="s">
        <v>393</v>
      </c>
      <c r="B22" s="890"/>
      <c r="C22" s="768" t="s">
        <v>8</v>
      </c>
      <c r="D22" s="768" t="str">
        <f>ID!E18</f>
        <v>Laboratorium</v>
      </c>
    </row>
    <row r="23" spans="1:6" x14ac:dyDescent="0.3">
      <c r="A23" s="890" t="s">
        <v>394</v>
      </c>
      <c r="B23" s="890"/>
      <c r="C23" s="768" t="s">
        <v>8</v>
      </c>
      <c r="D23" s="779">
        <f>ID!E15</f>
        <v>44483</v>
      </c>
    </row>
    <row r="24" spans="1:6" x14ac:dyDescent="0.3">
      <c r="A24" s="890" t="s">
        <v>9</v>
      </c>
      <c r="B24" s="890"/>
      <c r="C24" s="768" t="s">
        <v>8</v>
      </c>
      <c r="D24" s="779">
        <f>ID!E16</f>
        <v>44483</v>
      </c>
    </row>
    <row r="25" spans="1:6" x14ac:dyDescent="0.3">
      <c r="A25" s="890" t="s">
        <v>395</v>
      </c>
      <c r="B25" s="890"/>
      <c r="C25" s="768" t="s">
        <v>8</v>
      </c>
      <c r="D25" s="768" t="str">
        <f>ID!B71</f>
        <v>Isra Mahensa</v>
      </c>
    </row>
    <row r="26" spans="1:6" x14ac:dyDescent="0.3">
      <c r="A26" s="890" t="s">
        <v>396</v>
      </c>
      <c r="B26" s="890"/>
      <c r="C26" s="768" t="s">
        <v>8</v>
      </c>
      <c r="D26" s="768" t="str">
        <f>ID!E17</f>
        <v>Laboratorium</v>
      </c>
    </row>
    <row r="27" spans="1:6" ht="35.25" customHeight="1" x14ac:dyDescent="0.3">
      <c r="A27" s="780" t="s">
        <v>397</v>
      </c>
      <c r="C27" s="778" t="s">
        <v>8</v>
      </c>
      <c r="D27" s="891" t="s">
        <v>398</v>
      </c>
      <c r="E27" s="891"/>
      <c r="F27" s="891"/>
    </row>
    <row r="28" spans="1:6" x14ac:dyDescent="0.3">
      <c r="A28" s="771" t="s">
        <v>91</v>
      </c>
      <c r="C28" s="768" t="s">
        <v>8</v>
      </c>
      <c r="D28" s="768" t="str">
        <f>D4</f>
        <v>OA.0122-2019</v>
      </c>
    </row>
    <row r="31" spans="1:6" ht="21.75" customHeight="1" x14ac:dyDescent="0.3">
      <c r="D31" s="781" t="s">
        <v>399</v>
      </c>
      <c r="E31" s="892">
        <f ca="1">TODAY()</f>
        <v>45266</v>
      </c>
      <c r="F31" s="892"/>
    </row>
    <row r="32" spans="1:6" x14ac:dyDescent="0.3">
      <c r="D32" s="890" t="s">
        <v>400</v>
      </c>
      <c r="E32" s="890"/>
      <c r="F32" s="890"/>
    </row>
    <row r="33" spans="1:6" x14ac:dyDescent="0.3">
      <c r="D33" s="890" t="s">
        <v>401</v>
      </c>
      <c r="E33" s="890"/>
      <c r="F33" s="890"/>
    </row>
    <row r="34" spans="1:6" x14ac:dyDescent="0.3">
      <c r="D34" s="782"/>
      <c r="E34" s="782"/>
      <c r="F34" s="783"/>
    </row>
    <row r="35" spans="1:6" x14ac:dyDescent="0.3">
      <c r="D35" s="782"/>
      <c r="E35" s="782"/>
      <c r="F35" s="783"/>
    </row>
    <row r="36" spans="1:6" x14ac:dyDescent="0.3">
      <c r="D36" s="782"/>
      <c r="E36" s="782"/>
      <c r="F36" s="783"/>
    </row>
    <row r="37" spans="1:6" x14ac:dyDescent="0.3">
      <c r="D37" s="890" t="s">
        <v>402</v>
      </c>
      <c r="E37" s="890"/>
      <c r="F37" s="890"/>
    </row>
    <row r="38" spans="1:6" x14ac:dyDescent="0.3">
      <c r="D38" s="890" t="s">
        <v>403</v>
      </c>
      <c r="E38" s="890"/>
      <c r="F38" s="890"/>
    </row>
    <row r="47" spans="1:6" ht="15" thickBot="1" x14ac:dyDescent="0.35"/>
    <row r="48" spans="1:6" x14ac:dyDescent="0.3">
      <c r="A48" s="784" t="s">
        <v>404</v>
      </c>
      <c r="B48" s="785" t="str">
        <f>MID(ID!I2,SEARCH("E - ",ID!I2),LEN(ID!I2))</f>
        <v>E - 114.123 DL</v>
      </c>
      <c r="C48" s="785"/>
      <c r="D48" s="785"/>
      <c r="E48" s="786"/>
    </row>
    <row r="49" spans="1:5" x14ac:dyDescent="0.3">
      <c r="A49" s="787"/>
      <c r="E49" s="788"/>
    </row>
    <row r="50" spans="1:5" ht="27" x14ac:dyDescent="0.3">
      <c r="A50" s="789" t="s">
        <v>405</v>
      </c>
      <c r="B50" s="778" t="str">
        <f>ID!A1</f>
        <v>Input Data Kalibrasi Photometer</v>
      </c>
      <c r="E50" s="788"/>
    </row>
    <row r="51" spans="1:5" ht="27" x14ac:dyDescent="0.3">
      <c r="A51" s="789" t="s">
        <v>406</v>
      </c>
      <c r="B51" s="768" t="str">
        <f>IF(B50="INPUT DATA KALIBRASI PHOTOMETER",B52,B53)</f>
        <v>SERTIFIKAT KALIBRASI</v>
      </c>
      <c r="E51" s="788"/>
    </row>
    <row r="52" spans="1:5" x14ac:dyDescent="0.3">
      <c r="A52" s="789" t="s">
        <v>407</v>
      </c>
      <c r="B52" s="790" t="s">
        <v>382</v>
      </c>
      <c r="E52" s="788"/>
    </row>
    <row r="53" spans="1:5" x14ac:dyDescent="0.3">
      <c r="A53" s="787"/>
      <c r="B53" s="790" t="s">
        <v>408</v>
      </c>
      <c r="E53" s="788"/>
    </row>
    <row r="54" spans="1:5" x14ac:dyDescent="0.3">
      <c r="A54" s="787"/>
      <c r="E54" s="788"/>
    </row>
    <row r="55" spans="1:5" ht="40.200000000000003" x14ac:dyDescent="0.3">
      <c r="A55" s="789" t="s">
        <v>409</v>
      </c>
      <c r="B55" s="768" t="str">
        <f>IF(RIGHT(A2,10)=" KALIBRASI","Kalibrasi","Pengujian")</f>
        <v>Kalibrasi</v>
      </c>
      <c r="E55" s="788"/>
    </row>
    <row r="56" spans="1:5" x14ac:dyDescent="0.3">
      <c r="A56" s="787"/>
      <c r="E56" s="788"/>
    </row>
    <row r="57" spans="1:5" ht="27.6" x14ac:dyDescent="0.3">
      <c r="A57" s="789" t="s">
        <v>410</v>
      </c>
      <c r="B57" s="791" t="s">
        <v>411</v>
      </c>
      <c r="E57" s="788"/>
    </row>
    <row r="58" spans="1:5" x14ac:dyDescent="0.3">
      <c r="A58" s="787"/>
      <c r="E58" s="788"/>
    </row>
    <row r="59" spans="1:5" ht="48.75" customHeight="1" x14ac:dyDescent="0.3">
      <c r="A59" s="792" t="s">
        <v>412</v>
      </c>
      <c r="B59" s="793">
        <f>DATE(YEAR(D24)+1,MONTH(D24),DAY(D24))</f>
        <v>44848</v>
      </c>
      <c r="E59" s="788"/>
    </row>
    <row r="60" spans="1:5" ht="27" x14ac:dyDescent="0.3">
      <c r="A60" s="789" t="s">
        <v>413</v>
      </c>
      <c r="B60" s="793" t="str">
        <f>TEXT(B59,"d mmmm yyyy")</f>
        <v>14 October 2022</v>
      </c>
      <c r="E60" s="788"/>
    </row>
    <row r="61" spans="1:5" x14ac:dyDescent="0.3">
      <c r="A61" s="787"/>
      <c r="E61" s="788"/>
    </row>
    <row r="62" spans="1:5" ht="28.2" x14ac:dyDescent="0.3">
      <c r="A62" s="792" t="s">
        <v>414</v>
      </c>
      <c r="B62" s="768" t="str">
        <f>IF(B51=B52,B63,B64)</f>
        <v>Laik Pakai, disarankan untuk dikalibrasi ulang pada tanggal 14 October 2022</v>
      </c>
      <c r="E62" s="788"/>
    </row>
    <row r="63" spans="1:5" ht="24.75" customHeight="1" x14ac:dyDescent="0.3">
      <c r="A63" s="787" t="s">
        <v>415</v>
      </c>
      <c r="B63" s="768" t="str">
        <f>CONCATENATE(B65,B60)</f>
        <v>Laik Pakai, disarankan untuk dikalibrasi ulang pada tanggal 14 October 2022</v>
      </c>
      <c r="E63" s="788"/>
    </row>
    <row r="64" spans="1:5" ht="24" customHeight="1" x14ac:dyDescent="0.3">
      <c r="A64" s="787"/>
      <c r="B64" s="768" t="str">
        <f>CONCATENATE(B66,B60)</f>
        <v>Laik Pakai, disarankan untuk diuji ulang pada tanggal 14 October 2022</v>
      </c>
      <c r="E64" s="788"/>
    </row>
    <row r="65" spans="1:5" ht="30" customHeight="1" x14ac:dyDescent="0.3">
      <c r="A65" s="794" t="s">
        <v>407</v>
      </c>
      <c r="B65" s="795" t="s">
        <v>416</v>
      </c>
      <c r="E65" s="788"/>
    </row>
    <row r="66" spans="1:5" ht="29.25" customHeight="1" thickBot="1" x14ac:dyDescent="0.35">
      <c r="A66" s="796"/>
      <c r="B66" s="797" t="s">
        <v>417</v>
      </c>
      <c r="C66" s="797"/>
      <c r="D66" s="797"/>
      <c r="E66" s="798"/>
    </row>
  </sheetData>
  <mergeCells count="19">
    <mergeCell ref="A10:B10"/>
    <mergeCell ref="A2:F2"/>
    <mergeCell ref="A3:F3"/>
    <mergeCell ref="D4:F4"/>
    <mergeCell ref="A8:B8"/>
    <mergeCell ref="A9:B9"/>
    <mergeCell ref="A11:B11"/>
    <mergeCell ref="D19:E19"/>
    <mergeCell ref="A22:B22"/>
    <mergeCell ref="A23:B23"/>
    <mergeCell ref="A24:B24"/>
    <mergeCell ref="D37:F37"/>
    <mergeCell ref="D38:F38"/>
    <mergeCell ref="A25:B25"/>
    <mergeCell ref="A26:B26"/>
    <mergeCell ref="D27:F27"/>
    <mergeCell ref="E31:F31"/>
    <mergeCell ref="D32:F32"/>
    <mergeCell ref="D33:F33"/>
  </mergeCells>
  <dataValidations count="1">
    <dataValidation type="list" allowBlank="1" showInputMessage="1" showErrorMessage="1" sqref="A2:F2" xr:uid="{0F09359A-BF96-4EFA-90A7-C28AB518E59C}">
      <formula1>"SERTIFIKAT KALIBRASI,SERTIFIKAT PENGUJIAN"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K68"/>
  <sheetViews>
    <sheetView showGridLines="0" view="pageBreakPreview" zoomScaleNormal="100" zoomScaleSheetLayoutView="100" zoomScalePageLayoutView="80" workbookViewId="0">
      <selection activeCell="D8" sqref="D8"/>
    </sheetView>
  </sheetViews>
  <sheetFormatPr defaultRowHeight="13.2" x14ac:dyDescent="0.25"/>
  <cols>
    <col min="1" max="1" width="22.21875" style="1" customWidth="1"/>
    <col min="2" max="2" width="7.5546875" style="1" customWidth="1"/>
    <col min="3" max="3" width="10.77734375" style="1" customWidth="1"/>
    <col min="4" max="4" width="19.21875" style="1" customWidth="1"/>
    <col min="5" max="5" width="9.21875" style="1"/>
    <col min="6" max="6" width="8.77734375" style="1" customWidth="1"/>
    <col min="7" max="7" width="8.5546875" style="1" customWidth="1"/>
    <col min="8" max="8" width="7.5546875" style="1" customWidth="1"/>
    <col min="9" max="9" width="9.21875" style="1" customWidth="1"/>
    <col min="10" max="11" width="11.77734375" style="1" customWidth="1"/>
    <col min="12" max="236" width="9.21875" style="1"/>
    <col min="237" max="237" width="13.44140625" style="1" customWidth="1"/>
    <col min="238" max="238" width="9.21875" style="1"/>
    <col min="239" max="239" width="17" style="1" customWidth="1"/>
    <col min="240" max="240" width="7.5546875" style="1" customWidth="1"/>
    <col min="241" max="241" width="9.21875" style="1"/>
    <col min="242" max="242" width="9.21875" style="1" customWidth="1"/>
    <col min="243" max="243" width="9.21875" style="1"/>
    <col min="244" max="244" width="8.77734375" style="1" customWidth="1"/>
    <col min="245" max="245" width="7.44140625" style="1" customWidth="1"/>
    <col min="246" max="246" width="7.5546875" style="1" customWidth="1"/>
    <col min="247" max="247" width="9.21875" style="1" customWidth="1"/>
    <col min="248" max="248" width="9.21875" style="1"/>
    <col min="249" max="249" width="10" style="1" customWidth="1"/>
    <col min="250" max="250" width="7.77734375" style="1" customWidth="1"/>
    <col min="251" max="251" width="6.21875" style="1" customWidth="1"/>
    <col min="252" max="252" width="8.77734375" style="1" customWidth="1"/>
    <col min="253" max="492" width="9.21875" style="1"/>
    <col min="493" max="493" width="13.44140625" style="1" customWidth="1"/>
    <col min="494" max="494" width="9.21875" style="1"/>
    <col min="495" max="495" width="17" style="1" customWidth="1"/>
    <col min="496" max="496" width="7.5546875" style="1" customWidth="1"/>
    <col min="497" max="497" width="9.21875" style="1"/>
    <col min="498" max="498" width="9.21875" style="1" customWidth="1"/>
    <col min="499" max="499" width="9.21875" style="1"/>
    <col min="500" max="500" width="8.77734375" style="1" customWidth="1"/>
    <col min="501" max="501" width="7.44140625" style="1" customWidth="1"/>
    <col min="502" max="502" width="7.5546875" style="1" customWidth="1"/>
    <col min="503" max="503" width="9.21875" style="1" customWidth="1"/>
    <col min="504" max="504" width="9.21875" style="1"/>
    <col min="505" max="505" width="10" style="1" customWidth="1"/>
    <col min="506" max="506" width="7.77734375" style="1" customWidth="1"/>
    <col min="507" max="507" width="6.21875" style="1" customWidth="1"/>
    <col min="508" max="508" width="8.77734375" style="1" customWidth="1"/>
    <col min="509" max="748" width="9.21875" style="1"/>
    <col min="749" max="749" width="13.44140625" style="1" customWidth="1"/>
    <col min="750" max="750" width="9.21875" style="1"/>
    <col min="751" max="751" width="17" style="1" customWidth="1"/>
    <col min="752" max="752" width="7.5546875" style="1" customWidth="1"/>
    <col min="753" max="753" width="9.21875" style="1"/>
    <col min="754" max="754" width="9.21875" style="1" customWidth="1"/>
    <col min="755" max="755" width="9.21875" style="1"/>
    <col min="756" max="756" width="8.77734375" style="1" customWidth="1"/>
    <col min="757" max="757" width="7.44140625" style="1" customWidth="1"/>
    <col min="758" max="758" width="7.5546875" style="1" customWidth="1"/>
    <col min="759" max="759" width="9.21875" style="1" customWidth="1"/>
    <col min="760" max="760" width="9.21875" style="1"/>
    <col min="761" max="761" width="10" style="1" customWidth="1"/>
    <col min="762" max="762" width="7.77734375" style="1" customWidth="1"/>
    <col min="763" max="763" width="6.21875" style="1" customWidth="1"/>
    <col min="764" max="764" width="8.77734375" style="1" customWidth="1"/>
    <col min="765" max="1004" width="9.21875" style="1"/>
    <col min="1005" max="1005" width="13.44140625" style="1" customWidth="1"/>
    <col min="1006" max="1006" width="9.21875" style="1"/>
    <col min="1007" max="1007" width="17" style="1" customWidth="1"/>
    <col min="1008" max="1008" width="7.5546875" style="1" customWidth="1"/>
    <col min="1009" max="1009" width="9.21875" style="1"/>
    <col min="1010" max="1010" width="9.21875" style="1" customWidth="1"/>
    <col min="1011" max="1011" width="9.21875" style="1"/>
    <col min="1012" max="1012" width="8.77734375" style="1" customWidth="1"/>
    <col min="1013" max="1013" width="7.44140625" style="1" customWidth="1"/>
    <col min="1014" max="1014" width="7.5546875" style="1" customWidth="1"/>
    <col min="1015" max="1015" width="9.21875" style="1" customWidth="1"/>
    <col min="1016" max="1016" width="9.21875" style="1"/>
    <col min="1017" max="1017" width="10" style="1" customWidth="1"/>
    <col min="1018" max="1018" width="7.77734375" style="1" customWidth="1"/>
    <col min="1019" max="1019" width="6.21875" style="1" customWidth="1"/>
    <col min="1020" max="1020" width="8.77734375" style="1" customWidth="1"/>
    <col min="1021" max="1260" width="9.21875" style="1"/>
    <col min="1261" max="1261" width="13.44140625" style="1" customWidth="1"/>
    <col min="1262" max="1262" width="9.21875" style="1"/>
    <col min="1263" max="1263" width="17" style="1" customWidth="1"/>
    <col min="1264" max="1264" width="7.5546875" style="1" customWidth="1"/>
    <col min="1265" max="1265" width="9.21875" style="1"/>
    <col min="1266" max="1266" width="9.21875" style="1" customWidth="1"/>
    <col min="1267" max="1267" width="9.21875" style="1"/>
    <col min="1268" max="1268" width="8.77734375" style="1" customWidth="1"/>
    <col min="1269" max="1269" width="7.44140625" style="1" customWidth="1"/>
    <col min="1270" max="1270" width="7.5546875" style="1" customWidth="1"/>
    <col min="1271" max="1271" width="9.21875" style="1" customWidth="1"/>
    <col min="1272" max="1272" width="9.21875" style="1"/>
    <col min="1273" max="1273" width="10" style="1" customWidth="1"/>
    <col min="1274" max="1274" width="7.77734375" style="1" customWidth="1"/>
    <col min="1275" max="1275" width="6.21875" style="1" customWidth="1"/>
    <col min="1276" max="1276" width="8.77734375" style="1" customWidth="1"/>
    <col min="1277" max="1516" width="9.21875" style="1"/>
    <col min="1517" max="1517" width="13.44140625" style="1" customWidth="1"/>
    <col min="1518" max="1518" width="9.21875" style="1"/>
    <col min="1519" max="1519" width="17" style="1" customWidth="1"/>
    <col min="1520" max="1520" width="7.5546875" style="1" customWidth="1"/>
    <col min="1521" max="1521" width="9.21875" style="1"/>
    <col min="1522" max="1522" width="9.21875" style="1" customWidth="1"/>
    <col min="1523" max="1523" width="9.21875" style="1"/>
    <col min="1524" max="1524" width="8.77734375" style="1" customWidth="1"/>
    <col min="1525" max="1525" width="7.44140625" style="1" customWidth="1"/>
    <col min="1526" max="1526" width="7.5546875" style="1" customWidth="1"/>
    <col min="1527" max="1527" width="9.21875" style="1" customWidth="1"/>
    <col min="1528" max="1528" width="9.21875" style="1"/>
    <col min="1529" max="1529" width="10" style="1" customWidth="1"/>
    <col min="1530" max="1530" width="7.77734375" style="1" customWidth="1"/>
    <col min="1531" max="1531" width="6.21875" style="1" customWidth="1"/>
    <col min="1532" max="1532" width="8.77734375" style="1" customWidth="1"/>
    <col min="1533" max="1772" width="9.21875" style="1"/>
    <col min="1773" max="1773" width="13.44140625" style="1" customWidth="1"/>
    <col min="1774" max="1774" width="9.21875" style="1"/>
    <col min="1775" max="1775" width="17" style="1" customWidth="1"/>
    <col min="1776" max="1776" width="7.5546875" style="1" customWidth="1"/>
    <col min="1777" max="1777" width="9.21875" style="1"/>
    <col min="1778" max="1778" width="9.21875" style="1" customWidth="1"/>
    <col min="1779" max="1779" width="9.21875" style="1"/>
    <col min="1780" max="1780" width="8.77734375" style="1" customWidth="1"/>
    <col min="1781" max="1781" width="7.44140625" style="1" customWidth="1"/>
    <col min="1782" max="1782" width="7.5546875" style="1" customWidth="1"/>
    <col min="1783" max="1783" width="9.21875" style="1" customWidth="1"/>
    <col min="1784" max="1784" width="9.21875" style="1"/>
    <col min="1785" max="1785" width="10" style="1" customWidth="1"/>
    <col min="1786" max="1786" width="7.77734375" style="1" customWidth="1"/>
    <col min="1787" max="1787" width="6.21875" style="1" customWidth="1"/>
    <col min="1788" max="1788" width="8.77734375" style="1" customWidth="1"/>
    <col min="1789" max="2028" width="9.21875" style="1"/>
    <col min="2029" max="2029" width="13.44140625" style="1" customWidth="1"/>
    <col min="2030" max="2030" width="9.21875" style="1"/>
    <col min="2031" max="2031" width="17" style="1" customWidth="1"/>
    <col min="2032" max="2032" width="7.5546875" style="1" customWidth="1"/>
    <col min="2033" max="2033" width="9.21875" style="1"/>
    <col min="2034" max="2034" width="9.21875" style="1" customWidth="1"/>
    <col min="2035" max="2035" width="9.21875" style="1"/>
    <col min="2036" max="2036" width="8.77734375" style="1" customWidth="1"/>
    <col min="2037" max="2037" width="7.44140625" style="1" customWidth="1"/>
    <col min="2038" max="2038" width="7.5546875" style="1" customWidth="1"/>
    <col min="2039" max="2039" width="9.21875" style="1" customWidth="1"/>
    <col min="2040" max="2040" width="9.21875" style="1"/>
    <col min="2041" max="2041" width="10" style="1" customWidth="1"/>
    <col min="2042" max="2042" width="7.77734375" style="1" customWidth="1"/>
    <col min="2043" max="2043" width="6.21875" style="1" customWidth="1"/>
    <col min="2044" max="2044" width="8.77734375" style="1" customWidth="1"/>
    <col min="2045" max="2284" width="9.21875" style="1"/>
    <col min="2285" max="2285" width="13.44140625" style="1" customWidth="1"/>
    <col min="2286" max="2286" width="9.21875" style="1"/>
    <col min="2287" max="2287" width="17" style="1" customWidth="1"/>
    <col min="2288" max="2288" width="7.5546875" style="1" customWidth="1"/>
    <col min="2289" max="2289" width="9.21875" style="1"/>
    <col min="2290" max="2290" width="9.21875" style="1" customWidth="1"/>
    <col min="2291" max="2291" width="9.21875" style="1"/>
    <col min="2292" max="2292" width="8.77734375" style="1" customWidth="1"/>
    <col min="2293" max="2293" width="7.44140625" style="1" customWidth="1"/>
    <col min="2294" max="2294" width="7.5546875" style="1" customWidth="1"/>
    <col min="2295" max="2295" width="9.21875" style="1" customWidth="1"/>
    <col min="2296" max="2296" width="9.21875" style="1"/>
    <col min="2297" max="2297" width="10" style="1" customWidth="1"/>
    <col min="2298" max="2298" width="7.77734375" style="1" customWidth="1"/>
    <col min="2299" max="2299" width="6.21875" style="1" customWidth="1"/>
    <col min="2300" max="2300" width="8.77734375" style="1" customWidth="1"/>
    <col min="2301" max="2540" width="9.21875" style="1"/>
    <col min="2541" max="2541" width="13.44140625" style="1" customWidth="1"/>
    <col min="2542" max="2542" width="9.21875" style="1"/>
    <col min="2543" max="2543" width="17" style="1" customWidth="1"/>
    <col min="2544" max="2544" width="7.5546875" style="1" customWidth="1"/>
    <col min="2545" max="2545" width="9.21875" style="1"/>
    <col min="2546" max="2546" width="9.21875" style="1" customWidth="1"/>
    <col min="2547" max="2547" width="9.21875" style="1"/>
    <col min="2548" max="2548" width="8.77734375" style="1" customWidth="1"/>
    <col min="2549" max="2549" width="7.44140625" style="1" customWidth="1"/>
    <col min="2550" max="2550" width="7.5546875" style="1" customWidth="1"/>
    <col min="2551" max="2551" width="9.21875" style="1" customWidth="1"/>
    <col min="2552" max="2552" width="9.21875" style="1"/>
    <col min="2553" max="2553" width="10" style="1" customWidth="1"/>
    <col min="2554" max="2554" width="7.77734375" style="1" customWidth="1"/>
    <col min="2555" max="2555" width="6.21875" style="1" customWidth="1"/>
    <col min="2556" max="2556" width="8.77734375" style="1" customWidth="1"/>
    <col min="2557" max="2796" width="9.21875" style="1"/>
    <col min="2797" max="2797" width="13.44140625" style="1" customWidth="1"/>
    <col min="2798" max="2798" width="9.21875" style="1"/>
    <col min="2799" max="2799" width="17" style="1" customWidth="1"/>
    <col min="2800" max="2800" width="7.5546875" style="1" customWidth="1"/>
    <col min="2801" max="2801" width="9.21875" style="1"/>
    <col min="2802" max="2802" width="9.21875" style="1" customWidth="1"/>
    <col min="2803" max="2803" width="9.21875" style="1"/>
    <col min="2804" max="2804" width="8.77734375" style="1" customWidth="1"/>
    <col min="2805" max="2805" width="7.44140625" style="1" customWidth="1"/>
    <col min="2806" max="2806" width="7.5546875" style="1" customWidth="1"/>
    <col min="2807" max="2807" width="9.21875" style="1" customWidth="1"/>
    <col min="2808" max="2808" width="9.21875" style="1"/>
    <col min="2809" max="2809" width="10" style="1" customWidth="1"/>
    <col min="2810" max="2810" width="7.77734375" style="1" customWidth="1"/>
    <col min="2811" max="2811" width="6.21875" style="1" customWidth="1"/>
    <col min="2812" max="2812" width="8.77734375" style="1" customWidth="1"/>
    <col min="2813" max="3052" width="9.21875" style="1"/>
    <col min="3053" max="3053" width="13.44140625" style="1" customWidth="1"/>
    <col min="3054" max="3054" width="9.21875" style="1"/>
    <col min="3055" max="3055" width="17" style="1" customWidth="1"/>
    <col min="3056" max="3056" width="7.5546875" style="1" customWidth="1"/>
    <col min="3057" max="3057" width="9.21875" style="1"/>
    <col min="3058" max="3058" width="9.21875" style="1" customWidth="1"/>
    <col min="3059" max="3059" width="9.21875" style="1"/>
    <col min="3060" max="3060" width="8.77734375" style="1" customWidth="1"/>
    <col min="3061" max="3061" width="7.44140625" style="1" customWidth="1"/>
    <col min="3062" max="3062" width="7.5546875" style="1" customWidth="1"/>
    <col min="3063" max="3063" width="9.21875" style="1" customWidth="1"/>
    <col min="3064" max="3064" width="9.21875" style="1"/>
    <col min="3065" max="3065" width="10" style="1" customWidth="1"/>
    <col min="3066" max="3066" width="7.77734375" style="1" customWidth="1"/>
    <col min="3067" max="3067" width="6.21875" style="1" customWidth="1"/>
    <col min="3068" max="3068" width="8.77734375" style="1" customWidth="1"/>
    <col min="3069" max="3308" width="9.21875" style="1"/>
    <col min="3309" max="3309" width="13.44140625" style="1" customWidth="1"/>
    <col min="3310" max="3310" width="9.21875" style="1"/>
    <col min="3311" max="3311" width="17" style="1" customWidth="1"/>
    <col min="3312" max="3312" width="7.5546875" style="1" customWidth="1"/>
    <col min="3313" max="3313" width="9.21875" style="1"/>
    <col min="3314" max="3314" width="9.21875" style="1" customWidth="1"/>
    <col min="3315" max="3315" width="9.21875" style="1"/>
    <col min="3316" max="3316" width="8.77734375" style="1" customWidth="1"/>
    <col min="3317" max="3317" width="7.44140625" style="1" customWidth="1"/>
    <col min="3318" max="3318" width="7.5546875" style="1" customWidth="1"/>
    <col min="3319" max="3319" width="9.21875" style="1" customWidth="1"/>
    <col min="3320" max="3320" width="9.21875" style="1"/>
    <col min="3321" max="3321" width="10" style="1" customWidth="1"/>
    <col min="3322" max="3322" width="7.77734375" style="1" customWidth="1"/>
    <col min="3323" max="3323" width="6.21875" style="1" customWidth="1"/>
    <col min="3324" max="3324" width="8.77734375" style="1" customWidth="1"/>
    <col min="3325" max="3564" width="9.21875" style="1"/>
    <col min="3565" max="3565" width="13.44140625" style="1" customWidth="1"/>
    <col min="3566" max="3566" width="9.21875" style="1"/>
    <col min="3567" max="3567" width="17" style="1" customWidth="1"/>
    <col min="3568" max="3568" width="7.5546875" style="1" customWidth="1"/>
    <col min="3569" max="3569" width="9.21875" style="1"/>
    <col min="3570" max="3570" width="9.21875" style="1" customWidth="1"/>
    <col min="3571" max="3571" width="9.21875" style="1"/>
    <col min="3572" max="3572" width="8.77734375" style="1" customWidth="1"/>
    <col min="3573" max="3573" width="7.44140625" style="1" customWidth="1"/>
    <col min="3574" max="3574" width="7.5546875" style="1" customWidth="1"/>
    <col min="3575" max="3575" width="9.21875" style="1" customWidth="1"/>
    <col min="3576" max="3576" width="9.21875" style="1"/>
    <col min="3577" max="3577" width="10" style="1" customWidth="1"/>
    <col min="3578" max="3578" width="7.77734375" style="1" customWidth="1"/>
    <col min="3579" max="3579" width="6.21875" style="1" customWidth="1"/>
    <col min="3580" max="3580" width="8.77734375" style="1" customWidth="1"/>
    <col min="3581" max="3820" width="9.21875" style="1"/>
    <col min="3821" max="3821" width="13.44140625" style="1" customWidth="1"/>
    <col min="3822" max="3822" width="9.21875" style="1"/>
    <col min="3823" max="3823" width="17" style="1" customWidth="1"/>
    <col min="3824" max="3824" width="7.5546875" style="1" customWidth="1"/>
    <col min="3825" max="3825" width="9.21875" style="1"/>
    <col min="3826" max="3826" width="9.21875" style="1" customWidth="1"/>
    <col min="3827" max="3827" width="9.21875" style="1"/>
    <col min="3828" max="3828" width="8.77734375" style="1" customWidth="1"/>
    <col min="3829" max="3829" width="7.44140625" style="1" customWidth="1"/>
    <col min="3830" max="3830" width="7.5546875" style="1" customWidth="1"/>
    <col min="3831" max="3831" width="9.21875" style="1" customWidth="1"/>
    <col min="3832" max="3832" width="9.21875" style="1"/>
    <col min="3833" max="3833" width="10" style="1" customWidth="1"/>
    <col min="3834" max="3834" width="7.77734375" style="1" customWidth="1"/>
    <col min="3835" max="3835" width="6.21875" style="1" customWidth="1"/>
    <col min="3836" max="3836" width="8.77734375" style="1" customWidth="1"/>
    <col min="3837" max="4076" width="9.21875" style="1"/>
    <col min="4077" max="4077" width="13.44140625" style="1" customWidth="1"/>
    <col min="4078" max="4078" width="9.21875" style="1"/>
    <col min="4079" max="4079" width="17" style="1" customWidth="1"/>
    <col min="4080" max="4080" width="7.5546875" style="1" customWidth="1"/>
    <col min="4081" max="4081" width="9.21875" style="1"/>
    <col min="4082" max="4082" width="9.21875" style="1" customWidth="1"/>
    <col min="4083" max="4083" width="9.21875" style="1"/>
    <col min="4084" max="4084" width="8.77734375" style="1" customWidth="1"/>
    <col min="4085" max="4085" width="7.44140625" style="1" customWidth="1"/>
    <col min="4086" max="4086" width="7.5546875" style="1" customWidth="1"/>
    <col min="4087" max="4087" width="9.21875" style="1" customWidth="1"/>
    <col min="4088" max="4088" width="9.21875" style="1"/>
    <col min="4089" max="4089" width="10" style="1" customWidth="1"/>
    <col min="4090" max="4090" width="7.77734375" style="1" customWidth="1"/>
    <col min="4091" max="4091" width="6.21875" style="1" customWidth="1"/>
    <col min="4092" max="4092" width="8.77734375" style="1" customWidth="1"/>
    <col min="4093" max="4332" width="9.21875" style="1"/>
    <col min="4333" max="4333" width="13.44140625" style="1" customWidth="1"/>
    <col min="4334" max="4334" width="9.21875" style="1"/>
    <col min="4335" max="4335" width="17" style="1" customWidth="1"/>
    <col min="4336" max="4336" width="7.5546875" style="1" customWidth="1"/>
    <col min="4337" max="4337" width="9.21875" style="1"/>
    <col min="4338" max="4338" width="9.21875" style="1" customWidth="1"/>
    <col min="4339" max="4339" width="9.21875" style="1"/>
    <col min="4340" max="4340" width="8.77734375" style="1" customWidth="1"/>
    <col min="4341" max="4341" width="7.44140625" style="1" customWidth="1"/>
    <col min="4342" max="4342" width="7.5546875" style="1" customWidth="1"/>
    <col min="4343" max="4343" width="9.21875" style="1" customWidth="1"/>
    <col min="4344" max="4344" width="9.21875" style="1"/>
    <col min="4345" max="4345" width="10" style="1" customWidth="1"/>
    <col min="4346" max="4346" width="7.77734375" style="1" customWidth="1"/>
    <col min="4347" max="4347" width="6.21875" style="1" customWidth="1"/>
    <col min="4348" max="4348" width="8.77734375" style="1" customWidth="1"/>
    <col min="4349" max="4588" width="9.21875" style="1"/>
    <col min="4589" max="4589" width="13.44140625" style="1" customWidth="1"/>
    <col min="4590" max="4590" width="9.21875" style="1"/>
    <col min="4591" max="4591" width="17" style="1" customWidth="1"/>
    <col min="4592" max="4592" width="7.5546875" style="1" customWidth="1"/>
    <col min="4593" max="4593" width="9.21875" style="1"/>
    <col min="4594" max="4594" width="9.21875" style="1" customWidth="1"/>
    <col min="4595" max="4595" width="9.21875" style="1"/>
    <col min="4596" max="4596" width="8.77734375" style="1" customWidth="1"/>
    <col min="4597" max="4597" width="7.44140625" style="1" customWidth="1"/>
    <col min="4598" max="4598" width="7.5546875" style="1" customWidth="1"/>
    <col min="4599" max="4599" width="9.21875" style="1" customWidth="1"/>
    <col min="4600" max="4600" width="9.21875" style="1"/>
    <col min="4601" max="4601" width="10" style="1" customWidth="1"/>
    <col min="4602" max="4602" width="7.77734375" style="1" customWidth="1"/>
    <col min="4603" max="4603" width="6.21875" style="1" customWidth="1"/>
    <col min="4604" max="4604" width="8.77734375" style="1" customWidth="1"/>
    <col min="4605" max="4844" width="9.21875" style="1"/>
    <col min="4845" max="4845" width="13.44140625" style="1" customWidth="1"/>
    <col min="4846" max="4846" width="9.21875" style="1"/>
    <col min="4847" max="4847" width="17" style="1" customWidth="1"/>
    <col min="4848" max="4848" width="7.5546875" style="1" customWidth="1"/>
    <col min="4849" max="4849" width="9.21875" style="1"/>
    <col min="4850" max="4850" width="9.21875" style="1" customWidth="1"/>
    <col min="4851" max="4851" width="9.21875" style="1"/>
    <col min="4852" max="4852" width="8.77734375" style="1" customWidth="1"/>
    <col min="4853" max="4853" width="7.44140625" style="1" customWidth="1"/>
    <col min="4854" max="4854" width="7.5546875" style="1" customWidth="1"/>
    <col min="4855" max="4855" width="9.21875" style="1" customWidth="1"/>
    <col min="4856" max="4856" width="9.21875" style="1"/>
    <col min="4857" max="4857" width="10" style="1" customWidth="1"/>
    <col min="4858" max="4858" width="7.77734375" style="1" customWidth="1"/>
    <col min="4859" max="4859" width="6.21875" style="1" customWidth="1"/>
    <col min="4860" max="4860" width="8.77734375" style="1" customWidth="1"/>
    <col min="4861" max="5100" width="9.21875" style="1"/>
    <col min="5101" max="5101" width="13.44140625" style="1" customWidth="1"/>
    <col min="5102" max="5102" width="9.21875" style="1"/>
    <col min="5103" max="5103" width="17" style="1" customWidth="1"/>
    <col min="5104" max="5104" width="7.5546875" style="1" customWidth="1"/>
    <col min="5105" max="5105" width="9.21875" style="1"/>
    <col min="5106" max="5106" width="9.21875" style="1" customWidth="1"/>
    <col min="5107" max="5107" width="9.21875" style="1"/>
    <col min="5108" max="5108" width="8.77734375" style="1" customWidth="1"/>
    <col min="5109" max="5109" width="7.44140625" style="1" customWidth="1"/>
    <col min="5110" max="5110" width="7.5546875" style="1" customWidth="1"/>
    <col min="5111" max="5111" width="9.21875" style="1" customWidth="1"/>
    <col min="5112" max="5112" width="9.21875" style="1"/>
    <col min="5113" max="5113" width="10" style="1" customWidth="1"/>
    <col min="5114" max="5114" width="7.77734375" style="1" customWidth="1"/>
    <col min="5115" max="5115" width="6.21875" style="1" customWidth="1"/>
    <col min="5116" max="5116" width="8.77734375" style="1" customWidth="1"/>
    <col min="5117" max="5356" width="9.21875" style="1"/>
    <col min="5357" max="5357" width="13.44140625" style="1" customWidth="1"/>
    <col min="5358" max="5358" width="9.21875" style="1"/>
    <col min="5359" max="5359" width="17" style="1" customWidth="1"/>
    <col min="5360" max="5360" width="7.5546875" style="1" customWidth="1"/>
    <col min="5361" max="5361" width="9.21875" style="1"/>
    <col min="5362" max="5362" width="9.21875" style="1" customWidth="1"/>
    <col min="5363" max="5363" width="9.21875" style="1"/>
    <col min="5364" max="5364" width="8.77734375" style="1" customWidth="1"/>
    <col min="5365" max="5365" width="7.44140625" style="1" customWidth="1"/>
    <col min="5366" max="5366" width="7.5546875" style="1" customWidth="1"/>
    <col min="5367" max="5367" width="9.21875" style="1" customWidth="1"/>
    <col min="5368" max="5368" width="9.21875" style="1"/>
    <col min="5369" max="5369" width="10" style="1" customWidth="1"/>
    <col min="5370" max="5370" width="7.77734375" style="1" customWidth="1"/>
    <col min="5371" max="5371" width="6.21875" style="1" customWidth="1"/>
    <col min="5372" max="5372" width="8.77734375" style="1" customWidth="1"/>
    <col min="5373" max="5612" width="9.21875" style="1"/>
    <col min="5613" max="5613" width="13.44140625" style="1" customWidth="1"/>
    <col min="5614" max="5614" width="9.21875" style="1"/>
    <col min="5615" max="5615" width="17" style="1" customWidth="1"/>
    <col min="5616" max="5616" width="7.5546875" style="1" customWidth="1"/>
    <col min="5617" max="5617" width="9.21875" style="1"/>
    <col min="5618" max="5618" width="9.21875" style="1" customWidth="1"/>
    <col min="5619" max="5619" width="9.21875" style="1"/>
    <col min="5620" max="5620" width="8.77734375" style="1" customWidth="1"/>
    <col min="5621" max="5621" width="7.44140625" style="1" customWidth="1"/>
    <col min="5622" max="5622" width="7.5546875" style="1" customWidth="1"/>
    <col min="5623" max="5623" width="9.21875" style="1" customWidth="1"/>
    <col min="5624" max="5624" width="9.21875" style="1"/>
    <col min="5625" max="5625" width="10" style="1" customWidth="1"/>
    <col min="5626" max="5626" width="7.77734375" style="1" customWidth="1"/>
    <col min="5627" max="5627" width="6.21875" style="1" customWidth="1"/>
    <col min="5628" max="5628" width="8.77734375" style="1" customWidth="1"/>
    <col min="5629" max="5868" width="9.21875" style="1"/>
    <col min="5869" max="5869" width="13.44140625" style="1" customWidth="1"/>
    <col min="5870" max="5870" width="9.21875" style="1"/>
    <col min="5871" max="5871" width="17" style="1" customWidth="1"/>
    <col min="5872" max="5872" width="7.5546875" style="1" customWidth="1"/>
    <col min="5873" max="5873" width="9.21875" style="1"/>
    <col min="5874" max="5874" width="9.21875" style="1" customWidth="1"/>
    <col min="5875" max="5875" width="9.21875" style="1"/>
    <col min="5876" max="5876" width="8.77734375" style="1" customWidth="1"/>
    <col min="5877" max="5877" width="7.44140625" style="1" customWidth="1"/>
    <col min="5878" max="5878" width="7.5546875" style="1" customWidth="1"/>
    <col min="5879" max="5879" width="9.21875" style="1" customWidth="1"/>
    <col min="5880" max="5880" width="9.21875" style="1"/>
    <col min="5881" max="5881" width="10" style="1" customWidth="1"/>
    <col min="5882" max="5882" width="7.77734375" style="1" customWidth="1"/>
    <col min="5883" max="5883" width="6.21875" style="1" customWidth="1"/>
    <col min="5884" max="5884" width="8.77734375" style="1" customWidth="1"/>
    <col min="5885" max="6124" width="9.21875" style="1"/>
    <col min="6125" max="6125" width="13.44140625" style="1" customWidth="1"/>
    <col min="6126" max="6126" width="9.21875" style="1"/>
    <col min="6127" max="6127" width="17" style="1" customWidth="1"/>
    <col min="6128" max="6128" width="7.5546875" style="1" customWidth="1"/>
    <col min="6129" max="6129" width="9.21875" style="1"/>
    <col min="6130" max="6130" width="9.21875" style="1" customWidth="1"/>
    <col min="6131" max="6131" width="9.21875" style="1"/>
    <col min="6132" max="6132" width="8.77734375" style="1" customWidth="1"/>
    <col min="6133" max="6133" width="7.44140625" style="1" customWidth="1"/>
    <col min="6134" max="6134" width="7.5546875" style="1" customWidth="1"/>
    <col min="6135" max="6135" width="9.21875" style="1" customWidth="1"/>
    <col min="6136" max="6136" width="9.21875" style="1"/>
    <col min="6137" max="6137" width="10" style="1" customWidth="1"/>
    <col min="6138" max="6138" width="7.77734375" style="1" customWidth="1"/>
    <col min="6139" max="6139" width="6.21875" style="1" customWidth="1"/>
    <col min="6140" max="6140" width="8.77734375" style="1" customWidth="1"/>
    <col min="6141" max="6380" width="9.21875" style="1"/>
    <col min="6381" max="6381" width="13.44140625" style="1" customWidth="1"/>
    <col min="6382" max="6382" width="9.21875" style="1"/>
    <col min="6383" max="6383" width="17" style="1" customWidth="1"/>
    <col min="6384" max="6384" width="7.5546875" style="1" customWidth="1"/>
    <col min="6385" max="6385" width="9.21875" style="1"/>
    <col min="6386" max="6386" width="9.21875" style="1" customWidth="1"/>
    <col min="6387" max="6387" width="9.21875" style="1"/>
    <col min="6388" max="6388" width="8.77734375" style="1" customWidth="1"/>
    <col min="6389" max="6389" width="7.44140625" style="1" customWidth="1"/>
    <col min="6390" max="6390" width="7.5546875" style="1" customWidth="1"/>
    <col min="6391" max="6391" width="9.21875" style="1" customWidth="1"/>
    <col min="6392" max="6392" width="9.21875" style="1"/>
    <col min="6393" max="6393" width="10" style="1" customWidth="1"/>
    <col min="6394" max="6394" width="7.77734375" style="1" customWidth="1"/>
    <col min="6395" max="6395" width="6.21875" style="1" customWidth="1"/>
    <col min="6396" max="6396" width="8.77734375" style="1" customWidth="1"/>
    <col min="6397" max="6636" width="9.21875" style="1"/>
    <col min="6637" max="6637" width="13.44140625" style="1" customWidth="1"/>
    <col min="6638" max="6638" width="9.21875" style="1"/>
    <col min="6639" max="6639" width="17" style="1" customWidth="1"/>
    <col min="6640" max="6640" width="7.5546875" style="1" customWidth="1"/>
    <col min="6641" max="6641" width="9.21875" style="1"/>
    <col min="6642" max="6642" width="9.21875" style="1" customWidth="1"/>
    <col min="6643" max="6643" width="9.21875" style="1"/>
    <col min="6644" max="6644" width="8.77734375" style="1" customWidth="1"/>
    <col min="6645" max="6645" width="7.44140625" style="1" customWidth="1"/>
    <col min="6646" max="6646" width="7.5546875" style="1" customWidth="1"/>
    <col min="6647" max="6647" width="9.21875" style="1" customWidth="1"/>
    <col min="6648" max="6648" width="9.21875" style="1"/>
    <col min="6649" max="6649" width="10" style="1" customWidth="1"/>
    <col min="6650" max="6650" width="7.77734375" style="1" customWidth="1"/>
    <col min="6651" max="6651" width="6.21875" style="1" customWidth="1"/>
    <col min="6652" max="6652" width="8.77734375" style="1" customWidth="1"/>
    <col min="6653" max="6892" width="9.21875" style="1"/>
    <col min="6893" max="6893" width="13.44140625" style="1" customWidth="1"/>
    <col min="6894" max="6894" width="9.21875" style="1"/>
    <col min="6895" max="6895" width="17" style="1" customWidth="1"/>
    <col min="6896" max="6896" width="7.5546875" style="1" customWidth="1"/>
    <col min="6897" max="6897" width="9.21875" style="1"/>
    <col min="6898" max="6898" width="9.21875" style="1" customWidth="1"/>
    <col min="6899" max="6899" width="9.21875" style="1"/>
    <col min="6900" max="6900" width="8.77734375" style="1" customWidth="1"/>
    <col min="6901" max="6901" width="7.44140625" style="1" customWidth="1"/>
    <col min="6902" max="6902" width="7.5546875" style="1" customWidth="1"/>
    <col min="6903" max="6903" width="9.21875" style="1" customWidth="1"/>
    <col min="6904" max="6904" width="9.21875" style="1"/>
    <col min="6905" max="6905" width="10" style="1" customWidth="1"/>
    <col min="6906" max="6906" width="7.77734375" style="1" customWidth="1"/>
    <col min="6907" max="6907" width="6.21875" style="1" customWidth="1"/>
    <col min="6908" max="6908" width="8.77734375" style="1" customWidth="1"/>
    <col min="6909" max="7148" width="9.21875" style="1"/>
    <col min="7149" max="7149" width="13.44140625" style="1" customWidth="1"/>
    <col min="7150" max="7150" width="9.21875" style="1"/>
    <col min="7151" max="7151" width="17" style="1" customWidth="1"/>
    <col min="7152" max="7152" width="7.5546875" style="1" customWidth="1"/>
    <col min="7153" max="7153" width="9.21875" style="1"/>
    <col min="7154" max="7154" width="9.21875" style="1" customWidth="1"/>
    <col min="7155" max="7155" width="9.21875" style="1"/>
    <col min="7156" max="7156" width="8.77734375" style="1" customWidth="1"/>
    <col min="7157" max="7157" width="7.44140625" style="1" customWidth="1"/>
    <col min="7158" max="7158" width="7.5546875" style="1" customWidth="1"/>
    <col min="7159" max="7159" width="9.21875" style="1" customWidth="1"/>
    <col min="7160" max="7160" width="9.21875" style="1"/>
    <col min="7161" max="7161" width="10" style="1" customWidth="1"/>
    <col min="7162" max="7162" width="7.77734375" style="1" customWidth="1"/>
    <col min="7163" max="7163" width="6.21875" style="1" customWidth="1"/>
    <col min="7164" max="7164" width="8.77734375" style="1" customWidth="1"/>
    <col min="7165" max="7404" width="9.21875" style="1"/>
    <col min="7405" max="7405" width="13.44140625" style="1" customWidth="1"/>
    <col min="7406" max="7406" width="9.21875" style="1"/>
    <col min="7407" max="7407" width="17" style="1" customWidth="1"/>
    <col min="7408" max="7408" width="7.5546875" style="1" customWidth="1"/>
    <col min="7409" max="7409" width="9.21875" style="1"/>
    <col min="7410" max="7410" width="9.21875" style="1" customWidth="1"/>
    <col min="7411" max="7411" width="9.21875" style="1"/>
    <col min="7412" max="7412" width="8.77734375" style="1" customWidth="1"/>
    <col min="7413" max="7413" width="7.44140625" style="1" customWidth="1"/>
    <col min="7414" max="7414" width="7.5546875" style="1" customWidth="1"/>
    <col min="7415" max="7415" width="9.21875" style="1" customWidth="1"/>
    <col min="7416" max="7416" width="9.21875" style="1"/>
    <col min="7417" max="7417" width="10" style="1" customWidth="1"/>
    <col min="7418" max="7418" width="7.77734375" style="1" customWidth="1"/>
    <col min="7419" max="7419" width="6.21875" style="1" customWidth="1"/>
    <col min="7420" max="7420" width="8.77734375" style="1" customWidth="1"/>
    <col min="7421" max="7660" width="9.21875" style="1"/>
    <col min="7661" max="7661" width="13.44140625" style="1" customWidth="1"/>
    <col min="7662" max="7662" width="9.21875" style="1"/>
    <col min="7663" max="7663" width="17" style="1" customWidth="1"/>
    <col min="7664" max="7664" width="7.5546875" style="1" customWidth="1"/>
    <col min="7665" max="7665" width="9.21875" style="1"/>
    <col min="7666" max="7666" width="9.21875" style="1" customWidth="1"/>
    <col min="7667" max="7667" width="9.21875" style="1"/>
    <col min="7668" max="7668" width="8.77734375" style="1" customWidth="1"/>
    <col min="7669" max="7669" width="7.44140625" style="1" customWidth="1"/>
    <col min="7670" max="7670" width="7.5546875" style="1" customWidth="1"/>
    <col min="7671" max="7671" width="9.21875" style="1" customWidth="1"/>
    <col min="7672" max="7672" width="9.21875" style="1"/>
    <col min="7673" max="7673" width="10" style="1" customWidth="1"/>
    <col min="7674" max="7674" width="7.77734375" style="1" customWidth="1"/>
    <col min="7675" max="7675" width="6.21875" style="1" customWidth="1"/>
    <col min="7676" max="7676" width="8.77734375" style="1" customWidth="1"/>
    <col min="7677" max="7916" width="9.21875" style="1"/>
    <col min="7917" max="7917" width="13.44140625" style="1" customWidth="1"/>
    <col min="7918" max="7918" width="9.21875" style="1"/>
    <col min="7919" max="7919" width="17" style="1" customWidth="1"/>
    <col min="7920" max="7920" width="7.5546875" style="1" customWidth="1"/>
    <col min="7921" max="7921" width="9.21875" style="1"/>
    <col min="7922" max="7922" width="9.21875" style="1" customWidth="1"/>
    <col min="7923" max="7923" width="9.21875" style="1"/>
    <col min="7924" max="7924" width="8.77734375" style="1" customWidth="1"/>
    <col min="7925" max="7925" width="7.44140625" style="1" customWidth="1"/>
    <col min="7926" max="7926" width="7.5546875" style="1" customWidth="1"/>
    <col min="7927" max="7927" width="9.21875" style="1" customWidth="1"/>
    <col min="7928" max="7928" width="9.21875" style="1"/>
    <col min="7929" max="7929" width="10" style="1" customWidth="1"/>
    <col min="7930" max="7930" width="7.77734375" style="1" customWidth="1"/>
    <col min="7931" max="7931" width="6.21875" style="1" customWidth="1"/>
    <col min="7932" max="7932" width="8.77734375" style="1" customWidth="1"/>
    <col min="7933" max="8172" width="9.21875" style="1"/>
    <col min="8173" max="8173" width="13.44140625" style="1" customWidth="1"/>
    <col min="8174" max="8174" width="9.21875" style="1"/>
    <col min="8175" max="8175" width="17" style="1" customWidth="1"/>
    <col min="8176" max="8176" width="7.5546875" style="1" customWidth="1"/>
    <col min="8177" max="8177" width="9.21875" style="1"/>
    <col min="8178" max="8178" width="9.21875" style="1" customWidth="1"/>
    <col min="8179" max="8179" width="9.21875" style="1"/>
    <col min="8180" max="8180" width="8.77734375" style="1" customWidth="1"/>
    <col min="8181" max="8181" width="7.44140625" style="1" customWidth="1"/>
    <col min="8182" max="8182" width="7.5546875" style="1" customWidth="1"/>
    <col min="8183" max="8183" width="9.21875" style="1" customWidth="1"/>
    <col min="8184" max="8184" width="9.21875" style="1"/>
    <col min="8185" max="8185" width="10" style="1" customWidth="1"/>
    <col min="8186" max="8186" width="7.77734375" style="1" customWidth="1"/>
    <col min="8187" max="8187" width="6.21875" style="1" customWidth="1"/>
    <col min="8188" max="8188" width="8.77734375" style="1" customWidth="1"/>
    <col min="8189" max="8428" width="9.21875" style="1"/>
    <col min="8429" max="8429" width="13.44140625" style="1" customWidth="1"/>
    <col min="8430" max="8430" width="9.21875" style="1"/>
    <col min="8431" max="8431" width="17" style="1" customWidth="1"/>
    <col min="8432" max="8432" width="7.5546875" style="1" customWidth="1"/>
    <col min="8433" max="8433" width="9.21875" style="1"/>
    <col min="8434" max="8434" width="9.21875" style="1" customWidth="1"/>
    <col min="8435" max="8435" width="9.21875" style="1"/>
    <col min="8436" max="8436" width="8.77734375" style="1" customWidth="1"/>
    <col min="8437" max="8437" width="7.44140625" style="1" customWidth="1"/>
    <col min="8438" max="8438" width="7.5546875" style="1" customWidth="1"/>
    <col min="8439" max="8439" width="9.21875" style="1" customWidth="1"/>
    <col min="8440" max="8440" width="9.21875" style="1"/>
    <col min="8441" max="8441" width="10" style="1" customWidth="1"/>
    <col min="8442" max="8442" width="7.77734375" style="1" customWidth="1"/>
    <col min="8443" max="8443" width="6.21875" style="1" customWidth="1"/>
    <col min="8444" max="8444" width="8.77734375" style="1" customWidth="1"/>
    <col min="8445" max="8684" width="9.21875" style="1"/>
    <col min="8685" max="8685" width="13.44140625" style="1" customWidth="1"/>
    <col min="8686" max="8686" width="9.21875" style="1"/>
    <col min="8687" max="8687" width="17" style="1" customWidth="1"/>
    <col min="8688" max="8688" width="7.5546875" style="1" customWidth="1"/>
    <col min="8689" max="8689" width="9.21875" style="1"/>
    <col min="8690" max="8690" width="9.21875" style="1" customWidth="1"/>
    <col min="8691" max="8691" width="9.21875" style="1"/>
    <col min="8692" max="8692" width="8.77734375" style="1" customWidth="1"/>
    <col min="8693" max="8693" width="7.44140625" style="1" customWidth="1"/>
    <col min="8694" max="8694" width="7.5546875" style="1" customWidth="1"/>
    <col min="8695" max="8695" width="9.21875" style="1" customWidth="1"/>
    <col min="8696" max="8696" width="9.21875" style="1"/>
    <col min="8697" max="8697" width="10" style="1" customWidth="1"/>
    <col min="8698" max="8698" width="7.77734375" style="1" customWidth="1"/>
    <col min="8699" max="8699" width="6.21875" style="1" customWidth="1"/>
    <col min="8700" max="8700" width="8.77734375" style="1" customWidth="1"/>
    <col min="8701" max="8940" width="9.21875" style="1"/>
    <col min="8941" max="8941" width="13.44140625" style="1" customWidth="1"/>
    <col min="8942" max="8942" width="9.21875" style="1"/>
    <col min="8943" max="8943" width="17" style="1" customWidth="1"/>
    <col min="8944" max="8944" width="7.5546875" style="1" customWidth="1"/>
    <col min="8945" max="8945" width="9.21875" style="1"/>
    <col min="8946" max="8946" width="9.21875" style="1" customWidth="1"/>
    <col min="8947" max="8947" width="9.21875" style="1"/>
    <col min="8948" max="8948" width="8.77734375" style="1" customWidth="1"/>
    <col min="8949" max="8949" width="7.44140625" style="1" customWidth="1"/>
    <col min="8950" max="8950" width="7.5546875" style="1" customWidth="1"/>
    <col min="8951" max="8951" width="9.21875" style="1" customWidth="1"/>
    <col min="8952" max="8952" width="9.21875" style="1"/>
    <col min="8953" max="8953" width="10" style="1" customWidth="1"/>
    <col min="8954" max="8954" width="7.77734375" style="1" customWidth="1"/>
    <col min="8955" max="8955" width="6.21875" style="1" customWidth="1"/>
    <col min="8956" max="8956" width="8.77734375" style="1" customWidth="1"/>
    <col min="8957" max="9196" width="9.21875" style="1"/>
    <col min="9197" max="9197" width="13.44140625" style="1" customWidth="1"/>
    <col min="9198" max="9198" width="9.21875" style="1"/>
    <col min="9199" max="9199" width="17" style="1" customWidth="1"/>
    <col min="9200" max="9200" width="7.5546875" style="1" customWidth="1"/>
    <col min="9201" max="9201" width="9.21875" style="1"/>
    <col min="9202" max="9202" width="9.21875" style="1" customWidth="1"/>
    <col min="9203" max="9203" width="9.21875" style="1"/>
    <col min="9204" max="9204" width="8.77734375" style="1" customWidth="1"/>
    <col min="9205" max="9205" width="7.44140625" style="1" customWidth="1"/>
    <col min="9206" max="9206" width="7.5546875" style="1" customWidth="1"/>
    <col min="9207" max="9207" width="9.21875" style="1" customWidth="1"/>
    <col min="9208" max="9208" width="9.21875" style="1"/>
    <col min="9209" max="9209" width="10" style="1" customWidth="1"/>
    <col min="9210" max="9210" width="7.77734375" style="1" customWidth="1"/>
    <col min="9211" max="9211" width="6.21875" style="1" customWidth="1"/>
    <col min="9212" max="9212" width="8.77734375" style="1" customWidth="1"/>
    <col min="9213" max="9452" width="9.21875" style="1"/>
    <col min="9453" max="9453" width="13.44140625" style="1" customWidth="1"/>
    <col min="9454" max="9454" width="9.21875" style="1"/>
    <col min="9455" max="9455" width="17" style="1" customWidth="1"/>
    <col min="9456" max="9456" width="7.5546875" style="1" customWidth="1"/>
    <col min="9457" max="9457" width="9.21875" style="1"/>
    <col min="9458" max="9458" width="9.21875" style="1" customWidth="1"/>
    <col min="9459" max="9459" width="9.21875" style="1"/>
    <col min="9460" max="9460" width="8.77734375" style="1" customWidth="1"/>
    <col min="9461" max="9461" width="7.44140625" style="1" customWidth="1"/>
    <col min="9462" max="9462" width="7.5546875" style="1" customWidth="1"/>
    <col min="9463" max="9463" width="9.21875" style="1" customWidth="1"/>
    <col min="9464" max="9464" width="9.21875" style="1"/>
    <col min="9465" max="9465" width="10" style="1" customWidth="1"/>
    <col min="9466" max="9466" width="7.77734375" style="1" customWidth="1"/>
    <col min="9467" max="9467" width="6.21875" style="1" customWidth="1"/>
    <col min="9468" max="9468" width="8.77734375" style="1" customWidth="1"/>
    <col min="9469" max="9708" width="9.21875" style="1"/>
    <col min="9709" max="9709" width="13.44140625" style="1" customWidth="1"/>
    <col min="9710" max="9710" width="9.21875" style="1"/>
    <col min="9711" max="9711" width="17" style="1" customWidth="1"/>
    <col min="9712" max="9712" width="7.5546875" style="1" customWidth="1"/>
    <col min="9713" max="9713" width="9.21875" style="1"/>
    <col min="9714" max="9714" width="9.21875" style="1" customWidth="1"/>
    <col min="9715" max="9715" width="9.21875" style="1"/>
    <col min="9716" max="9716" width="8.77734375" style="1" customWidth="1"/>
    <col min="9717" max="9717" width="7.44140625" style="1" customWidth="1"/>
    <col min="9718" max="9718" width="7.5546875" style="1" customWidth="1"/>
    <col min="9719" max="9719" width="9.21875" style="1" customWidth="1"/>
    <col min="9720" max="9720" width="9.21875" style="1"/>
    <col min="9721" max="9721" width="10" style="1" customWidth="1"/>
    <col min="9722" max="9722" width="7.77734375" style="1" customWidth="1"/>
    <col min="9723" max="9723" width="6.21875" style="1" customWidth="1"/>
    <col min="9724" max="9724" width="8.77734375" style="1" customWidth="1"/>
    <col min="9725" max="9964" width="9.21875" style="1"/>
    <col min="9965" max="9965" width="13.44140625" style="1" customWidth="1"/>
    <col min="9966" max="9966" width="9.21875" style="1"/>
    <col min="9967" max="9967" width="17" style="1" customWidth="1"/>
    <col min="9968" max="9968" width="7.5546875" style="1" customWidth="1"/>
    <col min="9969" max="9969" width="9.21875" style="1"/>
    <col min="9970" max="9970" width="9.21875" style="1" customWidth="1"/>
    <col min="9971" max="9971" width="9.21875" style="1"/>
    <col min="9972" max="9972" width="8.77734375" style="1" customWidth="1"/>
    <col min="9973" max="9973" width="7.44140625" style="1" customWidth="1"/>
    <col min="9974" max="9974" width="7.5546875" style="1" customWidth="1"/>
    <col min="9975" max="9975" width="9.21875" style="1" customWidth="1"/>
    <col min="9976" max="9976" width="9.21875" style="1"/>
    <col min="9977" max="9977" width="10" style="1" customWidth="1"/>
    <col min="9978" max="9978" width="7.77734375" style="1" customWidth="1"/>
    <col min="9979" max="9979" width="6.21875" style="1" customWidth="1"/>
    <col min="9980" max="9980" width="8.77734375" style="1" customWidth="1"/>
    <col min="9981" max="10220" width="9.21875" style="1"/>
    <col min="10221" max="10221" width="13.44140625" style="1" customWidth="1"/>
    <col min="10222" max="10222" width="9.21875" style="1"/>
    <col min="10223" max="10223" width="17" style="1" customWidth="1"/>
    <col min="10224" max="10224" width="7.5546875" style="1" customWidth="1"/>
    <col min="10225" max="10225" width="9.21875" style="1"/>
    <col min="10226" max="10226" width="9.21875" style="1" customWidth="1"/>
    <col min="10227" max="10227" width="9.21875" style="1"/>
    <col min="10228" max="10228" width="8.77734375" style="1" customWidth="1"/>
    <col min="10229" max="10229" width="7.44140625" style="1" customWidth="1"/>
    <col min="10230" max="10230" width="7.5546875" style="1" customWidth="1"/>
    <col min="10231" max="10231" width="9.21875" style="1" customWidth="1"/>
    <col min="10232" max="10232" width="9.21875" style="1"/>
    <col min="10233" max="10233" width="10" style="1" customWidth="1"/>
    <col min="10234" max="10234" width="7.77734375" style="1" customWidth="1"/>
    <col min="10235" max="10235" width="6.21875" style="1" customWidth="1"/>
    <col min="10236" max="10236" width="8.77734375" style="1" customWidth="1"/>
    <col min="10237" max="10476" width="9.21875" style="1"/>
    <col min="10477" max="10477" width="13.44140625" style="1" customWidth="1"/>
    <col min="10478" max="10478" width="9.21875" style="1"/>
    <col min="10479" max="10479" width="17" style="1" customWidth="1"/>
    <col min="10480" max="10480" width="7.5546875" style="1" customWidth="1"/>
    <col min="10481" max="10481" width="9.21875" style="1"/>
    <col min="10482" max="10482" width="9.21875" style="1" customWidth="1"/>
    <col min="10483" max="10483" width="9.21875" style="1"/>
    <col min="10484" max="10484" width="8.77734375" style="1" customWidth="1"/>
    <col min="10485" max="10485" width="7.44140625" style="1" customWidth="1"/>
    <col min="10486" max="10486" width="7.5546875" style="1" customWidth="1"/>
    <col min="10487" max="10487" width="9.21875" style="1" customWidth="1"/>
    <col min="10488" max="10488" width="9.21875" style="1"/>
    <col min="10489" max="10489" width="10" style="1" customWidth="1"/>
    <col min="10490" max="10490" width="7.77734375" style="1" customWidth="1"/>
    <col min="10491" max="10491" width="6.21875" style="1" customWidth="1"/>
    <col min="10492" max="10492" width="8.77734375" style="1" customWidth="1"/>
    <col min="10493" max="10732" width="9.21875" style="1"/>
    <col min="10733" max="10733" width="13.44140625" style="1" customWidth="1"/>
    <col min="10734" max="10734" width="9.21875" style="1"/>
    <col min="10735" max="10735" width="17" style="1" customWidth="1"/>
    <col min="10736" max="10736" width="7.5546875" style="1" customWidth="1"/>
    <col min="10737" max="10737" width="9.21875" style="1"/>
    <col min="10738" max="10738" width="9.21875" style="1" customWidth="1"/>
    <col min="10739" max="10739" width="9.21875" style="1"/>
    <col min="10740" max="10740" width="8.77734375" style="1" customWidth="1"/>
    <col min="10741" max="10741" width="7.44140625" style="1" customWidth="1"/>
    <col min="10742" max="10742" width="7.5546875" style="1" customWidth="1"/>
    <col min="10743" max="10743" width="9.21875" style="1" customWidth="1"/>
    <col min="10744" max="10744" width="9.21875" style="1"/>
    <col min="10745" max="10745" width="10" style="1" customWidth="1"/>
    <col min="10746" max="10746" width="7.77734375" style="1" customWidth="1"/>
    <col min="10747" max="10747" width="6.21875" style="1" customWidth="1"/>
    <col min="10748" max="10748" width="8.77734375" style="1" customWidth="1"/>
    <col min="10749" max="10988" width="9.21875" style="1"/>
    <col min="10989" max="10989" width="13.44140625" style="1" customWidth="1"/>
    <col min="10990" max="10990" width="9.21875" style="1"/>
    <col min="10991" max="10991" width="17" style="1" customWidth="1"/>
    <col min="10992" max="10992" width="7.5546875" style="1" customWidth="1"/>
    <col min="10993" max="10993" width="9.21875" style="1"/>
    <col min="10994" max="10994" width="9.21875" style="1" customWidth="1"/>
    <col min="10995" max="10995" width="9.21875" style="1"/>
    <col min="10996" max="10996" width="8.77734375" style="1" customWidth="1"/>
    <col min="10997" max="10997" width="7.44140625" style="1" customWidth="1"/>
    <col min="10998" max="10998" width="7.5546875" style="1" customWidth="1"/>
    <col min="10999" max="10999" width="9.21875" style="1" customWidth="1"/>
    <col min="11000" max="11000" width="9.21875" style="1"/>
    <col min="11001" max="11001" width="10" style="1" customWidth="1"/>
    <col min="11002" max="11002" width="7.77734375" style="1" customWidth="1"/>
    <col min="11003" max="11003" width="6.21875" style="1" customWidth="1"/>
    <col min="11004" max="11004" width="8.77734375" style="1" customWidth="1"/>
    <col min="11005" max="11244" width="9.21875" style="1"/>
    <col min="11245" max="11245" width="13.44140625" style="1" customWidth="1"/>
    <col min="11246" max="11246" width="9.21875" style="1"/>
    <col min="11247" max="11247" width="17" style="1" customWidth="1"/>
    <col min="11248" max="11248" width="7.5546875" style="1" customWidth="1"/>
    <col min="11249" max="11249" width="9.21875" style="1"/>
    <col min="11250" max="11250" width="9.21875" style="1" customWidth="1"/>
    <col min="11251" max="11251" width="9.21875" style="1"/>
    <col min="11252" max="11252" width="8.77734375" style="1" customWidth="1"/>
    <col min="11253" max="11253" width="7.44140625" style="1" customWidth="1"/>
    <col min="11254" max="11254" width="7.5546875" style="1" customWidth="1"/>
    <col min="11255" max="11255" width="9.21875" style="1" customWidth="1"/>
    <col min="11256" max="11256" width="9.21875" style="1"/>
    <col min="11257" max="11257" width="10" style="1" customWidth="1"/>
    <col min="11258" max="11258" width="7.77734375" style="1" customWidth="1"/>
    <col min="11259" max="11259" width="6.21875" style="1" customWidth="1"/>
    <col min="11260" max="11260" width="8.77734375" style="1" customWidth="1"/>
    <col min="11261" max="11500" width="9.21875" style="1"/>
    <col min="11501" max="11501" width="13.44140625" style="1" customWidth="1"/>
    <col min="11502" max="11502" width="9.21875" style="1"/>
    <col min="11503" max="11503" width="17" style="1" customWidth="1"/>
    <col min="11504" max="11504" width="7.5546875" style="1" customWidth="1"/>
    <col min="11505" max="11505" width="9.21875" style="1"/>
    <col min="11506" max="11506" width="9.21875" style="1" customWidth="1"/>
    <col min="11507" max="11507" width="9.21875" style="1"/>
    <col min="11508" max="11508" width="8.77734375" style="1" customWidth="1"/>
    <col min="11509" max="11509" width="7.44140625" style="1" customWidth="1"/>
    <col min="11510" max="11510" width="7.5546875" style="1" customWidth="1"/>
    <col min="11511" max="11511" width="9.21875" style="1" customWidth="1"/>
    <col min="11512" max="11512" width="9.21875" style="1"/>
    <col min="11513" max="11513" width="10" style="1" customWidth="1"/>
    <col min="11514" max="11514" width="7.77734375" style="1" customWidth="1"/>
    <col min="11515" max="11515" width="6.21875" style="1" customWidth="1"/>
    <col min="11516" max="11516" width="8.77734375" style="1" customWidth="1"/>
    <col min="11517" max="11756" width="9.21875" style="1"/>
    <col min="11757" max="11757" width="13.44140625" style="1" customWidth="1"/>
    <col min="11758" max="11758" width="9.21875" style="1"/>
    <col min="11759" max="11759" width="17" style="1" customWidth="1"/>
    <col min="11760" max="11760" width="7.5546875" style="1" customWidth="1"/>
    <col min="11761" max="11761" width="9.21875" style="1"/>
    <col min="11762" max="11762" width="9.21875" style="1" customWidth="1"/>
    <col min="11763" max="11763" width="9.21875" style="1"/>
    <col min="11764" max="11764" width="8.77734375" style="1" customWidth="1"/>
    <col min="11765" max="11765" width="7.44140625" style="1" customWidth="1"/>
    <col min="11766" max="11766" width="7.5546875" style="1" customWidth="1"/>
    <col min="11767" max="11767" width="9.21875" style="1" customWidth="1"/>
    <col min="11768" max="11768" width="9.21875" style="1"/>
    <col min="11769" max="11769" width="10" style="1" customWidth="1"/>
    <col min="11770" max="11770" width="7.77734375" style="1" customWidth="1"/>
    <col min="11771" max="11771" width="6.21875" style="1" customWidth="1"/>
    <col min="11772" max="11772" width="8.77734375" style="1" customWidth="1"/>
    <col min="11773" max="12012" width="9.21875" style="1"/>
    <col min="12013" max="12013" width="13.44140625" style="1" customWidth="1"/>
    <col min="12014" max="12014" width="9.21875" style="1"/>
    <col min="12015" max="12015" width="17" style="1" customWidth="1"/>
    <col min="12016" max="12016" width="7.5546875" style="1" customWidth="1"/>
    <col min="12017" max="12017" width="9.21875" style="1"/>
    <col min="12018" max="12018" width="9.21875" style="1" customWidth="1"/>
    <col min="12019" max="12019" width="9.21875" style="1"/>
    <col min="12020" max="12020" width="8.77734375" style="1" customWidth="1"/>
    <col min="12021" max="12021" width="7.44140625" style="1" customWidth="1"/>
    <col min="12022" max="12022" width="7.5546875" style="1" customWidth="1"/>
    <col min="12023" max="12023" width="9.21875" style="1" customWidth="1"/>
    <col min="12024" max="12024" width="9.21875" style="1"/>
    <col min="12025" max="12025" width="10" style="1" customWidth="1"/>
    <col min="12026" max="12026" width="7.77734375" style="1" customWidth="1"/>
    <col min="12027" max="12027" width="6.21875" style="1" customWidth="1"/>
    <col min="12028" max="12028" width="8.77734375" style="1" customWidth="1"/>
    <col min="12029" max="12268" width="9.21875" style="1"/>
    <col min="12269" max="12269" width="13.44140625" style="1" customWidth="1"/>
    <col min="12270" max="12270" width="9.21875" style="1"/>
    <col min="12271" max="12271" width="17" style="1" customWidth="1"/>
    <col min="12272" max="12272" width="7.5546875" style="1" customWidth="1"/>
    <col min="12273" max="12273" width="9.21875" style="1"/>
    <col min="12274" max="12274" width="9.21875" style="1" customWidth="1"/>
    <col min="12275" max="12275" width="9.21875" style="1"/>
    <col min="12276" max="12276" width="8.77734375" style="1" customWidth="1"/>
    <col min="12277" max="12277" width="7.44140625" style="1" customWidth="1"/>
    <col min="12278" max="12278" width="7.5546875" style="1" customWidth="1"/>
    <col min="12279" max="12279" width="9.21875" style="1" customWidth="1"/>
    <col min="12280" max="12280" width="9.21875" style="1"/>
    <col min="12281" max="12281" width="10" style="1" customWidth="1"/>
    <col min="12282" max="12282" width="7.77734375" style="1" customWidth="1"/>
    <col min="12283" max="12283" width="6.21875" style="1" customWidth="1"/>
    <col min="12284" max="12284" width="8.77734375" style="1" customWidth="1"/>
    <col min="12285" max="12524" width="9.21875" style="1"/>
    <col min="12525" max="12525" width="13.44140625" style="1" customWidth="1"/>
    <col min="12526" max="12526" width="9.21875" style="1"/>
    <col min="12527" max="12527" width="17" style="1" customWidth="1"/>
    <col min="12528" max="12528" width="7.5546875" style="1" customWidth="1"/>
    <col min="12529" max="12529" width="9.21875" style="1"/>
    <col min="12530" max="12530" width="9.21875" style="1" customWidth="1"/>
    <col min="12531" max="12531" width="9.21875" style="1"/>
    <col min="12532" max="12532" width="8.77734375" style="1" customWidth="1"/>
    <col min="12533" max="12533" width="7.44140625" style="1" customWidth="1"/>
    <col min="12534" max="12534" width="7.5546875" style="1" customWidth="1"/>
    <col min="12535" max="12535" width="9.21875" style="1" customWidth="1"/>
    <col min="12536" max="12536" width="9.21875" style="1"/>
    <col min="12537" max="12537" width="10" style="1" customWidth="1"/>
    <col min="12538" max="12538" width="7.77734375" style="1" customWidth="1"/>
    <col min="12539" max="12539" width="6.21875" style="1" customWidth="1"/>
    <col min="12540" max="12540" width="8.77734375" style="1" customWidth="1"/>
    <col min="12541" max="12780" width="9.21875" style="1"/>
    <col min="12781" max="12781" width="13.44140625" style="1" customWidth="1"/>
    <col min="12782" max="12782" width="9.21875" style="1"/>
    <col min="12783" max="12783" width="17" style="1" customWidth="1"/>
    <col min="12784" max="12784" width="7.5546875" style="1" customWidth="1"/>
    <col min="12785" max="12785" width="9.21875" style="1"/>
    <col min="12786" max="12786" width="9.21875" style="1" customWidth="1"/>
    <col min="12787" max="12787" width="9.21875" style="1"/>
    <col min="12788" max="12788" width="8.77734375" style="1" customWidth="1"/>
    <col min="12789" max="12789" width="7.44140625" style="1" customWidth="1"/>
    <col min="12790" max="12790" width="7.5546875" style="1" customWidth="1"/>
    <col min="12791" max="12791" width="9.21875" style="1" customWidth="1"/>
    <col min="12792" max="12792" width="9.21875" style="1"/>
    <col min="12793" max="12793" width="10" style="1" customWidth="1"/>
    <col min="12794" max="12794" width="7.77734375" style="1" customWidth="1"/>
    <col min="12795" max="12795" width="6.21875" style="1" customWidth="1"/>
    <col min="12796" max="12796" width="8.77734375" style="1" customWidth="1"/>
    <col min="12797" max="13036" width="9.21875" style="1"/>
    <col min="13037" max="13037" width="13.44140625" style="1" customWidth="1"/>
    <col min="13038" max="13038" width="9.21875" style="1"/>
    <col min="13039" max="13039" width="17" style="1" customWidth="1"/>
    <col min="13040" max="13040" width="7.5546875" style="1" customWidth="1"/>
    <col min="13041" max="13041" width="9.21875" style="1"/>
    <col min="13042" max="13042" width="9.21875" style="1" customWidth="1"/>
    <col min="13043" max="13043" width="9.21875" style="1"/>
    <col min="13044" max="13044" width="8.77734375" style="1" customWidth="1"/>
    <col min="13045" max="13045" width="7.44140625" style="1" customWidth="1"/>
    <col min="13046" max="13046" width="7.5546875" style="1" customWidth="1"/>
    <col min="13047" max="13047" width="9.21875" style="1" customWidth="1"/>
    <col min="13048" max="13048" width="9.21875" style="1"/>
    <col min="13049" max="13049" width="10" style="1" customWidth="1"/>
    <col min="13050" max="13050" width="7.77734375" style="1" customWidth="1"/>
    <col min="13051" max="13051" width="6.21875" style="1" customWidth="1"/>
    <col min="13052" max="13052" width="8.77734375" style="1" customWidth="1"/>
    <col min="13053" max="13292" width="9.21875" style="1"/>
    <col min="13293" max="13293" width="13.44140625" style="1" customWidth="1"/>
    <col min="13294" max="13294" width="9.21875" style="1"/>
    <col min="13295" max="13295" width="17" style="1" customWidth="1"/>
    <col min="13296" max="13296" width="7.5546875" style="1" customWidth="1"/>
    <col min="13297" max="13297" width="9.21875" style="1"/>
    <col min="13298" max="13298" width="9.21875" style="1" customWidth="1"/>
    <col min="13299" max="13299" width="9.21875" style="1"/>
    <col min="13300" max="13300" width="8.77734375" style="1" customWidth="1"/>
    <col min="13301" max="13301" width="7.44140625" style="1" customWidth="1"/>
    <col min="13302" max="13302" width="7.5546875" style="1" customWidth="1"/>
    <col min="13303" max="13303" width="9.21875" style="1" customWidth="1"/>
    <col min="13304" max="13304" width="9.21875" style="1"/>
    <col min="13305" max="13305" width="10" style="1" customWidth="1"/>
    <col min="13306" max="13306" width="7.77734375" style="1" customWidth="1"/>
    <col min="13307" max="13307" width="6.21875" style="1" customWidth="1"/>
    <col min="13308" max="13308" width="8.77734375" style="1" customWidth="1"/>
    <col min="13309" max="13548" width="9.21875" style="1"/>
    <col min="13549" max="13549" width="13.44140625" style="1" customWidth="1"/>
    <col min="13550" max="13550" width="9.21875" style="1"/>
    <col min="13551" max="13551" width="17" style="1" customWidth="1"/>
    <col min="13552" max="13552" width="7.5546875" style="1" customWidth="1"/>
    <col min="13553" max="13553" width="9.21875" style="1"/>
    <col min="13554" max="13554" width="9.21875" style="1" customWidth="1"/>
    <col min="13555" max="13555" width="9.21875" style="1"/>
    <col min="13556" max="13556" width="8.77734375" style="1" customWidth="1"/>
    <col min="13557" max="13557" width="7.44140625" style="1" customWidth="1"/>
    <col min="13558" max="13558" width="7.5546875" style="1" customWidth="1"/>
    <col min="13559" max="13559" width="9.21875" style="1" customWidth="1"/>
    <col min="13560" max="13560" width="9.21875" style="1"/>
    <col min="13561" max="13561" width="10" style="1" customWidth="1"/>
    <col min="13562" max="13562" width="7.77734375" style="1" customWidth="1"/>
    <col min="13563" max="13563" width="6.21875" style="1" customWidth="1"/>
    <col min="13564" max="13564" width="8.77734375" style="1" customWidth="1"/>
    <col min="13565" max="13804" width="9.21875" style="1"/>
    <col min="13805" max="13805" width="13.44140625" style="1" customWidth="1"/>
    <col min="13806" max="13806" width="9.21875" style="1"/>
    <col min="13807" max="13807" width="17" style="1" customWidth="1"/>
    <col min="13808" max="13808" width="7.5546875" style="1" customWidth="1"/>
    <col min="13809" max="13809" width="9.21875" style="1"/>
    <col min="13810" max="13810" width="9.21875" style="1" customWidth="1"/>
    <col min="13811" max="13811" width="9.21875" style="1"/>
    <col min="13812" max="13812" width="8.77734375" style="1" customWidth="1"/>
    <col min="13813" max="13813" width="7.44140625" style="1" customWidth="1"/>
    <col min="13814" max="13814" width="7.5546875" style="1" customWidth="1"/>
    <col min="13815" max="13815" width="9.21875" style="1" customWidth="1"/>
    <col min="13816" max="13816" width="9.21875" style="1"/>
    <col min="13817" max="13817" width="10" style="1" customWidth="1"/>
    <col min="13818" max="13818" width="7.77734375" style="1" customWidth="1"/>
    <col min="13819" max="13819" width="6.21875" style="1" customWidth="1"/>
    <col min="13820" max="13820" width="8.77734375" style="1" customWidth="1"/>
    <col min="13821" max="14060" width="9.21875" style="1"/>
    <col min="14061" max="14061" width="13.44140625" style="1" customWidth="1"/>
    <col min="14062" max="14062" width="9.21875" style="1"/>
    <col min="14063" max="14063" width="17" style="1" customWidth="1"/>
    <col min="14064" max="14064" width="7.5546875" style="1" customWidth="1"/>
    <col min="14065" max="14065" width="9.21875" style="1"/>
    <col min="14066" max="14066" width="9.21875" style="1" customWidth="1"/>
    <col min="14067" max="14067" width="9.21875" style="1"/>
    <col min="14068" max="14068" width="8.77734375" style="1" customWidth="1"/>
    <col min="14069" max="14069" width="7.44140625" style="1" customWidth="1"/>
    <col min="14070" max="14070" width="7.5546875" style="1" customWidth="1"/>
    <col min="14071" max="14071" width="9.21875" style="1" customWidth="1"/>
    <col min="14072" max="14072" width="9.21875" style="1"/>
    <col min="14073" max="14073" width="10" style="1" customWidth="1"/>
    <col min="14074" max="14074" width="7.77734375" style="1" customWidth="1"/>
    <col min="14075" max="14075" width="6.21875" style="1" customWidth="1"/>
    <col min="14076" max="14076" width="8.77734375" style="1" customWidth="1"/>
    <col min="14077" max="14316" width="9.21875" style="1"/>
    <col min="14317" max="14317" width="13.44140625" style="1" customWidth="1"/>
    <col min="14318" max="14318" width="9.21875" style="1"/>
    <col min="14319" max="14319" width="17" style="1" customWidth="1"/>
    <col min="14320" max="14320" width="7.5546875" style="1" customWidth="1"/>
    <col min="14321" max="14321" width="9.21875" style="1"/>
    <col min="14322" max="14322" width="9.21875" style="1" customWidth="1"/>
    <col min="14323" max="14323" width="9.21875" style="1"/>
    <col min="14324" max="14324" width="8.77734375" style="1" customWidth="1"/>
    <col min="14325" max="14325" width="7.44140625" style="1" customWidth="1"/>
    <col min="14326" max="14326" width="7.5546875" style="1" customWidth="1"/>
    <col min="14327" max="14327" width="9.21875" style="1" customWidth="1"/>
    <col min="14328" max="14328" width="9.21875" style="1"/>
    <col min="14329" max="14329" width="10" style="1" customWidth="1"/>
    <col min="14330" max="14330" width="7.77734375" style="1" customWidth="1"/>
    <col min="14331" max="14331" width="6.21875" style="1" customWidth="1"/>
    <col min="14332" max="14332" width="8.77734375" style="1" customWidth="1"/>
    <col min="14333" max="14572" width="9.21875" style="1"/>
    <col min="14573" max="14573" width="13.44140625" style="1" customWidth="1"/>
    <col min="14574" max="14574" width="9.21875" style="1"/>
    <col min="14575" max="14575" width="17" style="1" customWidth="1"/>
    <col min="14576" max="14576" width="7.5546875" style="1" customWidth="1"/>
    <col min="14577" max="14577" width="9.21875" style="1"/>
    <col min="14578" max="14578" width="9.21875" style="1" customWidth="1"/>
    <col min="14579" max="14579" width="9.21875" style="1"/>
    <col min="14580" max="14580" width="8.77734375" style="1" customWidth="1"/>
    <col min="14581" max="14581" width="7.44140625" style="1" customWidth="1"/>
    <col min="14582" max="14582" width="7.5546875" style="1" customWidth="1"/>
    <col min="14583" max="14583" width="9.21875" style="1" customWidth="1"/>
    <col min="14584" max="14584" width="9.21875" style="1"/>
    <col min="14585" max="14585" width="10" style="1" customWidth="1"/>
    <col min="14586" max="14586" width="7.77734375" style="1" customWidth="1"/>
    <col min="14587" max="14587" width="6.21875" style="1" customWidth="1"/>
    <col min="14588" max="14588" width="8.77734375" style="1" customWidth="1"/>
    <col min="14589" max="14828" width="9.21875" style="1"/>
    <col min="14829" max="14829" width="13.44140625" style="1" customWidth="1"/>
    <col min="14830" max="14830" width="9.21875" style="1"/>
    <col min="14831" max="14831" width="17" style="1" customWidth="1"/>
    <col min="14832" max="14832" width="7.5546875" style="1" customWidth="1"/>
    <col min="14833" max="14833" width="9.21875" style="1"/>
    <col min="14834" max="14834" width="9.21875" style="1" customWidth="1"/>
    <col min="14835" max="14835" width="9.21875" style="1"/>
    <col min="14836" max="14836" width="8.77734375" style="1" customWidth="1"/>
    <col min="14837" max="14837" width="7.44140625" style="1" customWidth="1"/>
    <col min="14838" max="14838" width="7.5546875" style="1" customWidth="1"/>
    <col min="14839" max="14839" width="9.21875" style="1" customWidth="1"/>
    <col min="14840" max="14840" width="9.21875" style="1"/>
    <col min="14841" max="14841" width="10" style="1" customWidth="1"/>
    <col min="14842" max="14842" width="7.77734375" style="1" customWidth="1"/>
    <col min="14843" max="14843" width="6.21875" style="1" customWidth="1"/>
    <col min="14844" max="14844" width="8.77734375" style="1" customWidth="1"/>
    <col min="14845" max="15084" width="9.21875" style="1"/>
    <col min="15085" max="15085" width="13.44140625" style="1" customWidth="1"/>
    <col min="15086" max="15086" width="9.21875" style="1"/>
    <col min="15087" max="15087" width="17" style="1" customWidth="1"/>
    <col min="15088" max="15088" width="7.5546875" style="1" customWidth="1"/>
    <col min="15089" max="15089" width="9.21875" style="1"/>
    <col min="15090" max="15090" width="9.21875" style="1" customWidth="1"/>
    <col min="15091" max="15091" width="9.21875" style="1"/>
    <col min="15092" max="15092" width="8.77734375" style="1" customWidth="1"/>
    <col min="15093" max="15093" width="7.44140625" style="1" customWidth="1"/>
    <col min="15094" max="15094" width="7.5546875" style="1" customWidth="1"/>
    <col min="15095" max="15095" width="9.21875" style="1" customWidth="1"/>
    <col min="15096" max="15096" width="9.21875" style="1"/>
    <col min="15097" max="15097" width="10" style="1" customWidth="1"/>
    <col min="15098" max="15098" width="7.77734375" style="1" customWidth="1"/>
    <col min="15099" max="15099" width="6.21875" style="1" customWidth="1"/>
    <col min="15100" max="15100" width="8.77734375" style="1" customWidth="1"/>
    <col min="15101" max="15340" width="9.21875" style="1"/>
    <col min="15341" max="15341" width="13.44140625" style="1" customWidth="1"/>
    <col min="15342" max="15342" width="9.21875" style="1"/>
    <col min="15343" max="15343" width="17" style="1" customWidth="1"/>
    <col min="15344" max="15344" width="7.5546875" style="1" customWidth="1"/>
    <col min="15345" max="15345" width="9.21875" style="1"/>
    <col min="15346" max="15346" width="9.21875" style="1" customWidth="1"/>
    <col min="15347" max="15347" width="9.21875" style="1"/>
    <col min="15348" max="15348" width="8.77734375" style="1" customWidth="1"/>
    <col min="15349" max="15349" width="7.44140625" style="1" customWidth="1"/>
    <col min="15350" max="15350" width="7.5546875" style="1" customWidth="1"/>
    <col min="15351" max="15351" width="9.21875" style="1" customWidth="1"/>
    <col min="15352" max="15352" width="9.21875" style="1"/>
    <col min="15353" max="15353" width="10" style="1" customWidth="1"/>
    <col min="15354" max="15354" width="7.77734375" style="1" customWidth="1"/>
    <col min="15355" max="15355" width="6.21875" style="1" customWidth="1"/>
    <col min="15356" max="15356" width="8.77734375" style="1" customWidth="1"/>
    <col min="15357" max="15596" width="9.21875" style="1"/>
    <col min="15597" max="15597" width="13.44140625" style="1" customWidth="1"/>
    <col min="15598" max="15598" width="9.21875" style="1"/>
    <col min="15599" max="15599" width="17" style="1" customWidth="1"/>
    <col min="15600" max="15600" width="7.5546875" style="1" customWidth="1"/>
    <col min="15601" max="15601" width="9.21875" style="1"/>
    <col min="15602" max="15602" width="9.21875" style="1" customWidth="1"/>
    <col min="15603" max="15603" width="9.21875" style="1"/>
    <col min="15604" max="15604" width="8.77734375" style="1" customWidth="1"/>
    <col min="15605" max="15605" width="7.44140625" style="1" customWidth="1"/>
    <col min="15606" max="15606" width="7.5546875" style="1" customWidth="1"/>
    <col min="15607" max="15607" width="9.21875" style="1" customWidth="1"/>
    <col min="15608" max="15608" width="9.21875" style="1"/>
    <col min="15609" max="15609" width="10" style="1" customWidth="1"/>
    <col min="15610" max="15610" width="7.77734375" style="1" customWidth="1"/>
    <col min="15611" max="15611" width="6.21875" style="1" customWidth="1"/>
    <col min="15612" max="15612" width="8.77734375" style="1" customWidth="1"/>
    <col min="15613" max="15852" width="9.21875" style="1"/>
    <col min="15853" max="15853" width="13.44140625" style="1" customWidth="1"/>
    <col min="15854" max="15854" width="9.21875" style="1"/>
    <col min="15855" max="15855" width="17" style="1" customWidth="1"/>
    <col min="15856" max="15856" width="7.5546875" style="1" customWidth="1"/>
    <col min="15857" max="15857" width="9.21875" style="1"/>
    <col min="15858" max="15858" width="9.21875" style="1" customWidth="1"/>
    <col min="15859" max="15859" width="9.21875" style="1"/>
    <col min="15860" max="15860" width="8.77734375" style="1" customWidth="1"/>
    <col min="15861" max="15861" width="7.44140625" style="1" customWidth="1"/>
    <col min="15862" max="15862" width="7.5546875" style="1" customWidth="1"/>
    <col min="15863" max="15863" width="9.21875" style="1" customWidth="1"/>
    <col min="15864" max="15864" width="9.21875" style="1"/>
    <col min="15865" max="15865" width="10" style="1" customWidth="1"/>
    <col min="15866" max="15866" width="7.77734375" style="1" customWidth="1"/>
    <col min="15867" max="15867" width="6.21875" style="1" customWidth="1"/>
    <col min="15868" max="15868" width="8.77734375" style="1" customWidth="1"/>
    <col min="15869" max="16108" width="9.21875" style="1"/>
    <col min="16109" max="16109" width="13.44140625" style="1" customWidth="1"/>
    <col min="16110" max="16110" width="9.21875" style="1"/>
    <col min="16111" max="16111" width="17" style="1" customWidth="1"/>
    <col min="16112" max="16112" width="7.5546875" style="1" customWidth="1"/>
    <col min="16113" max="16113" width="9.21875" style="1"/>
    <col min="16114" max="16114" width="9.21875" style="1" customWidth="1"/>
    <col min="16115" max="16115" width="9.21875" style="1"/>
    <col min="16116" max="16116" width="8.77734375" style="1" customWidth="1"/>
    <col min="16117" max="16117" width="7.44140625" style="1" customWidth="1"/>
    <col min="16118" max="16118" width="7.5546875" style="1" customWidth="1"/>
    <col min="16119" max="16119" width="9.21875" style="1" customWidth="1"/>
    <col min="16120" max="16120" width="9.21875" style="1"/>
    <col min="16121" max="16121" width="10" style="1" customWidth="1"/>
    <col min="16122" max="16122" width="7.77734375" style="1" customWidth="1"/>
    <col min="16123" max="16123" width="6.21875" style="1" customWidth="1"/>
    <col min="16124" max="16124" width="8.77734375" style="1" customWidth="1"/>
    <col min="16125" max="16369" width="9.21875" style="1"/>
    <col min="16370" max="16384" width="9.21875" style="1" customWidth="1"/>
  </cols>
  <sheetData>
    <row r="1" spans="1:11" x14ac:dyDescent="0.25">
      <c r="A1" s="899" t="s">
        <v>144</v>
      </c>
      <c r="B1" s="900"/>
      <c r="C1" s="900"/>
      <c r="D1" s="900"/>
      <c r="E1" s="900"/>
      <c r="F1" s="900"/>
      <c r="G1" s="900"/>
      <c r="H1" s="900"/>
      <c r="I1" s="900"/>
      <c r="J1" s="900"/>
      <c r="K1" s="901"/>
    </row>
    <row r="2" spans="1:11" ht="13.8" thickBot="1" x14ac:dyDescent="0.3">
      <c r="A2" s="902"/>
      <c r="B2" s="903"/>
      <c r="C2" s="903"/>
      <c r="D2" s="903"/>
      <c r="E2" s="903"/>
      <c r="F2" s="903"/>
      <c r="G2" s="903"/>
      <c r="H2" s="903"/>
      <c r="I2" s="903"/>
      <c r="J2" s="903"/>
      <c r="K2" s="904"/>
    </row>
    <row r="3" spans="1:11" x14ac:dyDescent="0.25">
      <c r="A3" s="9"/>
      <c r="C3" s="1">
        <v>3</v>
      </c>
      <c r="K3" s="8"/>
    </row>
    <row r="4" spans="1:11" x14ac:dyDescent="0.25">
      <c r="A4" s="91" t="s">
        <v>29</v>
      </c>
      <c r="B4" s="92"/>
      <c r="C4" s="567" t="str">
        <f>ID!C41</f>
        <v>Cholesterol</v>
      </c>
      <c r="D4" s="618" t="str">
        <f>ID!D41</f>
        <v>mg/dL</v>
      </c>
      <c r="E4" s="94"/>
      <c r="F4" s="94"/>
      <c r="G4" s="94"/>
      <c r="H4" s="94"/>
      <c r="I4" s="94"/>
      <c r="J4" s="94"/>
      <c r="K4" s="95"/>
    </row>
    <row r="5" spans="1:11" ht="16.2" x14ac:dyDescent="0.25">
      <c r="A5" s="132" t="s">
        <v>145</v>
      </c>
      <c r="B5" s="133" t="s">
        <v>146</v>
      </c>
      <c r="C5" s="134" t="s">
        <v>147</v>
      </c>
      <c r="D5" s="133" t="s">
        <v>148</v>
      </c>
      <c r="E5" s="135" t="s">
        <v>149</v>
      </c>
      <c r="F5" s="133" t="s">
        <v>150</v>
      </c>
      <c r="G5" s="134" t="s">
        <v>151</v>
      </c>
      <c r="H5" s="133" t="s">
        <v>152</v>
      </c>
      <c r="I5" s="134" t="s">
        <v>153</v>
      </c>
      <c r="J5" s="133" t="s">
        <v>154</v>
      </c>
      <c r="K5" s="136" t="s">
        <v>155</v>
      </c>
    </row>
    <row r="6" spans="1:11" x14ac:dyDescent="0.25">
      <c r="A6" s="96" t="s">
        <v>156</v>
      </c>
      <c r="B6" s="97" t="str">
        <f>D4</f>
        <v>mg/dL</v>
      </c>
      <c r="C6" s="98" t="s">
        <v>157</v>
      </c>
      <c r="D6" s="212">
        <f>ID!K41</f>
        <v>1</v>
      </c>
      <c r="E6" s="99">
        <f>SQRT(3)</f>
        <v>1.7320508075688772</v>
      </c>
      <c r="F6" s="97">
        <f>C3-1</f>
        <v>2</v>
      </c>
      <c r="G6" s="100">
        <f>D6/E6</f>
        <v>0.57735026918962584</v>
      </c>
      <c r="H6" s="101">
        <v>1</v>
      </c>
      <c r="I6" s="100">
        <f>G6*H6</f>
        <v>0.57735026918962584</v>
      </c>
      <c r="J6" s="102">
        <f>I6^2</f>
        <v>0.33333333333333343</v>
      </c>
      <c r="K6" s="103">
        <f>I6^4/F6</f>
        <v>5.5555555555555587E-2</v>
      </c>
    </row>
    <row r="7" spans="1:11" x14ac:dyDescent="0.25">
      <c r="A7" s="104" t="s">
        <v>158</v>
      </c>
      <c r="B7" s="97" t="str">
        <f>D4</f>
        <v>mg/dL</v>
      </c>
      <c r="C7" s="105" t="s">
        <v>159</v>
      </c>
      <c r="D7" s="212">
        <f>0.5*ID!E9</f>
        <v>0.5</v>
      </c>
      <c r="E7" s="106">
        <f>SQRT(3)</f>
        <v>1.7320508075688772</v>
      </c>
      <c r="F7" s="97">
        <f>0.5*(100/10)^2</f>
        <v>50</v>
      </c>
      <c r="G7" s="107">
        <f>D7/E7</f>
        <v>0.28867513459481292</v>
      </c>
      <c r="H7" s="97">
        <v>1</v>
      </c>
      <c r="I7" s="107">
        <f>G7*H7</f>
        <v>0.28867513459481292</v>
      </c>
      <c r="J7" s="108">
        <f>I7^2</f>
        <v>8.3333333333333356E-2</v>
      </c>
      <c r="K7" s="109">
        <f>I7^4/F7</f>
        <v>1.3888888888888897E-4</v>
      </c>
    </row>
    <row r="8" spans="1:11" x14ac:dyDescent="0.25">
      <c r="A8" s="112" t="s">
        <v>160</v>
      </c>
      <c r="B8" s="97" t="str">
        <f>D4</f>
        <v>mg/dL</v>
      </c>
      <c r="C8" s="105" t="s">
        <v>157</v>
      </c>
      <c r="D8" s="212">
        <f>ID!K41/ID!J41</f>
        <v>1.2345679012345678E-2</v>
      </c>
      <c r="E8" s="110">
        <f>SQRT(3)</f>
        <v>1.7320508075688772</v>
      </c>
      <c r="F8" s="97">
        <f t="shared" ref="F8" si="0">0.5*(100/10)^2</f>
        <v>50</v>
      </c>
      <c r="G8" s="107">
        <f>D8/E8</f>
        <v>7.1277811011064909E-3</v>
      </c>
      <c r="H8" s="97">
        <v>1</v>
      </c>
      <c r="I8" s="107">
        <f>G8*H8</f>
        <v>7.1277811011064909E-3</v>
      </c>
      <c r="J8" s="108">
        <f>I8^2</f>
        <v>5.0805263425290864E-5</v>
      </c>
      <c r="K8" s="111">
        <f>I8^4/F8</f>
        <v>5.1623495834263947E-11</v>
      </c>
    </row>
    <row r="9" spans="1:11" x14ac:dyDescent="0.25">
      <c r="A9" s="113" t="s">
        <v>161</v>
      </c>
      <c r="B9" s="114"/>
      <c r="C9" s="114"/>
      <c r="D9" s="114"/>
      <c r="E9" s="115"/>
      <c r="F9" s="114"/>
      <c r="G9" s="114"/>
      <c r="H9" s="114"/>
      <c r="I9" s="114"/>
      <c r="J9" s="116">
        <f>SUM(J6:J8)</f>
        <v>0.41671747193009206</v>
      </c>
      <c r="K9" s="117">
        <f>SUM(K6:K8)</f>
        <v>5.5694444496067974E-2</v>
      </c>
    </row>
    <row r="10" spans="1:11" ht="15.6" x14ac:dyDescent="0.35">
      <c r="A10" s="118" t="s">
        <v>162</v>
      </c>
      <c r="B10" s="119"/>
      <c r="C10" s="119"/>
      <c r="D10" s="119"/>
      <c r="E10" s="120"/>
      <c r="F10" s="119"/>
      <c r="G10" s="121" t="s">
        <v>163</v>
      </c>
      <c r="H10" s="119"/>
      <c r="I10" s="119"/>
      <c r="J10" s="122">
        <f>SQRT(J9)</f>
        <v>0.64553657675618359</v>
      </c>
      <c r="K10" s="123"/>
    </row>
    <row r="11" spans="1:11" ht="16.8" x14ac:dyDescent="0.35">
      <c r="A11" s="113" t="s">
        <v>164</v>
      </c>
      <c r="B11" s="114"/>
      <c r="C11" s="114"/>
      <c r="D11" s="114"/>
      <c r="E11" s="115"/>
      <c r="F11" s="114"/>
      <c r="G11" s="94" t="s">
        <v>165</v>
      </c>
      <c r="H11" s="114"/>
      <c r="I11" s="114"/>
      <c r="J11" s="116">
        <f>J10^4/(K9)</f>
        <v>3.1179672045039792</v>
      </c>
      <c r="K11" s="124"/>
    </row>
    <row r="12" spans="1:11" x14ac:dyDescent="0.25">
      <c r="A12" s="118" t="s">
        <v>166</v>
      </c>
      <c r="B12" s="119"/>
      <c r="C12" s="119"/>
      <c r="D12" s="119"/>
      <c r="E12" s="120"/>
      <c r="F12" s="119"/>
      <c r="G12" s="92" t="s">
        <v>167</v>
      </c>
      <c r="H12" s="119"/>
      <c r="I12" s="119"/>
      <c r="J12" s="122">
        <f>1.95996+(2.37356/J11)+(2.818745/J11^2)+(2.546662/J11^3)+(1.761829/J11^4)+(0.245458/J11^5)+(1.000764/J11^6)</f>
        <v>3.1157339124402741</v>
      </c>
      <c r="K12" s="565"/>
    </row>
    <row r="13" spans="1:11" x14ac:dyDescent="0.25">
      <c r="A13" s="125" t="s">
        <v>168</v>
      </c>
      <c r="B13" s="126"/>
      <c r="C13" s="126"/>
      <c r="D13" s="126"/>
      <c r="E13" s="127"/>
      <c r="F13" s="119"/>
      <c r="G13" s="92" t="s">
        <v>169</v>
      </c>
      <c r="H13" s="119"/>
      <c r="I13" s="119"/>
      <c r="J13" s="571">
        <f>J10*J12</f>
        <v>2.011320203919845</v>
      </c>
      <c r="K13" s="566" t="str">
        <f>D4</f>
        <v>mg/dL</v>
      </c>
    </row>
    <row r="14" spans="1:11" x14ac:dyDescent="0.25">
      <c r="A14" s="9"/>
      <c r="C14" s="1">
        <v>3</v>
      </c>
      <c r="J14" s="562"/>
      <c r="K14" s="563"/>
    </row>
    <row r="15" spans="1:11" x14ac:dyDescent="0.25">
      <c r="A15" s="91" t="s">
        <v>29</v>
      </c>
      <c r="B15" s="92"/>
      <c r="C15" s="567" t="str">
        <f>ID!C43</f>
        <v>Glucose</v>
      </c>
      <c r="D15" s="93" t="str">
        <f>ID!D43</f>
        <v>mg/dL</v>
      </c>
      <c r="E15" s="94"/>
      <c r="F15" s="94"/>
      <c r="G15" s="94"/>
      <c r="H15" s="94"/>
      <c r="I15" s="94"/>
      <c r="K15" s="95"/>
    </row>
    <row r="16" spans="1:11" ht="16.2" x14ac:dyDescent="0.25">
      <c r="A16" s="132" t="s">
        <v>145</v>
      </c>
      <c r="B16" s="133" t="s">
        <v>146</v>
      </c>
      <c r="C16" s="134" t="s">
        <v>147</v>
      </c>
      <c r="D16" s="133" t="s">
        <v>148</v>
      </c>
      <c r="E16" s="135" t="s">
        <v>149</v>
      </c>
      <c r="F16" s="133" t="s">
        <v>150</v>
      </c>
      <c r="G16" s="134" t="s">
        <v>151</v>
      </c>
      <c r="H16" s="133" t="s">
        <v>152</v>
      </c>
      <c r="I16" s="134" t="s">
        <v>153</v>
      </c>
      <c r="J16" s="133" t="s">
        <v>154</v>
      </c>
      <c r="K16" s="136" t="s">
        <v>155</v>
      </c>
    </row>
    <row r="17" spans="1:11" x14ac:dyDescent="0.25">
      <c r="A17" s="96" t="s">
        <v>156</v>
      </c>
      <c r="B17" s="97" t="str">
        <f>D15</f>
        <v>mg/dL</v>
      </c>
      <c r="C17" s="98" t="s">
        <v>157</v>
      </c>
      <c r="D17" s="210">
        <f>ID!K43</f>
        <v>1.5275252316519468</v>
      </c>
      <c r="E17" s="99">
        <f>SQRT(3)</f>
        <v>1.7320508075688772</v>
      </c>
      <c r="F17" s="97">
        <f>C14-1</f>
        <v>2</v>
      </c>
      <c r="G17" s="100">
        <f>D17/E17</f>
        <v>0.88191710368819698</v>
      </c>
      <c r="H17" s="101">
        <v>1</v>
      </c>
      <c r="I17" s="100">
        <f>G17*H17</f>
        <v>0.88191710368819698</v>
      </c>
      <c r="J17" s="102">
        <f>I17^2</f>
        <v>0.77777777777777801</v>
      </c>
      <c r="K17" s="103">
        <f>I17^4/F17</f>
        <v>0.30246913580246931</v>
      </c>
    </row>
    <row r="18" spans="1:11" x14ac:dyDescent="0.25">
      <c r="A18" s="104" t="s">
        <v>158</v>
      </c>
      <c r="B18" s="97" t="str">
        <f>D15</f>
        <v>mg/dL</v>
      </c>
      <c r="C18" s="105" t="s">
        <v>159</v>
      </c>
      <c r="D18" s="211">
        <f>0.5*ID!E10</f>
        <v>0.5</v>
      </c>
      <c r="E18" s="106">
        <f>SQRT(3)</f>
        <v>1.7320508075688772</v>
      </c>
      <c r="F18" s="97">
        <f>0.5*(100/10)^2</f>
        <v>50</v>
      </c>
      <c r="G18" s="107">
        <f>D18/E18</f>
        <v>0.28867513459481292</v>
      </c>
      <c r="H18" s="97">
        <v>1</v>
      </c>
      <c r="I18" s="107">
        <f>G18*H18</f>
        <v>0.28867513459481292</v>
      </c>
      <c r="J18" s="108">
        <f>I18^2</f>
        <v>8.3333333333333356E-2</v>
      </c>
      <c r="K18" s="109">
        <f>I18^4/F18</f>
        <v>1.3888888888888897E-4</v>
      </c>
    </row>
    <row r="19" spans="1:11" x14ac:dyDescent="0.25">
      <c r="A19" s="112" t="s">
        <v>160</v>
      </c>
      <c r="B19" s="97" t="str">
        <f>D15</f>
        <v>mg/dL</v>
      </c>
      <c r="C19" s="97" t="s">
        <v>159</v>
      </c>
      <c r="D19" s="212">
        <f>ID!K43/ID!J43</f>
        <v>1.3598147462776974E-2</v>
      </c>
      <c r="E19" s="110">
        <f>SQRT(3)</f>
        <v>1.7320508075688772</v>
      </c>
      <c r="F19" s="97">
        <f t="shared" ref="F19" si="1">0.5*(100/10)^2</f>
        <v>50</v>
      </c>
      <c r="G19" s="108">
        <f>D19/E19</f>
        <v>7.8508940981145137E-3</v>
      </c>
      <c r="H19" s="97">
        <v>1</v>
      </c>
      <c r="I19" s="108">
        <f>G19*H19</f>
        <v>7.8508940981145137E-3</v>
      </c>
      <c r="J19" s="108">
        <f>I19^2</f>
        <v>6.1636538139809302E-5</v>
      </c>
      <c r="K19" s="111">
        <f>I19^4/F19</f>
        <v>7.5981256677203339E-11</v>
      </c>
    </row>
    <row r="20" spans="1:11" x14ac:dyDescent="0.25">
      <c r="A20" s="113" t="s">
        <v>161</v>
      </c>
      <c r="B20" s="114"/>
      <c r="C20" s="114"/>
      <c r="D20" s="114"/>
      <c r="E20" s="115"/>
      <c r="F20" s="114"/>
      <c r="G20" s="114"/>
      <c r="H20" s="114"/>
      <c r="I20" s="114"/>
      <c r="J20" s="116">
        <f>SUM(J17:J19)</f>
        <v>0.86117274764925122</v>
      </c>
      <c r="K20" s="117">
        <f>SUM(K17:K19)</f>
        <v>0.3026080247673395</v>
      </c>
    </row>
    <row r="21" spans="1:11" ht="15.6" x14ac:dyDescent="0.35">
      <c r="A21" s="118" t="s">
        <v>162</v>
      </c>
      <c r="B21" s="119"/>
      <c r="C21" s="119"/>
      <c r="D21" s="119"/>
      <c r="E21" s="120"/>
      <c r="F21" s="119"/>
      <c r="G21" s="121" t="s">
        <v>163</v>
      </c>
      <c r="H21" s="119"/>
      <c r="I21" s="119"/>
      <c r="J21" s="122">
        <f>SQRT(J20)</f>
        <v>0.92799393729121482</v>
      </c>
      <c r="K21" s="123"/>
    </row>
    <row r="22" spans="1:11" ht="16.8" x14ac:dyDescent="0.35">
      <c r="A22" s="113" t="s">
        <v>164</v>
      </c>
      <c r="B22" s="114"/>
      <c r="C22" s="114"/>
      <c r="D22" s="114"/>
      <c r="E22" s="115"/>
      <c r="F22" s="114"/>
      <c r="G22" s="94" t="s">
        <v>165</v>
      </c>
      <c r="H22" s="114"/>
      <c r="I22" s="114"/>
      <c r="J22" s="116">
        <f>J21^4/(K20)</f>
        <v>2.4507562278427839</v>
      </c>
      <c r="K22" s="124"/>
    </row>
    <row r="23" spans="1:11" x14ac:dyDescent="0.25">
      <c r="A23" s="118" t="s">
        <v>166</v>
      </c>
      <c r="B23" s="119"/>
      <c r="C23" s="119"/>
      <c r="D23" s="119"/>
      <c r="E23" s="120"/>
      <c r="F23" s="119"/>
      <c r="G23" s="92" t="s">
        <v>167</v>
      </c>
      <c r="H23" s="119"/>
      <c r="I23" s="119"/>
      <c r="J23" s="564">
        <f>1.95996+(2.37356/J22)+(2.818745/J22^2)+(2.546662/J22^3)+(1.761829/J22^4)+(0.245458/J22^5)+(1.000764/J22^6)</f>
        <v>3.6270101643493935</v>
      </c>
      <c r="K23" s="565"/>
    </row>
    <row r="24" spans="1:11" x14ac:dyDescent="0.25">
      <c r="A24" s="125" t="s">
        <v>168</v>
      </c>
      <c r="B24" s="126"/>
      <c r="C24" s="126"/>
      <c r="D24" s="126"/>
      <c r="E24" s="127"/>
      <c r="F24" s="119"/>
      <c r="G24" s="92" t="s">
        <v>169</v>
      </c>
      <c r="H24" s="119"/>
      <c r="I24" s="119"/>
      <c r="J24" s="572">
        <f>J21*J23</f>
        <v>3.3658434430098496</v>
      </c>
      <c r="K24" s="167" t="str">
        <f>D15</f>
        <v>mg/dL</v>
      </c>
    </row>
    <row r="25" spans="1:11" x14ac:dyDescent="0.25">
      <c r="A25" s="9"/>
      <c r="C25" s="1">
        <v>3</v>
      </c>
      <c r="J25" s="562"/>
      <c r="K25" s="568"/>
    </row>
    <row r="26" spans="1:11" ht="13.8" x14ac:dyDescent="0.25">
      <c r="A26" s="91" t="str">
        <f>A4</f>
        <v>Parameter</v>
      </c>
      <c r="B26" s="92"/>
      <c r="C26" s="567" t="str">
        <f>ID!C45</f>
        <v>Asam Urat</v>
      </c>
      <c r="D26" s="558" t="str">
        <f>ID!D45</f>
        <v>mg/dL</v>
      </c>
      <c r="E26" s="94"/>
      <c r="F26" s="94"/>
      <c r="G26" s="94"/>
      <c r="H26" s="94"/>
      <c r="I26" s="94"/>
      <c r="K26" s="95"/>
    </row>
    <row r="27" spans="1:11" ht="16.2" x14ac:dyDescent="0.25">
      <c r="A27" s="132" t="s">
        <v>145</v>
      </c>
      <c r="B27" s="133" t="s">
        <v>146</v>
      </c>
      <c r="C27" s="134" t="s">
        <v>147</v>
      </c>
      <c r="D27" s="133" t="s">
        <v>148</v>
      </c>
      <c r="E27" s="135" t="s">
        <v>149</v>
      </c>
      <c r="F27" s="133" t="s">
        <v>150</v>
      </c>
      <c r="G27" s="134" t="s">
        <v>151</v>
      </c>
      <c r="H27" s="133" t="s">
        <v>152</v>
      </c>
      <c r="I27" s="134" t="s">
        <v>153</v>
      </c>
      <c r="J27" s="133" t="s">
        <v>154</v>
      </c>
      <c r="K27" s="136" t="s">
        <v>155</v>
      </c>
    </row>
    <row r="28" spans="1:11" x14ac:dyDescent="0.25">
      <c r="A28" s="96" t="s">
        <v>156</v>
      </c>
      <c r="B28" s="97" t="str">
        <f>D26</f>
        <v>mg/dL</v>
      </c>
      <c r="C28" s="98" t="s">
        <v>157</v>
      </c>
      <c r="D28" s="210">
        <f>ID!K45</f>
        <v>0.10000000000000009</v>
      </c>
      <c r="E28" s="99">
        <f>SQRT(3)</f>
        <v>1.7320508075688772</v>
      </c>
      <c r="F28" s="97">
        <f>C25-1</f>
        <v>2</v>
      </c>
      <c r="G28" s="100">
        <f>D28/E28</f>
        <v>5.773502691896263E-2</v>
      </c>
      <c r="H28" s="101">
        <v>1</v>
      </c>
      <c r="I28" s="100">
        <f>G28*H28</f>
        <v>5.773502691896263E-2</v>
      </c>
      <c r="J28" s="102">
        <f>I28^2</f>
        <v>3.3333333333333396E-3</v>
      </c>
      <c r="K28" s="103">
        <f>I28^4/F28</f>
        <v>5.5555555555555762E-6</v>
      </c>
    </row>
    <row r="29" spans="1:11" x14ac:dyDescent="0.25">
      <c r="A29" s="104" t="s">
        <v>158</v>
      </c>
      <c r="B29" s="97" t="str">
        <f>D26</f>
        <v>mg/dL</v>
      </c>
      <c r="C29" s="105" t="s">
        <v>159</v>
      </c>
      <c r="D29" s="211">
        <f>0.5*ID!E11</f>
        <v>0.5</v>
      </c>
      <c r="E29" s="106">
        <f>SQRT(3)</f>
        <v>1.7320508075688772</v>
      </c>
      <c r="F29" s="97">
        <f>0.5*(100/10)^2</f>
        <v>50</v>
      </c>
      <c r="G29" s="107">
        <f>D29/E29</f>
        <v>0.28867513459481292</v>
      </c>
      <c r="H29" s="97">
        <v>1</v>
      </c>
      <c r="I29" s="107">
        <f>G29*H29</f>
        <v>0.28867513459481292</v>
      </c>
      <c r="J29" s="108">
        <f>I29^2</f>
        <v>8.3333333333333356E-2</v>
      </c>
      <c r="K29" s="109">
        <f>I29^4/F29</f>
        <v>1.3888888888888897E-4</v>
      </c>
    </row>
    <row r="30" spans="1:11" x14ac:dyDescent="0.25">
      <c r="A30" s="112" t="s">
        <v>160</v>
      </c>
      <c r="B30" s="97" t="str">
        <f>D26</f>
        <v>mg/dL</v>
      </c>
      <c r="C30" s="97" t="s">
        <v>159</v>
      </c>
      <c r="D30" s="212">
        <f>ID!K45/ID!J45</f>
        <v>1.9607843137254919E-2</v>
      </c>
      <c r="E30" s="110">
        <f>SQRT(3)</f>
        <v>1.7320508075688772</v>
      </c>
      <c r="F30" s="97">
        <f t="shared" ref="F30" si="2">0.5*(100/10)^2</f>
        <v>50</v>
      </c>
      <c r="G30" s="108">
        <f>D30/E30</f>
        <v>1.1320593513522085E-2</v>
      </c>
      <c r="H30" s="97">
        <v>1</v>
      </c>
      <c r="I30" s="108">
        <f>G30*H30</f>
        <v>1.1320593513522085E-2</v>
      </c>
      <c r="J30" s="108">
        <f>I30^2</f>
        <v>1.2815583749839829E-4</v>
      </c>
      <c r="K30" s="111">
        <f>I30^4/F30</f>
        <v>3.284783736983174E-10</v>
      </c>
    </row>
    <row r="31" spans="1:11" x14ac:dyDescent="0.25">
      <c r="A31" s="113" t="s">
        <v>161</v>
      </c>
      <c r="B31" s="114"/>
      <c r="C31" s="114"/>
      <c r="D31" s="114"/>
      <c r="E31" s="115"/>
      <c r="F31" s="114"/>
      <c r="G31" s="114"/>
      <c r="H31" s="114"/>
      <c r="I31" s="114"/>
      <c r="J31" s="116">
        <f>SUM(J28:J30)</f>
        <v>8.6794822504165092E-2</v>
      </c>
      <c r="K31" s="117">
        <f>SUM(K28:K30)</f>
        <v>1.4444477292281825E-4</v>
      </c>
    </row>
    <row r="32" spans="1:11" ht="15.6" x14ac:dyDescent="0.35">
      <c r="A32" s="118" t="s">
        <v>162</v>
      </c>
      <c r="B32" s="119"/>
      <c r="C32" s="119"/>
      <c r="D32" s="119"/>
      <c r="E32" s="120"/>
      <c r="F32" s="119"/>
      <c r="G32" s="121" t="s">
        <v>163</v>
      </c>
      <c r="H32" s="119"/>
      <c r="I32" s="119"/>
      <c r="J32" s="122">
        <f>SQRT(J31)</f>
        <v>0.29460961033911487</v>
      </c>
      <c r="K32" s="123"/>
    </row>
    <row r="33" spans="1:11" ht="16.8" x14ac:dyDescent="0.35">
      <c r="A33" s="113" t="s">
        <v>164</v>
      </c>
      <c r="B33" s="114"/>
      <c r="C33" s="114"/>
      <c r="D33" s="114"/>
      <c r="E33" s="115"/>
      <c r="F33" s="114"/>
      <c r="G33" s="94" t="s">
        <v>165</v>
      </c>
      <c r="H33" s="114"/>
      <c r="I33" s="114"/>
      <c r="J33" s="116">
        <f>J32^4/(K31)</f>
        <v>52.153782107123</v>
      </c>
      <c r="K33" s="124"/>
    </row>
    <row r="34" spans="1:11" x14ac:dyDescent="0.25">
      <c r="A34" s="118" t="s">
        <v>166</v>
      </c>
      <c r="B34" s="119"/>
      <c r="C34" s="119"/>
      <c r="D34" s="119"/>
      <c r="E34" s="120"/>
      <c r="F34" s="119"/>
      <c r="G34" s="92" t="s">
        <v>167</v>
      </c>
      <c r="H34" s="119"/>
      <c r="I34" s="119"/>
      <c r="J34" s="122">
        <f>1.95996+(2.37356/J33)+(2.818745/J33^2)+(2.546662/J33^3)+(1.761829/J33^4)+(0.245458/J33^5)+(1.000764/J33^6)</f>
        <v>2.0065252810509855</v>
      </c>
      <c r="K34" s="123"/>
    </row>
    <row r="35" spans="1:11" x14ac:dyDescent="0.25">
      <c r="A35" s="125" t="s">
        <v>168</v>
      </c>
      <c r="B35" s="126"/>
      <c r="C35" s="126"/>
      <c r="D35" s="126"/>
      <c r="E35" s="127"/>
      <c r="F35" s="119"/>
      <c r="G35" s="92" t="s">
        <v>169</v>
      </c>
      <c r="H35" s="119"/>
      <c r="I35" s="174"/>
      <c r="J35" s="572">
        <f>J32*J34</f>
        <v>0.59114163118601382</v>
      </c>
      <c r="K35" s="167" t="str">
        <f>D26</f>
        <v>mg/dL</v>
      </c>
    </row>
    <row r="36" spans="1:11" x14ac:dyDescent="0.25">
      <c r="A36" s="113"/>
      <c r="B36" s="114"/>
      <c r="C36" s="114">
        <v>3</v>
      </c>
      <c r="D36" s="114"/>
      <c r="E36" s="115"/>
      <c r="J36" s="570"/>
      <c r="K36" s="569"/>
    </row>
    <row r="37" spans="1:11" ht="13.8" x14ac:dyDescent="0.25">
      <c r="A37" s="91" t="str">
        <f>A15</f>
        <v>Parameter</v>
      </c>
      <c r="B37" s="92"/>
      <c r="C37" s="567" t="str">
        <f>ID!C47</f>
        <v>Triglycerides</v>
      </c>
      <c r="D37" s="558" t="str">
        <f>ID!D47</f>
        <v>mg/dL</v>
      </c>
      <c r="E37" s="94"/>
      <c r="F37" s="94"/>
      <c r="G37" s="94"/>
      <c r="H37" s="94"/>
      <c r="I37" s="94"/>
      <c r="J37" s="94"/>
      <c r="K37" s="95"/>
    </row>
    <row r="38" spans="1:11" ht="16.2" x14ac:dyDescent="0.25">
      <c r="A38" s="132" t="s">
        <v>145</v>
      </c>
      <c r="B38" s="133" t="s">
        <v>146</v>
      </c>
      <c r="C38" s="619" t="str">
        <f>ID!C47</f>
        <v>Triglycerides</v>
      </c>
      <c r="D38" s="133" t="s">
        <v>148</v>
      </c>
      <c r="E38" s="135" t="s">
        <v>149</v>
      </c>
      <c r="F38" s="133" t="s">
        <v>150</v>
      </c>
      <c r="G38" s="134" t="s">
        <v>151</v>
      </c>
      <c r="H38" s="133" t="s">
        <v>152</v>
      </c>
      <c r="I38" s="134" t="s">
        <v>153</v>
      </c>
      <c r="J38" s="133" t="s">
        <v>154</v>
      </c>
      <c r="K38" s="136" t="s">
        <v>155</v>
      </c>
    </row>
    <row r="39" spans="1:11" x14ac:dyDescent="0.25">
      <c r="A39" s="96" t="s">
        <v>156</v>
      </c>
      <c r="B39" s="97" t="str">
        <f>D37</f>
        <v>mg/dL</v>
      </c>
      <c r="C39" s="98" t="s">
        <v>157</v>
      </c>
      <c r="D39" s="210">
        <f>ID!K47</f>
        <v>0.37859388972001801</v>
      </c>
      <c r="E39" s="99">
        <f>SQRT(3)</f>
        <v>1.7320508075688772</v>
      </c>
      <c r="F39" s="97">
        <f>C36-1</f>
        <v>2</v>
      </c>
      <c r="G39" s="100">
        <f>D39/E39</f>
        <v>0.21858128414339989</v>
      </c>
      <c r="H39" s="101">
        <v>1</v>
      </c>
      <c r="I39" s="100">
        <f>G39*H39</f>
        <v>0.21858128414339989</v>
      </c>
      <c r="J39" s="102">
        <f>I39^2</f>
        <v>4.7777777777777718E-2</v>
      </c>
      <c r="K39" s="103">
        <f>I39^4/F39</f>
        <v>1.1413580246913552E-3</v>
      </c>
    </row>
    <row r="40" spans="1:11" x14ac:dyDescent="0.25">
      <c r="A40" s="104" t="s">
        <v>158</v>
      </c>
      <c r="B40" s="97" t="str">
        <f>D37</f>
        <v>mg/dL</v>
      </c>
      <c r="C40" s="105" t="s">
        <v>159</v>
      </c>
      <c r="D40" s="211">
        <f>0.5*ID!E12</f>
        <v>0.5</v>
      </c>
      <c r="E40" s="106">
        <f>SQRT(3)</f>
        <v>1.7320508075688772</v>
      </c>
      <c r="F40" s="97">
        <f>0.5*(100/10)^2</f>
        <v>50</v>
      </c>
      <c r="G40" s="107">
        <f>D40/E40</f>
        <v>0.28867513459481292</v>
      </c>
      <c r="H40" s="97">
        <v>1</v>
      </c>
      <c r="I40" s="107">
        <f>G40*H40</f>
        <v>0.28867513459481292</v>
      </c>
      <c r="J40" s="108">
        <f>I40^2</f>
        <v>8.3333333333333356E-2</v>
      </c>
      <c r="K40" s="109">
        <f>I40^4/F40</f>
        <v>1.3888888888888897E-4</v>
      </c>
    </row>
    <row r="41" spans="1:11" x14ac:dyDescent="0.25">
      <c r="A41" s="112" t="s">
        <v>160</v>
      </c>
      <c r="B41" s="97" t="str">
        <f>D37</f>
        <v>mg/dL</v>
      </c>
      <c r="C41" s="97" t="s">
        <v>159</v>
      </c>
      <c r="D41" s="212">
        <f>ID!K47/ID!J47</f>
        <v>3.1142902910887139E-3</v>
      </c>
      <c r="E41" s="110">
        <f>SQRT(3)</f>
        <v>1.7320508075688772</v>
      </c>
      <c r="F41" s="97">
        <f t="shared" ref="F41" si="3">0.5*(100/10)^2</f>
        <v>50</v>
      </c>
      <c r="G41" s="108">
        <f>D41/E41</f>
        <v>1.798036337894707E-3</v>
      </c>
      <c r="H41" s="97">
        <v>1</v>
      </c>
      <c r="I41" s="108">
        <f>G41*H41</f>
        <v>1.798036337894707E-3</v>
      </c>
      <c r="J41" s="108">
        <f>I41^2</f>
        <v>3.2329346723898092E-6</v>
      </c>
      <c r="K41" s="111">
        <f>I41^4/F41</f>
        <v>2.0903733191880406E-13</v>
      </c>
    </row>
    <row r="42" spans="1:11" x14ac:dyDescent="0.25">
      <c r="A42" s="113" t="s">
        <v>161</v>
      </c>
      <c r="B42" s="114"/>
      <c r="C42" s="114"/>
      <c r="D42" s="114"/>
      <c r="E42" s="115"/>
      <c r="F42" s="114"/>
      <c r="G42" s="114"/>
      <c r="H42" s="114"/>
      <c r="I42" s="114"/>
      <c r="J42" s="116">
        <f>SUM(J39:J41)</f>
        <v>0.13111434404578345</v>
      </c>
      <c r="K42" s="117">
        <f>SUM(K39:K41)</f>
        <v>1.2802469137892815E-3</v>
      </c>
    </row>
    <row r="43" spans="1:11" ht="15.6" x14ac:dyDescent="0.35">
      <c r="A43" s="118" t="s">
        <v>162</v>
      </c>
      <c r="B43" s="119"/>
      <c r="C43" s="119"/>
      <c r="D43" s="119"/>
      <c r="E43" s="120"/>
      <c r="F43" s="119"/>
      <c r="G43" s="121" t="s">
        <v>163</v>
      </c>
      <c r="H43" s="119"/>
      <c r="I43" s="119"/>
      <c r="J43" s="122">
        <f>SQRT(J42)</f>
        <v>0.36209714724888881</v>
      </c>
      <c r="K43" s="123"/>
    </row>
    <row r="44" spans="1:11" ht="16.8" x14ac:dyDescent="0.35">
      <c r="A44" s="113" t="s">
        <v>164</v>
      </c>
      <c r="B44" s="114"/>
      <c r="C44" s="114"/>
      <c r="D44" s="114"/>
      <c r="E44" s="115"/>
      <c r="F44" s="114"/>
      <c r="G44" s="94" t="s">
        <v>165</v>
      </c>
      <c r="H44" s="114"/>
      <c r="I44" s="114"/>
      <c r="J44" s="116">
        <f>J43^4/(K42)</f>
        <v>13.42785600917728</v>
      </c>
      <c r="K44" s="124"/>
    </row>
    <row r="45" spans="1:11" x14ac:dyDescent="0.25">
      <c r="A45" s="118" t="s">
        <v>166</v>
      </c>
      <c r="B45" s="119"/>
      <c r="C45" s="119"/>
      <c r="D45" s="119"/>
      <c r="E45" s="120"/>
      <c r="F45" s="119"/>
      <c r="G45" s="92" t="s">
        <v>167</v>
      </c>
      <c r="H45" s="119"/>
      <c r="I45" s="119"/>
      <c r="J45" s="122">
        <f>1.95996+(2.37356/J44)+(2.818745/J44^2)+(2.546662/J44^3)+(1.761829/J44^4)+(0.245458/J44^5)+(1.000764/J44^6)</f>
        <v>2.1534636583962015</v>
      </c>
      <c r="K45" s="123"/>
    </row>
    <row r="46" spans="1:11" x14ac:dyDescent="0.25">
      <c r="A46" s="125" t="s">
        <v>168</v>
      </c>
      <c r="B46" s="126"/>
      <c r="C46" s="126"/>
      <c r="D46" s="126"/>
      <c r="E46" s="127"/>
      <c r="F46" s="126"/>
      <c r="G46" s="128" t="s">
        <v>169</v>
      </c>
      <c r="H46" s="126"/>
      <c r="I46" s="126"/>
      <c r="J46" s="572">
        <f>J43*J45</f>
        <v>0.77976304740942015</v>
      </c>
      <c r="K46" s="167" t="str">
        <f>D37</f>
        <v>mg/dL</v>
      </c>
    </row>
    <row r="47" spans="1:11" x14ac:dyDescent="0.25">
      <c r="A47" s="156"/>
      <c r="B47" s="157"/>
      <c r="C47" s="157">
        <v>3</v>
      </c>
      <c r="D47" s="157"/>
      <c r="E47" s="157"/>
      <c r="J47" s="562"/>
      <c r="K47" s="568"/>
    </row>
    <row r="48" spans="1:11" ht="13.8" x14ac:dyDescent="0.25">
      <c r="A48" s="91" t="str">
        <f>A26</f>
        <v>Parameter</v>
      </c>
      <c r="B48" s="92"/>
      <c r="C48" s="567" t="str">
        <f>ID!C49</f>
        <v>SGOT</v>
      </c>
      <c r="D48" s="558" t="str">
        <f>ID!D49</f>
        <v>U/L</v>
      </c>
      <c r="E48" s="94"/>
      <c r="F48" s="94"/>
      <c r="G48" s="94"/>
      <c r="H48" s="94"/>
      <c r="I48" s="94"/>
      <c r="J48" s="94"/>
      <c r="K48" s="95"/>
    </row>
    <row r="49" spans="1:11" ht="16.2" x14ac:dyDescent="0.25">
      <c r="A49" s="132" t="s">
        <v>145</v>
      </c>
      <c r="B49" s="133" t="s">
        <v>146</v>
      </c>
      <c r="C49" s="134" t="s">
        <v>147</v>
      </c>
      <c r="D49" s="133" t="s">
        <v>148</v>
      </c>
      <c r="E49" s="135" t="s">
        <v>149</v>
      </c>
      <c r="F49" s="133" t="s">
        <v>150</v>
      </c>
      <c r="G49" s="134" t="s">
        <v>151</v>
      </c>
      <c r="H49" s="133" t="s">
        <v>152</v>
      </c>
      <c r="I49" s="134" t="s">
        <v>153</v>
      </c>
      <c r="J49" s="133" t="s">
        <v>154</v>
      </c>
      <c r="K49" s="136" t="s">
        <v>155</v>
      </c>
    </row>
    <row r="50" spans="1:11" x14ac:dyDescent="0.25">
      <c r="A50" s="96" t="s">
        <v>156</v>
      </c>
      <c r="B50" s="97" t="str">
        <f>D48</f>
        <v>U/L</v>
      </c>
      <c r="C50" s="98" t="s">
        <v>157</v>
      </c>
      <c r="D50" s="210" t="str">
        <f>ID!K49</f>
        <v>-</v>
      </c>
      <c r="E50" s="99">
        <f>SQRT(3)</f>
        <v>1.7320508075688772</v>
      </c>
      <c r="F50" s="97">
        <f>C47-1</f>
        <v>2</v>
      </c>
      <c r="G50" s="100" t="e">
        <f>D50/E50</f>
        <v>#VALUE!</v>
      </c>
      <c r="H50" s="101">
        <v>1</v>
      </c>
      <c r="I50" s="100" t="e">
        <f>G50*H50</f>
        <v>#VALUE!</v>
      </c>
      <c r="J50" s="102" t="e">
        <f>I50^2</f>
        <v>#VALUE!</v>
      </c>
      <c r="K50" s="103" t="e">
        <f>I50^4/F50</f>
        <v>#VALUE!</v>
      </c>
    </row>
    <row r="51" spans="1:11" x14ac:dyDescent="0.25">
      <c r="A51" s="104" t="s">
        <v>158</v>
      </c>
      <c r="B51" s="97" t="str">
        <f>D48</f>
        <v>U/L</v>
      </c>
      <c r="C51" s="105" t="s">
        <v>159</v>
      </c>
      <c r="D51" s="211">
        <f>0.5*ID!E13</f>
        <v>0.5</v>
      </c>
      <c r="E51" s="106">
        <f>SQRT(3)</f>
        <v>1.7320508075688772</v>
      </c>
      <c r="F51" s="97">
        <f>0.5*(100/10)^2</f>
        <v>50</v>
      </c>
      <c r="G51" s="107">
        <f>D51/E51</f>
        <v>0.28867513459481292</v>
      </c>
      <c r="H51" s="97">
        <v>1</v>
      </c>
      <c r="I51" s="107">
        <f>G51*H51</f>
        <v>0.28867513459481292</v>
      </c>
      <c r="J51" s="108">
        <f>I51^2</f>
        <v>8.3333333333333356E-2</v>
      </c>
      <c r="K51" s="109">
        <f>I51^4/F51</f>
        <v>1.3888888888888897E-4</v>
      </c>
    </row>
    <row r="52" spans="1:11" x14ac:dyDescent="0.25">
      <c r="A52" s="112" t="s">
        <v>160</v>
      </c>
      <c r="B52" s="97" t="str">
        <f>D48</f>
        <v>U/L</v>
      </c>
      <c r="C52" s="97" t="s">
        <v>159</v>
      </c>
      <c r="D52" s="213" t="e">
        <f>ID!K49/ID!J49</f>
        <v>#VALUE!</v>
      </c>
      <c r="E52" s="110">
        <f>SQRT(3)</f>
        <v>1.7320508075688772</v>
      </c>
      <c r="F52" s="97">
        <f t="shared" ref="F52" si="4">0.5*(100/10)^2</f>
        <v>50</v>
      </c>
      <c r="G52" s="108" t="e">
        <f>D52/E52</f>
        <v>#VALUE!</v>
      </c>
      <c r="H52" s="97">
        <v>1</v>
      </c>
      <c r="I52" s="108" t="e">
        <f>G52*H52</f>
        <v>#VALUE!</v>
      </c>
      <c r="J52" s="108" t="e">
        <f>I52^2</f>
        <v>#VALUE!</v>
      </c>
      <c r="K52" s="111" t="e">
        <f>I52^4/F52</f>
        <v>#VALUE!</v>
      </c>
    </row>
    <row r="53" spans="1:11" x14ac:dyDescent="0.25">
      <c r="A53" s="113" t="s">
        <v>161</v>
      </c>
      <c r="B53" s="114"/>
      <c r="C53" s="114"/>
      <c r="D53" s="114"/>
      <c r="E53" s="115"/>
      <c r="F53" s="114"/>
      <c r="G53" s="114"/>
      <c r="H53" s="114"/>
      <c r="I53" s="114"/>
      <c r="J53" s="116" t="e">
        <f>SUM(J50:J52)</f>
        <v>#VALUE!</v>
      </c>
      <c r="K53" s="117" t="e">
        <f>SUM(K50:K52)</f>
        <v>#VALUE!</v>
      </c>
    </row>
    <row r="54" spans="1:11" ht="15.6" x14ac:dyDescent="0.35">
      <c r="A54" s="118" t="s">
        <v>162</v>
      </c>
      <c r="B54" s="119"/>
      <c r="C54" s="119"/>
      <c r="D54" s="119"/>
      <c r="E54" s="120"/>
      <c r="F54" s="119"/>
      <c r="G54" s="121" t="s">
        <v>163</v>
      </c>
      <c r="H54" s="119"/>
      <c r="I54" s="119"/>
      <c r="J54" s="122" t="e">
        <f>SQRT(J53)</f>
        <v>#VALUE!</v>
      </c>
      <c r="K54" s="123"/>
    </row>
    <row r="55" spans="1:11" ht="16.8" x14ac:dyDescent="0.35">
      <c r="A55" s="113" t="s">
        <v>164</v>
      </c>
      <c r="B55" s="114"/>
      <c r="C55" s="114"/>
      <c r="D55" s="114"/>
      <c r="E55" s="115"/>
      <c r="F55" s="114"/>
      <c r="G55" s="94" t="s">
        <v>165</v>
      </c>
      <c r="H55" s="114"/>
      <c r="I55" s="114"/>
      <c r="J55" s="116" t="e">
        <f>J54^4/(K53)</f>
        <v>#VALUE!</v>
      </c>
      <c r="K55" s="124"/>
    </row>
    <row r="56" spans="1:11" x14ac:dyDescent="0.25">
      <c r="A56" s="118" t="s">
        <v>166</v>
      </c>
      <c r="B56" s="119"/>
      <c r="C56" s="119"/>
      <c r="D56" s="119"/>
      <c r="E56" s="120"/>
      <c r="F56" s="119"/>
      <c r="G56" s="92" t="s">
        <v>167</v>
      </c>
      <c r="H56" s="119"/>
      <c r="I56" s="119"/>
      <c r="J56" s="122" t="e">
        <f>1.95996+(2.37356/J55)+(2.818745/J55^2)+(2.546662/J55^3)+(1.761829/J55^4)+(0.245458/J55^5)+(1.000764/J55^6)</f>
        <v>#VALUE!</v>
      </c>
      <c r="K56" s="123"/>
    </row>
    <row r="57" spans="1:11" x14ac:dyDescent="0.25">
      <c r="A57" s="125" t="s">
        <v>168</v>
      </c>
      <c r="B57" s="126"/>
      <c r="C57" s="126"/>
      <c r="D57" s="126"/>
      <c r="E57" s="127"/>
      <c r="F57" s="126"/>
      <c r="G57" s="128" t="s">
        <v>169</v>
      </c>
      <c r="H57" s="126"/>
      <c r="I57" s="126"/>
      <c r="J57" s="572" t="e">
        <f>J54*J56</f>
        <v>#VALUE!</v>
      </c>
      <c r="K57" s="167" t="str">
        <f>D48</f>
        <v>U/L</v>
      </c>
    </row>
    <row r="58" spans="1:11" x14ac:dyDescent="0.25">
      <c r="C58" s="1">
        <v>3</v>
      </c>
    </row>
    <row r="59" spans="1:11" ht="13.8" x14ac:dyDescent="0.25">
      <c r="A59" s="91" t="str">
        <f>A37</f>
        <v>Parameter</v>
      </c>
      <c r="B59" s="92"/>
      <c r="C59" s="567" t="str">
        <f>ID!C51</f>
        <v>SGPT</v>
      </c>
      <c r="D59" s="558" t="str">
        <f>ID!D51</f>
        <v>U/L</v>
      </c>
      <c r="E59" s="94"/>
      <c r="F59" s="94"/>
      <c r="G59" s="94"/>
      <c r="H59" s="94"/>
      <c r="I59" s="94"/>
      <c r="J59" s="94"/>
      <c r="K59" s="95"/>
    </row>
    <row r="60" spans="1:11" ht="16.2" x14ac:dyDescent="0.25">
      <c r="A60" s="132" t="s">
        <v>145</v>
      </c>
      <c r="B60" s="133" t="s">
        <v>146</v>
      </c>
      <c r="C60" s="134" t="s">
        <v>147</v>
      </c>
      <c r="D60" s="133" t="s">
        <v>148</v>
      </c>
      <c r="E60" s="135" t="s">
        <v>149</v>
      </c>
      <c r="F60" s="133" t="s">
        <v>150</v>
      </c>
      <c r="G60" s="134" t="s">
        <v>151</v>
      </c>
      <c r="H60" s="133" t="s">
        <v>152</v>
      </c>
      <c r="I60" s="134" t="s">
        <v>153</v>
      </c>
      <c r="J60" s="133" t="s">
        <v>154</v>
      </c>
      <c r="K60" s="136" t="s">
        <v>155</v>
      </c>
    </row>
    <row r="61" spans="1:11" x14ac:dyDescent="0.25">
      <c r="A61" s="96" t="s">
        <v>156</v>
      </c>
      <c r="B61" s="97" t="str">
        <f>D59</f>
        <v>U/L</v>
      </c>
      <c r="C61" s="98" t="s">
        <v>157</v>
      </c>
      <c r="D61" s="210" t="str">
        <f>ID!K51</f>
        <v>-</v>
      </c>
      <c r="E61" s="99">
        <f>SQRT(3)</f>
        <v>1.7320508075688772</v>
      </c>
      <c r="F61" s="97">
        <f>C58-1</f>
        <v>2</v>
      </c>
      <c r="G61" s="100" t="e">
        <f>D61/E61</f>
        <v>#VALUE!</v>
      </c>
      <c r="H61" s="101">
        <v>1</v>
      </c>
      <c r="I61" s="100" t="e">
        <f>G61*H61</f>
        <v>#VALUE!</v>
      </c>
      <c r="J61" s="102" t="e">
        <f>I61^2</f>
        <v>#VALUE!</v>
      </c>
      <c r="K61" s="103" t="e">
        <f>I61^4/F61</f>
        <v>#VALUE!</v>
      </c>
    </row>
    <row r="62" spans="1:11" x14ac:dyDescent="0.25">
      <c r="A62" s="104" t="s">
        <v>158</v>
      </c>
      <c r="B62" s="97" t="str">
        <f>D59</f>
        <v>U/L</v>
      </c>
      <c r="C62" s="105" t="s">
        <v>159</v>
      </c>
      <c r="D62" s="211">
        <f>0.5*ID!E14</f>
        <v>0.5</v>
      </c>
      <c r="E62" s="106">
        <f>SQRT(3)</f>
        <v>1.7320508075688772</v>
      </c>
      <c r="F62" s="97">
        <f>0.5*(100/10)^2</f>
        <v>50</v>
      </c>
      <c r="G62" s="107">
        <f>D62/E62</f>
        <v>0.28867513459481292</v>
      </c>
      <c r="H62" s="97">
        <v>1</v>
      </c>
      <c r="I62" s="107">
        <f>G62*H62</f>
        <v>0.28867513459481292</v>
      </c>
      <c r="J62" s="108">
        <f>I62^2</f>
        <v>8.3333333333333356E-2</v>
      </c>
      <c r="K62" s="109">
        <f>I62^4/F62</f>
        <v>1.3888888888888897E-4</v>
      </c>
    </row>
    <row r="63" spans="1:11" x14ac:dyDescent="0.25">
      <c r="A63" s="112" t="s">
        <v>160</v>
      </c>
      <c r="B63" s="97" t="str">
        <f>D59</f>
        <v>U/L</v>
      </c>
      <c r="C63" s="97" t="s">
        <v>159</v>
      </c>
      <c r="D63" s="212" t="e">
        <f>ID!K51/ID!J51</f>
        <v>#VALUE!</v>
      </c>
      <c r="E63" s="110">
        <f>SQRT(3)</f>
        <v>1.7320508075688772</v>
      </c>
      <c r="F63" s="97">
        <f t="shared" ref="F63" si="5">0.5*(100/10)^2</f>
        <v>50</v>
      </c>
      <c r="G63" s="108" t="e">
        <f>D63/E63</f>
        <v>#VALUE!</v>
      </c>
      <c r="H63" s="97">
        <v>1</v>
      </c>
      <c r="I63" s="108" t="e">
        <f>G63*H63</f>
        <v>#VALUE!</v>
      </c>
      <c r="J63" s="108" t="e">
        <f>I63^2</f>
        <v>#VALUE!</v>
      </c>
      <c r="K63" s="111" t="e">
        <f>I63^4/F63</f>
        <v>#VALUE!</v>
      </c>
    </row>
    <row r="64" spans="1:11" x14ac:dyDescent="0.25">
      <c r="A64" s="113" t="s">
        <v>161</v>
      </c>
      <c r="B64" s="114"/>
      <c r="C64" s="114"/>
      <c r="D64" s="114"/>
      <c r="E64" s="115"/>
      <c r="F64" s="114"/>
      <c r="G64" s="114"/>
      <c r="H64" s="114"/>
      <c r="I64" s="114"/>
      <c r="J64" s="116" t="e">
        <f>SUM(J61:J63)</f>
        <v>#VALUE!</v>
      </c>
      <c r="K64" s="117" t="e">
        <f>SUM(K61:K63)</f>
        <v>#VALUE!</v>
      </c>
    </row>
    <row r="65" spans="1:11" ht="15.6" x14ac:dyDescent="0.35">
      <c r="A65" s="118" t="s">
        <v>162</v>
      </c>
      <c r="B65" s="119"/>
      <c r="C65" s="119"/>
      <c r="D65" s="119"/>
      <c r="E65" s="120"/>
      <c r="F65" s="119"/>
      <c r="G65" s="121" t="s">
        <v>163</v>
      </c>
      <c r="H65" s="119"/>
      <c r="I65" s="119"/>
      <c r="J65" s="122" t="e">
        <f>SQRT(J64)</f>
        <v>#VALUE!</v>
      </c>
      <c r="K65" s="123"/>
    </row>
    <row r="66" spans="1:11" ht="16.8" x14ac:dyDescent="0.35">
      <c r="A66" s="113" t="s">
        <v>164</v>
      </c>
      <c r="B66" s="114"/>
      <c r="C66" s="114"/>
      <c r="D66" s="114"/>
      <c r="E66" s="115"/>
      <c r="F66" s="114"/>
      <c r="G66" s="94" t="s">
        <v>165</v>
      </c>
      <c r="H66" s="114"/>
      <c r="I66" s="114"/>
      <c r="J66" s="116" t="e">
        <f>J65^4/(K64)</f>
        <v>#VALUE!</v>
      </c>
      <c r="K66" s="124"/>
    </row>
    <row r="67" spans="1:11" x14ac:dyDescent="0.25">
      <c r="A67" s="118" t="s">
        <v>166</v>
      </c>
      <c r="B67" s="119"/>
      <c r="C67" s="119"/>
      <c r="D67" s="119"/>
      <c r="E67" s="120"/>
      <c r="F67" s="119"/>
      <c r="G67" s="92" t="s">
        <v>167</v>
      </c>
      <c r="H67" s="119"/>
      <c r="I67" s="119"/>
      <c r="J67" s="122" t="e">
        <f>1.95996+(2.37356/J66)+(2.818745/J66^2)+(2.546662/J66^3)+(1.761829/J66^4)+(0.245458/J66^5)+(1.000764/J66^6)</f>
        <v>#VALUE!</v>
      </c>
      <c r="K67" s="123"/>
    </row>
    <row r="68" spans="1:11" x14ac:dyDescent="0.25">
      <c r="A68" s="125" t="s">
        <v>168</v>
      </c>
      <c r="B68" s="126"/>
      <c r="C68" s="126"/>
      <c r="D68" s="126"/>
      <c r="E68" s="127"/>
      <c r="F68" s="126"/>
      <c r="G68" s="128" t="s">
        <v>169</v>
      </c>
      <c r="H68" s="126"/>
      <c r="I68" s="126"/>
      <c r="J68" s="572" t="e">
        <f>J65*J67</f>
        <v>#VALUE!</v>
      </c>
      <c r="K68" s="167" t="str">
        <f>D59</f>
        <v>U/L</v>
      </c>
    </row>
  </sheetData>
  <sheetProtection algorithmName="SHA-512" hashValue="0o8R32RvxTurFIMwMwPDC8Ie4mci574xauyvPyjg6KXYAhd7SSZXiKBjyjTuYo+1Pt7E6wmG1aljf7PsU5qHuA==" saltValue="NWzBloa0HLdhbWd9ykyVTA==" spinCount="100000" sheet="1" objects="1" scenarios="1"/>
  <mergeCells count="1">
    <mergeCell ref="A1:K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71" orientation="portrait" horizontalDpi="4294967294" verticalDpi="4294967294" r:id="rId1"/>
  <headerFooter>
    <oddHeader>&amp;R&amp;"-,Regular"&amp;8OA.UB - 0122-2019 / REV : 0</oddHeader>
    <oddFooter>&amp;R&amp;8&amp;K00-021Software Infusion Pump 2019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203"/>
  <sheetViews>
    <sheetView showGridLines="0" view="pageBreakPreview" topLeftCell="A13" zoomScale="90" zoomScaleNormal="90" zoomScaleSheetLayoutView="90" workbookViewId="0">
      <selection activeCell="E11" sqref="E11:G11"/>
    </sheetView>
  </sheetViews>
  <sheetFormatPr defaultColWidth="9.21875" defaultRowHeight="13.8" x14ac:dyDescent="0.25"/>
  <cols>
    <col min="1" max="1" width="4.5546875" style="31" customWidth="1"/>
    <col min="2" max="2" width="5.21875" style="31" customWidth="1"/>
    <col min="3" max="3" width="17.44140625" style="31" customWidth="1"/>
    <col min="4" max="4" width="2.21875" style="31" customWidth="1"/>
    <col min="5" max="5" width="12.21875" style="31" customWidth="1"/>
    <col min="6" max="6" width="9.21875" style="31" customWidth="1"/>
    <col min="7" max="7" width="11.5546875" style="31" customWidth="1"/>
    <col min="8" max="8" width="12.5546875" style="31" customWidth="1"/>
    <col min="9" max="9" width="15.77734375" style="31" customWidth="1"/>
    <col min="10" max="10" width="15.5546875" style="31" customWidth="1"/>
    <col min="11" max="11" width="5.21875" style="31" customWidth="1"/>
    <col min="12" max="12" width="9" style="31" customWidth="1"/>
    <col min="13" max="13" width="8.44140625" style="31" customWidth="1"/>
    <col min="14" max="14" width="13.21875" style="31" customWidth="1"/>
    <col min="15" max="17" width="9.44140625" style="31" customWidth="1"/>
    <col min="18" max="18" width="10.44140625" style="31" customWidth="1"/>
    <col min="19" max="19" width="10.77734375" style="31" customWidth="1"/>
    <col min="20" max="20" width="10" style="31" customWidth="1"/>
    <col min="21" max="21" width="10.21875" style="31" bestFit="1" customWidth="1"/>
    <col min="22" max="22" width="10.5546875" style="31" customWidth="1"/>
    <col min="23" max="23" width="10.44140625" style="31" bestFit="1" customWidth="1"/>
    <col min="24" max="16384" width="9.21875" style="31"/>
  </cols>
  <sheetData>
    <row r="1" spans="1:20" ht="17.399999999999999" x14ac:dyDescent="0.25">
      <c r="A1" s="829" t="s">
        <v>213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541"/>
      <c r="P1" s="541"/>
      <c r="Q1" s="541"/>
      <c r="R1" s="196"/>
    </row>
    <row r="2" spans="1:20" ht="15" x14ac:dyDescent="0.25">
      <c r="A2" s="830" t="str">
        <f>ID!E2&amp;ID!O2&amp;ID!I2</f>
        <v>Nomor Sertifikat : 85 / 1 / 1 - 21 / E - 114.123 DL</v>
      </c>
      <c r="B2" s="830"/>
      <c r="C2" s="830"/>
      <c r="D2" s="830"/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206"/>
      <c r="P2" s="206"/>
      <c r="Q2" s="206"/>
    </row>
    <row r="3" spans="1:20" ht="14.25" customHeight="1" x14ac:dyDescent="0.25">
      <c r="M3" s="197"/>
      <c r="N3" s="197"/>
    </row>
    <row r="4" spans="1:20" x14ac:dyDescent="0.25">
      <c r="A4" s="31" t="str">
        <f>ID!A6</f>
        <v>Merek</v>
      </c>
      <c r="D4" s="32" t="str">
        <f>ID!D6</f>
        <v>:</v>
      </c>
      <c r="E4" s="22" t="str">
        <f>ID!E6</f>
        <v>Mindray</v>
      </c>
      <c r="F4" s="22"/>
      <c r="G4" s="22"/>
      <c r="H4" s="22"/>
      <c r="M4" s="197"/>
      <c r="N4" s="197"/>
    </row>
    <row r="5" spans="1:20" x14ac:dyDescent="0.25">
      <c r="A5" s="31" t="str">
        <f>ID!A7</f>
        <v>Model/Tipe</v>
      </c>
      <c r="D5" s="32" t="str">
        <f>ID!D7</f>
        <v>:</v>
      </c>
      <c r="E5" s="22" t="str">
        <f>ID!E7</f>
        <v>BA 88 A</v>
      </c>
      <c r="F5" s="22"/>
      <c r="G5" s="22"/>
      <c r="H5" s="22"/>
      <c r="M5" s="197"/>
      <c r="N5" s="197"/>
    </row>
    <row r="6" spans="1:20" x14ac:dyDescent="0.25">
      <c r="A6" s="31" t="str">
        <f>ID!A8</f>
        <v>No. Seri</v>
      </c>
      <c r="D6" s="32" t="str">
        <f>ID!D8</f>
        <v>:</v>
      </c>
      <c r="E6" s="940" t="str">
        <f>ID!E8</f>
        <v>2019021001</v>
      </c>
      <c r="F6" s="940"/>
      <c r="G6" s="940"/>
      <c r="H6" s="940"/>
      <c r="M6" s="197"/>
      <c r="N6" s="197"/>
    </row>
    <row r="7" spans="1:20" x14ac:dyDescent="0.25">
      <c r="A7" s="31" t="str">
        <f>ID!A9</f>
        <v>Resolusi</v>
      </c>
      <c r="C7" s="32" t="str">
        <f>ID!C9</f>
        <v>Cholesterol</v>
      </c>
      <c r="D7" s="32" t="str">
        <f>ID!D9</f>
        <v>:</v>
      </c>
      <c r="E7" s="911" t="str">
        <f>IF(ID!E9="-","-",(ID!E9&amp;" "&amp;ID!F9))</f>
        <v>1 mg/dL</v>
      </c>
      <c r="F7" s="911"/>
      <c r="G7" s="911"/>
      <c r="H7" s="22"/>
      <c r="M7" s="197"/>
      <c r="N7" s="197"/>
      <c r="O7" s="31" t="s">
        <v>79</v>
      </c>
      <c r="S7" s="938" t="str">
        <f>ID!G9</f>
        <v>LOW</v>
      </c>
      <c r="T7" s="938"/>
    </row>
    <row r="8" spans="1:20" x14ac:dyDescent="0.25">
      <c r="C8" s="32" t="str">
        <f>ID!C10</f>
        <v>Glucose</v>
      </c>
      <c r="D8" s="32" t="str">
        <f>ID!D10</f>
        <v>:</v>
      </c>
      <c r="E8" s="911" t="str">
        <f>IF(ID!E10="-","-",(ID!E10&amp;" "&amp;ID!F10))</f>
        <v>1 mg/dL</v>
      </c>
      <c r="F8" s="911"/>
      <c r="G8" s="911"/>
      <c r="H8" s="22"/>
      <c r="M8" s="197"/>
      <c r="N8" s="197"/>
      <c r="O8" s="31" t="s">
        <v>79</v>
      </c>
      <c r="S8" s="666"/>
      <c r="T8" s="667"/>
    </row>
    <row r="9" spans="1:20" x14ac:dyDescent="0.25">
      <c r="C9" s="32" t="str">
        <f>ID!C11</f>
        <v>Asam Urat</v>
      </c>
      <c r="D9" s="32" t="str">
        <f>ID!D11</f>
        <v>:</v>
      </c>
      <c r="E9" s="911" t="str">
        <f>IF(ID!E11="-","-",(ID!E11&amp;" "&amp;ID!F11))</f>
        <v>1 mg/dL</v>
      </c>
      <c r="F9" s="911"/>
      <c r="G9" s="911"/>
      <c r="H9" s="22"/>
      <c r="M9" s="197"/>
      <c r="N9" s="197"/>
      <c r="O9" s="31" t="s">
        <v>79</v>
      </c>
      <c r="S9" s="666"/>
      <c r="T9" s="667"/>
    </row>
    <row r="10" spans="1:20" x14ac:dyDescent="0.25">
      <c r="C10" s="32" t="str">
        <f>ID!C12</f>
        <v>Triglycerides</v>
      </c>
      <c r="D10" s="32" t="str">
        <f>ID!D12</f>
        <v>:</v>
      </c>
      <c r="E10" s="911" t="str">
        <f>IF(ID!E12="-","-",(ID!E12&amp;" "&amp;ID!F12))</f>
        <v>1 mg/dL</v>
      </c>
      <c r="F10" s="911"/>
      <c r="G10" s="911"/>
      <c r="H10" s="22"/>
      <c r="M10" s="197"/>
      <c r="N10" s="197"/>
      <c r="O10" s="31" t="s">
        <v>79</v>
      </c>
      <c r="S10" s="666"/>
      <c r="T10" s="667"/>
    </row>
    <row r="11" spans="1:20" x14ac:dyDescent="0.25">
      <c r="C11" s="32" t="str">
        <f>ID!C13</f>
        <v>SGOT</v>
      </c>
      <c r="D11" s="32" t="str">
        <f>ID!D13</f>
        <v>:</v>
      </c>
      <c r="E11" s="911" t="str">
        <f>IF(ID!E13="-","-",(ID!E13&amp;" "&amp;ID!F13))</f>
        <v>1 U/L</v>
      </c>
      <c r="F11" s="911"/>
      <c r="G11" s="911"/>
      <c r="H11" s="22"/>
      <c r="M11" s="197"/>
      <c r="N11" s="197"/>
      <c r="O11" s="31" t="s">
        <v>79</v>
      </c>
      <c r="S11" s="666"/>
      <c r="T11" s="667"/>
    </row>
    <row r="12" spans="1:20" x14ac:dyDescent="0.25">
      <c r="C12" s="32" t="str">
        <f>ID!C14</f>
        <v>SGPT</v>
      </c>
      <c r="D12" s="32" t="str">
        <f>ID!D14</f>
        <v>:</v>
      </c>
      <c r="E12" s="911" t="str">
        <f>IF(ID!E14="-","-",(ID!E14&amp;" "&amp;ID!F14))</f>
        <v>1 U/L</v>
      </c>
      <c r="F12" s="911"/>
      <c r="G12" s="911"/>
      <c r="H12" s="22"/>
      <c r="M12" s="197"/>
      <c r="N12" s="197"/>
      <c r="O12" s="31" t="s">
        <v>79</v>
      </c>
      <c r="S12" s="666"/>
      <c r="T12" s="667"/>
    </row>
    <row r="13" spans="1:20" x14ac:dyDescent="0.25">
      <c r="A13" s="31" t="str">
        <f>ID!A15</f>
        <v>Tanggal Penerimaan Alat</v>
      </c>
      <c r="D13" s="32" t="str">
        <f>ID!D15</f>
        <v>:</v>
      </c>
      <c r="E13" s="942">
        <f>ID!E15</f>
        <v>44483</v>
      </c>
      <c r="F13" s="942"/>
      <c r="G13" s="942"/>
      <c r="H13" s="668"/>
      <c r="M13" s="197"/>
      <c r="N13" s="197"/>
      <c r="S13" s="838" t="e">
        <f>IF(S7=S14,E7/T14,E7/T15)</f>
        <v>#VALUE!</v>
      </c>
      <c r="T13" s="840"/>
    </row>
    <row r="14" spans="1:20" x14ac:dyDescent="0.25">
      <c r="A14" s="31" t="str">
        <f>ID!A16</f>
        <v>Tanggal Kalibrasi</v>
      </c>
      <c r="D14" s="32" t="str">
        <f>ID!D16</f>
        <v>:</v>
      </c>
      <c r="E14" s="942">
        <f>ID!E16</f>
        <v>44483</v>
      </c>
      <c r="F14" s="942"/>
      <c r="G14" s="942"/>
      <c r="H14" s="22"/>
      <c r="M14" s="197"/>
      <c r="N14" s="197"/>
      <c r="S14" s="669" t="s">
        <v>214</v>
      </c>
      <c r="T14" s="185">
        <v>2</v>
      </c>
    </row>
    <row r="15" spans="1:20" x14ac:dyDescent="0.25">
      <c r="A15" s="31" t="str">
        <f>ID!A17</f>
        <v>Tempat Kalibrasi</v>
      </c>
      <c r="D15" s="32" t="str">
        <f>ID!D17</f>
        <v>:</v>
      </c>
      <c r="E15" s="22" t="str">
        <f>ID!E17</f>
        <v>Laboratorium</v>
      </c>
      <c r="F15" s="22"/>
      <c r="G15" s="22"/>
      <c r="H15" s="22"/>
      <c r="M15" s="197"/>
      <c r="N15" s="197"/>
      <c r="S15" s="669" t="s">
        <v>215</v>
      </c>
      <c r="T15" s="670">
        <v>10</v>
      </c>
    </row>
    <row r="16" spans="1:20" x14ac:dyDescent="0.25">
      <c r="A16" s="31" t="str">
        <f>ID!A18</f>
        <v>Nama Ruang</v>
      </c>
      <c r="D16" s="32" t="str">
        <f>ID!D18</f>
        <v>:</v>
      </c>
      <c r="E16" s="22" t="str">
        <f>ID!E18</f>
        <v>Laboratorium</v>
      </c>
      <c r="F16" s="22"/>
      <c r="G16" s="22"/>
      <c r="H16" s="22"/>
      <c r="M16" s="197"/>
      <c r="N16" s="197"/>
    </row>
    <row r="17" spans="1:34" x14ac:dyDescent="0.25">
      <c r="A17" s="31" t="s">
        <v>91</v>
      </c>
      <c r="D17" s="32" t="s">
        <v>8</v>
      </c>
      <c r="E17" s="31" t="str">
        <f>ID!E19</f>
        <v>MK 122 - 2019</v>
      </c>
      <c r="M17" s="197"/>
      <c r="N17" s="197"/>
    </row>
    <row r="18" spans="1:34" ht="14.25" customHeight="1" x14ac:dyDescent="0.25">
      <c r="D18" s="32"/>
      <c r="M18" s="197"/>
      <c r="N18" s="197"/>
    </row>
    <row r="19" spans="1:34" x14ac:dyDescent="0.25">
      <c r="A19" s="198" t="str">
        <f>ID!A21</f>
        <v>I.</v>
      </c>
      <c r="B19" s="198" t="str">
        <f>ID!B21</f>
        <v>Kondisi Ruang</v>
      </c>
      <c r="C19" s="198"/>
      <c r="D19" s="671"/>
      <c r="E19" s="198"/>
      <c r="F19" s="198"/>
      <c r="G19" s="198"/>
      <c r="H19" s="198"/>
      <c r="I19" s="198"/>
      <c r="J19" s="198"/>
      <c r="K19" s="198"/>
      <c r="L19" s="198"/>
      <c r="M19" s="202"/>
      <c r="N19" s="202"/>
      <c r="O19" s="198"/>
      <c r="P19" s="198"/>
      <c r="Q19" s="198"/>
    </row>
    <row r="20" spans="1:34" x14ac:dyDescent="0.25">
      <c r="B20" s="31" t="str">
        <f>ID!B23</f>
        <v xml:space="preserve">1. Suhu </v>
      </c>
      <c r="D20" s="32" t="s">
        <v>8</v>
      </c>
      <c r="E20" s="672" t="str">
        <f>'DB Thermohygro'!L346</f>
        <v>( 27.0 ± 0.4 ) °C</v>
      </c>
      <c r="F20" s="672"/>
      <c r="G20" s="673"/>
      <c r="H20" s="203"/>
      <c r="M20" s="197"/>
      <c r="N20" s="197" t="s">
        <v>216</v>
      </c>
    </row>
    <row r="21" spans="1:34" x14ac:dyDescent="0.25">
      <c r="B21" s="31" t="str">
        <f>ID!B24</f>
        <v xml:space="preserve">2. Kelembaban </v>
      </c>
      <c r="D21" s="32" t="s">
        <v>8</v>
      </c>
      <c r="E21" s="672" t="str">
        <f>'DB Thermohygro'!L347</f>
        <v>( 71.8 ± 2.2 ) %RH</v>
      </c>
      <c r="F21" s="672"/>
      <c r="G21" s="673"/>
      <c r="H21" s="203"/>
      <c r="M21" s="197"/>
      <c r="N21" s="197"/>
    </row>
    <row r="22" spans="1:34" x14ac:dyDescent="0.25">
      <c r="B22" s="31" t="str">
        <f>ID!B25</f>
        <v>3. Tegangan Jala - jala</v>
      </c>
      <c r="D22" s="32" t="s">
        <v>8</v>
      </c>
      <c r="E22" s="941" t="str">
        <f ca="1">'DB Kelistrikan'!R195</f>
        <v>( 219.6 ± 2.6 ) Volt</v>
      </c>
      <c r="F22" s="941"/>
      <c r="G22" s="941"/>
      <c r="H22" s="32"/>
      <c r="M22" s="197"/>
      <c r="N22" s="197"/>
    </row>
    <row r="23" spans="1:34" ht="14.25" customHeight="1" x14ac:dyDescent="0.25">
      <c r="D23" s="32"/>
      <c r="G23" s="674"/>
      <c r="M23" s="197"/>
      <c r="N23" s="197"/>
    </row>
    <row r="24" spans="1:34" x14ac:dyDescent="0.25">
      <c r="A24" s="198" t="str">
        <f>ID!A27</f>
        <v>II.</v>
      </c>
      <c r="B24" s="198" t="str">
        <f>ID!B27</f>
        <v>Pemeriksaan Kondisi Fisik dan Fungsi Alat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7"/>
      <c r="N24" s="675" t="s">
        <v>217</v>
      </c>
      <c r="S24" s="925" t="str">
        <f>IF(J32="-",V32,ID!P33)</f>
        <v>G</v>
      </c>
      <c r="T24" s="925"/>
      <c r="U24" s="913" t="s">
        <v>39</v>
      </c>
      <c r="V24" s="913" t="s">
        <v>218</v>
      </c>
      <c r="W24" s="913" t="s">
        <v>46</v>
      </c>
      <c r="Y24" s="938" t="str">
        <f>IF(OR(J32="-",S24=V32),Y25,IF(OR(V26&gt;W26,C32=Y33),"",IF(J32&gt;L32,Y26,"")))</f>
        <v>Alat tidak boleh digunakan pada instalasi tanpa dilengkapi grounding</v>
      </c>
      <c r="Z24" s="938"/>
      <c r="AA24" s="938"/>
      <c r="AB24" s="938"/>
      <c r="AC24" s="938"/>
      <c r="AD24" s="938"/>
      <c r="AE24" s="938"/>
      <c r="AF24" s="938"/>
      <c r="AG24" s="938"/>
    </row>
    <row r="25" spans="1:34" ht="14.25" customHeight="1" x14ac:dyDescent="0.25">
      <c r="B25" s="31" t="str">
        <f>ID!B28</f>
        <v>1. Fisik</v>
      </c>
      <c r="D25" s="32" t="s">
        <v>8</v>
      </c>
      <c r="E25" s="31" t="str">
        <f>ID!E28</f>
        <v>Baik</v>
      </c>
      <c r="M25" s="197"/>
      <c r="N25" s="676">
        <f>IF(E25="baik",5,IF(E25="Tidak Baik",0))</f>
        <v>5</v>
      </c>
      <c r="S25" s="925"/>
      <c r="T25" s="925"/>
      <c r="U25" s="913"/>
      <c r="V25" s="913"/>
      <c r="W25" s="913"/>
      <c r="Y25" s="939" t="s">
        <v>219</v>
      </c>
      <c r="Z25" s="939"/>
      <c r="AA25" s="939"/>
      <c r="AB25" s="939"/>
      <c r="AC25" s="939"/>
      <c r="AD25" s="939"/>
      <c r="AE25" s="939"/>
      <c r="AF25" s="939"/>
      <c r="AG25" s="939"/>
    </row>
    <row r="26" spans="1:34" ht="14.25" customHeight="1" x14ac:dyDescent="0.25">
      <c r="B26" s="31" t="str">
        <f>ID!B29</f>
        <v>2. Fungsi</v>
      </c>
      <c r="D26" s="32" t="s">
        <v>8</v>
      </c>
      <c r="E26" s="31" t="str">
        <f>ID!E29</f>
        <v>Baik</v>
      </c>
      <c r="M26" s="197"/>
      <c r="N26" s="676">
        <f>IF(E26="baik",5,IF(E26="Tidak Baik",0))</f>
        <v>5</v>
      </c>
      <c r="S26" s="185" t="s">
        <v>105</v>
      </c>
      <c r="T26" s="36" t="s">
        <v>106</v>
      </c>
      <c r="U26" s="20">
        <f>ID!R35</f>
        <v>10</v>
      </c>
      <c r="V26" s="677">
        <f>'DB Kelistrikan'!N202</f>
        <v>10.34</v>
      </c>
      <c r="W26" s="678">
        <v>100</v>
      </c>
      <c r="Y26" s="939" t="s">
        <v>220</v>
      </c>
      <c r="Z26" s="939"/>
      <c r="AA26" s="939"/>
      <c r="AB26" s="939"/>
      <c r="AC26" s="939"/>
      <c r="AD26" s="939"/>
      <c r="AE26" s="939"/>
      <c r="AF26" s="939"/>
      <c r="AG26" s="939"/>
    </row>
    <row r="27" spans="1:34" ht="14.25" customHeight="1" x14ac:dyDescent="0.25">
      <c r="B27" s="198"/>
      <c r="C27" s="198"/>
      <c r="D27" s="198"/>
      <c r="M27" s="197"/>
      <c r="N27" s="197"/>
    </row>
    <row r="28" spans="1:34" ht="16.2" x14ac:dyDescent="0.25">
      <c r="A28" s="198" t="str">
        <f>ID!A31</f>
        <v>III.</v>
      </c>
      <c r="B28" s="198" t="str">
        <f>ID!B31</f>
        <v>Pengujian Keselamatan Listrik</v>
      </c>
      <c r="C28" s="198"/>
      <c r="D28" s="198"/>
      <c r="I28" s="622"/>
      <c r="M28" s="197"/>
      <c r="N28" s="197"/>
    </row>
    <row r="29" spans="1:34" ht="34.5" customHeight="1" x14ac:dyDescent="0.25">
      <c r="B29" s="675" t="s">
        <v>28</v>
      </c>
      <c r="C29" s="943" t="s">
        <v>29</v>
      </c>
      <c r="D29" s="943"/>
      <c r="E29" s="943"/>
      <c r="F29" s="943"/>
      <c r="G29" s="943"/>
      <c r="H29" s="943"/>
      <c r="I29" s="943"/>
      <c r="J29" s="921" t="s">
        <v>30</v>
      </c>
      <c r="K29" s="922"/>
      <c r="L29" s="921" t="s">
        <v>31</v>
      </c>
      <c r="M29" s="922"/>
      <c r="N29" s="675" t="s">
        <v>217</v>
      </c>
      <c r="Y29" s="935" t="s">
        <v>221</v>
      </c>
      <c r="Z29" s="936"/>
      <c r="AA29" s="936"/>
      <c r="AB29" s="936"/>
      <c r="AC29" s="936"/>
      <c r="AD29" s="936"/>
      <c r="AE29" s="937"/>
    </row>
    <row r="30" spans="1:34" ht="16.5" customHeight="1" x14ac:dyDescent="0.25">
      <c r="B30" s="679">
        <v>1</v>
      </c>
      <c r="C30" s="680" t="str">
        <f>ID!C33</f>
        <v>Resistansi isolasi</v>
      </c>
      <c r="D30" s="681"/>
      <c r="E30" s="681"/>
      <c r="F30" s="681"/>
      <c r="G30" s="681"/>
      <c r="H30" s="682"/>
      <c r="I30" s="683"/>
      <c r="J30" s="931" t="str">
        <f>'DB Kelistrikan'!N199</f>
        <v>OL</v>
      </c>
      <c r="K30" s="932"/>
      <c r="L30" s="862">
        <f>ID!K33</f>
        <v>2</v>
      </c>
      <c r="M30" s="863"/>
      <c r="N30" s="926">
        <f>IF(OR(J32="-",O32=20),SUM(O30:P32),0)</f>
        <v>30</v>
      </c>
      <c r="O30" s="684">
        <f>IF(OR(J30="-",J30="OL",J30&gt;L30),10,0)</f>
        <v>10</v>
      </c>
      <c r="P30" s="685"/>
      <c r="Q30" s="685"/>
      <c r="S30" s="913" t="s">
        <v>222</v>
      </c>
      <c r="T30" s="923" t="s">
        <v>46</v>
      </c>
      <c r="V30" s="185" t="s">
        <v>223</v>
      </c>
      <c r="Y30" s="686" t="s">
        <v>103</v>
      </c>
      <c r="Z30" s="687"/>
      <c r="AA30" s="687"/>
      <c r="AB30" s="687"/>
      <c r="AC30" s="687"/>
      <c r="AD30" s="688"/>
      <c r="AE30" s="192">
        <v>0.2</v>
      </c>
      <c r="AF30" s="31" t="s">
        <v>224</v>
      </c>
      <c r="AG30" s="199"/>
    </row>
    <row r="31" spans="1:34" x14ac:dyDescent="0.25">
      <c r="B31" s="689">
        <f>ID!B34</f>
        <v>2</v>
      </c>
      <c r="C31" s="690" t="str">
        <f>Y29</f>
        <v>Resistansi pembumian protektif</v>
      </c>
      <c r="D31" s="691"/>
      <c r="E31" s="691"/>
      <c r="F31" s="691"/>
      <c r="G31" s="691"/>
      <c r="H31" s="691"/>
      <c r="I31" s="692"/>
      <c r="J31" s="933">
        <f>'DB Kelistrikan'!N200</f>
        <v>0.32024666666666668</v>
      </c>
      <c r="K31" s="934"/>
      <c r="L31" s="864">
        <f>ID!K34</f>
        <v>0.2</v>
      </c>
      <c r="M31" s="865"/>
      <c r="N31" s="927"/>
      <c r="O31" s="684">
        <f>IF(OR(J31="-",J31="OL",J31&lt;=L31,C32=Y33),10,0)</f>
        <v>0</v>
      </c>
      <c r="P31" s="685">
        <f>IF(S24="NG",20,0)</f>
        <v>0</v>
      </c>
      <c r="Q31" s="685"/>
      <c r="S31" s="913"/>
      <c r="T31" s="924"/>
      <c r="V31" s="185" t="s">
        <v>102</v>
      </c>
      <c r="Y31" s="693" t="s">
        <v>225</v>
      </c>
      <c r="Z31" s="694"/>
      <c r="AA31" s="694"/>
      <c r="AB31" s="694"/>
      <c r="AC31" s="694"/>
      <c r="AD31" s="695"/>
      <c r="AE31" s="192">
        <v>0.3</v>
      </c>
      <c r="AF31" s="31" t="s">
        <v>226</v>
      </c>
      <c r="AG31" s="199"/>
      <c r="AH31" s="199"/>
    </row>
    <row r="32" spans="1:34" x14ac:dyDescent="0.25">
      <c r="B32" s="696">
        <f>ID!B35</f>
        <v>3</v>
      </c>
      <c r="C32" s="697" t="str">
        <f>ID!C35</f>
        <v>Arus bocor peralatan untuk peralatan elektromedik kelas I</v>
      </c>
      <c r="D32" s="698"/>
      <c r="E32" s="698"/>
      <c r="F32" s="698"/>
      <c r="G32" s="698"/>
      <c r="H32" s="698"/>
      <c r="I32" s="699"/>
      <c r="J32" s="929">
        <f>'DB Kelistrikan'!N201</f>
        <v>621.76</v>
      </c>
      <c r="K32" s="930"/>
      <c r="L32" s="866">
        <f>ID!K35</f>
        <v>500</v>
      </c>
      <c r="M32" s="867"/>
      <c r="N32" s="928"/>
      <c r="O32" s="684">
        <f>IF(S32&lt;=T32,20,0)</f>
        <v>20</v>
      </c>
      <c r="P32" s="685"/>
      <c r="Q32" s="685"/>
      <c r="S32" s="677">
        <f>IF(OR(U26="",C32=Y33,S24=V32),J32,IF(J32&gt;L32,V26,J32))</f>
        <v>10.34</v>
      </c>
      <c r="T32" s="185">
        <f>IF(OR(U26="",C32=Y33,S24=V32),L32,IF(J32&gt;L32,W26,L32))</f>
        <v>100</v>
      </c>
      <c r="V32" s="185" t="s">
        <v>227</v>
      </c>
      <c r="Y32" s="700" t="s">
        <v>104</v>
      </c>
      <c r="Z32" s="701"/>
      <c r="AA32" s="701"/>
      <c r="AB32" s="701"/>
      <c r="AC32" s="701"/>
      <c r="AD32" s="695"/>
      <c r="AE32" s="192">
        <v>500</v>
      </c>
      <c r="AF32" s="199"/>
      <c r="AG32" s="199"/>
      <c r="AH32" s="199"/>
    </row>
    <row r="33" spans="1:34" ht="14.25" customHeight="1" x14ac:dyDescent="0.25">
      <c r="B33" s="198"/>
      <c r="C33" s="198"/>
      <c r="D33" s="198"/>
      <c r="M33" s="197"/>
      <c r="N33" s="197"/>
      <c r="Y33" s="700" t="s">
        <v>228</v>
      </c>
      <c r="Z33" s="701"/>
      <c r="AA33" s="701"/>
      <c r="AB33" s="701"/>
      <c r="AC33" s="701"/>
      <c r="AD33" s="695"/>
      <c r="AE33" s="192">
        <v>100</v>
      </c>
      <c r="AF33" s="199"/>
      <c r="AG33" s="199"/>
      <c r="AH33" s="199"/>
    </row>
    <row r="34" spans="1:34" x14ac:dyDescent="0.25">
      <c r="A34" s="198" t="str">
        <f>ID!A37</f>
        <v>IV.</v>
      </c>
      <c r="B34" s="198" t="str">
        <f>ID!B37</f>
        <v>Pengujian Kinerja</v>
      </c>
      <c r="C34" s="198"/>
      <c r="D34" s="198"/>
      <c r="E34" s="198"/>
      <c r="F34" s="198"/>
      <c r="G34" s="198"/>
      <c r="H34" s="198"/>
      <c r="I34" s="32"/>
      <c r="M34" s="197"/>
      <c r="N34" s="197"/>
      <c r="AH34" s="199"/>
    </row>
    <row r="35" spans="1:34" x14ac:dyDescent="0.25">
      <c r="A35" s="198"/>
      <c r="B35" s="198" t="str">
        <f>ID!B38</f>
        <v xml:space="preserve">A. Kalibrasi </v>
      </c>
      <c r="C35" s="198"/>
      <c r="D35" s="198"/>
      <c r="E35" s="198"/>
      <c r="F35" s="198"/>
      <c r="G35" s="198"/>
      <c r="H35" s="198"/>
      <c r="I35" s="32"/>
      <c r="M35" s="197"/>
      <c r="N35" s="197"/>
    </row>
    <row r="36" spans="1:34" x14ac:dyDescent="0.25">
      <c r="B36" s="916" t="s">
        <v>43</v>
      </c>
      <c r="C36" s="943" t="s">
        <v>29</v>
      </c>
      <c r="D36" s="943"/>
      <c r="E36" s="943"/>
      <c r="F36" s="916" t="s">
        <v>109</v>
      </c>
      <c r="G36" s="916" t="s">
        <v>110</v>
      </c>
      <c r="H36" s="916" t="s">
        <v>229</v>
      </c>
      <c r="I36" s="916" t="s">
        <v>46</v>
      </c>
      <c r="J36" s="916" t="s">
        <v>230</v>
      </c>
      <c r="L36" s="702"/>
      <c r="M36" s="915"/>
      <c r="N36" s="943" t="s">
        <v>217</v>
      </c>
      <c r="S36" s="954" t="s">
        <v>231</v>
      </c>
      <c r="T36" s="954"/>
      <c r="Y36" s="703"/>
    </row>
    <row r="37" spans="1:34" ht="24.75" customHeight="1" x14ac:dyDescent="0.25">
      <c r="B37" s="917"/>
      <c r="C37" s="943"/>
      <c r="D37" s="943"/>
      <c r="E37" s="943"/>
      <c r="F37" s="917"/>
      <c r="G37" s="917"/>
      <c r="H37" s="917"/>
      <c r="I37" s="917"/>
      <c r="J37" s="917"/>
      <c r="L37" s="702"/>
      <c r="M37" s="915"/>
      <c r="N37" s="943"/>
      <c r="P37" s="32" t="s">
        <v>232</v>
      </c>
      <c r="Q37" s="32" t="s">
        <v>233</v>
      </c>
      <c r="R37" s="32" t="s">
        <v>23</v>
      </c>
      <c r="S37" s="954"/>
      <c r="T37" s="954"/>
      <c r="U37" s="31" t="s">
        <v>234</v>
      </c>
      <c r="V37" s="704" t="s">
        <v>29</v>
      </c>
      <c r="W37" s="20" t="s">
        <v>235</v>
      </c>
      <c r="X37" s="31" t="s">
        <v>236</v>
      </c>
      <c r="AE37" s="31" t="s">
        <v>237</v>
      </c>
    </row>
    <row r="38" spans="1:34" ht="15.6" x14ac:dyDescent="0.25">
      <c r="B38" s="909">
        <f>ID!B41</f>
        <v>1</v>
      </c>
      <c r="C38" s="638" t="str">
        <f>ID!C41</f>
        <v>Cholesterol</v>
      </c>
      <c r="D38" s="857" t="str">
        <f>ID!D41</f>
        <v>mg/dL</v>
      </c>
      <c r="E38" s="858" t="str">
        <f>ID!D41</f>
        <v>mg/dL</v>
      </c>
      <c r="F38" s="848">
        <f>ID!F41</f>
        <v>93.6</v>
      </c>
      <c r="G38" s="905">
        <f>IFERROR(ID!J41,"-")</f>
        <v>81</v>
      </c>
      <c r="H38" s="905">
        <f t="shared" ref="H38:H48" si="0">IFERROR(G38-F38,"-")</f>
        <v>-12.599999999999994</v>
      </c>
      <c r="I38" s="593">
        <f>IF(G38="-","-",ID!L41)</f>
        <v>15.064102564102555</v>
      </c>
      <c r="J38" s="918">
        <f t="shared" ref="J38" si="1">IFERROR(W38,"-")</f>
        <v>2.011320203919845</v>
      </c>
      <c r="L38" s="705"/>
      <c r="M38" s="573"/>
      <c r="N38" s="948">
        <f>Z45</f>
        <v>50</v>
      </c>
      <c r="O38" s="706">
        <f t="shared" ref="O38" si="2">IF(G38&gt;P38,0,IF(G38&lt;Q38,0,IF(G38&lt;=P38,R38,IF(G38&gt;=Q38,R38))))</f>
        <v>8.3333333500000002</v>
      </c>
      <c r="P38" s="707">
        <f>F38+(F38*I38%)</f>
        <v>107.69999999999999</v>
      </c>
      <c r="Q38" s="707">
        <f t="shared" ref="Q38" si="3">F38-(F38*I38%)</f>
        <v>79.5</v>
      </c>
      <c r="R38" s="674">
        <v>8.3333333500000002</v>
      </c>
      <c r="S38" s="954"/>
      <c r="T38" s="954"/>
      <c r="U38" s="204">
        <f t="shared" ref="U38" si="4">(ABS(H38)/F38)*100</f>
        <v>13.461538461538455</v>
      </c>
      <c r="V38" s="708" t="str">
        <f t="shared" ref="V38" si="5">C38</f>
        <v>Cholesterol</v>
      </c>
      <c r="W38" s="709">
        <f>UB!J13</f>
        <v>2.011320203919845</v>
      </c>
      <c r="X38" s="674">
        <f>$Q$57</f>
        <v>12.5</v>
      </c>
      <c r="Y38" s="944" t="s">
        <v>23</v>
      </c>
      <c r="Z38" s="31">
        <f t="shared" ref="Z38:Z43" si="6">IFERROR(AE38,0)</f>
        <v>12.5</v>
      </c>
      <c r="AE38" s="31">
        <f t="shared" ref="AE38" si="7">IF(U38&lt;=I38,X38,0)</f>
        <v>12.5</v>
      </c>
    </row>
    <row r="39" spans="1:34" ht="15.6" x14ac:dyDescent="0.25">
      <c r="B39" s="910"/>
      <c r="C39" s="639" t="str">
        <f>ID!C42</f>
        <v>( CHO2A )</v>
      </c>
      <c r="D39" s="640"/>
      <c r="E39" s="641"/>
      <c r="F39" s="849"/>
      <c r="G39" s="906"/>
      <c r="H39" s="906"/>
      <c r="I39" s="595" t="str">
        <f>IF(G39="-","-",ID!L42)</f>
        <v>(79.5-107.7)mg/dL</v>
      </c>
      <c r="J39" s="919"/>
      <c r="L39" s="705"/>
      <c r="M39" s="573"/>
      <c r="N39" s="949"/>
      <c r="O39" s="706">
        <f>IF(G40&gt;P39,0,IF(G40&lt;Q39,0,IF(G40&lt;=P39,R39,IF(G40&gt;=Q39,R39))))</f>
        <v>8.3333333500000002</v>
      </c>
      <c r="P39" s="707">
        <f>F40+(F40*I40%)</f>
        <v>120</v>
      </c>
      <c r="Q39" s="707">
        <f>F40-(F40*I40%)</f>
        <v>90</v>
      </c>
      <c r="R39" s="674">
        <v>8.3333333500000002</v>
      </c>
      <c r="S39" s="954"/>
      <c r="T39" s="954"/>
      <c r="U39" s="204">
        <f>(ABS(H40)/F40)*100</f>
        <v>6.9841269841269797</v>
      </c>
      <c r="V39" s="708" t="str">
        <f>C40</f>
        <v>Glucose</v>
      </c>
      <c r="W39" s="710">
        <f>UB!J24</f>
        <v>3.3658434430098496</v>
      </c>
      <c r="X39" s="674">
        <f t="shared" ref="X39:X43" si="8">$Q$57</f>
        <v>12.5</v>
      </c>
      <c r="Y39" s="944"/>
      <c r="Z39" s="31">
        <f t="shared" si="6"/>
        <v>12.5</v>
      </c>
      <c r="AE39" s="31">
        <f>IF(U39&lt;=I40,X39,0)</f>
        <v>12.5</v>
      </c>
    </row>
    <row r="40" spans="1:34" ht="15.6" x14ac:dyDescent="0.25">
      <c r="B40" s="909">
        <v>2</v>
      </c>
      <c r="C40" s="638" t="str">
        <f>ID!C43</f>
        <v>Glucose</v>
      </c>
      <c r="D40" s="857" t="str">
        <f>ID!D43</f>
        <v>mg/dL</v>
      </c>
      <c r="E40" s="858" t="str">
        <f>ID!D43</f>
        <v>mg/dL</v>
      </c>
      <c r="F40" s="848">
        <f>ID!F43</f>
        <v>105</v>
      </c>
      <c r="G40" s="905">
        <f>IFERROR(ID!J43,"-")</f>
        <v>112.33333333333333</v>
      </c>
      <c r="H40" s="905">
        <f t="shared" si="0"/>
        <v>7.3333333333333286</v>
      </c>
      <c r="I40" s="593">
        <f>IF(G40="-","-",ID!L43)</f>
        <v>14.285714285714292</v>
      </c>
      <c r="J40" s="918">
        <f>IFERROR(W39,"-")</f>
        <v>3.3658434430098496</v>
      </c>
      <c r="L40" s="705"/>
      <c r="M40" s="573"/>
      <c r="N40" s="949"/>
      <c r="O40" s="706">
        <f>IF(G42&gt;P40,0,IF(G42&lt;Q40,0,IF(G42&lt;=P40,R40,IF(G42&gt;=Q40,R40))))</f>
        <v>5.5555555700000001</v>
      </c>
      <c r="P40" s="707">
        <f>F42+(F42*I42%)</f>
        <v>5.77</v>
      </c>
      <c r="Q40" s="707">
        <f>F42-(F42*I42%)</f>
        <v>4.2699999999999996</v>
      </c>
      <c r="R40" s="674">
        <v>5.5555555700000001</v>
      </c>
      <c r="S40" s="954"/>
      <c r="T40" s="954"/>
      <c r="U40" s="204">
        <f>(ABS(H42)/F42)*100</f>
        <v>1.5936254980079698</v>
      </c>
      <c r="V40" s="708" t="str">
        <f>C42</f>
        <v>Asam Urat</v>
      </c>
      <c r="W40" s="710">
        <f>UB!J35</f>
        <v>0.59114163118601382</v>
      </c>
      <c r="X40" s="674">
        <f t="shared" si="8"/>
        <v>12.5</v>
      </c>
      <c r="Y40" s="944"/>
      <c r="Z40" s="31">
        <f t="shared" si="6"/>
        <v>12.5</v>
      </c>
      <c r="AE40" s="31">
        <f>IF(U40&lt;=I42,X40,0)</f>
        <v>12.5</v>
      </c>
    </row>
    <row r="41" spans="1:34" ht="15.6" x14ac:dyDescent="0.25">
      <c r="B41" s="910"/>
      <c r="C41" s="639" t="str">
        <f>ID!C44</f>
        <v>( GLUC2 )</v>
      </c>
      <c r="D41" s="640"/>
      <c r="E41" s="641"/>
      <c r="F41" s="849"/>
      <c r="G41" s="906"/>
      <c r="H41" s="906"/>
      <c r="I41" s="595" t="str">
        <f>IF(G41="-","-",ID!L44)</f>
        <v>(90-120)mg/dL</v>
      </c>
      <c r="J41" s="919"/>
      <c r="L41" s="705"/>
      <c r="M41" s="573"/>
      <c r="N41" s="949"/>
      <c r="O41" s="706">
        <f>IF(G44&gt;P41,0,IF(G44&lt;Q41,0,IF(G44&lt;=P41,R41,IF(G44&gt;=Q41,R41))))</f>
        <v>5.5555555700000001</v>
      </c>
      <c r="P41" s="707">
        <f>F44+(F44*I44%)</f>
        <v>138</v>
      </c>
      <c r="Q41" s="707">
        <f>F44-(F44*I44%)</f>
        <v>102</v>
      </c>
      <c r="R41" s="674">
        <v>5.5555555700000001</v>
      </c>
      <c r="S41" s="954"/>
      <c r="T41" s="954"/>
      <c r="U41" s="204">
        <f>(ABS(H44)/F44)*100</f>
        <v>1.3055555555555642</v>
      </c>
      <c r="V41" s="708" t="str">
        <f>C44</f>
        <v>Triglycerides</v>
      </c>
      <c r="W41" s="710">
        <f>UB!J46</f>
        <v>0.77976304740942015</v>
      </c>
      <c r="X41" s="674">
        <f t="shared" si="8"/>
        <v>12.5</v>
      </c>
      <c r="Y41" s="944"/>
      <c r="Z41" s="31">
        <f t="shared" si="6"/>
        <v>12.5</v>
      </c>
      <c r="AE41" s="31">
        <f>IF(U41&lt;=I44,X41,0)</f>
        <v>12.5</v>
      </c>
    </row>
    <row r="42" spans="1:34" ht="15.6" x14ac:dyDescent="0.25">
      <c r="B42" s="909">
        <f>ID!B45</f>
        <v>3</v>
      </c>
      <c r="C42" s="638" t="str">
        <f>ID!C45</f>
        <v>Asam Urat</v>
      </c>
      <c r="D42" s="857" t="str">
        <f>ID!D45</f>
        <v>mg/dL</v>
      </c>
      <c r="E42" s="858" t="str">
        <f>ID!D45</f>
        <v>mg/dL</v>
      </c>
      <c r="F42" s="848">
        <f>ID!F45</f>
        <v>5.0199999999999996</v>
      </c>
      <c r="G42" s="905">
        <f>IFERROR(ID!J45,"-")</f>
        <v>5.0999999999999996</v>
      </c>
      <c r="H42" s="905">
        <f t="shared" si="0"/>
        <v>8.0000000000000071E-2</v>
      </c>
      <c r="I42" s="593">
        <f>IF(G42="-","-",ID!L45)</f>
        <v>14.940239043824704</v>
      </c>
      <c r="J42" s="918">
        <f>IFERROR(W40,"-")</f>
        <v>0.59114163118601382</v>
      </c>
      <c r="L42" s="705"/>
      <c r="M42" s="573"/>
      <c r="N42" s="949"/>
      <c r="O42" s="706" t="e">
        <f>IF(G46&gt;P42,0,IF(G46&lt;Q42,0,IF(G46&lt;=P42,R42,IF(G46&gt;=Q42,R42))))</f>
        <v>#VALUE!</v>
      </c>
      <c r="P42" s="707" t="e">
        <f>F46+(F46*I46%)</f>
        <v>#VALUE!</v>
      </c>
      <c r="Q42" s="707" t="e">
        <f>F46-(F46*I46%)</f>
        <v>#VALUE!</v>
      </c>
      <c r="R42" s="674">
        <v>5.5555555700000001</v>
      </c>
      <c r="S42" s="954"/>
      <c r="T42" s="954"/>
      <c r="U42" s="204" t="e">
        <f>(ABS(H46)/F46)*100</f>
        <v>#VALUE!</v>
      </c>
      <c r="V42" s="708" t="str">
        <f>C46</f>
        <v>SGOT</v>
      </c>
      <c r="W42" s="710" t="e">
        <f>UB!J57</f>
        <v>#VALUE!</v>
      </c>
      <c r="X42" s="674">
        <f t="shared" si="8"/>
        <v>12.5</v>
      </c>
      <c r="Y42" s="944"/>
      <c r="Z42" s="31">
        <f t="shared" si="6"/>
        <v>0</v>
      </c>
      <c r="AE42" s="31" t="e">
        <f>IF(U42&lt;=I46,X42,0)</f>
        <v>#VALUE!</v>
      </c>
    </row>
    <row r="43" spans="1:34" ht="15.6" x14ac:dyDescent="0.25">
      <c r="B43" s="910"/>
      <c r="C43" s="639" t="str">
        <f>ID!C46</f>
        <v>( UA2 )</v>
      </c>
      <c r="D43" s="640"/>
      <c r="E43" s="641"/>
      <c r="F43" s="849"/>
      <c r="G43" s="906"/>
      <c r="H43" s="906"/>
      <c r="I43" s="595" t="str">
        <f>IF(G43="-","-",ID!L46)</f>
        <v>(4.27-5.77)mg/dL</v>
      </c>
      <c r="J43" s="919"/>
      <c r="L43" s="705"/>
      <c r="M43" s="573"/>
      <c r="N43" s="950"/>
      <c r="O43" s="706" t="e">
        <f>IF(G48&gt;P43,0,IF(G48&lt;Q43,0,IF(G48&lt;=P43,R43,IF(G48&gt;=Q43,R43))))</f>
        <v>#VALUE!</v>
      </c>
      <c r="P43" s="707" t="e">
        <f>F48+(F48*I48%)</f>
        <v>#VALUE!</v>
      </c>
      <c r="Q43" s="707" t="e">
        <f>F48-(F48*I48%)</f>
        <v>#VALUE!</v>
      </c>
      <c r="R43" s="674">
        <v>16.6666667</v>
      </c>
      <c r="S43" s="953">
        <f>Z44</f>
        <v>50</v>
      </c>
      <c r="T43" s="953"/>
      <c r="U43" s="204" t="e">
        <f>(ABS(H48)/F48)*100</f>
        <v>#VALUE!</v>
      </c>
      <c r="V43" s="708" t="str">
        <f>C48</f>
        <v>SGPT</v>
      </c>
      <c r="W43" s="710" t="e">
        <f>UB!J68</f>
        <v>#VALUE!</v>
      </c>
      <c r="X43" s="674">
        <f t="shared" si="8"/>
        <v>12.5</v>
      </c>
      <c r="Y43" s="944"/>
      <c r="Z43" s="31">
        <f t="shared" si="6"/>
        <v>0</v>
      </c>
      <c r="AE43" s="31" t="e">
        <f>IF(U43&lt;=I48,X43,0)</f>
        <v>#VALUE!</v>
      </c>
    </row>
    <row r="44" spans="1:34" ht="15.6" x14ac:dyDescent="0.25">
      <c r="B44" s="909">
        <v>3</v>
      </c>
      <c r="C44" s="638" t="str">
        <f>ID!C47</f>
        <v>Triglycerides</v>
      </c>
      <c r="D44" s="857" t="str">
        <f>ID!D47</f>
        <v>mg/dL</v>
      </c>
      <c r="E44" s="858" t="str">
        <f>ID!D47</f>
        <v>mg/dL</v>
      </c>
      <c r="F44" s="848">
        <f>ID!F47</f>
        <v>120</v>
      </c>
      <c r="G44" s="905">
        <f>IFERROR(ID!J47,"-")</f>
        <v>121.56666666666668</v>
      </c>
      <c r="H44" s="905">
        <f t="shared" si="0"/>
        <v>1.5666666666666771</v>
      </c>
      <c r="I44" s="593">
        <f>IF(G44="-","-",ID!L47)</f>
        <v>15</v>
      </c>
      <c r="J44" s="918">
        <f>IFERROR(W41,"-")</f>
        <v>0.77976304740942015</v>
      </c>
      <c r="K44" s="711"/>
      <c r="L44" s="711"/>
      <c r="M44" s="711"/>
      <c r="N44" s="712"/>
      <c r="S44" s="953"/>
      <c r="T44" s="953"/>
      <c r="U44" s="713"/>
      <c r="V44" s="713"/>
      <c r="W44" s="713"/>
      <c r="X44" s="714">
        <f>SUM(Z38:Z43)</f>
        <v>50</v>
      </c>
      <c r="Y44" s="31" t="s">
        <v>238</v>
      </c>
      <c r="Z44" s="31">
        <f>SUM(Z38:Z43)</f>
        <v>50</v>
      </c>
    </row>
    <row r="45" spans="1:34" ht="15.6" x14ac:dyDescent="0.25">
      <c r="A45" s="198" t="str">
        <f>ID!A54</f>
        <v>V.</v>
      </c>
      <c r="B45" s="910"/>
      <c r="C45" s="639" t="str">
        <f>ID!C48</f>
        <v>( TRIGL )</v>
      </c>
      <c r="D45" s="640"/>
      <c r="E45" s="641"/>
      <c r="F45" s="849"/>
      <c r="G45" s="906"/>
      <c r="H45" s="906"/>
      <c r="I45" s="595" t="str">
        <f>IF(G45="-","-",ID!L48)</f>
        <v>(102-138)mg/dL</v>
      </c>
      <c r="J45" s="919"/>
      <c r="K45" s="715"/>
      <c r="L45" s="715"/>
      <c r="M45" s="715"/>
      <c r="N45" s="716"/>
      <c r="O45" s="715"/>
      <c r="P45" s="947"/>
      <c r="Q45" s="947"/>
      <c r="Z45" s="945">
        <f>IF(Z44&lt;=(70%*50),0,Z44)</f>
        <v>50</v>
      </c>
      <c r="AA45" s="945"/>
    </row>
    <row r="46" spans="1:34" ht="15.6" x14ac:dyDescent="0.25">
      <c r="A46" s="198"/>
      <c r="B46" s="909">
        <f>ID!B49</f>
        <v>5</v>
      </c>
      <c r="C46" s="638" t="str">
        <f>ID!C49</f>
        <v>SGOT</v>
      </c>
      <c r="D46" s="857" t="str">
        <f>ID!D49</f>
        <v>U/L</v>
      </c>
      <c r="E46" s="858" t="str">
        <f>ID!D49</f>
        <v>U/L</v>
      </c>
      <c r="F46" s="848">
        <f>ID!F49</f>
        <v>46.3</v>
      </c>
      <c r="G46" s="905" t="str">
        <f>IFERROR(ID!J49,"-")</f>
        <v>-</v>
      </c>
      <c r="H46" s="905" t="str">
        <f t="shared" si="0"/>
        <v>-</v>
      </c>
      <c r="I46" s="593" t="str">
        <f>IF(G46="-","-",ID!L49)</f>
        <v>-</v>
      </c>
      <c r="J46" s="907" t="str">
        <f>IFERROR(W42,"-")</f>
        <v>-</v>
      </c>
      <c r="M46" s="197"/>
      <c r="N46" s="197"/>
      <c r="P46" s="947"/>
      <c r="Q46" s="947"/>
      <c r="Z46" s="945"/>
      <c r="AA46" s="945"/>
    </row>
    <row r="47" spans="1:34" ht="15.6" x14ac:dyDescent="0.25">
      <c r="A47" s="198"/>
      <c r="B47" s="910"/>
      <c r="C47" s="639" t="str">
        <f>ID!C50</f>
        <v>( ASTL )</v>
      </c>
      <c r="D47" s="640"/>
      <c r="E47" s="641"/>
      <c r="F47" s="849"/>
      <c r="G47" s="906"/>
      <c r="H47" s="906"/>
      <c r="I47" s="595" t="str">
        <f>IF(G47="-","-",ID!L50)</f>
        <v>-</v>
      </c>
      <c r="J47" s="908"/>
      <c r="M47" s="197"/>
      <c r="N47" s="197"/>
      <c r="P47" s="947"/>
      <c r="Q47" s="947"/>
    </row>
    <row r="48" spans="1:34" ht="15.6" x14ac:dyDescent="0.25">
      <c r="A48" s="198"/>
      <c r="B48" s="909">
        <v>4</v>
      </c>
      <c r="C48" s="638" t="str">
        <f>ID!C51</f>
        <v>SGPT</v>
      </c>
      <c r="D48" s="857" t="str">
        <f>ID!D51</f>
        <v>U/L</v>
      </c>
      <c r="E48" s="858" t="str">
        <f>ID!D51</f>
        <v>U/L</v>
      </c>
      <c r="F48" s="848">
        <f>ID!F51</f>
        <v>47.1</v>
      </c>
      <c r="G48" s="905" t="str">
        <f>IFERROR(ID!J51,"-")</f>
        <v>-</v>
      </c>
      <c r="H48" s="905" t="str">
        <f t="shared" si="0"/>
        <v>-</v>
      </c>
      <c r="I48" s="593" t="str">
        <f>IF(G48="-","-",ID!L51)</f>
        <v>-</v>
      </c>
      <c r="J48" s="907" t="str">
        <f>IFERROR(W43,"-")</f>
        <v>-</v>
      </c>
      <c r="M48" s="197"/>
      <c r="N48" s="197"/>
      <c r="P48" s="717"/>
    </row>
    <row r="49" spans="1:20" ht="15.6" x14ac:dyDescent="0.25">
      <c r="A49" s="198"/>
      <c r="B49" s="910"/>
      <c r="C49" s="639" t="str">
        <f>ID!C52</f>
        <v>( ALTL )</v>
      </c>
      <c r="D49" s="640"/>
      <c r="E49" s="641"/>
      <c r="F49" s="849"/>
      <c r="G49" s="906"/>
      <c r="H49" s="906"/>
      <c r="I49" s="595" t="str">
        <f>IF(G49="-","-",ID!L52)</f>
        <v>-</v>
      </c>
      <c r="J49" s="908"/>
      <c r="M49" s="197"/>
      <c r="N49" s="197"/>
      <c r="P49" s="717"/>
    </row>
    <row r="50" spans="1:20" ht="15.6" x14ac:dyDescent="0.25">
      <c r="A50" s="198"/>
      <c r="B50" s="37"/>
      <c r="C50" s="718"/>
      <c r="D50" s="719"/>
      <c r="E50" s="719"/>
      <c r="F50" s="203"/>
      <c r="G50" s="720"/>
      <c r="H50" s="720"/>
      <c r="I50" s="592"/>
      <c r="J50" s="648"/>
      <c r="M50" s="197"/>
      <c r="N50" s="197"/>
      <c r="P50" s="717"/>
    </row>
    <row r="51" spans="1:20" x14ac:dyDescent="0.25">
      <c r="A51" s="198" t="str">
        <f>ID!A61</f>
        <v>VI.</v>
      </c>
      <c r="B51" s="198" t="str">
        <f>ID!B54</f>
        <v>Keterangan</v>
      </c>
      <c r="C51" s="198"/>
      <c r="D51" s="198"/>
      <c r="E51" s="671"/>
      <c r="F51" s="671"/>
      <c r="G51" s="715"/>
      <c r="H51" s="715"/>
      <c r="I51" s="715"/>
      <c r="J51" s="715"/>
      <c r="M51" s="197"/>
      <c r="N51" s="197"/>
      <c r="O51" s="951">
        <f>SUM(T51:T56)</f>
        <v>4</v>
      </c>
      <c r="P51" s="952"/>
      <c r="Q51" s="31">
        <v>1</v>
      </c>
      <c r="R51" s="31">
        <v>50</v>
      </c>
      <c r="T51" s="31">
        <f>IF(ID!G41="-",0,1)</f>
        <v>1</v>
      </c>
    </row>
    <row r="52" spans="1:20" x14ac:dyDescent="0.25">
      <c r="A52" s="198"/>
      <c r="B52" s="31" t="str">
        <f>ID!B55</f>
        <v>Ketidakpastian pengukuran dilaporkan pada tingkat kepercayaan 95 % dengan faktor cakupan k = 2</v>
      </c>
      <c r="C52" s="22"/>
      <c r="D52" s="22"/>
      <c r="M52" s="197"/>
      <c r="N52" s="197"/>
      <c r="O52" s="952"/>
      <c r="P52" s="952"/>
      <c r="Q52" s="31">
        <v>2</v>
      </c>
      <c r="R52" s="31">
        <f>50/2</f>
        <v>25</v>
      </c>
      <c r="T52" s="31">
        <f>IF(ID!G43="-",0,1)</f>
        <v>1</v>
      </c>
    </row>
    <row r="53" spans="1:20" x14ac:dyDescent="0.25">
      <c r="B53" s="31" t="str">
        <f>ID!B56</f>
        <v>Hasil pengujian Keselamatan Listrik tertelusur ke Satuan Internasional ( SI ) melalui PT. Kaliman (LK-032-IDN)</v>
      </c>
      <c r="C53" s="22"/>
      <c r="D53" s="22"/>
      <c r="M53" s="197"/>
      <c r="N53" s="197"/>
      <c r="O53" s="952"/>
      <c r="P53" s="952"/>
      <c r="Q53" s="31">
        <v>3</v>
      </c>
      <c r="R53" s="31">
        <f>50/3</f>
        <v>16.666666666666668</v>
      </c>
      <c r="T53" s="31">
        <f>IF(ID!G45="-",0,1)</f>
        <v>1</v>
      </c>
    </row>
    <row r="54" spans="1:20" x14ac:dyDescent="0.25">
      <c r="A54" s="198"/>
      <c r="B54" s="31" t="str">
        <f>ID!B57</f>
        <v>Hasil pengujian photometer tertelusur ke Satuan Internasional ( SI ) melalui ROCHE</v>
      </c>
      <c r="C54" s="22"/>
      <c r="D54" s="22"/>
      <c r="M54" s="197"/>
      <c r="N54" s="197"/>
      <c r="O54" s="952"/>
      <c r="P54" s="952"/>
      <c r="Q54" s="31">
        <v>4</v>
      </c>
      <c r="R54" s="31">
        <f>50/4</f>
        <v>12.5</v>
      </c>
      <c r="T54" s="31">
        <f>IF(ID!G47="-",0,1)</f>
        <v>1</v>
      </c>
    </row>
    <row r="55" spans="1:20" x14ac:dyDescent="0.25">
      <c r="A55" s="198"/>
      <c r="B55" s="31" t="str">
        <f>ID!B58</f>
        <v>Alat tidak boleh digunakan pada instalasi tanpa dilengkapi grounding</v>
      </c>
      <c r="C55" s="22"/>
      <c r="D55" s="22"/>
      <c r="E55" s="22"/>
      <c r="F55" s="22"/>
      <c r="G55" s="22"/>
      <c r="H55" s="22"/>
      <c r="I55" s="22"/>
      <c r="M55" s="197"/>
      <c r="N55" s="197"/>
      <c r="O55" s="952"/>
      <c r="P55" s="952"/>
      <c r="Q55" s="31">
        <v>5</v>
      </c>
      <c r="R55" s="31">
        <f>50/5</f>
        <v>10</v>
      </c>
      <c r="T55" s="31">
        <f>IF(ID!G49="-",0,1)</f>
        <v>0</v>
      </c>
    </row>
    <row r="56" spans="1:20" x14ac:dyDescent="0.25">
      <c r="A56" s="198"/>
      <c r="B56" s="31" t="str">
        <f>ID!B59</f>
        <v>Merk Reagent yang digunakan…..................</v>
      </c>
      <c r="C56" s="22"/>
      <c r="D56" s="22"/>
      <c r="E56" s="22"/>
      <c r="F56" s="22"/>
      <c r="G56" s="22"/>
      <c r="H56" s="22"/>
      <c r="I56" s="22"/>
      <c r="M56" s="197"/>
      <c r="N56" s="197"/>
      <c r="O56" s="952"/>
      <c r="P56" s="952"/>
      <c r="Q56" s="31">
        <v>6</v>
      </c>
      <c r="R56" s="31">
        <f>50/6</f>
        <v>8.3333333333333339</v>
      </c>
      <c r="T56" s="31">
        <f>IF(ID!G51="-",0,1)</f>
        <v>0</v>
      </c>
    </row>
    <row r="57" spans="1:20" ht="14.25" customHeight="1" x14ac:dyDescent="0.25">
      <c r="A57" s="198"/>
      <c r="B57" s="22"/>
      <c r="C57" s="22"/>
      <c r="D57" s="22"/>
      <c r="E57" s="22"/>
      <c r="F57" s="22"/>
      <c r="G57" s="22"/>
      <c r="H57" s="22"/>
      <c r="I57" s="22"/>
      <c r="M57" s="197"/>
      <c r="N57" s="197"/>
      <c r="O57" s="952" t="s">
        <v>239</v>
      </c>
      <c r="P57" s="952"/>
      <c r="Q57" s="946">
        <f>LOOKUP(O51,Q51:R56)</f>
        <v>12.5</v>
      </c>
    </row>
    <row r="58" spans="1:20" x14ac:dyDescent="0.25">
      <c r="A58" s="198" t="str">
        <f>ID!A66</f>
        <v>VII.</v>
      </c>
      <c r="B58" s="198" t="str">
        <f>ID!B61</f>
        <v>Alat ukur yang digunakan</v>
      </c>
      <c r="C58" s="721"/>
      <c r="D58" s="721"/>
      <c r="M58" s="197"/>
      <c r="N58" s="197"/>
      <c r="O58" s="952"/>
      <c r="P58" s="952"/>
      <c r="Q58" s="946"/>
    </row>
    <row r="59" spans="1:20" ht="15" customHeight="1" x14ac:dyDescent="0.25">
      <c r="A59" s="198"/>
      <c r="B59" s="31" t="str">
        <f>ID!B62:L62</f>
        <v>Kontrol_Merek : Roche_Model : PreciControl ClinChem Multi 1_Lot : 525027 Ver.1</v>
      </c>
      <c r="K59" s="205"/>
      <c r="L59" s="205"/>
      <c r="M59" s="205"/>
      <c r="N59" s="205"/>
      <c r="Q59" s="946"/>
    </row>
    <row r="60" spans="1:20" x14ac:dyDescent="0.25">
      <c r="A60" s="198"/>
      <c r="B60" s="31" t="str">
        <f>ID!B63</f>
        <v>Electrical Safety Analyzer, Merek : Fluke, Model : ESA 615, SN : 4670010</v>
      </c>
      <c r="K60" s="205"/>
      <c r="L60" s="205"/>
      <c r="M60" s="205"/>
      <c r="N60" s="205"/>
      <c r="Q60" s="946"/>
    </row>
    <row r="61" spans="1:20" ht="14.25" customHeight="1" x14ac:dyDescent="0.25">
      <c r="A61" s="198"/>
      <c r="B61" s="31" t="str">
        <f>ID!B64</f>
        <v>Thermohygrobarometer, Merek : EXTECH, Model : SD700, SN : A.100609</v>
      </c>
      <c r="M61" s="197"/>
      <c r="N61" s="197"/>
      <c r="Q61" s="946"/>
    </row>
    <row r="62" spans="1:20" x14ac:dyDescent="0.25">
      <c r="A62" s="198" t="str">
        <f>ID!A70</f>
        <v>VIII.</v>
      </c>
      <c r="Q62" s="204"/>
    </row>
    <row r="63" spans="1:20" x14ac:dyDescent="0.25">
      <c r="B63" s="198" t="str">
        <f>ID!B66</f>
        <v>Kesimpulan</v>
      </c>
      <c r="C63" s="198"/>
      <c r="D63" s="198"/>
      <c r="E63" s="198"/>
      <c r="F63" s="198"/>
    </row>
    <row r="64" spans="1:20" ht="27" customHeight="1" x14ac:dyDescent="0.25">
      <c r="B64" s="920" t="str">
        <f>ID!B67:I67</f>
        <v>Alat yang dikalibrasi dalam batas toleransi dan dinyatakan LAIK PAKAI, dimana hasil atau skor akhir sama dengan atau melampaui 70% berdasarkan Keputusan Direktur Jenderal Pelayanan Kesehatan No : HK.02.02/V/0412/2020</v>
      </c>
      <c r="C64" s="920"/>
      <c r="D64" s="920"/>
      <c r="E64" s="920"/>
      <c r="F64" s="920"/>
      <c r="G64" s="920"/>
      <c r="H64" s="920"/>
      <c r="I64" s="920"/>
      <c r="J64" s="920"/>
      <c r="K64" s="920"/>
      <c r="L64" s="920"/>
    </row>
    <row r="65" spans="1:24" ht="26.25" customHeight="1" x14ac:dyDescent="0.25">
      <c r="A65" s="722"/>
      <c r="B65" s="198" t="str">
        <f>ID!B70</f>
        <v>Petugas Kalibrasi</v>
      </c>
      <c r="C65" s="198"/>
      <c r="D65" s="198"/>
    </row>
    <row r="66" spans="1:24" ht="18" customHeight="1" x14ac:dyDescent="0.25">
      <c r="A66" s="722"/>
      <c r="B66" s="31" t="str">
        <f>ID!B71:D71</f>
        <v>Isra Mahensa</v>
      </c>
    </row>
    <row r="67" spans="1:24" x14ac:dyDescent="0.25">
      <c r="K67" s="197"/>
      <c r="M67" s="197"/>
      <c r="N67" s="197"/>
    </row>
    <row r="68" spans="1:24" x14ac:dyDescent="0.25">
      <c r="B68" s="912" t="s">
        <v>75</v>
      </c>
      <c r="C68" s="912"/>
      <c r="D68" s="912"/>
      <c r="E68" s="912"/>
      <c r="F68" s="912"/>
      <c r="G68" s="912"/>
      <c r="H68" s="912" t="s">
        <v>73</v>
      </c>
      <c r="I68" s="912"/>
      <c r="J68" s="723" t="s">
        <v>240</v>
      </c>
      <c r="K68" s="913" t="s">
        <v>241</v>
      </c>
      <c r="L68" s="913"/>
      <c r="M68" s="913"/>
      <c r="N68" s="197"/>
    </row>
    <row r="69" spans="1:24" x14ac:dyDescent="0.25">
      <c r="B69" s="724" t="str">
        <f>C180&amp;ID!B71:E71</f>
        <v>Dibuat : Isra Mahensa</v>
      </c>
      <c r="C69" s="725"/>
      <c r="D69" s="725"/>
      <c r="E69" s="725"/>
      <c r="F69" s="725"/>
      <c r="G69" s="726"/>
      <c r="H69" s="912" t="str">
        <f>ID!B74</f>
        <v>14 Juli 2022</v>
      </c>
      <c r="I69" s="912"/>
      <c r="J69" s="727"/>
      <c r="K69" s="914">
        <f>SUM(N25,N26,N30,Z45)</f>
        <v>90</v>
      </c>
      <c r="L69" s="914"/>
      <c r="M69" s="914"/>
      <c r="N69" s="199"/>
      <c r="O69" s="199"/>
      <c r="P69" s="199"/>
      <c r="Q69" s="199"/>
      <c r="R69" s="199"/>
    </row>
    <row r="70" spans="1:24" x14ac:dyDescent="0.25">
      <c r="B70" s="728" t="s">
        <v>242</v>
      </c>
      <c r="C70" s="729"/>
      <c r="D70" s="729"/>
      <c r="E70" s="729"/>
      <c r="F70" s="729"/>
      <c r="G70" s="726"/>
      <c r="H70" s="730"/>
      <c r="I70" s="726"/>
      <c r="J70" s="727"/>
      <c r="K70" s="914"/>
      <c r="L70" s="914"/>
      <c r="M70" s="914"/>
      <c r="N70" s="199"/>
      <c r="O70" s="199"/>
      <c r="P70" s="199"/>
      <c r="Q70" s="199"/>
      <c r="R70" s="199"/>
    </row>
    <row r="71" spans="1:24" x14ac:dyDescent="0.25">
      <c r="M71" s="199"/>
      <c r="N71" s="199"/>
      <c r="O71" s="199"/>
      <c r="P71" s="199"/>
      <c r="Q71" s="199"/>
      <c r="R71" s="199"/>
    </row>
    <row r="72" spans="1:24" x14ac:dyDescent="0.3">
      <c r="C72" s="715"/>
      <c r="D72" s="715"/>
      <c r="E72" s="715"/>
      <c r="F72" s="715"/>
      <c r="G72" s="715"/>
      <c r="H72" s="715"/>
      <c r="I72" s="715"/>
      <c r="J72" s="197"/>
      <c r="K72"/>
      <c r="L72"/>
      <c r="M72"/>
      <c r="N72"/>
      <c r="O72"/>
      <c r="P72"/>
      <c r="Q72"/>
      <c r="R72" s="731"/>
      <c r="S72" s="732"/>
      <c r="T72" s="2"/>
      <c r="U72" s="2"/>
      <c r="V72" s="2"/>
    </row>
    <row r="73" spans="1:24" x14ac:dyDescent="0.3">
      <c r="K73"/>
      <c r="L73"/>
      <c r="M73"/>
      <c r="N73"/>
      <c r="O73"/>
      <c r="P73"/>
      <c r="Q73"/>
      <c r="R73" s="731"/>
      <c r="S73" s="732"/>
      <c r="T73" s="2"/>
      <c r="U73" s="2"/>
      <c r="V73" s="2"/>
    </row>
    <row r="74" spans="1:24" x14ac:dyDescent="0.3">
      <c r="K74"/>
      <c r="L74"/>
      <c r="M74"/>
      <c r="N74"/>
      <c r="O74"/>
      <c r="P74"/>
      <c r="Q74"/>
      <c r="R74" s="731"/>
      <c r="S74" s="732"/>
      <c r="T74" s="2"/>
      <c r="U74" s="2"/>
      <c r="V74" s="2"/>
    </row>
    <row r="75" spans="1:24" x14ac:dyDescent="0.25">
      <c r="B75" s="1" t="s">
        <v>98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4" x14ac:dyDescent="0.3">
      <c r="B76" s="1" t="s">
        <v>243</v>
      </c>
      <c r="C76"/>
      <c r="D76"/>
      <c r="E76"/>
      <c r="F76"/>
      <c r="G76"/>
      <c r="H76"/>
      <c r="I76"/>
      <c r="J76"/>
      <c r="K76" s="733"/>
      <c r="L76" s="734"/>
      <c r="M76" s="735">
        <v>1</v>
      </c>
      <c r="N76"/>
      <c r="O76"/>
      <c r="P76"/>
      <c r="Q76"/>
      <c r="R76"/>
      <c r="S76"/>
      <c r="T76"/>
      <c r="U76"/>
      <c r="V76"/>
    </row>
    <row r="77" spans="1:24" x14ac:dyDescent="0.3">
      <c r="B77" s="1"/>
      <c r="C77"/>
      <c r="D77"/>
      <c r="E77"/>
      <c r="F77"/>
      <c r="G77"/>
      <c r="H77"/>
      <c r="I77"/>
      <c r="J77"/>
      <c r="K77" s="733"/>
      <c r="L77" s="734"/>
      <c r="M77" s="735">
        <v>2</v>
      </c>
      <c r="N77"/>
      <c r="O77"/>
      <c r="P77"/>
      <c r="Q77"/>
      <c r="R77"/>
      <c r="S77"/>
      <c r="T77"/>
      <c r="U77"/>
      <c r="V77"/>
    </row>
    <row r="78" spans="1:24" x14ac:dyDescent="0.3">
      <c r="B78" s="736" t="str">
        <f>IF(PENYELIA!K69&gt;=70,PENYELIA!B79,PENYELIA!B80)</f>
        <v>Nomor Sertifikat : 85 /</v>
      </c>
      <c r="C78"/>
      <c r="D78"/>
      <c r="E78"/>
      <c r="F78"/>
      <c r="G78"/>
      <c r="H78" s="166"/>
      <c r="I78"/>
      <c r="J78"/>
      <c r="K78" s="737"/>
      <c r="L78" s="737"/>
      <c r="M78" s="738"/>
      <c r="N78"/>
      <c r="O78"/>
      <c r="P78"/>
      <c r="Q78"/>
      <c r="R78"/>
      <c r="S78"/>
      <c r="T78"/>
      <c r="U78"/>
      <c r="V78"/>
    </row>
    <row r="79" spans="1:24" x14ac:dyDescent="0.3">
      <c r="B79" s="739" t="s">
        <v>244</v>
      </c>
      <c r="C79" s="740"/>
      <c r="D79" s="740"/>
      <c r="E79" s="733"/>
      <c r="F79" s="733"/>
      <c r="G79" s="733"/>
      <c r="H79" s="733"/>
      <c r="I79" s="733"/>
      <c r="J79" s="733"/>
      <c r="K79" s="733"/>
      <c r="L79" s="733"/>
      <c r="M79" s="733"/>
      <c r="N79" s="687"/>
      <c r="O79" s="687"/>
      <c r="P79" s="687"/>
      <c r="Q79" s="687"/>
      <c r="R79" s="687"/>
      <c r="S79" s="687"/>
      <c r="T79" s="687"/>
      <c r="U79" s="687"/>
      <c r="V79" s="687"/>
      <c r="W79" s="741"/>
      <c r="X79" s="726"/>
    </row>
    <row r="80" spans="1:24" x14ac:dyDescent="0.3">
      <c r="B80" s="739" t="s">
        <v>245</v>
      </c>
      <c r="C80" s="740"/>
      <c r="D80" s="740"/>
      <c r="E80" s="733"/>
      <c r="F80" s="733"/>
      <c r="G80" s="733"/>
      <c r="H80" s="733"/>
      <c r="I80" s="733"/>
      <c r="J80" s="733"/>
      <c r="K80" s="742"/>
      <c r="L80" s="743"/>
      <c r="M80" s="743"/>
      <c r="N80" s="744"/>
      <c r="O80" s="744"/>
      <c r="P80" s="744"/>
      <c r="Q80" s="744"/>
      <c r="R80" s="744"/>
      <c r="S80" s="744"/>
      <c r="T80" s="744"/>
      <c r="U80" s="744"/>
      <c r="V80" s="744"/>
      <c r="W80" s="745"/>
      <c r="X80" s="746"/>
    </row>
    <row r="81" spans="2:24" x14ac:dyDescent="0.3">
      <c r="B81" s="737"/>
      <c r="C81" s="738"/>
      <c r="D81" s="738"/>
      <c r="E81" s="737"/>
      <c r="F81" s="737"/>
      <c r="G81" s="737"/>
      <c r="H81" s="737"/>
      <c r="I81" s="737"/>
      <c r="J81" s="737"/>
      <c r="K81" s="742"/>
      <c r="L81" s="747"/>
      <c r="M81" s="747"/>
      <c r="N81" s="694"/>
      <c r="O81" s="694"/>
      <c r="P81" s="694"/>
      <c r="Q81" s="694"/>
      <c r="R81" s="694"/>
      <c r="S81" s="694"/>
      <c r="T81" s="694"/>
      <c r="U81" s="694"/>
      <c r="V81" s="694"/>
      <c r="W81" s="748"/>
      <c r="X81" s="749"/>
    </row>
    <row r="82" spans="2:24" x14ac:dyDescent="0.3">
      <c r="B82" s="750" t="str">
        <f>IF(PENYELIA!K69&gt;=70,PENYELIA!C83,PENYELIA!C84)</f>
        <v>Alat yang dikalibrasi dalam batas toleransi dan dinyatakan LAIK PAKAI, dimana hasil atau skor akhir sama dengan atau melampaui 70% berdasarkan Keputusan Direktur Jenderal Pelayanan Kesehatan No : HK.02.02/V/0412/2020</v>
      </c>
      <c r="C82" s="740"/>
      <c r="D82" s="740"/>
      <c r="E82" s="733"/>
      <c r="F82" s="733"/>
      <c r="G82" s="733"/>
      <c r="H82" s="733"/>
      <c r="I82" s="733"/>
      <c r="J82" s="733"/>
    </row>
    <row r="83" spans="2:24" x14ac:dyDescent="0.3">
      <c r="B83" s="751">
        <v>1</v>
      </c>
      <c r="C83" s="752" t="s">
        <v>246</v>
      </c>
      <c r="D83" s="740"/>
      <c r="E83" s="733"/>
      <c r="F83" s="733"/>
      <c r="G83" s="733"/>
      <c r="H83" s="733"/>
      <c r="I83" s="733"/>
      <c r="J83" s="733"/>
    </row>
    <row r="84" spans="2:24" x14ac:dyDescent="0.3">
      <c r="B84" s="753">
        <v>2</v>
      </c>
      <c r="C84" s="754" t="s">
        <v>247</v>
      </c>
      <c r="D84" s="740"/>
      <c r="E84" s="733"/>
      <c r="F84" s="733"/>
      <c r="G84" s="733"/>
      <c r="H84" s="733"/>
      <c r="I84" s="733"/>
      <c r="J84" s="733"/>
    </row>
    <row r="85" spans="2:24" x14ac:dyDescent="0.25">
      <c r="K85"/>
      <c r="L85"/>
      <c r="M85"/>
      <c r="N85"/>
      <c r="O85"/>
      <c r="P85"/>
      <c r="Q85"/>
      <c r="R85"/>
      <c r="S85"/>
      <c r="T85"/>
      <c r="U85"/>
      <c r="V85"/>
    </row>
    <row r="86" spans="2:24" x14ac:dyDescent="0.25">
      <c r="K86"/>
      <c r="L86"/>
      <c r="M86"/>
      <c r="N86"/>
      <c r="O86"/>
      <c r="P86"/>
      <c r="Q86"/>
      <c r="R86"/>
      <c r="S86"/>
      <c r="T86"/>
      <c r="U86"/>
      <c r="V86"/>
    </row>
    <row r="87" spans="2:24" x14ac:dyDescent="0.25">
      <c r="K87"/>
      <c r="L87"/>
      <c r="M87"/>
      <c r="N87"/>
      <c r="O87"/>
      <c r="P87"/>
      <c r="Q87"/>
      <c r="R87"/>
      <c r="S87"/>
      <c r="T87"/>
      <c r="U87"/>
      <c r="V87"/>
    </row>
    <row r="88" spans="2:24" x14ac:dyDescent="0.25">
      <c r="B88"/>
      <c r="C88"/>
      <c r="D88"/>
      <c r="E88"/>
      <c r="F88"/>
      <c r="G88"/>
      <c r="H88"/>
      <c r="I88"/>
      <c r="J88"/>
    </row>
    <row r="89" spans="2:24" x14ac:dyDescent="0.25">
      <c r="B89"/>
      <c r="C89"/>
      <c r="D89"/>
      <c r="E89"/>
      <c r="F89"/>
      <c r="G89"/>
      <c r="H89"/>
      <c r="I89"/>
      <c r="J89"/>
    </row>
    <row r="90" spans="2:24" x14ac:dyDescent="0.25">
      <c r="B90" s="199"/>
      <c r="C90" s="199"/>
      <c r="D90" s="199"/>
      <c r="E90" s="199"/>
      <c r="F90" s="199"/>
      <c r="G90" s="199"/>
      <c r="H90" s="199"/>
      <c r="I90" s="199"/>
      <c r="J90"/>
    </row>
    <row r="91" spans="2:24" x14ac:dyDescent="0.25">
      <c r="B91" s="199"/>
    </row>
    <row r="92" spans="2:24" x14ac:dyDescent="0.25">
      <c r="B92" s="199"/>
    </row>
    <row r="93" spans="2:24" x14ac:dyDescent="0.25">
      <c r="B93" s="199"/>
    </row>
    <row r="94" spans="2:24" x14ac:dyDescent="0.25">
      <c r="B94" s="199"/>
    </row>
    <row r="95" spans="2:24" x14ac:dyDescent="0.25">
      <c r="B95" s="199"/>
    </row>
    <row r="96" spans="2:24" x14ac:dyDescent="0.25">
      <c r="B96" s="199"/>
    </row>
    <row r="97" spans="2:18" x14ac:dyDescent="0.25">
      <c r="B97" s="199"/>
    </row>
    <row r="98" spans="2:18" x14ac:dyDescent="0.25">
      <c r="B98" s="199"/>
      <c r="K98" s="199"/>
      <c r="L98" s="199"/>
      <c r="M98" s="199"/>
      <c r="N98" s="199"/>
      <c r="O98" s="199"/>
      <c r="P98" s="199"/>
      <c r="Q98" s="199"/>
      <c r="R98" s="199"/>
    </row>
    <row r="99" spans="2:18" x14ac:dyDescent="0.25">
      <c r="B99" s="199"/>
      <c r="K99" s="199"/>
      <c r="L99" s="199"/>
      <c r="M99" s="199"/>
      <c r="N99" s="199"/>
      <c r="O99" s="199"/>
      <c r="P99" s="199"/>
      <c r="Q99" s="199"/>
      <c r="R99" s="199"/>
    </row>
    <row r="100" spans="2:18" x14ac:dyDescent="0.25">
      <c r="B100" s="199"/>
      <c r="K100" s="199"/>
      <c r="L100" s="199"/>
      <c r="M100" s="199"/>
      <c r="N100" s="199"/>
      <c r="O100" s="199"/>
      <c r="P100" s="199"/>
      <c r="Q100" s="199"/>
      <c r="R100" s="199"/>
    </row>
    <row r="101" spans="2:18" x14ac:dyDescent="0.25"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</row>
    <row r="102" spans="2:18" x14ac:dyDescent="0.25"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</row>
    <row r="103" spans="2:18" x14ac:dyDescent="0.25"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</row>
    <row r="104" spans="2:18" x14ac:dyDescent="0.25"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</row>
    <row r="105" spans="2:18" x14ac:dyDescent="0.25"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</row>
    <row r="106" spans="2:18" x14ac:dyDescent="0.25"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</row>
    <row r="107" spans="2:18" x14ac:dyDescent="0.25"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</row>
    <row r="108" spans="2:18" x14ac:dyDescent="0.25"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</row>
    <row r="109" spans="2:18" x14ac:dyDescent="0.25"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</row>
    <row r="110" spans="2:18" x14ac:dyDescent="0.25"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</row>
    <row r="111" spans="2:18" x14ac:dyDescent="0.25"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</row>
    <row r="112" spans="2:18" x14ac:dyDescent="0.25"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</row>
    <row r="113" spans="2:18" x14ac:dyDescent="0.25"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</row>
    <row r="114" spans="2:18" x14ac:dyDescent="0.25">
      <c r="B114" s="199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</row>
    <row r="115" spans="2:18" x14ac:dyDescent="0.25"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</row>
    <row r="116" spans="2:18" x14ac:dyDescent="0.25"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</row>
    <row r="117" spans="2:18" x14ac:dyDescent="0.25"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</row>
    <row r="118" spans="2:18" x14ac:dyDescent="0.25"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</row>
    <row r="119" spans="2:18" x14ac:dyDescent="0.25"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</row>
    <row r="120" spans="2:18" x14ac:dyDescent="0.25"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</row>
    <row r="121" spans="2:18" x14ac:dyDescent="0.25"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</row>
    <row r="122" spans="2:18" x14ac:dyDescent="0.25"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</row>
    <row r="123" spans="2:18" x14ac:dyDescent="0.25"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</row>
    <row r="124" spans="2:18" x14ac:dyDescent="0.25"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</row>
    <row r="125" spans="2:18" x14ac:dyDescent="0.25"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</row>
    <row r="126" spans="2:18" x14ac:dyDescent="0.25"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</row>
    <row r="127" spans="2:18" x14ac:dyDescent="0.25"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</row>
    <row r="128" spans="2:18" x14ac:dyDescent="0.25"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</row>
    <row r="129" spans="2:18" x14ac:dyDescent="0.25"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</row>
    <row r="130" spans="2:18" x14ac:dyDescent="0.25"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</row>
    <row r="131" spans="2:18" x14ac:dyDescent="0.25"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</row>
    <row r="132" spans="2:18" x14ac:dyDescent="0.25"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</row>
    <row r="133" spans="2:18" x14ac:dyDescent="0.25"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</row>
    <row r="134" spans="2:18" x14ac:dyDescent="0.25"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</row>
    <row r="135" spans="2:18" x14ac:dyDescent="0.25"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</row>
    <row r="136" spans="2:18" x14ac:dyDescent="0.25"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</row>
    <row r="137" spans="2:18" x14ac:dyDescent="0.25"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</row>
    <row r="138" spans="2:18" x14ac:dyDescent="0.25"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</row>
    <row r="139" spans="2:18" x14ac:dyDescent="0.25"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</row>
    <row r="140" spans="2:18" x14ac:dyDescent="0.25"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</row>
    <row r="141" spans="2:18" x14ac:dyDescent="0.25"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</row>
    <row r="142" spans="2:18" x14ac:dyDescent="0.25"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</row>
    <row r="143" spans="2:18" x14ac:dyDescent="0.25"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</row>
    <row r="144" spans="2:18" x14ac:dyDescent="0.25"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</row>
    <row r="145" spans="2:18" x14ac:dyDescent="0.25"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</row>
    <row r="146" spans="2:18" x14ac:dyDescent="0.25"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</row>
    <row r="147" spans="2:18" x14ac:dyDescent="0.25"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</row>
    <row r="148" spans="2:18" x14ac:dyDescent="0.25"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</row>
    <row r="149" spans="2:18" x14ac:dyDescent="0.25"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</row>
    <row r="150" spans="2:18" x14ac:dyDescent="0.25"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</row>
    <row r="151" spans="2:18" x14ac:dyDescent="0.25"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</row>
    <row r="152" spans="2:18" x14ac:dyDescent="0.25"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</row>
    <row r="153" spans="2:18" x14ac:dyDescent="0.25"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</row>
    <row r="154" spans="2:18" x14ac:dyDescent="0.25"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</row>
    <row r="155" spans="2:18" x14ac:dyDescent="0.25"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</row>
    <row r="156" spans="2:18" x14ac:dyDescent="0.25"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</row>
    <row r="157" spans="2:18" x14ac:dyDescent="0.25"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</row>
    <row r="158" spans="2:18" x14ac:dyDescent="0.25"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</row>
    <row r="159" spans="2:18" x14ac:dyDescent="0.25"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</row>
    <row r="160" spans="2:18" x14ac:dyDescent="0.25"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</row>
    <row r="161" spans="2:18" x14ac:dyDescent="0.25"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</row>
    <row r="162" spans="2:18" x14ac:dyDescent="0.25"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</row>
    <row r="163" spans="2:18" x14ac:dyDescent="0.25">
      <c r="B163" s="199"/>
      <c r="C163" s="199" t="s">
        <v>248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</row>
    <row r="164" spans="2:18" x14ac:dyDescent="0.25">
      <c r="B164" s="199"/>
      <c r="C164" s="199" t="s">
        <v>249</v>
      </c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</row>
    <row r="165" spans="2:18" x14ac:dyDescent="0.25"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</row>
    <row r="166" spans="2:18" x14ac:dyDescent="0.25">
      <c r="B166" s="199"/>
      <c r="C166" s="199" t="s">
        <v>250</v>
      </c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</row>
    <row r="167" spans="2:18" x14ac:dyDescent="0.25">
      <c r="B167" s="199"/>
      <c r="C167" s="199" t="s">
        <v>251</v>
      </c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</row>
    <row r="168" spans="2:18" x14ac:dyDescent="0.25"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</row>
    <row r="169" spans="2:18" x14ac:dyDescent="0.25">
      <c r="B169" s="199"/>
      <c r="C169" s="199" t="s">
        <v>124</v>
      </c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</row>
    <row r="170" spans="2:18" x14ac:dyDescent="0.25">
      <c r="B170" s="199"/>
      <c r="C170" s="199" t="s">
        <v>252</v>
      </c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</row>
    <row r="171" spans="2:18" x14ac:dyDescent="0.25">
      <c r="B171" s="199"/>
      <c r="C171" s="199" t="s">
        <v>125</v>
      </c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</row>
    <row r="172" spans="2:18" x14ac:dyDescent="0.25">
      <c r="B172" s="199"/>
      <c r="C172" s="199" t="s">
        <v>253</v>
      </c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</row>
    <row r="173" spans="2:18" x14ac:dyDescent="0.25">
      <c r="B173" s="199"/>
      <c r="C173" s="199" t="s">
        <v>254</v>
      </c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</row>
    <row r="174" spans="2:18" x14ac:dyDescent="0.25"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</row>
    <row r="175" spans="2:18" x14ac:dyDescent="0.25"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</row>
    <row r="176" spans="2:18" x14ac:dyDescent="0.25"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</row>
    <row r="177" spans="2:18" x14ac:dyDescent="0.25"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</row>
    <row r="178" spans="2:18" x14ac:dyDescent="0.25"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</row>
    <row r="179" spans="2:18" x14ac:dyDescent="0.25"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</row>
    <row r="180" spans="2:18" x14ac:dyDescent="0.25">
      <c r="B180" s="199"/>
      <c r="C180" s="199" t="s">
        <v>255</v>
      </c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</row>
    <row r="181" spans="2:18" x14ac:dyDescent="0.25"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</row>
    <row r="182" spans="2:18" x14ac:dyDescent="0.25">
      <c r="B182" s="199"/>
      <c r="C182" s="199" t="s">
        <v>256</v>
      </c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</row>
    <row r="183" spans="2:18" x14ac:dyDescent="0.25">
      <c r="B183" s="199"/>
      <c r="C183" s="199" t="s">
        <v>257</v>
      </c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</row>
    <row r="184" spans="2:18" x14ac:dyDescent="0.25">
      <c r="B184" s="199"/>
      <c r="C184" s="199" t="s">
        <v>258</v>
      </c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</row>
    <row r="185" spans="2:18" x14ac:dyDescent="0.25">
      <c r="B185" s="199"/>
      <c r="C185" s="199" t="s">
        <v>259</v>
      </c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</row>
    <row r="186" spans="2:18" x14ac:dyDescent="0.25">
      <c r="B186" s="199"/>
      <c r="C186" s="199" t="s">
        <v>260</v>
      </c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</row>
    <row r="187" spans="2:18" x14ac:dyDescent="0.25"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</row>
    <row r="188" spans="2:18" x14ac:dyDescent="0.25">
      <c r="B188" s="199"/>
      <c r="C188" s="199" t="s">
        <v>256</v>
      </c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</row>
    <row r="189" spans="2:18" x14ac:dyDescent="0.25">
      <c r="B189" s="199"/>
      <c r="C189" s="199" t="s">
        <v>258</v>
      </c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</row>
    <row r="190" spans="2:18" x14ac:dyDescent="0.25"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</row>
    <row r="191" spans="2:18" x14ac:dyDescent="0.25">
      <c r="B191" s="199"/>
      <c r="C191" s="199" t="s">
        <v>261</v>
      </c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</row>
    <row r="192" spans="2:18" x14ac:dyDescent="0.25">
      <c r="B192" s="199"/>
      <c r="C192" s="199" t="s">
        <v>262</v>
      </c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</row>
    <row r="193" spans="2:18" x14ac:dyDescent="0.25"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</row>
    <row r="194" spans="2:18" x14ac:dyDescent="0.25">
      <c r="B194" s="199"/>
      <c r="C194" s="200" t="s">
        <v>263</v>
      </c>
      <c r="D194" s="200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</row>
    <row r="195" spans="2:18" x14ac:dyDescent="0.25">
      <c r="B195" s="199"/>
      <c r="C195" s="200" t="s">
        <v>264</v>
      </c>
      <c r="D195" s="200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</row>
    <row r="196" spans="2:18" x14ac:dyDescent="0.25"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</row>
    <row r="197" spans="2:18" x14ac:dyDescent="0.25">
      <c r="B197" s="199"/>
      <c r="C197" s="200" t="s">
        <v>265</v>
      </c>
      <c r="D197" s="200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</row>
    <row r="198" spans="2:18" x14ac:dyDescent="0.25">
      <c r="B198" s="199"/>
      <c r="C198" s="200" t="s">
        <v>266</v>
      </c>
      <c r="D198" s="200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</row>
    <row r="199" spans="2:18" x14ac:dyDescent="0.25">
      <c r="B199" s="201"/>
      <c r="C199" s="201"/>
      <c r="D199" s="201"/>
      <c r="E199" s="201"/>
      <c r="F199" s="201"/>
      <c r="G199" s="201"/>
      <c r="H199" s="201"/>
      <c r="I199" s="201"/>
      <c r="J199" s="199"/>
      <c r="K199" s="199"/>
      <c r="L199" s="199"/>
      <c r="M199" s="199"/>
      <c r="N199" s="199"/>
      <c r="O199" s="199"/>
      <c r="P199" s="199"/>
      <c r="Q199" s="199"/>
      <c r="R199" s="199"/>
    </row>
    <row r="200" spans="2:18" x14ac:dyDescent="0.25">
      <c r="J200" s="199"/>
      <c r="K200" s="201"/>
      <c r="L200" s="201"/>
      <c r="M200" s="201"/>
      <c r="N200" s="201"/>
      <c r="O200" s="201"/>
      <c r="P200" s="201"/>
      <c r="Q200" s="201"/>
      <c r="R200" s="201"/>
    </row>
    <row r="201" spans="2:18" x14ac:dyDescent="0.25">
      <c r="J201" s="199"/>
    </row>
    <row r="202" spans="2:18" x14ac:dyDescent="0.25">
      <c r="J202" s="199"/>
    </row>
    <row r="203" spans="2:18" x14ac:dyDescent="0.25">
      <c r="J203" s="201"/>
    </row>
  </sheetData>
  <sheetProtection formatCells="0" formatColumns="0" formatRows="0" insertColumns="0" insertRows="0" deleteRows="0"/>
  <mergeCells count="95">
    <mergeCell ref="C36:E37"/>
    <mergeCell ref="Y38:Y43"/>
    <mergeCell ref="Z45:AA46"/>
    <mergeCell ref="Q59:Q61"/>
    <mergeCell ref="F36:F37"/>
    <mergeCell ref="H36:H37"/>
    <mergeCell ref="P45:Q47"/>
    <mergeCell ref="N38:N43"/>
    <mergeCell ref="O51:P56"/>
    <mergeCell ref="O57:P58"/>
    <mergeCell ref="S43:T44"/>
    <mergeCell ref="S36:T42"/>
    <mergeCell ref="N36:N37"/>
    <mergeCell ref="Q57:Q58"/>
    <mergeCell ref="G36:G37"/>
    <mergeCell ref="J36:J37"/>
    <mergeCell ref="B36:B37"/>
    <mergeCell ref="Y29:AE29"/>
    <mergeCell ref="A1:N1"/>
    <mergeCell ref="A2:N2"/>
    <mergeCell ref="Y24:AG24"/>
    <mergeCell ref="Y25:AG25"/>
    <mergeCell ref="Y26:AG26"/>
    <mergeCell ref="S13:T13"/>
    <mergeCell ref="E6:H6"/>
    <mergeCell ref="S7:T7"/>
    <mergeCell ref="E7:G7"/>
    <mergeCell ref="E22:G22"/>
    <mergeCell ref="E13:G13"/>
    <mergeCell ref="E14:G14"/>
    <mergeCell ref="L29:M29"/>
    <mergeCell ref="C29:I29"/>
    <mergeCell ref="J29:K29"/>
    <mergeCell ref="S30:S31"/>
    <mergeCell ref="T30:T31"/>
    <mergeCell ref="W24:W25"/>
    <mergeCell ref="V24:V25"/>
    <mergeCell ref="U24:U25"/>
    <mergeCell ref="S24:T25"/>
    <mergeCell ref="N30:N32"/>
    <mergeCell ref="J32:K32"/>
    <mergeCell ref="L32:M32"/>
    <mergeCell ref="J30:K30"/>
    <mergeCell ref="L30:M30"/>
    <mergeCell ref="L31:M31"/>
    <mergeCell ref="J31:K31"/>
    <mergeCell ref="B68:G68"/>
    <mergeCell ref="B38:B39"/>
    <mergeCell ref="D38:E38"/>
    <mergeCell ref="F38:F39"/>
    <mergeCell ref="G38:G39"/>
    <mergeCell ref="B40:B41"/>
    <mergeCell ref="D40:E40"/>
    <mergeCell ref="F40:F41"/>
    <mergeCell ref="G40:G41"/>
    <mergeCell ref="B42:B43"/>
    <mergeCell ref="D42:E42"/>
    <mergeCell ref="F42:F43"/>
    <mergeCell ref="G42:G43"/>
    <mergeCell ref="B46:B47"/>
    <mergeCell ref="D46:E46"/>
    <mergeCell ref="F46:F47"/>
    <mergeCell ref="H69:I69"/>
    <mergeCell ref="K68:M68"/>
    <mergeCell ref="K69:M70"/>
    <mergeCell ref="M36:M37"/>
    <mergeCell ref="H68:I68"/>
    <mergeCell ref="I36:I37"/>
    <mergeCell ref="H38:H39"/>
    <mergeCell ref="J38:J39"/>
    <mergeCell ref="J40:J41"/>
    <mergeCell ref="J42:J43"/>
    <mergeCell ref="H40:H41"/>
    <mergeCell ref="H42:H43"/>
    <mergeCell ref="J44:J45"/>
    <mergeCell ref="J48:J49"/>
    <mergeCell ref="B64:L64"/>
    <mergeCell ref="B48:B49"/>
    <mergeCell ref="E8:G8"/>
    <mergeCell ref="E9:G9"/>
    <mergeCell ref="E10:G10"/>
    <mergeCell ref="E11:G11"/>
    <mergeCell ref="E12:G12"/>
    <mergeCell ref="J46:J47"/>
    <mergeCell ref="B44:B45"/>
    <mergeCell ref="D44:E44"/>
    <mergeCell ref="F44:F45"/>
    <mergeCell ref="G44:G45"/>
    <mergeCell ref="H44:H45"/>
    <mergeCell ref="D48:E48"/>
    <mergeCell ref="F48:F49"/>
    <mergeCell ref="G48:G49"/>
    <mergeCell ref="H48:H49"/>
    <mergeCell ref="G46:G47"/>
    <mergeCell ref="H46:H4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5" orientation="portrait" horizontalDpi="4294967294" verticalDpi="4294967294" r:id="rId1"/>
  <headerFooter>
    <oddHeader>&amp;R&amp;"-,Regular"&amp;8OA.LP - 0122-2019 / REV : 0</oddHeader>
    <oddFooter>&amp;R&amp;8&amp;K00-010Photometer 4.1.2023</oddFooter>
  </headerFooter>
  <ignoredErrors>
    <ignoredError sqref="B59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13</xdr:col>
                <xdr:colOff>30480</xdr:colOff>
                <xdr:row>69</xdr:row>
                <xdr:rowOff>144780</xdr:rowOff>
              </from>
              <to>
                <xdr:col>13</xdr:col>
                <xdr:colOff>434340</xdr:colOff>
                <xdr:row>69</xdr:row>
                <xdr:rowOff>144780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13</xdr:col>
                <xdr:colOff>60960</xdr:colOff>
                <xdr:row>69</xdr:row>
                <xdr:rowOff>144780</xdr:rowOff>
              </from>
              <to>
                <xdr:col>13</xdr:col>
                <xdr:colOff>441960</xdr:colOff>
                <xdr:row>69</xdr:row>
                <xdr:rowOff>144780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K69</xm:sqref>
        </x14:conditionalFormatting>
        <x14:conditionalFormatting xmlns:xm="http://schemas.microsoft.com/office/excel/2006/main">
          <x14:cfRule type="iconSet" priority="5" id="{DBFEE05A-6DF4-4553-8C6C-44D56AD2B829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M38:M43</xm:sqref>
        </x14:conditionalFormatting>
        <x14:conditionalFormatting xmlns:xm="http://schemas.microsoft.com/office/excel/2006/main">
          <x14:cfRule type="iconSet" priority="18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N25:N26</xm:sqref>
        </x14:conditionalFormatting>
        <x14:conditionalFormatting xmlns:xm="http://schemas.microsoft.com/office/excel/2006/main">
          <x14:cfRule type="iconSet" priority="8" id="{D5FA16E1-D60D-420D-96FE-D3400ADC48C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N30</xm:sqref>
        </x14:conditionalFormatting>
        <x14:conditionalFormatting xmlns:xm="http://schemas.microsoft.com/office/excel/2006/main">
          <x14:cfRule type="iconSet" priority="23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7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O30:Q32</xm:sqref>
        </x14:conditionalFormatting>
        <x14:conditionalFormatting xmlns:xm="http://schemas.microsoft.com/office/excel/2006/main">
          <x14:cfRule type="iconSet" priority="13" id="{B564BA63-2C05-48E3-B9B5-761A34881141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P38:Q43 P45 P48:P50</xm:sqref>
        </x14:conditionalFormatting>
        <x14:conditionalFormatting xmlns:xm="http://schemas.microsoft.com/office/excel/2006/main">
          <x14:cfRule type="iconSet" priority="7" id="{729DB77B-1748-490D-95E9-06141821B754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Q57 Q59 Q62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D035-9E34-47AA-BC43-A8E4B357CE3E}">
  <sheetPr codeName="Sheet6"/>
  <dimension ref="A1:AD377"/>
  <sheetViews>
    <sheetView topLeftCell="A344" workbookViewId="0">
      <selection activeCell="O359" sqref="O359"/>
    </sheetView>
  </sheetViews>
  <sheetFormatPr defaultColWidth="9" defaultRowHeight="13.2" x14ac:dyDescent="0.25"/>
  <cols>
    <col min="6" max="6" width="11.5546875" customWidth="1"/>
  </cols>
  <sheetData>
    <row r="1" spans="1:30" ht="18" thickBot="1" x14ac:dyDescent="0.3">
      <c r="A1" s="955" t="s">
        <v>327</v>
      </c>
      <c r="B1" s="956"/>
      <c r="C1" s="956"/>
      <c r="D1" s="956"/>
      <c r="E1" s="956"/>
      <c r="F1" s="956"/>
      <c r="G1" s="956"/>
      <c r="H1" s="956"/>
      <c r="I1" s="956"/>
      <c r="J1" s="956"/>
      <c r="K1" s="956"/>
      <c r="L1" s="956"/>
      <c r="M1" s="956"/>
      <c r="N1" s="956"/>
      <c r="O1" s="956"/>
      <c r="P1" s="956"/>
      <c r="Q1" s="956"/>
      <c r="R1" s="956"/>
      <c r="S1" s="956"/>
      <c r="T1" s="956"/>
      <c r="U1" s="956"/>
      <c r="V1" s="956"/>
      <c r="W1" s="956"/>
      <c r="X1" s="956"/>
      <c r="Y1" s="956"/>
      <c r="Z1" s="956"/>
      <c r="AA1" s="956"/>
      <c r="AB1" s="956"/>
      <c r="AC1" s="956"/>
      <c r="AD1" s="956"/>
    </row>
    <row r="2" spans="1:30" ht="13.8" thickBot="1" x14ac:dyDescent="0.3">
      <c r="A2" s="957">
        <v>1</v>
      </c>
      <c r="B2" s="960" t="s">
        <v>328</v>
      </c>
      <c r="C2" s="960"/>
      <c r="D2" s="960"/>
      <c r="E2" s="960"/>
      <c r="F2" s="960"/>
      <c r="G2" s="160"/>
      <c r="H2" s="960" t="str">
        <f>B2</f>
        <v>KOREKSI KIMO THERMOHYGROMETER 15062873</v>
      </c>
      <c r="I2" s="960"/>
      <c r="J2" s="960"/>
      <c r="K2" s="960"/>
      <c r="L2" s="960"/>
      <c r="M2" s="160"/>
      <c r="N2" s="961" t="s">
        <v>235</v>
      </c>
      <c r="O2" s="961"/>
      <c r="P2" s="962">
        <v>19</v>
      </c>
      <c r="Q2" s="965" t="s">
        <v>329</v>
      </c>
      <c r="R2" s="966"/>
      <c r="S2" s="966"/>
      <c r="T2" s="966"/>
      <c r="U2" s="967"/>
      <c r="V2" s="160"/>
      <c r="W2" s="965" t="str">
        <f>Q2</f>
        <v>KOREKSI EXTECH SD700 A.100615</v>
      </c>
      <c r="X2" s="966"/>
      <c r="Y2" s="966"/>
      <c r="Z2" s="966"/>
      <c r="AA2" s="967"/>
      <c r="AB2" s="160"/>
      <c r="AC2" s="968" t="s">
        <v>235</v>
      </c>
      <c r="AD2" s="969"/>
    </row>
    <row r="3" spans="1:30" ht="13.8" thickBot="1" x14ac:dyDescent="0.3">
      <c r="A3" s="958"/>
      <c r="B3" s="970" t="s">
        <v>330</v>
      </c>
      <c r="C3" s="970"/>
      <c r="D3" s="970" t="s">
        <v>331</v>
      </c>
      <c r="E3" s="970"/>
      <c r="F3" s="970" t="s">
        <v>332</v>
      </c>
      <c r="H3" s="970" t="s">
        <v>333</v>
      </c>
      <c r="I3" s="970"/>
      <c r="J3" s="970" t="s">
        <v>331</v>
      </c>
      <c r="K3" s="970"/>
      <c r="L3" s="970" t="s">
        <v>332</v>
      </c>
      <c r="N3" s="356" t="s">
        <v>330</v>
      </c>
      <c r="O3" s="357">
        <v>0.8</v>
      </c>
      <c r="P3" s="963"/>
      <c r="Q3" s="975" t="s">
        <v>330</v>
      </c>
      <c r="R3" s="976"/>
      <c r="S3" s="971" t="s">
        <v>331</v>
      </c>
      <c r="T3" s="972"/>
      <c r="U3" s="973" t="s">
        <v>332</v>
      </c>
      <c r="W3" s="975" t="s">
        <v>333</v>
      </c>
      <c r="X3" s="976"/>
      <c r="Y3" s="971" t="s">
        <v>331</v>
      </c>
      <c r="Z3" s="972"/>
      <c r="AA3" s="973" t="s">
        <v>332</v>
      </c>
      <c r="AC3" s="358" t="s">
        <v>330</v>
      </c>
      <c r="AD3" s="359">
        <v>0.1</v>
      </c>
    </row>
    <row r="4" spans="1:30" ht="15" thickBot="1" x14ac:dyDescent="0.3">
      <c r="A4" s="958"/>
      <c r="B4" s="977" t="s">
        <v>334</v>
      </c>
      <c r="C4" s="977"/>
      <c r="D4" s="155">
        <v>2021</v>
      </c>
      <c r="E4" s="155">
        <v>2020</v>
      </c>
      <c r="F4" s="970"/>
      <c r="H4" s="978" t="s">
        <v>19</v>
      </c>
      <c r="I4" s="977"/>
      <c r="J4" s="536">
        <f>D4</f>
        <v>2021</v>
      </c>
      <c r="K4" s="536">
        <f>E4</f>
        <v>2020</v>
      </c>
      <c r="L4" s="970"/>
      <c r="N4" s="356" t="s">
        <v>19</v>
      </c>
      <c r="O4" s="357">
        <v>2.5</v>
      </c>
      <c r="P4" s="963"/>
      <c r="Q4" s="979" t="s">
        <v>334</v>
      </c>
      <c r="R4" s="980"/>
      <c r="S4" s="361">
        <v>2021</v>
      </c>
      <c r="T4" s="360">
        <v>2020</v>
      </c>
      <c r="U4" s="974"/>
      <c r="W4" s="981" t="s">
        <v>19</v>
      </c>
      <c r="X4" s="982"/>
      <c r="Y4" s="363">
        <f>S4</f>
        <v>2021</v>
      </c>
      <c r="Z4" s="362">
        <f>T4</f>
        <v>2020</v>
      </c>
      <c r="AA4" s="974"/>
      <c r="AC4" s="364" t="s">
        <v>19</v>
      </c>
      <c r="AD4" s="365">
        <v>1.5</v>
      </c>
    </row>
    <row r="5" spans="1:30" x14ac:dyDescent="0.25">
      <c r="A5" s="958"/>
      <c r="B5" s="349"/>
      <c r="C5" s="366">
        <v>15</v>
      </c>
      <c r="D5" s="366">
        <v>0.1</v>
      </c>
      <c r="E5" s="366">
        <v>-0.5</v>
      </c>
      <c r="F5" s="367">
        <f>0.5*(MAX(D5:E5)-MIN(D5:E5))</f>
        <v>0.3</v>
      </c>
      <c r="H5" s="349"/>
      <c r="I5" s="366">
        <v>30</v>
      </c>
      <c r="J5" s="366">
        <v>-14.4</v>
      </c>
      <c r="K5" s="366">
        <v>-6</v>
      </c>
      <c r="L5" s="367">
        <f>0.5*(MAX(J5:K5)-MIN(J5:K5))</f>
        <v>4.2</v>
      </c>
      <c r="O5" s="163"/>
      <c r="P5" s="963"/>
      <c r="R5" s="368">
        <v>15</v>
      </c>
      <c r="S5" s="370">
        <v>0</v>
      </c>
      <c r="T5" s="369">
        <v>0</v>
      </c>
      <c r="U5" s="371">
        <f t="shared" ref="U5:U11" si="0">0.5*(MAX(T5:T5)-MIN(T5:T5))</f>
        <v>0</v>
      </c>
      <c r="W5" s="372"/>
      <c r="X5" s="368">
        <v>35</v>
      </c>
      <c r="Y5" s="370">
        <v>-1.5</v>
      </c>
      <c r="Z5" s="369">
        <v>-0.4</v>
      </c>
      <c r="AA5" s="371">
        <f t="shared" ref="AA5:AA11" si="1">0.5*(MAX(Y5:Y5)-MIN(Y5:Y5))</f>
        <v>0</v>
      </c>
      <c r="AD5" s="163"/>
    </row>
    <row r="6" spans="1:30" x14ac:dyDescent="0.25">
      <c r="A6" s="958"/>
      <c r="B6" s="349"/>
      <c r="C6" s="366">
        <v>20</v>
      </c>
      <c r="D6" s="366">
        <v>0.1</v>
      </c>
      <c r="E6" s="366">
        <v>-0.2</v>
      </c>
      <c r="F6" s="367">
        <f t="shared" ref="F6:F11" si="2">0.5*(MAX(D6:E6)-MIN(D6:E6))</f>
        <v>0.15000000000000002</v>
      </c>
      <c r="H6" s="349"/>
      <c r="I6" s="366">
        <v>40</v>
      </c>
      <c r="J6" s="366">
        <v>-11.5</v>
      </c>
      <c r="K6" s="366">
        <v>-5.8</v>
      </c>
      <c r="L6" s="367">
        <f t="shared" ref="L6:L11" si="3">0.5*(MAX(J6:K6)-MIN(J6:K6))</f>
        <v>2.85</v>
      </c>
      <c r="O6" s="163"/>
      <c r="P6" s="963"/>
      <c r="R6" s="373">
        <v>20</v>
      </c>
      <c r="S6" s="181">
        <v>0.1</v>
      </c>
      <c r="T6" s="366">
        <v>-0.1</v>
      </c>
      <c r="U6" s="374">
        <f t="shared" si="0"/>
        <v>0</v>
      </c>
      <c r="W6" s="372"/>
      <c r="X6" s="373">
        <v>40</v>
      </c>
      <c r="Y6" s="181">
        <v>-0.8</v>
      </c>
      <c r="Z6" s="366">
        <v>-0.2</v>
      </c>
      <c r="AA6" s="374">
        <f t="shared" si="1"/>
        <v>0</v>
      </c>
      <c r="AD6" s="163"/>
    </row>
    <row r="7" spans="1:30" x14ac:dyDescent="0.25">
      <c r="A7" s="958"/>
      <c r="B7" s="349"/>
      <c r="C7" s="366">
        <v>25</v>
      </c>
      <c r="D7" s="366">
        <v>0.1</v>
      </c>
      <c r="E7" s="366">
        <v>0</v>
      </c>
      <c r="F7" s="367">
        <f t="shared" si="2"/>
        <v>0.05</v>
      </c>
      <c r="H7" s="349"/>
      <c r="I7" s="366">
        <v>50</v>
      </c>
      <c r="J7" s="366">
        <v>-9.1</v>
      </c>
      <c r="K7" s="366">
        <v>-5.3</v>
      </c>
      <c r="L7" s="367">
        <f t="shared" si="3"/>
        <v>1.9</v>
      </c>
      <c r="O7" s="163"/>
      <c r="P7" s="963"/>
      <c r="R7" s="373">
        <v>25</v>
      </c>
      <c r="S7" s="181">
        <v>0</v>
      </c>
      <c r="T7" s="366">
        <v>-0.2</v>
      </c>
      <c r="U7" s="374">
        <f t="shared" si="0"/>
        <v>0</v>
      </c>
      <c r="W7" s="372"/>
      <c r="X7" s="373">
        <v>50</v>
      </c>
      <c r="Y7" s="181">
        <v>-0.2</v>
      </c>
      <c r="Z7" s="366">
        <v>-0.2</v>
      </c>
      <c r="AA7" s="374">
        <f t="shared" si="1"/>
        <v>0</v>
      </c>
      <c r="AD7" s="163"/>
    </row>
    <row r="8" spans="1:30" x14ac:dyDescent="0.25">
      <c r="A8" s="958"/>
      <c r="B8" s="349"/>
      <c r="C8" s="375">
        <v>30</v>
      </c>
      <c r="D8" s="375">
        <v>0</v>
      </c>
      <c r="E8" s="375">
        <v>0</v>
      </c>
      <c r="F8" s="367">
        <f t="shared" si="2"/>
        <v>0</v>
      </c>
      <c r="H8" s="349"/>
      <c r="I8" s="375">
        <v>60</v>
      </c>
      <c r="J8" s="375">
        <v>-6.9</v>
      </c>
      <c r="K8" s="375">
        <v>-4.4000000000000004</v>
      </c>
      <c r="L8" s="367">
        <f t="shared" si="3"/>
        <v>1.25</v>
      </c>
      <c r="O8" s="163"/>
      <c r="P8" s="963"/>
      <c r="R8" s="377">
        <v>30</v>
      </c>
      <c r="S8" s="378">
        <v>-0.1</v>
      </c>
      <c r="T8" s="375">
        <v>-0.2</v>
      </c>
      <c r="U8" s="374">
        <f t="shared" si="0"/>
        <v>0</v>
      </c>
      <c r="W8" s="372"/>
      <c r="X8" s="377">
        <v>60</v>
      </c>
      <c r="Y8" s="379">
        <v>0.2</v>
      </c>
      <c r="Z8" s="375">
        <v>-0.2</v>
      </c>
      <c r="AA8" s="374">
        <f t="shared" si="1"/>
        <v>0</v>
      </c>
      <c r="AD8" s="163"/>
    </row>
    <row r="9" spans="1:30" x14ac:dyDescent="0.25">
      <c r="A9" s="958"/>
      <c r="B9" s="349"/>
      <c r="C9" s="375">
        <v>35</v>
      </c>
      <c r="D9" s="375">
        <v>-0.2</v>
      </c>
      <c r="E9" s="375">
        <v>-0.1</v>
      </c>
      <c r="F9" s="367">
        <f t="shared" si="2"/>
        <v>0.05</v>
      </c>
      <c r="H9" s="349"/>
      <c r="I9" s="375">
        <v>70</v>
      </c>
      <c r="J9" s="375">
        <v>-5.0999999999999996</v>
      </c>
      <c r="K9" s="375">
        <v>-3.2</v>
      </c>
      <c r="L9" s="367">
        <f t="shared" si="3"/>
        <v>0.94999999999999973</v>
      </c>
      <c r="O9" s="163"/>
      <c r="P9" s="963"/>
      <c r="R9" s="377">
        <v>35</v>
      </c>
      <c r="S9" s="378">
        <v>-0.1</v>
      </c>
      <c r="T9" s="375">
        <v>-0.3</v>
      </c>
      <c r="U9" s="374">
        <f t="shared" si="0"/>
        <v>0</v>
      </c>
      <c r="W9" s="372"/>
      <c r="X9" s="377">
        <v>70</v>
      </c>
      <c r="Y9" s="378">
        <v>-0.7</v>
      </c>
      <c r="Z9" s="375">
        <v>-0.3</v>
      </c>
      <c r="AA9" s="374">
        <f t="shared" si="1"/>
        <v>0</v>
      </c>
      <c r="AD9" s="163"/>
    </row>
    <row r="10" spans="1:30" x14ac:dyDescent="0.25">
      <c r="A10" s="958"/>
      <c r="B10" s="349"/>
      <c r="C10" s="375">
        <v>37</v>
      </c>
      <c r="D10" s="375">
        <v>-0.3</v>
      </c>
      <c r="E10" s="375">
        <v>-0.2</v>
      </c>
      <c r="F10" s="367">
        <f t="shared" si="2"/>
        <v>4.9999999999999989E-2</v>
      </c>
      <c r="H10" s="349"/>
      <c r="I10" s="375">
        <v>80</v>
      </c>
      <c r="J10" s="375">
        <v>-3.7</v>
      </c>
      <c r="K10" s="375">
        <v>-1.6</v>
      </c>
      <c r="L10" s="367">
        <f t="shared" si="3"/>
        <v>1.05</v>
      </c>
      <c r="O10" s="163"/>
      <c r="P10" s="963"/>
      <c r="R10" s="377">
        <v>37</v>
      </c>
      <c r="S10" s="378">
        <v>0</v>
      </c>
      <c r="T10" s="375">
        <v>-0.3</v>
      </c>
      <c r="U10" s="374">
        <f t="shared" si="0"/>
        <v>0</v>
      </c>
      <c r="W10" s="372"/>
      <c r="X10" s="377">
        <v>80</v>
      </c>
      <c r="Y10" s="378">
        <v>-0.9</v>
      </c>
      <c r="Z10" s="375">
        <v>-0.5</v>
      </c>
      <c r="AA10" s="374">
        <f t="shared" si="1"/>
        <v>0</v>
      </c>
      <c r="AD10" s="163"/>
    </row>
    <row r="11" spans="1:30" ht="13.8" thickBot="1" x14ac:dyDescent="0.3">
      <c r="A11" s="959"/>
      <c r="B11" s="349"/>
      <c r="C11" s="375">
        <v>40</v>
      </c>
      <c r="D11" s="375">
        <v>-0.4</v>
      </c>
      <c r="E11" s="375">
        <v>-0.3</v>
      </c>
      <c r="F11" s="367">
        <f t="shared" si="2"/>
        <v>5.0000000000000017E-2</v>
      </c>
      <c r="G11" s="214"/>
      <c r="H11" s="349"/>
      <c r="I11" s="375">
        <v>90</v>
      </c>
      <c r="J11" s="375">
        <v>-2.7</v>
      </c>
      <c r="K11" s="375">
        <v>0.3</v>
      </c>
      <c r="L11" s="367">
        <f t="shared" si="3"/>
        <v>1.5</v>
      </c>
      <c r="N11" s="214"/>
      <c r="O11" s="215"/>
      <c r="P11" s="964"/>
      <c r="Q11" s="214"/>
      <c r="R11" s="380">
        <v>40</v>
      </c>
      <c r="S11" s="382">
        <v>0.2</v>
      </c>
      <c r="T11" s="381">
        <v>-0.4</v>
      </c>
      <c r="U11" s="383">
        <f t="shared" si="0"/>
        <v>0</v>
      </c>
      <c r="V11" s="214"/>
      <c r="W11" s="384"/>
      <c r="X11" s="380">
        <v>90</v>
      </c>
      <c r="Y11" s="382">
        <v>-0.6</v>
      </c>
      <c r="Z11" s="381">
        <v>-0.8</v>
      </c>
      <c r="AA11" s="383">
        <f t="shared" si="1"/>
        <v>0</v>
      </c>
      <c r="AB11" s="214"/>
      <c r="AC11" s="214"/>
      <c r="AD11" s="215"/>
    </row>
    <row r="12" spans="1:30" ht="13.8" thickBot="1" x14ac:dyDescent="0.3">
      <c r="A12" s="372"/>
      <c r="B12" s="372"/>
      <c r="O12" s="163"/>
      <c r="P12" s="158"/>
    </row>
    <row r="13" spans="1:30" x14ac:dyDescent="0.25">
      <c r="A13" s="957">
        <v>2</v>
      </c>
      <c r="B13" s="960" t="s">
        <v>335</v>
      </c>
      <c r="C13" s="960"/>
      <c r="D13" s="960"/>
      <c r="E13" s="960"/>
      <c r="F13" s="960"/>
      <c r="G13" s="160"/>
      <c r="H13" s="960" t="str">
        <f>B13</f>
        <v>KOREKSI KIMO THERMOHYGROMETER 15062874</v>
      </c>
      <c r="I13" s="960"/>
      <c r="J13" s="960"/>
      <c r="K13" s="960"/>
      <c r="L13" s="960"/>
      <c r="M13" s="160"/>
      <c r="N13" s="961" t="s">
        <v>235</v>
      </c>
      <c r="O13" s="961"/>
      <c r="P13" s="158"/>
    </row>
    <row r="14" spans="1:30" x14ac:dyDescent="0.25">
      <c r="A14" s="958"/>
      <c r="B14" s="970" t="s">
        <v>330</v>
      </c>
      <c r="C14" s="970"/>
      <c r="D14" s="970" t="s">
        <v>331</v>
      </c>
      <c r="E14" s="970"/>
      <c r="F14" s="970" t="s">
        <v>332</v>
      </c>
      <c r="H14" s="970" t="s">
        <v>333</v>
      </c>
      <c r="I14" s="970"/>
      <c r="J14" s="970" t="s">
        <v>331</v>
      </c>
      <c r="K14" s="970"/>
      <c r="L14" s="970" t="s">
        <v>332</v>
      </c>
      <c r="N14" s="356" t="s">
        <v>330</v>
      </c>
      <c r="O14" s="385">
        <v>0.8</v>
      </c>
      <c r="P14" s="158"/>
    </row>
    <row r="15" spans="1:30" ht="14.4" x14ac:dyDescent="0.25">
      <c r="A15" s="958"/>
      <c r="B15" s="977" t="s">
        <v>334</v>
      </c>
      <c r="C15" s="977"/>
      <c r="D15" s="155">
        <v>2021</v>
      </c>
      <c r="E15" s="155">
        <v>2018</v>
      </c>
      <c r="F15" s="970"/>
      <c r="H15" s="978" t="s">
        <v>19</v>
      </c>
      <c r="I15" s="977"/>
      <c r="J15" s="536">
        <f>D15</f>
        <v>2021</v>
      </c>
      <c r="K15" s="536">
        <f>E15</f>
        <v>2018</v>
      </c>
      <c r="L15" s="970"/>
      <c r="N15" s="356" t="s">
        <v>19</v>
      </c>
      <c r="O15" s="385">
        <v>2.2000000000000002</v>
      </c>
      <c r="P15" s="158"/>
    </row>
    <row r="16" spans="1:30" x14ac:dyDescent="0.25">
      <c r="A16" s="958"/>
      <c r="B16" s="349"/>
      <c r="C16" s="366">
        <v>15</v>
      </c>
      <c r="D16" s="366">
        <v>0.4</v>
      </c>
      <c r="E16" s="366">
        <v>0</v>
      </c>
      <c r="F16" s="367">
        <f>0.5*(MAX(D16:E16)-MIN(D16:E16))</f>
        <v>0.2</v>
      </c>
      <c r="H16" s="349"/>
      <c r="I16" s="366">
        <v>35</v>
      </c>
      <c r="J16" s="366">
        <v>0</v>
      </c>
      <c r="K16" s="366">
        <v>-1.6</v>
      </c>
      <c r="L16" s="367">
        <f>0.5*(MAX(J16:K16)-MIN(J16:K16))</f>
        <v>0.8</v>
      </c>
      <c r="O16" s="163"/>
      <c r="P16" s="158"/>
    </row>
    <row r="17" spans="1:16" x14ac:dyDescent="0.25">
      <c r="A17" s="958"/>
      <c r="B17" s="349"/>
      <c r="C17" s="366">
        <v>20</v>
      </c>
      <c r="D17" s="366">
        <v>0.7</v>
      </c>
      <c r="E17" s="366">
        <v>-0.1</v>
      </c>
      <c r="F17" s="367">
        <f t="shared" ref="F17:F22" si="4">0.5*(MAX(D17:E17)-MIN(D17:E17))</f>
        <v>0.39999999999999997</v>
      </c>
      <c r="H17" s="349"/>
      <c r="I17" s="366">
        <v>40</v>
      </c>
      <c r="J17" s="366">
        <v>-6.2</v>
      </c>
      <c r="K17" s="366">
        <v>-1.6</v>
      </c>
      <c r="L17" s="367">
        <f t="shared" ref="L17:L21" si="5">0.5*(MAX(J17:K17)-MIN(J17:K17))</f>
        <v>2.2999999999999998</v>
      </c>
      <c r="O17" s="163"/>
      <c r="P17" s="158"/>
    </row>
    <row r="18" spans="1:16" x14ac:dyDescent="0.25">
      <c r="A18" s="958"/>
      <c r="B18" s="349"/>
      <c r="C18" s="366">
        <v>25</v>
      </c>
      <c r="D18" s="366">
        <v>0.5</v>
      </c>
      <c r="E18" s="366">
        <v>-0.2</v>
      </c>
      <c r="F18" s="367">
        <f t="shared" si="4"/>
        <v>0.35</v>
      </c>
      <c r="H18" s="349"/>
      <c r="I18" s="366">
        <v>50</v>
      </c>
      <c r="J18" s="366">
        <v>-5.3</v>
      </c>
      <c r="K18" s="366">
        <v>-1.5</v>
      </c>
      <c r="L18" s="367">
        <f t="shared" si="5"/>
        <v>1.9</v>
      </c>
      <c r="O18" s="163"/>
      <c r="P18" s="158"/>
    </row>
    <row r="19" spans="1:16" x14ac:dyDescent="0.25">
      <c r="A19" s="958"/>
      <c r="B19" s="349"/>
      <c r="C19" s="375">
        <v>30</v>
      </c>
      <c r="D19" s="375">
        <v>0.2</v>
      </c>
      <c r="E19" s="375">
        <v>-0.3</v>
      </c>
      <c r="F19" s="367">
        <f>0.5*(MAX(D19:E19)-MIN(D19:E19))</f>
        <v>0.25</v>
      </c>
      <c r="H19" s="349"/>
      <c r="I19" s="375">
        <v>60</v>
      </c>
      <c r="J19" s="375">
        <v>-4</v>
      </c>
      <c r="K19" s="375">
        <v>-1.3</v>
      </c>
      <c r="L19" s="367">
        <f t="shared" si="5"/>
        <v>1.35</v>
      </c>
      <c r="O19" s="163"/>
      <c r="P19" s="158"/>
    </row>
    <row r="20" spans="1:16" x14ac:dyDescent="0.25">
      <c r="A20" s="958"/>
      <c r="B20" s="349"/>
      <c r="C20" s="375">
        <v>35</v>
      </c>
      <c r="D20" s="375">
        <v>-0.1</v>
      </c>
      <c r="E20" s="375">
        <v>-0.3</v>
      </c>
      <c r="F20" s="367">
        <f t="shared" si="4"/>
        <v>9.9999999999999992E-2</v>
      </c>
      <c r="H20" s="349"/>
      <c r="I20" s="375">
        <v>70</v>
      </c>
      <c r="J20" s="375">
        <v>-2.4</v>
      </c>
      <c r="K20" s="375">
        <v>-1.1000000000000001</v>
      </c>
      <c r="L20" s="367">
        <f t="shared" si="5"/>
        <v>0.64999999999999991</v>
      </c>
      <c r="O20" s="163"/>
      <c r="P20" s="158"/>
    </row>
    <row r="21" spans="1:16" x14ac:dyDescent="0.25">
      <c r="A21" s="958"/>
      <c r="B21" s="349"/>
      <c r="C21" s="375">
        <v>37</v>
      </c>
      <c r="D21" s="375">
        <v>-0.2</v>
      </c>
      <c r="E21" s="375">
        <v>-0.3</v>
      </c>
      <c r="F21" s="367">
        <f t="shared" si="4"/>
        <v>4.9999999999999989E-2</v>
      </c>
      <c r="H21" s="349"/>
      <c r="I21" s="375">
        <v>80</v>
      </c>
      <c r="J21" s="375">
        <v>-0.5</v>
      </c>
      <c r="K21" s="375">
        <v>-0.7</v>
      </c>
      <c r="L21" s="367">
        <f t="shared" si="5"/>
        <v>9.9999999999999978E-2</v>
      </c>
      <c r="O21" s="163"/>
      <c r="P21" s="158"/>
    </row>
    <row r="22" spans="1:16" ht="13.8" thickBot="1" x14ac:dyDescent="0.3">
      <c r="A22" s="959"/>
      <c r="B22" s="349"/>
      <c r="C22" s="375">
        <v>40</v>
      </c>
      <c r="D22" s="375">
        <v>-0.1</v>
      </c>
      <c r="E22" s="375">
        <v>-0.3</v>
      </c>
      <c r="F22" s="367">
        <f t="shared" si="4"/>
        <v>9.9999999999999992E-2</v>
      </c>
      <c r="H22" s="349"/>
      <c r="I22" s="375">
        <v>90</v>
      </c>
      <c r="J22" s="375">
        <v>1.7</v>
      </c>
      <c r="K22" s="375">
        <v>-0.3</v>
      </c>
      <c r="L22" s="367">
        <f>0.5*(MAX(J22:K22)-MIN(J22:K22))</f>
        <v>1</v>
      </c>
      <c r="N22" s="214"/>
      <c r="O22" s="215"/>
      <c r="P22" s="158"/>
    </row>
    <row r="23" spans="1:16" ht="13.8" thickBot="1" x14ac:dyDescent="0.3">
      <c r="A23" s="372"/>
      <c r="B23" s="372"/>
      <c r="O23" s="163"/>
      <c r="P23" s="158"/>
    </row>
    <row r="24" spans="1:16" x14ac:dyDescent="0.25">
      <c r="A24" s="957">
        <v>3</v>
      </c>
      <c r="B24" s="960" t="s">
        <v>336</v>
      </c>
      <c r="C24" s="960"/>
      <c r="D24" s="960"/>
      <c r="E24" s="960"/>
      <c r="F24" s="960"/>
      <c r="G24" s="160"/>
      <c r="H24" s="960" t="str">
        <f>B24</f>
        <v>KOREKSI KIMO THERMOHYGROMETER 14082463</v>
      </c>
      <c r="I24" s="960"/>
      <c r="J24" s="960"/>
      <c r="K24" s="960"/>
      <c r="L24" s="960"/>
      <c r="M24" s="160"/>
      <c r="N24" s="961" t="s">
        <v>235</v>
      </c>
      <c r="O24" s="961"/>
      <c r="P24" s="158"/>
    </row>
    <row r="25" spans="1:16" x14ac:dyDescent="0.25">
      <c r="A25" s="958"/>
      <c r="B25" s="970" t="s">
        <v>330</v>
      </c>
      <c r="C25" s="970"/>
      <c r="D25" s="970" t="s">
        <v>331</v>
      </c>
      <c r="E25" s="970"/>
      <c r="F25" s="970" t="s">
        <v>332</v>
      </c>
      <c r="H25" s="970" t="s">
        <v>333</v>
      </c>
      <c r="I25" s="970"/>
      <c r="J25" s="970" t="s">
        <v>331</v>
      </c>
      <c r="K25" s="970"/>
      <c r="L25" s="970" t="s">
        <v>332</v>
      </c>
      <c r="N25" s="356" t="s">
        <v>330</v>
      </c>
      <c r="O25" s="385">
        <v>0.5</v>
      </c>
      <c r="P25" s="158"/>
    </row>
    <row r="26" spans="1:16" ht="14.4" x14ac:dyDescent="0.25">
      <c r="A26" s="958"/>
      <c r="B26" s="977" t="s">
        <v>334</v>
      </c>
      <c r="C26" s="977"/>
      <c r="D26" s="155">
        <v>2021</v>
      </c>
      <c r="E26" s="155">
        <v>2018</v>
      </c>
      <c r="F26" s="970"/>
      <c r="H26" s="978" t="s">
        <v>19</v>
      </c>
      <c r="I26" s="977"/>
      <c r="J26" s="536">
        <f>D26</f>
        <v>2021</v>
      </c>
      <c r="K26" s="536">
        <f>E26</f>
        <v>2018</v>
      </c>
      <c r="L26" s="970"/>
      <c r="N26" s="356" t="s">
        <v>19</v>
      </c>
      <c r="O26" s="385">
        <v>3.1</v>
      </c>
      <c r="P26" s="158"/>
    </row>
    <row r="27" spans="1:16" x14ac:dyDescent="0.25">
      <c r="A27" s="958"/>
      <c r="B27" s="349"/>
      <c r="C27" s="366">
        <v>15</v>
      </c>
      <c r="D27" s="366">
        <v>0.4</v>
      </c>
      <c r="E27" s="366">
        <v>0</v>
      </c>
      <c r="F27" s="367">
        <f>0.5*(MAX(D27:E27)-MIN(D27:E27))</f>
        <v>0.2</v>
      </c>
      <c r="H27" s="349"/>
      <c r="I27" s="366">
        <v>30</v>
      </c>
      <c r="J27" s="366">
        <v>0</v>
      </c>
      <c r="K27" s="366">
        <v>-5.7</v>
      </c>
      <c r="L27" s="367">
        <f>0.5*(MAX(J27:K27)-MIN(J27:K27))</f>
        <v>2.85</v>
      </c>
      <c r="O27" s="163"/>
      <c r="P27" s="158"/>
    </row>
    <row r="28" spans="1:16" x14ac:dyDescent="0.25">
      <c r="A28" s="958"/>
      <c r="B28" s="349"/>
      <c r="C28" s="366">
        <v>20</v>
      </c>
      <c r="D28" s="366">
        <v>1</v>
      </c>
      <c r="E28" s="366">
        <v>0</v>
      </c>
      <c r="F28" s="367">
        <f t="shared" ref="F28:F32" si="6">0.5*(MAX(D28:E28)-MIN(D28:E28))</f>
        <v>0.5</v>
      </c>
      <c r="H28" s="349"/>
      <c r="I28" s="366">
        <v>40</v>
      </c>
      <c r="J28" s="366">
        <v>-5.9</v>
      </c>
      <c r="K28" s="366">
        <v>-5.3</v>
      </c>
      <c r="L28" s="367">
        <f t="shared" ref="L28:L32" si="7">0.5*(MAX(J28:K28)-MIN(J28:K28))</f>
        <v>0.30000000000000027</v>
      </c>
      <c r="O28" s="163"/>
      <c r="P28" s="158"/>
    </row>
    <row r="29" spans="1:16" x14ac:dyDescent="0.25">
      <c r="A29" s="958"/>
      <c r="B29" s="349"/>
      <c r="C29" s="366">
        <v>25</v>
      </c>
      <c r="D29" s="366">
        <v>0.7</v>
      </c>
      <c r="E29" s="366">
        <v>-0.1</v>
      </c>
      <c r="F29" s="367">
        <f t="shared" si="6"/>
        <v>0.39999999999999997</v>
      </c>
      <c r="H29" s="349"/>
      <c r="I29" s="366">
        <v>50</v>
      </c>
      <c r="J29" s="366">
        <v>-4.5</v>
      </c>
      <c r="K29" s="366">
        <v>-4.9000000000000004</v>
      </c>
      <c r="L29" s="367">
        <f t="shared" si="7"/>
        <v>0.20000000000000018</v>
      </c>
      <c r="O29" s="163"/>
      <c r="P29" s="158"/>
    </row>
    <row r="30" spans="1:16" x14ac:dyDescent="0.25">
      <c r="A30" s="958"/>
      <c r="B30" s="349"/>
      <c r="C30" s="375">
        <v>30</v>
      </c>
      <c r="D30" s="375">
        <v>0</v>
      </c>
      <c r="E30" s="375">
        <v>-0.3</v>
      </c>
      <c r="F30" s="367">
        <f t="shared" si="6"/>
        <v>0.15</v>
      </c>
      <c r="H30" s="349"/>
      <c r="I30" s="375">
        <v>60</v>
      </c>
      <c r="J30" s="375">
        <v>-3.2</v>
      </c>
      <c r="K30" s="375">
        <v>-4.3</v>
      </c>
      <c r="L30" s="367">
        <f t="shared" si="7"/>
        <v>0.54999999999999982</v>
      </c>
      <c r="O30" s="163"/>
      <c r="P30" s="158"/>
    </row>
    <row r="31" spans="1:16" x14ac:dyDescent="0.25">
      <c r="A31" s="958"/>
      <c r="B31" s="349"/>
      <c r="C31" s="375">
        <v>35</v>
      </c>
      <c r="D31" s="375">
        <v>-0.3</v>
      </c>
      <c r="E31" s="375">
        <v>-0.5</v>
      </c>
      <c r="F31" s="367">
        <f t="shared" si="6"/>
        <v>0.1</v>
      </c>
      <c r="H31" s="349"/>
      <c r="I31" s="375">
        <v>70</v>
      </c>
      <c r="J31" s="375">
        <v>-2</v>
      </c>
      <c r="K31" s="375">
        <v>-3.6</v>
      </c>
      <c r="L31" s="367">
        <f t="shared" si="7"/>
        <v>0.8</v>
      </c>
      <c r="O31" s="163"/>
      <c r="P31" s="158"/>
    </row>
    <row r="32" spans="1:16" x14ac:dyDescent="0.25">
      <c r="A32" s="958"/>
      <c r="B32" s="349"/>
      <c r="C32" s="375">
        <v>37</v>
      </c>
      <c r="D32" s="375">
        <v>-0.2</v>
      </c>
      <c r="E32" s="375">
        <v>-0.6</v>
      </c>
      <c r="F32" s="367">
        <f t="shared" si="6"/>
        <v>0.19999999999999998</v>
      </c>
      <c r="H32" s="349"/>
      <c r="I32" s="375">
        <v>80</v>
      </c>
      <c r="J32" s="375">
        <v>-0.8</v>
      </c>
      <c r="K32" s="375">
        <v>-2.9</v>
      </c>
      <c r="L32" s="367">
        <f t="shared" si="7"/>
        <v>1.0499999999999998</v>
      </c>
      <c r="O32" s="163"/>
      <c r="P32" s="158"/>
    </row>
    <row r="33" spans="1:16" ht="13.8" thickBot="1" x14ac:dyDescent="0.3">
      <c r="A33" s="959"/>
      <c r="B33" s="349"/>
      <c r="C33" s="375">
        <v>40</v>
      </c>
      <c r="D33" s="375">
        <v>0.2</v>
      </c>
      <c r="E33" s="375">
        <v>-0.7</v>
      </c>
      <c r="F33" s="367">
        <f>0.5*(MAX(D33:E33)-MIN(D33:E33))</f>
        <v>0.44999999999999996</v>
      </c>
      <c r="H33" s="349"/>
      <c r="I33" s="375">
        <v>90</v>
      </c>
      <c r="J33" s="375">
        <v>0.3</v>
      </c>
      <c r="K33" s="375">
        <v>-2</v>
      </c>
      <c r="L33" s="367">
        <f>0.5*(MAX(J33:K33)-MIN(J33:K33))</f>
        <v>1.1499999999999999</v>
      </c>
      <c r="M33" s="214"/>
      <c r="N33" s="214"/>
      <c r="O33" s="215"/>
      <c r="P33" s="158"/>
    </row>
    <row r="34" spans="1:16" ht="13.8" thickBot="1" x14ac:dyDescent="0.3">
      <c r="A34" s="372"/>
      <c r="B34" s="372"/>
      <c r="H34" s="386"/>
      <c r="O34" s="163"/>
      <c r="P34" s="158"/>
    </row>
    <row r="35" spans="1:16" ht="13.8" thickBot="1" x14ac:dyDescent="0.3">
      <c r="A35" s="962">
        <v>4</v>
      </c>
      <c r="B35" s="965" t="s">
        <v>337</v>
      </c>
      <c r="C35" s="966"/>
      <c r="D35" s="966"/>
      <c r="E35" s="966"/>
      <c r="F35" s="967"/>
      <c r="G35" s="160"/>
      <c r="H35" s="965" t="str">
        <f>B35</f>
        <v>KOREKSI KIMO THERMOHYGROMETER 15062872</v>
      </c>
      <c r="I35" s="966"/>
      <c r="J35" s="966"/>
      <c r="K35" s="966"/>
      <c r="L35" s="967"/>
      <c r="M35" s="160"/>
      <c r="N35" s="968" t="s">
        <v>235</v>
      </c>
      <c r="O35" s="969"/>
      <c r="P35" s="158"/>
    </row>
    <row r="36" spans="1:16" ht="13.8" thickBot="1" x14ac:dyDescent="0.3">
      <c r="A36" s="963"/>
      <c r="B36" s="975" t="s">
        <v>330</v>
      </c>
      <c r="C36" s="976"/>
      <c r="D36" s="971" t="s">
        <v>331</v>
      </c>
      <c r="E36" s="972"/>
      <c r="F36" s="973" t="s">
        <v>332</v>
      </c>
      <c r="H36" s="975" t="s">
        <v>333</v>
      </c>
      <c r="I36" s="976"/>
      <c r="J36" s="971" t="s">
        <v>331</v>
      </c>
      <c r="K36" s="972"/>
      <c r="L36" s="973" t="s">
        <v>332</v>
      </c>
      <c r="N36" s="358" t="s">
        <v>330</v>
      </c>
      <c r="O36" s="387">
        <v>0.3</v>
      </c>
      <c r="P36" s="158"/>
    </row>
    <row r="37" spans="1:16" ht="15" thickBot="1" x14ac:dyDescent="0.3">
      <c r="A37" s="963"/>
      <c r="B37" s="979" t="s">
        <v>334</v>
      </c>
      <c r="C37" s="980"/>
      <c r="D37" s="360">
        <v>2019</v>
      </c>
      <c r="E37" s="360">
        <v>2017</v>
      </c>
      <c r="F37" s="974"/>
      <c r="H37" s="981" t="s">
        <v>19</v>
      </c>
      <c r="I37" s="982"/>
      <c r="J37" s="362">
        <f>D37</f>
        <v>2019</v>
      </c>
      <c r="K37" s="362">
        <f>E37</f>
        <v>2017</v>
      </c>
      <c r="L37" s="974"/>
      <c r="N37" s="364" t="s">
        <v>19</v>
      </c>
      <c r="O37" s="388">
        <v>1.3</v>
      </c>
      <c r="P37" s="158"/>
    </row>
    <row r="38" spans="1:16" x14ac:dyDescent="0.25">
      <c r="A38" s="963"/>
      <c r="C38" s="368">
        <v>15</v>
      </c>
      <c r="D38" s="369">
        <v>-0.2</v>
      </c>
      <c r="E38" s="369">
        <v>-0.1</v>
      </c>
      <c r="F38" s="371">
        <f>0.5*(MAX(D38:E38)-MIN(D38:E38))</f>
        <v>0.05</v>
      </c>
      <c r="H38" s="372"/>
      <c r="I38" s="368">
        <v>35</v>
      </c>
      <c r="J38" s="369">
        <v>-4.5</v>
      </c>
      <c r="K38" s="369">
        <v>-1.7</v>
      </c>
      <c r="L38" s="371">
        <f>0.5*(MAX(J38:K38)-MIN(J38:K38))</f>
        <v>1.4</v>
      </c>
      <c r="O38" s="163"/>
      <c r="P38" s="158"/>
    </row>
    <row r="39" spans="1:16" x14ac:dyDescent="0.25">
      <c r="A39" s="963"/>
      <c r="C39" s="373">
        <v>20</v>
      </c>
      <c r="D39" s="366">
        <v>-0.1</v>
      </c>
      <c r="E39" s="366">
        <v>-0.3</v>
      </c>
      <c r="F39" s="371">
        <f t="shared" ref="F39:F43" si="8">0.5*(MAX(D39:E39)-MIN(D39:E39))</f>
        <v>9.9999999999999992E-2</v>
      </c>
      <c r="H39" s="372"/>
      <c r="I39" s="373">
        <v>40</v>
      </c>
      <c r="J39" s="366">
        <v>-4.4000000000000004</v>
      </c>
      <c r="K39" s="366">
        <v>-1.5</v>
      </c>
      <c r="L39" s="371">
        <f t="shared" ref="L39:L44" si="9">0.5*(MAX(J39:K39)-MIN(J39:K39))</f>
        <v>1.4500000000000002</v>
      </c>
      <c r="O39" s="163"/>
      <c r="P39" s="158"/>
    </row>
    <row r="40" spans="1:16" x14ac:dyDescent="0.25">
      <c r="A40" s="963"/>
      <c r="C40" s="373">
        <v>25</v>
      </c>
      <c r="D40" s="366">
        <v>-0.1</v>
      </c>
      <c r="E40" s="366">
        <v>-0.5</v>
      </c>
      <c r="F40" s="371">
        <f t="shared" si="8"/>
        <v>0.2</v>
      </c>
      <c r="H40" s="372"/>
      <c r="I40" s="373">
        <v>50</v>
      </c>
      <c r="J40" s="366">
        <v>-4.3</v>
      </c>
      <c r="K40" s="366">
        <v>-1</v>
      </c>
      <c r="L40" s="371">
        <f t="shared" si="9"/>
        <v>1.65</v>
      </c>
      <c r="O40" s="163"/>
      <c r="P40" s="158"/>
    </row>
    <row r="41" spans="1:16" x14ac:dyDescent="0.25">
      <c r="A41" s="963"/>
      <c r="C41" s="377">
        <v>30</v>
      </c>
      <c r="D41" s="375">
        <v>-0.1</v>
      </c>
      <c r="E41" s="376">
        <v>-0.6</v>
      </c>
      <c r="F41" s="371">
        <f>0.5*(MAX(D41:E41)-MIN(D41:E41))</f>
        <v>0.25</v>
      </c>
      <c r="H41" s="372"/>
      <c r="I41" s="377">
        <v>60</v>
      </c>
      <c r="J41" s="375">
        <v>-4.2</v>
      </c>
      <c r="K41" s="376">
        <v>-0.3</v>
      </c>
      <c r="L41" s="371">
        <f t="shared" si="9"/>
        <v>1.9500000000000002</v>
      </c>
      <c r="O41" s="163"/>
      <c r="P41" s="158"/>
    </row>
    <row r="42" spans="1:16" x14ac:dyDescent="0.25">
      <c r="A42" s="963"/>
      <c r="C42" s="377">
        <v>35</v>
      </c>
      <c r="D42" s="375">
        <v>-0.3</v>
      </c>
      <c r="E42" s="376">
        <v>-0.6</v>
      </c>
      <c r="F42" s="371">
        <f t="shared" si="8"/>
        <v>0.15</v>
      </c>
      <c r="H42" s="372"/>
      <c r="I42" s="377">
        <v>70</v>
      </c>
      <c r="J42" s="375">
        <v>-4</v>
      </c>
      <c r="K42" s="376">
        <v>0.7</v>
      </c>
      <c r="L42" s="371">
        <f t="shared" si="9"/>
        <v>2.35</v>
      </c>
      <c r="O42" s="163"/>
      <c r="P42" s="158"/>
    </row>
    <row r="43" spans="1:16" x14ac:dyDescent="0.25">
      <c r="A43" s="963"/>
      <c r="C43" s="377">
        <v>37</v>
      </c>
      <c r="D43" s="375">
        <v>-0.4</v>
      </c>
      <c r="E43" s="376">
        <v>-0.6</v>
      </c>
      <c r="F43" s="371">
        <f t="shared" si="8"/>
        <v>9.9999999999999978E-2</v>
      </c>
      <c r="H43" s="372"/>
      <c r="I43" s="377">
        <v>80</v>
      </c>
      <c r="J43" s="375">
        <v>-3.8</v>
      </c>
      <c r="K43" s="376">
        <v>1.9</v>
      </c>
      <c r="L43" s="371">
        <f t="shared" si="9"/>
        <v>2.8499999999999996</v>
      </c>
      <c r="O43" s="163"/>
      <c r="P43" s="158"/>
    </row>
    <row r="44" spans="1:16" ht="13.8" thickBot="1" x14ac:dyDescent="0.3">
      <c r="A44" s="964"/>
      <c r="B44" s="214"/>
      <c r="C44" s="380">
        <v>40</v>
      </c>
      <c r="D44" s="381">
        <v>-0.5</v>
      </c>
      <c r="E44" s="376">
        <v>-0.6</v>
      </c>
      <c r="F44" s="371">
        <f>0.5*(MAX(D44:E44)-MIN(D44:E44))</f>
        <v>4.9999999999999989E-2</v>
      </c>
      <c r="H44" s="384"/>
      <c r="I44" s="380">
        <v>90</v>
      </c>
      <c r="J44" s="381">
        <v>-3.5</v>
      </c>
      <c r="K44" s="389">
        <v>3.3</v>
      </c>
      <c r="L44" s="371">
        <f t="shared" si="9"/>
        <v>3.4</v>
      </c>
      <c r="M44" s="214"/>
      <c r="N44" s="214"/>
      <c r="O44" s="215"/>
      <c r="P44" s="158"/>
    </row>
    <row r="45" spans="1:16" ht="13.8" thickBot="1" x14ac:dyDescent="0.3">
      <c r="A45" s="372"/>
      <c r="B45" s="372"/>
      <c r="O45" s="163"/>
      <c r="P45" s="158"/>
    </row>
    <row r="46" spans="1:16" ht="13.8" thickBot="1" x14ac:dyDescent="0.3">
      <c r="A46" s="962">
        <v>5</v>
      </c>
      <c r="B46" s="965" t="s">
        <v>338</v>
      </c>
      <c r="C46" s="966"/>
      <c r="D46" s="966"/>
      <c r="E46" s="966"/>
      <c r="F46" s="967"/>
      <c r="G46" s="160"/>
      <c r="H46" s="965" t="str">
        <f>B46</f>
        <v>KOREKSI KIMO THERMOHYGROMETER 15062875</v>
      </c>
      <c r="I46" s="966"/>
      <c r="J46" s="966"/>
      <c r="K46" s="966"/>
      <c r="L46" s="967"/>
      <c r="M46" s="160"/>
      <c r="N46" s="968" t="s">
        <v>235</v>
      </c>
      <c r="O46" s="969"/>
      <c r="P46" s="158"/>
    </row>
    <row r="47" spans="1:16" ht="13.8" thickBot="1" x14ac:dyDescent="0.3">
      <c r="A47" s="963"/>
      <c r="B47" s="975" t="s">
        <v>330</v>
      </c>
      <c r="C47" s="976"/>
      <c r="D47" s="971" t="s">
        <v>331</v>
      </c>
      <c r="E47" s="972"/>
      <c r="F47" s="973" t="s">
        <v>332</v>
      </c>
      <c r="H47" s="975" t="s">
        <v>333</v>
      </c>
      <c r="I47" s="976"/>
      <c r="J47" s="971" t="s">
        <v>331</v>
      </c>
      <c r="K47" s="972"/>
      <c r="L47" s="973" t="s">
        <v>332</v>
      </c>
      <c r="N47" s="358" t="s">
        <v>330</v>
      </c>
      <c r="O47" s="387">
        <v>0.3</v>
      </c>
      <c r="P47" s="158"/>
    </row>
    <row r="48" spans="1:16" ht="15" thickBot="1" x14ac:dyDescent="0.3">
      <c r="A48" s="963"/>
      <c r="B48" s="979" t="s">
        <v>334</v>
      </c>
      <c r="C48" s="980"/>
      <c r="D48" s="360">
        <v>2021</v>
      </c>
      <c r="E48" s="360">
        <v>2020</v>
      </c>
      <c r="F48" s="974"/>
      <c r="H48" s="981" t="s">
        <v>19</v>
      </c>
      <c r="I48" s="982"/>
      <c r="J48" s="362">
        <f>D48</f>
        <v>2021</v>
      </c>
      <c r="K48" s="362">
        <f>E48</f>
        <v>2020</v>
      </c>
      <c r="L48" s="974"/>
      <c r="N48" s="364" t="s">
        <v>19</v>
      </c>
      <c r="O48" s="388">
        <v>3.1</v>
      </c>
      <c r="P48" s="158"/>
    </row>
    <row r="49" spans="1:16" x14ac:dyDescent="0.25">
      <c r="A49" s="963"/>
      <c r="C49" s="368">
        <v>15</v>
      </c>
      <c r="D49" s="369">
        <v>-0.1</v>
      </c>
      <c r="E49" s="369">
        <v>-0.3</v>
      </c>
      <c r="F49" s="371">
        <f>0.5*(MAX(D49:E49)-MIN(D49:E49))</f>
        <v>9.9999999999999992E-2</v>
      </c>
      <c r="H49" s="372"/>
      <c r="I49" s="368">
        <v>30</v>
      </c>
      <c r="J49" s="369">
        <v>-9.6999999999999993</v>
      </c>
      <c r="K49" s="369">
        <v>-7.7</v>
      </c>
      <c r="L49" s="371">
        <f>0.5*(MAX(J49:K49)-MIN(J49:K49))</f>
        <v>0.99999999999999956</v>
      </c>
      <c r="O49" s="163"/>
      <c r="P49" s="158"/>
    </row>
    <row r="50" spans="1:16" x14ac:dyDescent="0.25">
      <c r="A50" s="963"/>
      <c r="C50" s="373">
        <v>20</v>
      </c>
      <c r="D50" s="366">
        <v>0.1</v>
      </c>
      <c r="E50" s="366">
        <v>0.1</v>
      </c>
      <c r="F50" s="371">
        <f t="shared" ref="F50:F54" si="10">0.5*(MAX(D50:E50)-MIN(D50:E50))</f>
        <v>0</v>
      </c>
      <c r="H50" s="372"/>
      <c r="I50" s="373">
        <v>40</v>
      </c>
      <c r="J50" s="366">
        <v>-9.6999999999999993</v>
      </c>
      <c r="K50" s="366">
        <v>-7.2</v>
      </c>
      <c r="L50" s="371">
        <f t="shared" ref="L50:L55" si="11">0.5*(MAX(J50:K50)-MIN(J50:K50))</f>
        <v>1.2499999999999996</v>
      </c>
      <c r="O50" s="163"/>
      <c r="P50" s="158"/>
    </row>
    <row r="51" spans="1:16" x14ac:dyDescent="0.25">
      <c r="A51" s="963"/>
      <c r="C51" s="373">
        <v>25</v>
      </c>
      <c r="D51" s="366">
        <v>0.2</v>
      </c>
      <c r="E51" s="366">
        <v>0.4</v>
      </c>
      <c r="F51" s="371">
        <f t="shared" si="10"/>
        <v>0.1</v>
      </c>
      <c r="H51" s="372"/>
      <c r="I51" s="373">
        <v>50</v>
      </c>
      <c r="J51" s="366">
        <v>-9.1</v>
      </c>
      <c r="K51" s="366">
        <v>-6.2</v>
      </c>
      <c r="L51" s="371">
        <f t="shared" si="11"/>
        <v>1.4499999999999997</v>
      </c>
      <c r="O51" s="163"/>
      <c r="P51" s="158"/>
    </row>
    <row r="52" spans="1:16" x14ac:dyDescent="0.25">
      <c r="A52" s="963"/>
      <c r="C52" s="377">
        <v>30</v>
      </c>
      <c r="D52" s="375">
        <v>0.1</v>
      </c>
      <c r="E52" s="375">
        <v>0.6</v>
      </c>
      <c r="F52" s="371">
        <f t="shared" si="10"/>
        <v>0.25</v>
      </c>
      <c r="H52" s="372"/>
      <c r="I52" s="377">
        <v>60</v>
      </c>
      <c r="J52" s="375">
        <v>-7.9</v>
      </c>
      <c r="K52" s="375">
        <v>-5.2</v>
      </c>
      <c r="L52" s="371">
        <f t="shared" si="11"/>
        <v>1.35</v>
      </c>
      <c r="O52" s="163"/>
      <c r="P52" s="158"/>
    </row>
    <row r="53" spans="1:16" x14ac:dyDescent="0.25">
      <c r="A53" s="963"/>
      <c r="C53" s="377">
        <v>35</v>
      </c>
      <c r="D53" s="375">
        <v>0.1</v>
      </c>
      <c r="E53" s="375">
        <v>0.7</v>
      </c>
      <c r="F53" s="371">
        <f t="shared" si="10"/>
        <v>0.3</v>
      </c>
      <c r="H53" s="372"/>
      <c r="I53" s="377">
        <v>70</v>
      </c>
      <c r="J53" s="375">
        <v>-6.1</v>
      </c>
      <c r="K53" s="375">
        <v>-4.0999999999999996</v>
      </c>
      <c r="L53" s="371">
        <f t="shared" si="11"/>
        <v>1</v>
      </c>
      <c r="O53" s="163"/>
      <c r="P53" s="158"/>
    </row>
    <row r="54" spans="1:16" x14ac:dyDescent="0.25">
      <c r="A54" s="963"/>
      <c r="C54" s="377">
        <v>37</v>
      </c>
      <c r="D54" s="375">
        <v>0.1</v>
      </c>
      <c r="E54" s="375">
        <v>0.7</v>
      </c>
      <c r="F54" s="371">
        <f t="shared" si="10"/>
        <v>0.3</v>
      </c>
      <c r="H54" s="372"/>
      <c r="I54" s="377">
        <v>80</v>
      </c>
      <c r="J54" s="375">
        <v>-3.8</v>
      </c>
      <c r="K54" s="375">
        <v>-3</v>
      </c>
      <c r="L54" s="371">
        <f t="shared" si="11"/>
        <v>0.39999999999999991</v>
      </c>
      <c r="O54" s="163"/>
      <c r="P54" s="158"/>
    </row>
    <row r="55" spans="1:16" ht="13.8" thickBot="1" x14ac:dyDescent="0.3">
      <c r="A55" s="964"/>
      <c r="B55" s="214"/>
      <c r="C55" s="380">
        <v>40</v>
      </c>
      <c r="D55" s="381">
        <v>0.2</v>
      </c>
      <c r="E55" s="381">
        <v>0.7</v>
      </c>
      <c r="F55" s="371">
        <f>0.5*(MAX(D55:E55)-MIN(D55:E55))</f>
        <v>0.24999999999999997</v>
      </c>
      <c r="H55" s="384"/>
      <c r="I55" s="380">
        <v>90</v>
      </c>
      <c r="J55" s="381">
        <v>-0.8</v>
      </c>
      <c r="K55" s="381">
        <v>-1.8</v>
      </c>
      <c r="L55" s="371">
        <f t="shared" si="11"/>
        <v>0.5</v>
      </c>
      <c r="M55" s="214"/>
      <c r="N55" s="214"/>
      <c r="O55" s="215"/>
      <c r="P55" s="158"/>
    </row>
    <row r="56" spans="1:16" ht="13.8" thickBot="1" x14ac:dyDescent="0.3">
      <c r="A56" s="390"/>
      <c r="B56" s="391"/>
      <c r="C56" s="391"/>
      <c r="D56" s="391"/>
      <c r="E56" s="392"/>
      <c r="F56" s="393"/>
      <c r="G56" s="2"/>
      <c r="H56" s="391"/>
      <c r="I56" s="391"/>
      <c r="J56" s="391"/>
      <c r="K56" s="392"/>
      <c r="L56" s="393"/>
      <c r="O56" s="163"/>
      <c r="P56" s="158"/>
    </row>
    <row r="57" spans="1:16" ht="13.8" thickBot="1" x14ac:dyDescent="0.3">
      <c r="A57" s="962">
        <v>6</v>
      </c>
      <c r="B57" s="965" t="s">
        <v>339</v>
      </c>
      <c r="C57" s="966"/>
      <c r="D57" s="966"/>
      <c r="E57" s="966"/>
      <c r="F57" s="967"/>
      <c r="G57" s="160"/>
      <c r="H57" s="965" t="str">
        <f>B57</f>
        <v>KOREKSI GREISINGER 34903046</v>
      </c>
      <c r="I57" s="966"/>
      <c r="J57" s="966"/>
      <c r="K57" s="966"/>
      <c r="L57" s="967"/>
      <c r="M57" s="160"/>
      <c r="N57" s="968" t="s">
        <v>235</v>
      </c>
      <c r="O57" s="969"/>
      <c r="P57" s="158"/>
    </row>
    <row r="58" spans="1:16" ht="13.8" thickBot="1" x14ac:dyDescent="0.3">
      <c r="A58" s="963"/>
      <c r="B58" s="975" t="s">
        <v>330</v>
      </c>
      <c r="C58" s="976"/>
      <c r="D58" s="971" t="s">
        <v>331</v>
      </c>
      <c r="E58" s="972"/>
      <c r="F58" s="973" t="s">
        <v>332</v>
      </c>
      <c r="H58" s="975" t="s">
        <v>333</v>
      </c>
      <c r="I58" s="976"/>
      <c r="J58" s="971" t="s">
        <v>331</v>
      </c>
      <c r="K58" s="972"/>
      <c r="L58" s="973" t="s">
        <v>332</v>
      </c>
      <c r="N58" s="358" t="s">
        <v>330</v>
      </c>
      <c r="O58" s="387">
        <v>0.8</v>
      </c>
      <c r="P58" s="158"/>
    </row>
    <row r="59" spans="1:16" ht="15" thickBot="1" x14ac:dyDescent="0.3">
      <c r="A59" s="963"/>
      <c r="B59" s="979" t="s">
        <v>334</v>
      </c>
      <c r="C59" s="980"/>
      <c r="D59" s="360">
        <v>2019</v>
      </c>
      <c r="E59" s="360">
        <v>2018</v>
      </c>
      <c r="F59" s="974"/>
      <c r="H59" s="981" t="s">
        <v>19</v>
      </c>
      <c r="I59" s="982"/>
      <c r="J59" s="362">
        <f>D59</f>
        <v>2019</v>
      </c>
      <c r="K59" s="362">
        <f>E59</f>
        <v>2018</v>
      </c>
      <c r="L59" s="974"/>
      <c r="N59" s="364" t="s">
        <v>19</v>
      </c>
      <c r="O59" s="365">
        <v>2.6</v>
      </c>
      <c r="P59" s="158"/>
    </row>
    <row r="60" spans="1:16" x14ac:dyDescent="0.25">
      <c r="A60" s="963"/>
      <c r="C60" s="368">
        <v>15</v>
      </c>
      <c r="D60" s="369">
        <v>0.4</v>
      </c>
      <c r="E60" s="369">
        <v>0.4</v>
      </c>
      <c r="F60" s="371">
        <f>0.5*(MAX(D60:E60)-MIN(D60:E60))</f>
        <v>0</v>
      </c>
      <c r="H60" s="372"/>
      <c r="I60" s="368">
        <v>30</v>
      </c>
      <c r="J60" s="369">
        <v>-1.5</v>
      </c>
      <c r="K60" s="369">
        <v>1.7</v>
      </c>
      <c r="L60" s="371">
        <f>0.5*(MAX(J60:K60)-MIN(J60:K60))</f>
        <v>1.6</v>
      </c>
      <c r="O60" s="163"/>
      <c r="P60" s="158"/>
    </row>
    <row r="61" spans="1:16" x14ac:dyDescent="0.25">
      <c r="A61" s="963"/>
      <c r="C61" s="373">
        <v>20</v>
      </c>
      <c r="D61" s="366">
        <v>0.3</v>
      </c>
      <c r="E61" s="366">
        <v>0.2</v>
      </c>
      <c r="F61" s="374">
        <f t="shared" ref="F61:F65" si="12">0.5*(MAX(D61:E61)-MIN(D61:E61))</f>
        <v>4.9999999999999989E-2</v>
      </c>
      <c r="H61" s="372"/>
      <c r="I61" s="373">
        <v>40</v>
      </c>
      <c r="J61" s="366">
        <v>-3.8</v>
      </c>
      <c r="K61" s="366">
        <v>1.5</v>
      </c>
      <c r="L61" s="374">
        <f t="shared" ref="L61:L65" si="13">0.5*(MAX(J61:K61)-MIN(J61:K61))</f>
        <v>2.65</v>
      </c>
      <c r="O61" s="163"/>
      <c r="P61" s="158"/>
    </row>
    <row r="62" spans="1:16" x14ac:dyDescent="0.25">
      <c r="A62" s="963"/>
      <c r="C62" s="373">
        <v>25</v>
      </c>
      <c r="D62" s="366">
        <v>0.2</v>
      </c>
      <c r="E62" s="366">
        <v>-0.1</v>
      </c>
      <c r="F62" s="374">
        <f t="shared" si="12"/>
        <v>0.15000000000000002</v>
      </c>
      <c r="H62" s="372"/>
      <c r="I62" s="373">
        <v>50</v>
      </c>
      <c r="J62" s="366">
        <v>-5.4</v>
      </c>
      <c r="K62" s="366">
        <v>1.2</v>
      </c>
      <c r="L62" s="374">
        <f>0.5*(MAX(J62:K62)-MIN(J62:K62))</f>
        <v>3.3000000000000003</v>
      </c>
      <c r="O62" s="163"/>
      <c r="P62" s="158"/>
    </row>
    <row r="63" spans="1:16" x14ac:dyDescent="0.25">
      <c r="A63" s="963"/>
      <c r="C63" s="377">
        <v>30</v>
      </c>
      <c r="D63" s="375">
        <v>0.1</v>
      </c>
      <c r="E63" s="375">
        <v>-0.5</v>
      </c>
      <c r="F63" s="374">
        <f t="shared" si="12"/>
        <v>0.3</v>
      </c>
      <c r="H63" s="372"/>
      <c r="I63" s="377">
        <v>60</v>
      </c>
      <c r="J63" s="375">
        <v>-6.4</v>
      </c>
      <c r="K63" s="375">
        <v>1.1000000000000001</v>
      </c>
      <c r="L63" s="374">
        <f t="shared" si="13"/>
        <v>3.75</v>
      </c>
      <c r="O63" s="163"/>
      <c r="P63" s="158"/>
    </row>
    <row r="64" spans="1:16" x14ac:dyDescent="0.25">
      <c r="A64" s="963"/>
      <c r="C64" s="377">
        <v>35</v>
      </c>
      <c r="D64" s="375">
        <v>0.1</v>
      </c>
      <c r="E64" s="375">
        <v>-0.9</v>
      </c>
      <c r="F64" s="374">
        <f t="shared" si="12"/>
        <v>0.5</v>
      </c>
      <c r="H64" s="372"/>
      <c r="I64" s="377">
        <v>70</v>
      </c>
      <c r="J64" s="375">
        <v>-6.7</v>
      </c>
      <c r="K64" s="375">
        <v>0.9</v>
      </c>
      <c r="L64" s="374">
        <f t="shared" si="13"/>
        <v>3.8000000000000003</v>
      </c>
      <c r="O64" s="163"/>
      <c r="P64" s="158"/>
    </row>
    <row r="65" spans="1:16" x14ac:dyDescent="0.25">
      <c r="A65" s="963"/>
      <c r="C65" s="377">
        <v>37</v>
      </c>
      <c r="D65" s="375">
        <v>0.1</v>
      </c>
      <c r="E65" s="375">
        <v>-1.1000000000000001</v>
      </c>
      <c r="F65" s="374">
        <f t="shared" si="12"/>
        <v>0.60000000000000009</v>
      </c>
      <c r="H65" s="372"/>
      <c r="I65" s="377">
        <v>80</v>
      </c>
      <c r="J65" s="375">
        <v>-6.3</v>
      </c>
      <c r="K65" s="375">
        <v>0.8</v>
      </c>
      <c r="L65" s="374">
        <f t="shared" si="13"/>
        <v>3.55</v>
      </c>
      <c r="O65" s="163"/>
      <c r="P65" s="158"/>
    </row>
    <row r="66" spans="1:16" ht="13.8" thickBot="1" x14ac:dyDescent="0.3">
      <c r="A66" s="964"/>
      <c r="B66" s="214"/>
      <c r="C66" s="380">
        <v>40</v>
      </c>
      <c r="D66" s="381">
        <v>0.1</v>
      </c>
      <c r="E66" s="381">
        <v>-1.4</v>
      </c>
      <c r="F66" s="383">
        <f>0.5*(MAX(D66:E66)-MIN(D66:E66))</f>
        <v>0.75</v>
      </c>
      <c r="G66" s="214"/>
      <c r="H66" s="384"/>
      <c r="I66" s="380">
        <v>90</v>
      </c>
      <c r="J66" s="381">
        <v>-5.2</v>
      </c>
      <c r="K66" s="381">
        <v>0.7</v>
      </c>
      <c r="L66" s="383">
        <f>0.5*(MAX(J66:K66)-MIN(J66:K66))</f>
        <v>2.95</v>
      </c>
      <c r="M66" s="214"/>
      <c r="N66" s="214"/>
      <c r="O66" s="215"/>
      <c r="P66" s="158"/>
    </row>
    <row r="67" spans="1:16" ht="13.8" thickBot="1" x14ac:dyDescent="0.3">
      <c r="A67" s="390"/>
      <c r="B67" s="391"/>
      <c r="C67" s="391"/>
      <c r="D67" s="391"/>
      <c r="E67" s="392"/>
      <c r="F67" s="393"/>
      <c r="G67" s="2"/>
      <c r="H67" s="391"/>
      <c r="I67" s="391"/>
      <c r="J67" s="391"/>
      <c r="K67" s="392"/>
      <c r="L67" s="393"/>
      <c r="O67" s="163"/>
      <c r="P67" s="158"/>
    </row>
    <row r="68" spans="1:16" ht="13.8" thickBot="1" x14ac:dyDescent="0.3">
      <c r="A68" s="962">
        <v>7</v>
      </c>
      <c r="B68" s="965" t="s">
        <v>340</v>
      </c>
      <c r="C68" s="966"/>
      <c r="D68" s="966"/>
      <c r="E68" s="966"/>
      <c r="F68" s="967"/>
      <c r="G68" s="160"/>
      <c r="H68" s="965" t="str">
        <f>B68</f>
        <v>KOREKSI GREISINGER 34903053</v>
      </c>
      <c r="I68" s="966"/>
      <c r="J68" s="966"/>
      <c r="K68" s="966"/>
      <c r="L68" s="967"/>
      <c r="M68" s="160"/>
      <c r="N68" s="968" t="s">
        <v>235</v>
      </c>
      <c r="O68" s="969"/>
      <c r="P68" s="158"/>
    </row>
    <row r="69" spans="1:16" ht="13.8" thickBot="1" x14ac:dyDescent="0.3">
      <c r="A69" s="963"/>
      <c r="B69" s="975" t="s">
        <v>330</v>
      </c>
      <c r="C69" s="976"/>
      <c r="D69" s="971" t="s">
        <v>331</v>
      </c>
      <c r="E69" s="972"/>
      <c r="F69" s="973" t="s">
        <v>332</v>
      </c>
      <c r="H69" s="975" t="s">
        <v>333</v>
      </c>
      <c r="I69" s="976"/>
      <c r="J69" s="971" t="s">
        <v>331</v>
      </c>
      <c r="K69" s="972"/>
      <c r="L69" s="973" t="s">
        <v>332</v>
      </c>
      <c r="N69" s="358" t="s">
        <v>330</v>
      </c>
      <c r="O69" s="387">
        <v>0.2</v>
      </c>
      <c r="P69" s="158"/>
    </row>
    <row r="70" spans="1:16" ht="15" thickBot="1" x14ac:dyDescent="0.3">
      <c r="A70" s="963"/>
      <c r="B70" s="979" t="s">
        <v>334</v>
      </c>
      <c r="C70" s="980"/>
      <c r="D70" s="360">
        <v>2021</v>
      </c>
      <c r="E70" s="360">
        <v>2018</v>
      </c>
      <c r="F70" s="974"/>
      <c r="H70" s="981" t="s">
        <v>19</v>
      </c>
      <c r="I70" s="982"/>
      <c r="J70" s="362">
        <f>D70</f>
        <v>2021</v>
      </c>
      <c r="K70" s="362">
        <f>E70</f>
        <v>2018</v>
      </c>
      <c r="L70" s="974"/>
      <c r="N70" s="364" t="s">
        <v>19</v>
      </c>
      <c r="O70" s="388">
        <v>2.4</v>
      </c>
      <c r="P70" s="158"/>
    </row>
    <row r="71" spans="1:16" x14ac:dyDescent="0.25">
      <c r="A71" s="963"/>
      <c r="C71" s="368">
        <v>15</v>
      </c>
      <c r="D71" s="369">
        <v>0.1</v>
      </c>
      <c r="E71" s="369">
        <v>0.3</v>
      </c>
      <c r="F71" s="371">
        <f>0.5*(MAX(D71:E71)-MIN(D71:E71))</f>
        <v>9.9999999999999992E-2</v>
      </c>
      <c r="H71" s="372"/>
      <c r="I71" s="368">
        <v>30</v>
      </c>
      <c r="J71" s="369">
        <v>-1.9</v>
      </c>
      <c r="K71" s="369">
        <v>1.8</v>
      </c>
      <c r="L71" s="371">
        <f>0.5*(MAX(J71:K71)-MIN(J71:K71))</f>
        <v>1.85</v>
      </c>
      <c r="O71" s="163"/>
      <c r="P71" s="158"/>
    </row>
    <row r="72" spans="1:16" x14ac:dyDescent="0.25">
      <c r="A72" s="963"/>
      <c r="C72" s="373">
        <v>20</v>
      </c>
      <c r="D72" s="366">
        <v>0</v>
      </c>
      <c r="E72" s="366">
        <v>0.1</v>
      </c>
      <c r="F72" s="371">
        <f t="shared" ref="F72:F76" si="14">0.5*(MAX(D72:E72)-MIN(D72:E72))</f>
        <v>0.05</v>
      </c>
      <c r="H72" s="372"/>
      <c r="I72" s="373">
        <v>40</v>
      </c>
      <c r="J72" s="366">
        <v>-1.9</v>
      </c>
      <c r="K72" s="366">
        <v>1.2</v>
      </c>
      <c r="L72" s="371">
        <f t="shared" ref="L72:L77" si="15">0.5*(MAX(J72:K72)-MIN(J72:K72))</f>
        <v>1.5499999999999998</v>
      </c>
      <c r="O72" s="163"/>
      <c r="P72" s="158"/>
    </row>
    <row r="73" spans="1:16" x14ac:dyDescent="0.25">
      <c r="A73" s="963"/>
      <c r="C73" s="373">
        <v>25</v>
      </c>
      <c r="D73" s="366">
        <v>0</v>
      </c>
      <c r="E73" s="366">
        <v>-0.2</v>
      </c>
      <c r="F73" s="371">
        <f t="shared" si="14"/>
        <v>0.1</v>
      </c>
      <c r="H73" s="372"/>
      <c r="I73" s="373">
        <v>50</v>
      </c>
      <c r="J73" s="366">
        <v>-1.9</v>
      </c>
      <c r="K73" s="366">
        <v>0.8</v>
      </c>
      <c r="L73" s="371">
        <f t="shared" si="15"/>
        <v>1.35</v>
      </c>
      <c r="O73" s="163"/>
      <c r="P73" s="158"/>
    </row>
    <row r="74" spans="1:16" x14ac:dyDescent="0.25">
      <c r="A74" s="963"/>
      <c r="C74" s="377">
        <v>30</v>
      </c>
      <c r="D74" s="375">
        <v>0</v>
      </c>
      <c r="E74" s="375">
        <v>-0.6</v>
      </c>
      <c r="F74" s="371">
        <f t="shared" si="14"/>
        <v>0.3</v>
      </c>
      <c r="H74" s="372"/>
      <c r="I74" s="377">
        <v>60</v>
      </c>
      <c r="J74" s="375">
        <v>-2.1</v>
      </c>
      <c r="K74" s="375">
        <v>0.7</v>
      </c>
      <c r="L74" s="371">
        <f>0.5*(MAX(J74:K74)-MIN(J74:K74))</f>
        <v>1.4</v>
      </c>
      <c r="O74" s="163"/>
      <c r="P74" s="158"/>
    </row>
    <row r="75" spans="1:16" x14ac:dyDescent="0.25">
      <c r="A75" s="963"/>
      <c r="C75" s="377">
        <v>35</v>
      </c>
      <c r="D75" s="375">
        <v>0</v>
      </c>
      <c r="E75" s="375">
        <v>-1.1000000000000001</v>
      </c>
      <c r="F75" s="371">
        <f t="shared" si="14"/>
        <v>0.55000000000000004</v>
      </c>
      <c r="H75" s="372"/>
      <c r="I75" s="377">
        <v>70</v>
      </c>
      <c r="J75" s="375">
        <v>-2.2999999999999998</v>
      </c>
      <c r="K75" s="375">
        <v>0.9</v>
      </c>
      <c r="L75" s="371">
        <f t="shared" si="15"/>
        <v>1.5999999999999999</v>
      </c>
      <c r="O75" s="163"/>
      <c r="P75" s="158"/>
    </row>
    <row r="76" spans="1:16" x14ac:dyDescent="0.25">
      <c r="A76" s="963"/>
      <c r="C76" s="377">
        <v>37</v>
      </c>
      <c r="D76" s="375">
        <v>0</v>
      </c>
      <c r="E76" s="375">
        <v>-1.4</v>
      </c>
      <c r="F76" s="371">
        <f t="shared" si="14"/>
        <v>0.7</v>
      </c>
      <c r="H76" s="372"/>
      <c r="I76" s="377">
        <v>80</v>
      </c>
      <c r="J76" s="375">
        <v>-2.6</v>
      </c>
      <c r="K76" s="375">
        <v>1.2</v>
      </c>
      <c r="L76" s="371">
        <f>0.5*(MAX(J76:K76)-MIN(J76:K76))</f>
        <v>1.9</v>
      </c>
      <c r="O76" s="163"/>
      <c r="P76" s="158"/>
    </row>
    <row r="77" spans="1:16" ht="13.8" thickBot="1" x14ac:dyDescent="0.3">
      <c r="A77" s="964"/>
      <c r="B77" s="214"/>
      <c r="C77" s="380">
        <v>40</v>
      </c>
      <c r="D77" s="381">
        <v>0.1</v>
      </c>
      <c r="E77" s="381">
        <v>-1.7</v>
      </c>
      <c r="F77" s="371">
        <f>0.5*(MAX(D77:E77)-MIN(D77:E77))</f>
        <v>0.9</v>
      </c>
      <c r="H77" s="384"/>
      <c r="I77" s="380">
        <v>90</v>
      </c>
      <c r="J77" s="381">
        <v>-3</v>
      </c>
      <c r="K77" s="381">
        <v>1.8</v>
      </c>
      <c r="L77" s="371">
        <f t="shared" si="15"/>
        <v>2.4</v>
      </c>
      <c r="M77" s="214"/>
      <c r="N77" s="214"/>
      <c r="O77" s="215"/>
      <c r="P77" s="158"/>
    </row>
    <row r="78" spans="1:16" ht="13.8" thickBot="1" x14ac:dyDescent="0.3">
      <c r="A78" s="390"/>
      <c r="B78" s="391"/>
      <c r="C78" s="391"/>
      <c r="D78" s="391"/>
      <c r="E78" s="392"/>
      <c r="F78" s="393"/>
      <c r="G78" s="2"/>
      <c r="H78" s="391"/>
      <c r="I78" s="391"/>
      <c r="J78" s="391"/>
      <c r="K78" s="392"/>
      <c r="L78" s="393"/>
      <c r="O78" s="163"/>
      <c r="P78" s="158"/>
    </row>
    <row r="79" spans="1:16" ht="13.8" thickBot="1" x14ac:dyDescent="0.3">
      <c r="A79" s="962">
        <v>8</v>
      </c>
      <c r="B79" s="965" t="s">
        <v>341</v>
      </c>
      <c r="C79" s="966"/>
      <c r="D79" s="966"/>
      <c r="E79" s="966"/>
      <c r="F79" s="967"/>
      <c r="G79" s="160"/>
      <c r="H79" s="965" t="str">
        <f>B79</f>
        <v>KOREKSI GREISINGER 34903051</v>
      </c>
      <c r="I79" s="966"/>
      <c r="J79" s="966"/>
      <c r="K79" s="966"/>
      <c r="L79" s="967"/>
      <c r="M79" s="160"/>
      <c r="N79" s="968" t="s">
        <v>235</v>
      </c>
      <c r="O79" s="969"/>
      <c r="P79" s="158"/>
    </row>
    <row r="80" spans="1:16" ht="13.8" thickBot="1" x14ac:dyDescent="0.3">
      <c r="A80" s="963"/>
      <c r="B80" s="975" t="s">
        <v>330</v>
      </c>
      <c r="C80" s="976"/>
      <c r="D80" s="971" t="s">
        <v>331</v>
      </c>
      <c r="E80" s="972"/>
      <c r="F80" s="973" t="s">
        <v>332</v>
      </c>
      <c r="H80" s="975" t="s">
        <v>333</v>
      </c>
      <c r="I80" s="976"/>
      <c r="J80" s="971" t="s">
        <v>331</v>
      </c>
      <c r="K80" s="972"/>
      <c r="L80" s="973" t="s">
        <v>332</v>
      </c>
      <c r="N80" s="358" t="s">
        <v>330</v>
      </c>
      <c r="O80" s="359">
        <v>0.3</v>
      </c>
      <c r="P80" s="158"/>
    </row>
    <row r="81" spans="1:16" ht="15" thickBot="1" x14ac:dyDescent="0.3">
      <c r="A81" s="963"/>
      <c r="B81" s="979" t="s">
        <v>334</v>
      </c>
      <c r="C81" s="980"/>
      <c r="D81" s="360">
        <v>2021</v>
      </c>
      <c r="E81" s="360">
        <v>2019</v>
      </c>
      <c r="F81" s="974"/>
      <c r="H81" s="981" t="s">
        <v>19</v>
      </c>
      <c r="I81" s="982"/>
      <c r="J81" s="362">
        <f>D81</f>
        <v>2021</v>
      </c>
      <c r="K81" s="362">
        <f>E81</f>
        <v>2019</v>
      </c>
      <c r="L81" s="974"/>
      <c r="N81" s="364" t="s">
        <v>19</v>
      </c>
      <c r="O81" s="365">
        <v>2.5</v>
      </c>
      <c r="P81" s="158"/>
    </row>
    <row r="82" spans="1:16" x14ac:dyDescent="0.25">
      <c r="A82" s="963"/>
      <c r="C82" s="394">
        <v>15</v>
      </c>
      <c r="D82" s="369">
        <v>0.1</v>
      </c>
      <c r="E82" s="369">
        <v>0</v>
      </c>
      <c r="F82" s="371">
        <f>0.5*(MAX(D82:E82)-MIN(D82:E82))</f>
        <v>0.05</v>
      </c>
      <c r="H82" s="372"/>
      <c r="I82" s="394">
        <v>30</v>
      </c>
      <c r="J82" s="369">
        <v>-4</v>
      </c>
      <c r="K82" s="369">
        <v>-1.4</v>
      </c>
      <c r="L82" s="371">
        <f>0.5*(MAX(J82:K82)-MIN(J82:K82))</f>
        <v>1.3</v>
      </c>
      <c r="O82" s="163"/>
      <c r="P82" s="158"/>
    </row>
    <row r="83" spans="1:16" x14ac:dyDescent="0.25">
      <c r="A83" s="963"/>
      <c r="C83" s="395">
        <v>20</v>
      </c>
      <c r="D83" s="369">
        <v>0</v>
      </c>
      <c r="E83" s="369">
        <v>-0.2</v>
      </c>
      <c r="F83" s="371">
        <f t="shared" ref="F83:F87" si="16">0.5*(MAX(D83:E83)-MIN(D83:E83))</f>
        <v>0.1</v>
      </c>
      <c r="H83" s="372"/>
      <c r="I83" s="395">
        <v>40</v>
      </c>
      <c r="J83" s="366">
        <v>-3.8</v>
      </c>
      <c r="K83" s="366">
        <v>-1.2</v>
      </c>
      <c r="L83" s="371">
        <f t="shared" ref="L83:L88" si="17">0.5*(MAX(J83:K83)-MIN(J83:K83))</f>
        <v>1.2999999999999998</v>
      </c>
      <c r="O83" s="163"/>
      <c r="P83" s="158"/>
    </row>
    <row r="84" spans="1:16" x14ac:dyDescent="0.25">
      <c r="A84" s="963"/>
      <c r="C84" s="395">
        <v>25</v>
      </c>
      <c r="D84" s="369">
        <v>-0.1</v>
      </c>
      <c r="E84" s="369">
        <v>-0.4</v>
      </c>
      <c r="F84" s="371">
        <f t="shared" si="16"/>
        <v>0.15000000000000002</v>
      </c>
      <c r="H84" s="372"/>
      <c r="I84" s="395">
        <v>50</v>
      </c>
      <c r="J84" s="366">
        <v>-3.8</v>
      </c>
      <c r="K84" s="366">
        <v>-1.2</v>
      </c>
      <c r="L84" s="371">
        <f t="shared" si="17"/>
        <v>1.2999999999999998</v>
      </c>
      <c r="O84" s="163"/>
      <c r="P84" s="158"/>
    </row>
    <row r="85" spans="1:16" x14ac:dyDescent="0.25">
      <c r="A85" s="963"/>
      <c r="C85" s="396">
        <v>30</v>
      </c>
      <c r="D85" s="369">
        <v>-0.2</v>
      </c>
      <c r="E85" s="369">
        <v>-0.4</v>
      </c>
      <c r="F85" s="371">
        <f t="shared" si="16"/>
        <v>0.1</v>
      </c>
      <c r="H85" s="372"/>
      <c r="I85" s="396">
        <v>60</v>
      </c>
      <c r="J85" s="375">
        <v>-3.9</v>
      </c>
      <c r="K85" s="375">
        <v>-1.1000000000000001</v>
      </c>
      <c r="L85" s="371">
        <f t="shared" si="17"/>
        <v>1.4</v>
      </c>
      <c r="O85" s="163"/>
      <c r="P85" s="158"/>
    </row>
    <row r="86" spans="1:16" x14ac:dyDescent="0.25">
      <c r="A86" s="963"/>
      <c r="C86" s="396">
        <v>35</v>
      </c>
      <c r="D86" s="375">
        <v>-0.1</v>
      </c>
      <c r="E86" s="375">
        <v>-0.5</v>
      </c>
      <c r="F86" s="371">
        <f t="shared" si="16"/>
        <v>0.2</v>
      </c>
      <c r="H86" s="372"/>
      <c r="I86" s="396">
        <v>70</v>
      </c>
      <c r="J86" s="375">
        <v>-4.0999999999999996</v>
      </c>
      <c r="K86" s="375">
        <v>-1.2</v>
      </c>
      <c r="L86" s="371">
        <f t="shared" si="17"/>
        <v>1.4499999999999997</v>
      </c>
      <c r="O86" s="163"/>
      <c r="P86" s="158"/>
    </row>
    <row r="87" spans="1:16" x14ac:dyDescent="0.25">
      <c r="A87" s="963"/>
      <c r="C87" s="396">
        <v>37</v>
      </c>
      <c r="D87" s="375">
        <v>-0.1</v>
      </c>
      <c r="E87" s="375">
        <v>-0.5</v>
      </c>
      <c r="F87" s="371">
        <f t="shared" si="16"/>
        <v>0.2</v>
      </c>
      <c r="H87" s="372"/>
      <c r="I87" s="396">
        <v>80</v>
      </c>
      <c r="J87" s="375">
        <v>-4.5</v>
      </c>
      <c r="K87" s="375">
        <v>-1.2</v>
      </c>
      <c r="L87" s="371">
        <f t="shared" si="17"/>
        <v>1.65</v>
      </c>
      <c r="O87" s="163"/>
      <c r="P87" s="158"/>
    </row>
    <row r="88" spans="1:16" ht="13.8" thickBot="1" x14ac:dyDescent="0.3">
      <c r="A88" s="964"/>
      <c r="B88" s="214"/>
      <c r="C88" s="397">
        <v>40</v>
      </c>
      <c r="D88" s="381">
        <v>0</v>
      </c>
      <c r="E88" s="381">
        <v>-0.4</v>
      </c>
      <c r="F88" s="371">
        <f>0.5*(MAX(D88:E88)-MIN(D88:E88))</f>
        <v>0.2</v>
      </c>
      <c r="H88" s="384"/>
      <c r="I88" s="397">
        <v>90</v>
      </c>
      <c r="J88" s="381">
        <v>-4.9000000000000004</v>
      </c>
      <c r="K88" s="381">
        <v>-1.3</v>
      </c>
      <c r="L88" s="371">
        <f t="shared" si="17"/>
        <v>1.8000000000000003</v>
      </c>
      <c r="M88" s="214"/>
      <c r="N88" s="214"/>
      <c r="O88" s="215"/>
      <c r="P88" s="158"/>
    </row>
    <row r="89" spans="1:16" ht="13.8" thickBot="1" x14ac:dyDescent="0.3">
      <c r="A89" s="390"/>
      <c r="B89" s="391"/>
      <c r="C89" s="391"/>
      <c r="D89" s="391"/>
      <c r="E89" s="392"/>
      <c r="F89" s="398"/>
      <c r="G89" s="2"/>
      <c r="H89" s="391"/>
      <c r="I89" s="391"/>
      <c r="J89" s="391"/>
      <c r="K89" s="392"/>
      <c r="L89" s="398"/>
      <c r="O89" s="163"/>
      <c r="P89" s="158"/>
    </row>
    <row r="90" spans="1:16" ht="13.8" thickBot="1" x14ac:dyDescent="0.3">
      <c r="A90" s="962">
        <v>9</v>
      </c>
      <c r="B90" s="965" t="s">
        <v>342</v>
      </c>
      <c r="C90" s="966"/>
      <c r="D90" s="966"/>
      <c r="E90" s="966"/>
      <c r="F90" s="967"/>
      <c r="G90" s="160"/>
      <c r="H90" s="965" t="str">
        <f>B90</f>
        <v>KOREKSI GREISINGER 34904091</v>
      </c>
      <c r="I90" s="966"/>
      <c r="J90" s="966"/>
      <c r="K90" s="966"/>
      <c r="L90" s="967"/>
      <c r="M90" s="160"/>
      <c r="N90" s="968" t="s">
        <v>235</v>
      </c>
      <c r="O90" s="969"/>
      <c r="P90" s="158"/>
    </row>
    <row r="91" spans="1:16" ht="13.8" thickBot="1" x14ac:dyDescent="0.3">
      <c r="A91" s="963"/>
      <c r="B91" s="975" t="s">
        <v>330</v>
      </c>
      <c r="C91" s="976"/>
      <c r="D91" s="971" t="s">
        <v>331</v>
      </c>
      <c r="E91" s="972"/>
      <c r="F91" s="973" t="s">
        <v>332</v>
      </c>
      <c r="H91" s="975" t="s">
        <v>333</v>
      </c>
      <c r="I91" s="976"/>
      <c r="J91" s="971" t="s">
        <v>331</v>
      </c>
      <c r="K91" s="972"/>
      <c r="L91" s="973" t="s">
        <v>332</v>
      </c>
      <c r="N91" s="358" t="s">
        <v>330</v>
      </c>
      <c r="O91" s="359">
        <v>0.3</v>
      </c>
      <c r="P91" s="158"/>
    </row>
    <row r="92" spans="1:16" ht="15" thickBot="1" x14ac:dyDescent="0.3">
      <c r="A92" s="963"/>
      <c r="B92" s="979" t="s">
        <v>334</v>
      </c>
      <c r="C92" s="980"/>
      <c r="D92" s="360">
        <v>2019</v>
      </c>
      <c r="E92" s="361" t="s">
        <v>113</v>
      </c>
      <c r="F92" s="974"/>
      <c r="H92" s="981" t="s">
        <v>19</v>
      </c>
      <c r="I92" s="982"/>
      <c r="J92" s="362">
        <f>D92</f>
        <v>2019</v>
      </c>
      <c r="K92" s="363" t="str">
        <f>E92</f>
        <v>-</v>
      </c>
      <c r="L92" s="974"/>
      <c r="N92" s="364" t="s">
        <v>19</v>
      </c>
      <c r="O92" s="365">
        <v>2.4</v>
      </c>
      <c r="P92" s="158"/>
    </row>
    <row r="93" spans="1:16" x14ac:dyDescent="0.25">
      <c r="A93" s="963"/>
      <c r="B93" s="372"/>
      <c r="C93" s="394">
        <v>15</v>
      </c>
      <c r="D93" s="369">
        <v>0</v>
      </c>
      <c r="E93" s="370" t="s">
        <v>113</v>
      </c>
      <c r="F93" s="371">
        <f>0.5*(MAX(D93:E93)-MIN(D93:E93))</f>
        <v>0</v>
      </c>
      <c r="H93" s="372"/>
      <c r="I93" s="394">
        <v>30</v>
      </c>
      <c r="J93" s="369">
        <v>-1.2</v>
      </c>
      <c r="K93" s="370" t="s">
        <v>113</v>
      </c>
      <c r="L93" s="371">
        <f>0.5*(MAX(J93:K93)-MIN(J93:K93))</f>
        <v>0</v>
      </c>
      <c r="O93" s="163"/>
      <c r="P93" s="158"/>
    </row>
    <row r="94" spans="1:16" x14ac:dyDescent="0.25">
      <c r="A94" s="963"/>
      <c r="B94" s="372"/>
      <c r="C94" s="395">
        <v>20</v>
      </c>
      <c r="D94" s="369">
        <v>-0.2</v>
      </c>
      <c r="E94" s="181" t="s">
        <v>113</v>
      </c>
      <c r="F94" s="371">
        <f t="shared" ref="F94:F98" si="18">0.5*(MAX(D94:E94)-MIN(D94:E94))</f>
        <v>0</v>
      </c>
      <c r="H94" s="372"/>
      <c r="I94" s="395">
        <v>40</v>
      </c>
      <c r="J94" s="369">
        <v>-1</v>
      </c>
      <c r="K94" s="181" t="s">
        <v>113</v>
      </c>
      <c r="L94" s="374">
        <f t="shared" ref="L94:L98" si="19">0.5*(MAX(J94:K94)-MIN(J94:K94))</f>
        <v>0</v>
      </c>
      <c r="O94" s="163"/>
      <c r="P94" s="158"/>
    </row>
    <row r="95" spans="1:16" x14ac:dyDescent="0.25">
      <c r="A95" s="963"/>
      <c r="B95" s="372"/>
      <c r="C95" s="395">
        <v>25</v>
      </c>
      <c r="D95" s="369">
        <v>-0.4</v>
      </c>
      <c r="E95" s="181" t="s">
        <v>113</v>
      </c>
      <c r="F95" s="371">
        <f t="shared" si="18"/>
        <v>0</v>
      </c>
      <c r="H95" s="372"/>
      <c r="I95" s="395">
        <v>50</v>
      </c>
      <c r="J95" s="369">
        <v>-0.9</v>
      </c>
      <c r="K95" s="181" t="s">
        <v>113</v>
      </c>
      <c r="L95" s="374">
        <f t="shared" si="19"/>
        <v>0</v>
      </c>
      <c r="O95" s="163"/>
      <c r="P95" s="158"/>
    </row>
    <row r="96" spans="1:16" x14ac:dyDescent="0.25">
      <c r="A96" s="963"/>
      <c r="B96" s="372"/>
      <c r="C96" s="396">
        <v>30</v>
      </c>
      <c r="D96" s="369">
        <v>-0.5</v>
      </c>
      <c r="E96" s="378" t="s">
        <v>113</v>
      </c>
      <c r="F96" s="371">
        <f t="shared" si="18"/>
        <v>0</v>
      </c>
      <c r="H96" s="372"/>
      <c r="I96" s="396">
        <v>60</v>
      </c>
      <c r="J96" s="369">
        <v>-0.8</v>
      </c>
      <c r="K96" s="378" t="s">
        <v>113</v>
      </c>
      <c r="L96" s="374">
        <f t="shared" si="19"/>
        <v>0</v>
      </c>
      <c r="O96" s="163"/>
      <c r="P96" s="158"/>
    </row>
    <row r="97" spans="1:16" x14ac:dyDescent="0.25">
      <c r="A97" s="963"/>
      <c r="B97" s="372"/>
      <c r="C97" s="396">
        <v>35</v>
      </c>
      <c r="D97" s="369">
        <v>-0.5</v>
      </c>
      <c r="E97" s="378" t="s">
        <v>113</v>
      </c>
      <c r="F97" s="371">
        <f t="shared" si="18"/>
        <v>0</v>
      </c>
      <c r="H97" s="372"/>
      <c r="I97" s="396">
        <v>70</v>
      </c>
      <c r="J97" s="369">
        <v>-0.6</v>
      </c>
      <c r="K97" s="378" t="s">
        <v>113</v>
      </c>
      <c r="L97" s="374">
        <f t="shared" si="19"/>
        <v>0</v>
      </c>
      <c r="O97" s="163"/>
      <c r="P97" s="158"/>
    </row>
    <row r="98" spans="1:16" x14ac:dyDescent="0.25">
      <c r="A98" s="963"/>
      <c r="B98" s="372"/>
      <c r="C98" s="396">
        <v>37</v>
      </c>
      <c r="D98" s="369">
        <v>-0.5</v>
      </c>
      <c r="E98" s="378" t="s">
        <v>113</v>
      </c>
      <c r="F98" s="371">
        <f t="shared" si="18"/>
        <v>0</v>
      </c>
      <c r="H98" s="372"/>
      <c r="I98" s="396">
        <v>80</v>
      </c>
      <c r="J98" s="369">
        <v>-0.5</v>
      </c>
      <c r="K98" s="378" t="s">
        <v>113</v>
      </c>
      <c r="L98" s="374">
        <f t="shared" si="19"/>
        <v>0</v>
      </c>
      <c r="O98" s="163"/>
      <c r="P98" s="158"/>
    </row>
    <row r="99" spans="1:16" ht="13.8" thickBot="1" x14ac:dyDescent="0.3">
      <c r="A99" s="964"/>
      <c r="B99" s="384"/>
      <c r="C99" s="397">
        <v>40</v>
      </c>
      <c r="D99" s="399">
        <v>-0.4</v>
      </c>
      <c r="E99" s="382" t="s">
        <v>113</v>
      </c>
      <c r="F99" s="371">
        <f>0.5*(MAX(D99:E99)-MIN(D99:E99))</f>
        <v>0</v>
      </c>
      <c r="G99" s="214"/>
      <c r="H99" s="384"/>
      <c r="I99" s="397">
        <v>90</v>
      </c>
      <c r="J99" s="399">
        <v>-0.2</v>
      </c>
      <c r="K99" s="382" t="s">
        <v>113</v>
      </c>
      <c r="L99" s="383">
        <f>0.5*(MAX(J99:K99)-MIN(J99:K99))</f>
        <v>0</v>
      </c>
      <c r="M99" s="214"/>
      <c r="N99" s="214"/>
      <c r="O99" s="215"/>
      <c r="P99" s="158"/>
    </row>
    <row r="100" spans="1:16" ht="13.8" thickBot="1" x14ac:dyDescent="0.3">
      <c r="A100" s="390"/>
      <c r="B100" s="391"/>
      <c r="C100" s="391"/>
      <c r="D100" s="391"/>
      <c r="E100" s="392"/>
      <c r="F100" s="398"/>
      <c r="G100" s="2"/>
      <c r="H100" s="391"/>
      <c r="I100" s="391"/>
      <c r="J100" s="391"/>
      <c r="K100" s="392"/>
      <c r="L100" s="398"/>
      <c r="M100" s="2"/>
      <c r="O100" s="163"/>
      <c r="P100" s="158"/>
    </row>
    <row r="101" spans="1:16" ht="13.8" thickBot="1" x14ac:dyDescent="0.3">
      <c r="A101" s="962">
        <v>10</v>
      </c>
      <c r="B101" s="965" t="s">
        <v>343</v>
      </c>
      <c r="C101" s="966"/>
      <c r="D101" s="966"/>
      <c r="E101" s="966"/>
      <c r="F101" s="967"/>
      <c r="G101" s="160"/>
      <c r="H101" s="983" t="str">
        <f>B101</f>
        <v>KOREKSI Sekonic HE-21.000669</v>
      </c>
      <c r="I101" s="984"/>
      <c r="J101" s="984"/>
      <c r="K101" s="984"/>
      <c r="L101" s="985"/>
      <c r="M101" s="160"/>
      <c r="N101" s="968" t="s">
        <v>235</v>
      </c>
      <c r="O101" s="969"/>
      <c r="P101" s="158"/>
    </row>
    <row r="102" spans="1:16" ht="13.8" thickBot="1" x14ac:dyDescent="0.3">
      <c r="A102" s="963"/>
      <c r="B102" s="975" t="s">
        <v>330</v>
      </c>
      <c r="C102" s="976"/>
      <c r="D102" s="971" t="s">
        <v>331</v>
      </c>
      <c r="E102" s="972"/>
      <c r="F102" s="973" t="s">
        <v>332</v>
      </c>
      <c r="H102" s="975" t="s">
        <v>333</v>
      </c>
      <c r="I102" s="976"/>
      <c r="J102" s="971" t="s">
        <v>331</v>
      </c>
      <c r="K102" s="972"/>
      <c r="L102" s="973" t="s">
        <v>332</v>
      </c>
      <c r="N102" s="358" t="s">
        <v>330</v>
      </c>
      <c r="O102" s="359">
        <v>0.3</v>
      </c>
      <c r="P102" s="158"/>
    </row>
    <row r="103" spans="1:16" ht="15" thickBot="1" x14ac:dyDescent="0.3">
      <c r="A103" s="963"/>
      <c r="B103" s="979" t="s">
        <v>334</v>
      </c>
      <c r="C103" s="980"/>
      <c r="D103" s="360">
        <v>2019</v>
      </c>
      <c r="E103" s="360">
        <v>2016</v>
      </c>
      <c r="F103" s="974"/>
      <c r="H103" s="981" t="s">
        <v>19</v>
      </c>
      <c r="I103" s="982"/>
      <c r="J103" s="362">
        <f>D103</f>
        <v>2019</v>
      </c>
      <c r="K103" s="362">
        <f>E103</f>
        <v>2016</v>
      </c>
      <c r="L103" s="974"/>
      <c r="N103" s="364" t="s">
        <v>19</v>
      </c>
      <c r="O103" s="365">
        <v>1.5</v>
      </c>
      <c r="P103" s="158"/>
    </row>
    <row r="104" spans="1:16" x14ac:dyDescent="0.25">
      <c r="A104" s="963"/>
      <c r="C104" s="394">
        <v>15</v>
      </c>
      <c r="D104" s="369">
        <v>0.2</v>
      </c>
      <c r="E104" s="369">
        <v>0.2</v>
      </c>
      <c r="F104" s="371">
        <f>0.5*(MAX(D104:E104)-MIN(D104:E104))</f>
        <v>0</v>
      </c>
      <c r="H104" s="372"/>
      <c r="I104" s="394">
        <v>30</v>
      </c>
      <c r="J104" s="369">
        <v>-2.9</v>
      </c>
      <c r="K104" s="369">
        <v>-5.8</v>
      </c>
      <c r="L104" s="371">
        <f>0.5*(MAX(J104:K104)-MIN(J104:K104))</f>
        <v>1.45</v>
      </c>
      <c r="O104" s="163"/>
      <c r="P104" s="158"/>
    </row>
    <row r="105" spans="1:16" x14ac:dyDescent="0.25">
      <c r="A105" s="963"/>
      <c r="C105" s="395">
        <v>20</v>
      </c>
      <c r="D105" s="366">
        <v>0.2</v>
      </c>
      <c r="E105" s="366">
        <v>-0.7</v>
      </c>
      <c r="F105" s="374">
        <f t="shared" ref="F105:F109" si="20">0.5*(MAX(D105:E105)-MIN(D105:E105))</f>
        <v>0.44999999999999996</v>
      </c>
      <c r="H105" s="372"/>
      <c r="I105" s="395">
        <v>40</v>
      </c>
      <c r="J105" s="366">
        <v>-3.3</v>
      </c>
      <c r="K105" s="366">
        <v>-6.4</v>
      </c>
      <c r="L105" s="374">
        <f t="shared" ref="L105:L109" si="21">0.5*(MAX(J105:K105)-MIN(J105:K105))</f>
        <v>1.5500000000000003</v>
      </c>
      <c r="O105" s="163"/>
      <c r="P105" s="158"/>
    </row>
    <row r="106" spans="1:16" x14ac:dyDescent="0.25">
      <c r="A106" s="963"/>
      <c r="C106" s="395">
        <v>25</v>
      </c>
      <c r="D106" s="366">
        <v>0.1</v>
      </c>
      <c r="E106" s="366">
        <v>-0.5</v>
      </c>
      <c r="F106" s="374">
        <f t="shared" si="20"/>
        <v>0.3</v>
      </c>
      <c r="H106" s="372"/>
      <c r="I106" s="395">
        <v>50</v>
      </c>
      <c r="J106" s="366">
        <v>-3.1</v>
      </c>
      <c r="K106" s="366">
        <v>-6.1</v>
      </c>
      <c r="L106" s="374">
        <f t="shared" si="21"/>
        <v>1.4999999999999998</v>
      </c>
      <c r="O106" s="163"/>
      <c r="P106" s="158"/>
    </row>
    <row r="107" spans="1:16" x14ac:dyDescent="0.25">
      <c r="A107" s="963"/>
      <c r="C107" s="396">
        <v>30</v>
      </c>
      <c r="D107" s="375">
        <v>0.1</v>
      </c>
      <c r="E107" s="375">
        <v>0.2</v>
      </c>
      <c r="F107" s="374">
        <f t="shared" si="20"/>
        <v>0.05</v>
      </c>
      <c r="H107" s="372"/>
      <c r="I107" s="396">
        <v>60</v>
      </c>
      <c r="J107" s="375">
        <v>-2.1</v>
      </c>
      <c r="K107" s="375">
        <v>-5.6</v>
      </c>
      <c r="L107" s="374">
        <f t="shared" si="21"/>
        <v>1.7499999999999998</v>
      </c>
      <c r="O107" s="163"/>
      <c r="P107" s="158"/>
    </row>
    <row r="108" spans="1:16" x14ac:dyDescent="0.25">
      <c r="A108" s="963"/>
      <c r="C108" s="396">
        <v>35</v>
      </c>
      <c r="D108" s="375">
        <v>0.2</v>
      </c>
      <c r="E108" s="375">
        <v>0.8</v>
      </c>
      <c r="F108" s="374">
        <f t="shared" si="20"/>
        <v>0.30000000000000004</v>
      </c>
      <c r="H108" s="372"/>
      <c r="I108" s="396">
        <v>70</v>
      </c>
      <c r="J108" s="375">
        <v>-0.3</v>
      </c>
      <c r="K108" s="375">
        <v>-5.0999999999999996</v>
      </c>
      <c r="L108" s="374">
        <f t="shared" si="21"/>
        <v>2.4</v>
      </c>
      <c r="O108" s="163"/>
      <c r="P108" s="158"/>
    </row>
    <row r="109" spans="1:16" x14ac:dyDescent="0.25">
      <c r="A109" s="963"/>
      <c r="C109" s="396">
        <v>37</v>
      </c>
      <c r="D109" s="375">
        <v>0.2</v>
      </c>
      <c r="E109" s="375">
        <v>0.4</v>
      </c>
      <c r="F109" s="374">
        <f t="shared" si="20"/>
        <v>0.1</v>
      </c>
      <c r="H109" s="372"/>
      <c r="I109" s="396">
        <v>80</v>
      </c>
      <c r="J109" s="375">
        <v>2.2000000000000002</v>
      </c>
      <c r="K109" s="375">
        <v>-4.7</v>
      </c>
      <c r="L109" s="374">
        <f t="shared" si="21"/>
        <v>3.45</v>
      </c>
      <c r="O109" s="163"/>
      <c r="P109" s="158"/>
    </row>
    <row r="110" spans="1:16" ht="13.8" thickBot="1" x14ac:dyDescent="0.3">
      <c r="A110" s="964"/>
      <c r="B110" s="214"/>
      <c r="C110" s="397">
        <v>40</v>
      </c>
      <c r="D110" s="400">
        <v>0.2</v>
      </c>
      <c r="E110" s="400">
        <v>0</v>
      </c>
      <c r="F110" s="383">
        <f>0.5*(MAX(D110:E110)-MIN(D110:E110))</f>
        <v>0.1</v>
      </c>
      <c r="G110" s="214"/>
      <c r="H110" s="384"/>
      <c r="I110" s="397">
        <v>90</v>
      </c>
      <c r="J110" s="380">
        <v>5.4</v>
      </c>
      <c r="K110" s="380">
        <v>0</v>
      </c>
      <c r="L110" s="383">
        <f>0.5*(MAX(J110:K110)-MIN(J110:K110))</f>
        <v>2.7</v>
      </c>
      <c r="M110" s="214"/>
      <c r="N110" s="214"/>
      <c r="O110" s="215"/>
      <c r="P110" s="158"/>
    </row>
    <row r="111" spans="1:16" ht="13.8" thickBot="1" x14ac:dyDescent="0.3">
      <c r="A111" s="390"/>
      <c r="B111" s="391"/>
      <c r="C111" s="391"/>
      <c r="D111" s="391"/>
      <c r="E111" s="392"/>
      <c r="F111" s="398"/>
      <c r="G111" s="2"/>
      <c r="H111" s="391"/>
      <c r="I111" s="391"/>
      <c r="J111" s="391"/>
      <c r="K111" s="392"/>
      <c r="L111" s="398"/>
      <c r="M111" s="2"/>
      <c r="O111" s="163"/>
      <c r="P111" s="158"/>
    </row>
    <row r="112" spans="1:16" ht="13.8" thickBot="1" x14ac:dyDescent="0.3">
      <c r="A112" s="962">
        <v>11</v>
      </c>
      <c r="B112" s="965" t="s">
        <v>344</v>
      </c>
      <c r="C112" s="966"/>
      <c r="D112" s="966"/>
      <c r="E112" s="966"/>
      <c r="F112" s="967"/>
      <c r="G112" s="160"/>
      <c r="H112" s="983" t="str">
        <f>B112</f>
        <v>KOREKSI Sekonic HE-21.000670</v>
      </c>
      <c r="I112" s="984"/>
      <c r="J112" s="984"/>
      <c r="K112" s="984"/>
      <c r="L112" s="985"/>
      <c r="M112" s="160"/>
      <c r="N112" s="968" t="s">
        <v>235</v>
      </c>
      <c r="O112" s="969"/>
      <c r="P112" s="158"/>
    </row>
    <row r="113" spans="1:16" ht="13.8" thickBot="1" x14ac:dyDescent="0.3">
      <c r="A113" s="963"/>
      <c r="B113" s="975" t="s">
        <v>330</v>
      </c>
      <c r="C113" s="976"/>
      <c r="D113" s="971" t="s">
        <v>331</v>
      </c>
      <c r="E113" s="972"/>
      <c r="F113" s="973" t="s">
        <v>332</v>
      </c>
      <c r="H113" s="975" t="s">
        <v>333</v>
      </c>
      <c r="I113" s="976"/>
      <c r="J113" s="971" t="s">
        <v>331</v>
      </c>
      <c r="K113" s="972"/>
      <c r="L113" s="973" t="s">
        <v>332</v>
      </c>
      <c r="N113" s="358" t="s">
        <v>330</v>
      </c>
      <c r="O113" s="359">
        <v>0.3</v>
      </c>
      <c r="P113" s="158"/>
    </row>
    <row r="114" spans="1:16" ht="15" thickBot="1" x14ac:dyDescent="0.3">
      <c r="A114" s="963"/>
      <c r="B114" s="979" t="s">
        <v>334</v>
      </c>
      <c r="C114" s="980"/>
      <c r="D114" s="361">
        <v>2020</v>
      </c>
      <c r="E114" s="360">
        <v>2016</v>
      </c>
      <c r="F114" s="974"/>
      <c r="H114" s="981" t="s">
        <v>19</v>
      </c>
      <c r="I114" s="982"/>
      <c r="J114" s="363">
        <f>D114</f>
        <v>2020</v>
      </c>
      <c r="K114" s="362">
        <f>E114</f>
        <v>2016</v>
      </c>
      <c r="L114" s="974"/>
      <c r="N114" s="364" t="s">
        <v>19</v>
      </c>
      <c r="O114" s="365">
        <v>1.8</v>
      </c>
      <c r="P114" s="158"/>
    </row>
    <row r="115" spans="1:16" x14ac:dyDescent="0.25">
      <c r="A115" s="963"/>
      <c r="C115" s="368">
        <v>14.8</v>
      </c>
      <c r="D115" s="369">
        <v>0.3</v>
      </c>
      <c r="E115" s="369">
        <v>0.3</v>
      </c>
      <c r="F115" s="371">
        <f>0.5*(MAX(D115:E115)-MIN(D115:E115))</f>
        <v>0</v>
      </c>
      <c r="H115" s="372"/>
      <c r="I115" s="368">
        <v>45.7</v>
      </c>
      <c r="J115" s="369">
        <v>-5.2</v>
      </c>
      <c r="K115" s="369">
        <v>-6.4</v>
      </c>
      <c r="L115" s="371">
        <f>0.5*(MAX(J115:K115)-MIN(J115:K115))</f>
        <v>0.60000000000000009</v>
      </c>
      <c r="O115" s="163"/>
      <c r="P115" s="158"/>
    </row>
    <row r="116" spans="1:16" x14ac:dyDescent="0.25">
      <c r="A116" s="963"/>
      <c r="C116" s="373">
        <v>19.7</v>
      </c>
      <c r="D116" s="366">
        <v>0.4</v>
      </c>
      <c r="E116" s="366">
        <v>0.5</v>
      </c>
      <c r="F116" s="371">
        <f t="shared" ref="F116:F120" si="22">0.5*(MAX(D116:E116)-MIN(D116:E116))</f>
        <v>4.9999999999999989E-2</v>
      </c>
      <c r="H116" s="372"/>
      <c r="I116" s="373">
        <v>54.3</v>
      </c>
      <c r="J116" s="366">
        <v>-5.5</v>
      </c>
      <c r="K116" s="366">
        <v>-5.9</v>
      </c>
      <c r="L116" s="371">
        <f t="shared" ref="L116:L121" si="23">0.5*(MAX(J116:K116)-MIN(J116:K116))</f>
        <v>0.20000000000000018</v>
      </c>
      <c r="O116" s="163"/>
      <c r="P116" s="158"/>
    </row>
    <row r="117" spans="1:16" x14ac:dyDescent="0.25">
      <c r="A117" s="963"/>
      <c r="C117" s="373">
        <v>24.6</v>
      </c>
      <c r="D117" s="366">
        <v>0.4</v>
      </c>
      <c r="E117" s="366">
        <v>0.5</v>
      </c>
      <c r="F117" s="371">
        <f t="shared" si="22"/>
        <v>4.9999999999999989E-2</v>
      </c>
      <c r="H117" s="372"/>
      <c r="I117" s="373">
        <v>62.5</v>
      </c>
      <c r="J117" s="366">
        <v>-5.5</v>
      </c>
      <c r="K117" s="366">
        <v>-5.6</v>
      </c>
      <c r="L117" s="371">
        <f t="shared" si="23"/>
        <v>4.9999999999999822E-2</v>
      </c>
      <c r="O117" s="163"/>
      <c r="P117" s="158"/>
    </row>
    <row r="118" spans="1:16" x14ac:dyDescent="0.25">
      <c r="A118" s="963"/>
      <c r="C118" s="377">
        <v>29.5</v>
      </c>
      <c r="D118" s="378">
        <v>0.5</v>
      </c>
      <c r="E118" s="375">
        <v>0.4</v>
      </c>
      <c r="F118" s="371">
        <f>0.5*(MAX(D118:E118)-MIN(D118:E118))</f>
        <v>4.9999999999999989E-2</v>
      </c>
      <c r="H118" s="372"/>
      <c r="I118" s="377">
        <v>71.5</v>
      </c>
      <c r="J118" s="378">
        <v>-4.8</v>
      </c>
      <c r="K118" s="375">
        <v>-4.5</v>
      </c>
      <c r="L118" s="371">
        <f t="shared" si="23"/>
        <v>0.14999999999999991</v>
      </c>
      <c r="O118" s="163"/>
      <c r="P118" s="158"/>
    </row>
    <row r="119" spans="1:16" x14ac:dyDescent="0.25">
      <c r="A119" s="963"/>
      <c r="C119" s="377">
        <v>34.5</v>
      </c>
      <c r="D119" s="378">
        <v>0.5</v>
      </c>
      <c r="E119" s="375">
        <v>0.4</v>
      </c>
      <c r="F119" s="371">
        <f t="shared" si="22"/>
        <v>4.9999999999999989E-2</v>
      </c>
      <c r="H119" s="372"/>
      <c r="I119" s="377">
        <v>80.8</v>
      </c>
      <c r="J119" s="378">
        <v>-3.4</v>
      </c>
      <c r="K119" s="375">
        <v>-1.7</v>
      </c>
      <c r="L119" s="371">
        <f t="shared" si="23"/>
        <v>0.85</v>
      </c>
      <c r="O119" s="163"/>
      <c r="P119" s="158"/>
    </row>
    <row r="120" spans="1:16" x14ac:dyDescent="0.25">
      <c r="A120" s="963"/>
      <c r="C120" s="377">
        <v>39.5</v>
      </c>
      <c r="D120" s="378">
        <v>0.5</v>
      </c>
      <c r="E120" s="375">
        <v>0.5</v>
      </c>
      <c r="F120" s="371">
        <f t="shared" si="22"/>
        <v>0</v>
      </c>
      <c r="H120" s="372"/>
      <c r="I120" s="377">
        <v>88.7</v>
      </c>
      <c r="J120" s="378">
        <v>-1.4</v>
      </c>
      <c r="K120" s="375">
        <v>2.6</v>
      </c>
      <c r="L120" s="371">
        <f t="shared" si="23"/>
        <v>2</v>
      </c>
      <c r="O120" s="163"/>
      <c r="P120" s="158"/>
    </row>
    <row r="121" spans="1:16" ht="13.8" thickBot="1" x14ac:dyDescent="0.3">
      <c r="A121" s="964"/>
      <c r="B121" s="214"/>
      <c r="C121" s="380">
        <v>40</v>
      </c>
      <c r="D121" s="382">
        <v>0.5</v>
      </c>
      <c r="E121" s="381">
        <v>0</v>
      </c>
      <c r="F121" s="371">
        <f>0.5*(MAX(D121:E121)-MIN(D121:E121))</f>
        <v>0.25</v>
      </c>
      <c r="H121" s="384"/>
      <c r="I121" s="380">
        <v>90</v>
      </c>
      <c r="J121" s="382">
        <v>1.3</v>
      </c>
      <c r="K121" s="381">
        <v>0</v>
      </c>
      <c r="L121" s="371">
        <f t="shared" si="23"/>
        <v>0.65</v>
      </c>
      <c r="M121" s="214"/>
      <c r="N121" s="214"/>
      <c r="O121" s="215"/>
      <c r="P121" s="158"/>
    </row>
    <row r="122" spans="1:16" ht="13.8" thickBot="1" x14ac:dyDescent="0.3">
      <c r="A122" s="390"/>
      <c r="B122" s="391"/>
      <c r="C122" s="391"/>
      <c r="D122" s="391"/>
      <c r="E122" s="392"/>
      <c r="F122" s="398"/>
      <c r="G122" s="2"/>
      <c r="H122" s="391"/>
      <c r="I122" s="391"/>
      <c r="J122" s="391"/>
      <c r="K122" s="392"/>
      <c r="L122" s="398"/>
      <c r="O122" s="163"/>
      <c r="P122" s="158"/>
    </row>
    <row r="123" spans="1:16" ht="13.8" thickBot="1" x14ac:dyDescent="0.3">
      <c r="A123" s="962">
        <v>12</v>
      </c>
      <c r="B123" s="965" t="s">
        <v>345</v>
      </c>
      <c r="C123" s="966"/>
      <c r="D123" s="966"/>
      <c r="E123" s="966"/>
      <c r="F123" s="967"/>
      <c r="G123" s="160"/>
      <c r="H123" s="965" t="str">
        <f>B123</f>
        <v>KOREKSI EXTECH SD700 A.100605</v>
      </c>
      <c r="I123" s="966"/>
      <c r="J123" s="966"/>
      <c r="K123" s="966"/>
      <c r="L123" s="967"/>
      <c r="M123" s="160"/>
      <c r="N123" s="968" t="s">
        <v>235</v>
      </c>
      <c r="O123" s="969"/>
      <c r="P123" s="158"/>
    </row>
    <row r="124" spans="1:16" ht="13.8" thickBot="1" x14ac:dyDescent="0.3">
      <c r="A124" s="963"/>
      <c r="B124" s="975" t="s">
        <v>330</v>
      </c>
      <c r="C124" s="976"/>
      <c r="D124" s="971" t="s">
        <v>331</v>
      </c>
      <c r="E124" s="972"/>
      <c r="F124" s="973" t="s">
        <v>332</v>
      </c>
      <c r="H124" s="975" t="s">
        <v>333</v>
      </c>
      <c r="I124" s="976"/>
      <c r="J124" s="971" t="s">
        <v>331</v>
      </c>
      <c r="K124" s="972"/>
      <c r="L124" s="973" t="s">
        <v>332</v>
      </c>
      <c r="N124" s="358" t="s">
        <v>330</v>
      </c>
      <c r="O124" s="359">
        <v>0.3</v>
      </c>
      <c r="P124" s="158"/>
    </row>
    <row r="125" spans="1:16" ht="15" thickBot="1" x14ac:dyDescent="0.3">
      <c r="A125" s="963"/>
      <c r="B125" s="979" t="s">
        <v>334</v>
      </c>
      <c r="C125" s="980"/>
      <c r="D125" s="360">
        <v>2020</v>
      </c>
      <c r="E125" s="361" t="s">
        <v>113</v>
      </c>
      <c r="F125" s="974"/>
      <c r="H125" s="981" t="s">
        <v>19</v>
      </c>
      <c r="I125" s="982"/>
      <c r="J125" s="362">
        <f>D125</f>
        <v>2020</v>
      </c>
      <c r="K125" s="363" t="str">
        <f>E125</f>
        <v>-</v>
      </c>
      <c r="L125" s="974"/>
      <c r="N125" s="364" t="s">
        <v>19</v>
      </c>
      <c r="O125" s="365">
        <v>2.7</v>
      </c>
      <c r="P125" s="158"/>
    </row>
    <row r="126" spans="1:16" x14ac:dyDescent="0.25">
      <c r="A126" s="963"/>
      <c r="C126" s="368">
        <v>15</v>
      </c>
      <c r="D126" s="369">
        <v>-0.7</v>
      </c>
      <c r="E126" s="370" t="s">
        <v>113</v>
      </c>
      <c r="F126" s="371">
        <f>0.5*(MAX(D126:E126)-MIN(D126:E126))</f>
        <v>0</v>
      </c>
      <c r="H126" s="372"/>
      <c r="I126" s="368">
        <v>35</v>
      </c>
      <c r="J126" s="369">
        <v>-1.4</v>
      </c>
      <c r="K126" s="370" t="s">
        <v>113</v>
      </c>
      <c r="L126" s="371">
        <f>0.5*(MAX(J126:K126)-MIN(J126:K126))</f>
        <v>0</v>
      </c>
      <c r="O126" s="163"/>
      <c r="P126" s="158"/>
    </row>
    <row r="127" spans="1:16" x14ac:dyDescent="0.25">
      <c r="A127" s="963"/>
      <c r="C127" s="373">
        <v>20</v>
      </c>
      <c r="D127" s="366">
        <v>-0.4</v>
      </c>
      <c r="E127" s="181" t="s">
        <v>113</v>
      </c>
      <c r="F127" s="374">
        <f t="shared" ref="F127:F131" si="24">0.5*(MAX(D127:E127)-MIN(D127:E127))</f>
        <v>0</v>
      </c>
      <c r="H127" s="372"/>
      <c r="I127" s="373">
        <v>40</v>
      </c>
      <c r="J127" s="366">
        <v>-1.3</v>
      </c>
      <c r="K127" s="181" t="s">
        <v>113</v>
      </c>
      <c r="L127" s="374">
        <f t="shared" ref="L127:L132" si="25">0.5*(MAX(J127:K127)-MIN(J127:K127))</f>
        <v>0</v>
      </c>
      <c r="O127" s="163"/>
      <c r="P127" s="158"/>
    </row>
    <row r="128" spans="1:16" x14ac:dyDescent="0.25">
      <c r="A128" s="963"/>
      <c r="C128" s="373">
        <v>25</v>
      </c>
      <c r="D128" s="366">
        <v>-0.2</v>
      </c>
      <c r="E128" s="181" t="s">
        <v>113</v>
      </c>
      <c r="F128" s="374">
        <f t="shared" si="24"/>
        <v>0</v>
      </c>
      <c r="H128" s="372"/>
      <c r="I128" s="373">
        <v>50</v>
      </c>
      <c r="J128" s="366">
        <v>-1.3</v>
      </c>
      <c r="K128" s="181" t="s">
        <v>113</v>
      </c>
      <c r="L128" s="374">
        <f t="shared" si="25"/>
        <v>0</v>
      </c>
      <c r="O128" s="163"/>
      <c r="P128" s="158"/>
    </row>
    <row r="129" spans="1:16" x14ac:dyDescent="0.25">
      <c r="A129" s="963"/>
      <c r="C129" s="377">
        <v>30</v>
      </c>
      <c r="D129" s="375">
        <v>0.1</v>
      </c>
      <c r="E129" s="378" t="s">
        <v>113</v>
      </c>
      <c r="F129" s="374">
        <f t="shared" si="24"/>
        <v>0</v>
      </c>
      <c r="H129" s="372"/>
      <c r="I129" s="377">
        <v>60</v>
      </c>
      <c r="J129" s="375">
        <v>-1.5</v>
      </c>
      <c r="K129" s="378" t="s">
        <v>113</v>
      </c>
      <c r="L129" s="374">
        <f t="shared" si="25"/>
        <v>0</v>
      </c>
      <c r="O129" s="163"/>
      <c r="P129" s="158"/>
    </row>
    <row r="130" spans="1:16" x14ac:dyDescent="0.25">
      <c r="A130" s="963"/>
      <c r="C130" s="377">
        <v>35</v>
      </c>
      <c r="D130" s="375">
        <v>0.3</v>
      </c>
      <c r="E130" s="378" t="s">
        <v>113</v>
      </c>
      <c r="F130" s="374">
        <f t="shared" si="24"/>
        <v>0</v>
      </c>
      <c r="H130" s="372"/>
      <c r="I130" s="377">
        <v>70</v>
      </c>
      <c r="J130" s="375">
        <v>-1.9</v>
      </c>
      <c r="K130" s="378" t="s">
        <v>113</v>
      </c>
      <c r="L130" s="374">
        <f t="shared" si="25"/>
        <v>0</v>
      </c>
      <c r="O130" s="163"/>
      <c r="P130" s="158"/>
    </row>
    <row r="131" spans="1:16" x14ac:dyDescent="0.25">
      <c r="A131" s="963"/>
      <c r="C131" s="377">
        <v>37</v>
      </c>
      <c r="D131" s="375">
        <v>0.4</v>
      </c>
      <c r="E131" s="378" t="s">
        <v>113</v>
      </c>
      <c r="F131" s="374">
        <f t="shared" si="24"/>
        <v>0</v>
      </c>
      <c r="H131" s="372"/>
      <c r="I131" s="377">
        <v>80</v>
      </c>
      <c r="J131" s="375">
        <v>-2.5</v>
      </c>
      <c r="K131" s="378" t="s">
        <v>113</v>
      </c>
      <c r="L131" s="374">
        <f t="shared" si="25"/>
        <v>0</v>
      </c>
      <c r="O131" s="163"/>
      <c r="P131" s="158"/>
    </row>
    <row r="132" spans="1:16" ht="13.8" thickBot="1" x14ac:dyDescent="0.3">
      <c r="A132" s="964"/>
      <c r="B132" s="214"/>
      <c r="C132" s="380">
        <v>40</v>
      </c>
      <c r="D132" s="381">
        <v>0.5</v>
      </c>
      <c r="E132" s="382" t="s">
        <v>113</v>
      </c>
      <c r="F132" s="383">
        <f>0.5*(MAX(D132:E132)-MIN(D132:E132))</f>
        <v>0</v>
      </c>
      <c r="G132" s="214"/>
      <c r="H132" s="384"/>
      <c r="I132" s="380">
        <v>90</v>
      </c>
      <c r="J132" s="381">
        <v>-3.2</v>
      </c>
      <c r="K132" s="382" t="s">
        <v>113</v>
      </c>
      <c r="L132" s="383">
        <f t="shared" si="25"/>
        <v>0</v>
      </c>
      <c r="M132" s="214"/>
      <c r="N132" s="214"/>
      <c r="O132" s="215"/>
      <c r="P132" s="158"/>
    </row>
    <row r="133" spans="1:16" ht="13.8" thickBot="1" x14ac:dyDescent="0.3">
      <c r="A133" s="962">
        <v>13</v>
      </c>
      <c r="B133" s="965" t="s">
        <v>346</v>
      </c>
      <c r="C133" s="966"/>
      <c r="D133" s="966"/>
      <c r="E133" s="966"/>
      <c r="F133" s="967"/>
      <c r="G133" s="160"/>
      <c r="H133" s="965" t="str">
        <f>B133</f>
        <v>KOREKSI EXTECH SD700 A.100611</v>
      </c>
      <c r="I133" s="966"/>
      <c r="J133" s="966"/>
      <c r="K133" s="966"/>
      <c r="L133" s="967"/>
      <c r="M133" s="160"/>
      <c r="N133" s="968" t="s">
        <v>235</v>
      </c>
      <c r="O133" s="969"/>
      <c r="P133" s="158"/>
    </row>
    <row r="134" spans="1:16" ht="13.8" thickBot="1" x14ac:dyDescent="0.3">
      <c r="A134" s="963"/>
      <c r="B134" s="975" t="s">
        <v>330</v>
      </c>
      <c r="C134" s="976"/>
      <c r="D134" s="971" t="s">
        <v>331</v>
      </c>
      <c r="E134" s="972"/>
      <c r="F134" s="973" t="s">
        <v>332</v>
      </c>
      <c r="H134" s="975" t="s">
        <v>333</v>
      </c>
      <c r="I134" s="976"/>
      <c r="J134" s="971" t="s">
        <v>331</v>
      </c>
      <c r="K134" s="972"/>
      <c r="L134" s="973" t="s">
        <v>332</v>
      </c>
      <c r="N134" s="358" t="s">
        <v>330</v>
      </c>
      <c r="O134" s="359">
        <v>0.3</v>
      </c>
      <c r="P134" s="158"/>
    </row>
    <row r="135" spans="1:16" ht="15" thickBot="1" x14ac:dyDescent="0.3">
      <c r="A135" s="963"/>
      <c r="B135" s="979" t="s">
        <v>334</v>
      </c>
      <c r="C135" s="980"/>
      <c r="D135" s="360">
        <v>2020</v>
      </c>
      <c r="E135" s="361" t="s">
        <v>113</v>
      </c>
      <c r="F135" s="974"/>
      <c r="H135" s="981" t="s">
        <v>19</v>
      </c>
      <c r="I135" s="982"/>
      <c r="J135" s="362">
        <f>D135</f>
        <v>2020</v>
      </c>
      <c r="K135" s="363" t="str">
        <f>E135</f>
        <v>-</v>
      </c>
      <c r="L135" s="974"/>
      <c r="N135" s="364" t="s">
        <v>19</v>
      </c>
      <c r="O135" s="365">
        <v>2.7</v>
      </c>
      <c r="P135" s="158"/>
    </row>
    <row r="136" spans="1:16" x14ac:dyDescent="0.25">
      <c r="A136" s="963"/>
      <c r="C136" s="368">
        <v>15</v>
      </c>
      <c r="D136" s="369">
        <v>-0.6</v>
      </c>
      <c r="E136" s="370" t="s">
        <v>113</v>
      </c>
      <c r="F136" s="371">
        <f>0.5*(MAX(D136:E136)-MIN(D136:E136))</f>
        <v>0</v>
      </c>
      <c r="H136" s="372"/>
      <c r="I136" s="368">
        <v>35</v>
      </c>
      <c r="J136" s="369">
        <v>-0.4</v>
      </c>
      <c r="K136" s="370" t="s">
        <v>113</v>
      </c>
      <c r="L136" s="371">
        <f>0.5*(MAX(J136:K136)-MIN(J136:K136))</f>
        <v>0</v>
      </c>
      <c r="O136" s="163"/>
      <c r="P136" s="158"/>
    </row>
    <row r="137" spans="1:16" x14ac:dyDescent="0.25">
      <c r="A137" s="963"/>
      <c r="C137" s="373">
        <v>20</v>
      </c>
      <c r="D137" s="366">
        <v>-0.5</v>
      </c>
      <c r="E137" s="181" t="s">
        <v>113</v>
      </c>
      <c r="F137" s="374">
        <f t="shared" ref="F137:F141" si="26">0.5*(MAX(D137:E137)-MIN(D137:E137))</f>
        <v>0</v>
      </c>
      <c r="H137" s="372"/>
      <c r="I137" s="373">
        <v>40</v>
      </c>
      <c r="J137" s="366">
        <v>-0.3</v>
      </c>
      <c r="K137" s="181" t="s">
        <v>113</v>
      </c>
      <c r="L137" s="374">
        <f t="shared" ref="L137:L142" si="27">0.5*(MAX(J137:K137)-MIN(J137:K137))</f>
        <v>0</v>
      </c>
      <c r="O137" s="163"/>
      <c r="P137" s="158"/>
    </row>
    <row r="138" spans="1:16" x14ac:dyDescent="0.25">
      <c r="A138" s="963"/>
      <c r="C138" s="373">
        <v>25</v>
      </c>
      <c r="D138" s="366">
        <v>-0.4</v>
      </c>
      <c r="E138" s="181" t="s">
        <v>113</v>
      </c>
      <c r="F138" s="374">
        <f t="shared" si="26"/>
        <v>0</v>
      </c>
      <c r="H138" s="372"/>
      <c r="I138" s="373">
        <v>50</v>
      </c>
      <c r="J138" s="366">
        <v>-0.3</v>
      </c>
      <c r="K138" s="181" t="s">
        <v>113</v>
      </c>
      <c r="L138" s="374">
        <f t="shared" si="27"/>
        <v>0</v>
      </c>
      <c r="O138" s="163"/>
      <c r="P138" s="158"/>
    </row>
    <row r="139" spans="1:16" x14ac:dyDescent="0.25">
      <c r="A139" s="963"/>
      <c r="C139" s="377">
        <v>30</v>
      </c>
      <c r="D139" s="375">
        <v>-0.2</v>
      </c>
      <c r="E139" s="378" t="s">
        <v>113</v>
      </c>
      <c r="F139" s="374">
        <f t="shared" si="26"/>
        <v>0</v>
      </c>
      <c r="H139" s="372"/>
      <c r="I139" s="377">
        <v>60</v>
      </c>
      <c r="J139" s="375">
        <v>-0.5</v>
      </c>
      <c r="K139" s="378" t="s">
        <v>113</v>
      </c>
      <c r="L139" s="374">
        <f t="shared" si="27"/>
        <v>0</v>
      </c>
      <c r="O139" s="163"/>
      <c r="P139" s="158"/>
    </row>
    <row r="140" spans="1:16" x14ac:dyDescent="0.25">
      <c r="A140" s="963"/>
      <c r="C140" s="377">
        <v>35</v>
      </c>
      <c r="D140" s="375">
        <v>-0.1</v>
      </c>
      <c r="E140" s="378" t="s">
        <v>113</v>
      </c>
      <c r="F140" s="374">
        <f t="shared" si="26"/>
        <v>0</v>
      </c>
      <c r="H140" s="372"/>
      <c r="I140" s="377">
        <v>70</v>
      </c>
      <c r="J140" s="375">
        <v>-0.8</v>
      </c>
      <c r="K140" s="378" t="s">
        <v>113</v>
      </c>
      <c r="L140" s="374">
        <f t="shared" si="27"/>
        <v>0</v>
      </c>
      <c r="O140" s="163"/>
      <c r="P140" s="158"/>
    </row>
    <row r="141" spans="1:16" x14ac:dyDescent="0.25">
      <c r="A141" s="963"/>
      <c r="C141" s="377">
        <v>37</v>
      </c>
      <c r="D141" s="375">
        <v>-0.1</v>
      </c>
      <c r="E141" s="378" t="s">
        <v>113</v>
      </c>
      <c r="F141" s="374">
        <f t="shared" si="26"/>
        <v>0</v>
      </c>
      <c r="H141" s="372"/>
      <c r="I141" s="377">
        <v>80</v>
      </c>
      <c r="J141" s="375">
        <v>-1.3</v>
      </c>
      <c r="K141" s="378" t="s">
        <v>113</v>
      </c>
      <c r="L141" s="374">
        <f t="shared" si="27"/>
        <v>0</v>
      </c>
      <c r="O141" s="163"/>
      <c r="P141" s="158"/>
    </row>
    <row r="142" spans="1:16" ht="13.8" thickBot="1" x14ac:dyDescent="0.3">
      <c r="A142" s="964"/>
      <c r="B142" s="214"/>
      <c r="C142" s="380">
        <v>40</v>
      </c>
      <c r="D142" s="381">
        <v>0</v>
      </c>
      <c r="E142" s="382" t="s">
        <v>113</v>
      </c>
      <c r="F142" s="383">
        <f>0.5*(MAX(D142:E142)-MIN(D142:E142))</f>
        <v>0</v>
      </c>
      <c r="G142" s="214"/>
      <c r="H142" s="384"/>
      <c r="I142" s="380">
        <v>90</v>
      </c>
      <c r="J142" s="381">
        <v>-2</v>
      </c>
      <c r="K142" s="382" t="s">
        <v>113</v>
      </c>
      <c r="L142" s="383">
        <f t="shared" si="27"/>
        <v>0</v>
      </c>
      <c r="M142" s="214"/>
      <c r="N142" s="214"/>
      <c r="O142" s="215"/>
      <c r="P142" s="158"/>
    </row>
    <row r="143" spans="1:16" ht="13.8" thickBot="1" x14ac:dyDescent="0.3">
      <c r="A143" s="962">
        <v>14</v>
      </c>
      <c r="B143" s="965" t="s">
        <v>347</v>
      </c>
      <c r="C143" s="966"/>
      <c r="D143" s="966"/>
      <c r="E143" s="966"/>
      <c r="F143" s="967"/>
      <c r="G143" s="160"/>
      <c r="H143" s="965" t="str">
        <f>B143</f>
        <v>KOREKSI EXTECH SD700 A.100609</v>
      </c>
      <c r="I143" s="966"/>
      <c r="J143" s="966"/>
      <c r="K143" s="966"/>
      <c r="L143" s="967"/>
      <c r="M143" s="160"/>
      <c r="N143" s="968" t="s">
        <v>235</v>
      </c>
      <c r="O143" s="969"/>
      <c r="P143" s="158"/>
    </row>
    <row r="144" spans="1:16" ht="13.8" thickBot="1" x14ac:dyDescent="0.3">
      <c r="A144" s="963"/>
      <c r="B144" s="975" t="s">
        <v>330</v>
      </c>
      <c r="C144" s="976"/>
      <c r="D144" s="971" t="s">
        <v>331</v>
      </c>
      <c r="E144" s="972"/>
      <c r="F144" s="973" t="s">
        <v>332</v>
      </c>
      <c r="H144" s="975" t="s">
        <v>333</v>
      </c>
      <c r="I144" s="976"/>
      <c r="J144" s="971" t="s">
        <v>331</v>
      </c>
      <c r="K144" s="972"/>
      <c r="L144" s="973" t="s">
        <v>332</v>
      </c>
      <c r="N144" s="358" t="s">
        <v>330</v>
      </c>
      <c r="O144" s="359">
        <v>0.4</v>
      </c>
      <c r="P144" s="158"/>
    </row>
    <row r="145" spans="1:16" ht="15" thickBot="1" x14ac:dyDescent="0.3">
      <c r="A145" s="963"/>
      <c r="B145" s="979" t="s">
        <v>334</v>
      </c>
      <c r="C145" s="980"/>
      <c r="D145" s="360">
        <v>2020</v>
      </c>
      <c r="E145" s="361" t="s">
        <v>113</v>
      </c>
      <c r="F145" s="974"/>
      <c r="H145" s="981" t="s">
        <v>19</v>
      </c>
      <c r="I145" s="982"/>
      <c r="J145" s="362">
        <f>D145</f>
        <v>2020</v>
      </c>
      <c r="K145" s="363" t="str">
        <f>E145</f>
        <v>-</v>
      </c>
      <c r="L145" s="974"/>
      <c r="N145" s="364" t="s">
        <v>19</v>
      </c>
      <c r="O145" s="365">
        <v>2.2000000000000002</v>
      </c>
      <c r="P145" s="158"/>
    </row>
    <row r="146" spans="1:16" x14ac:dyDescent="0.25">
      <c r="A146" s="963"/>
      <c r="C146" s="368">
        <v>15</v>
      </c>
      <c r="D146" s="369">
        <v>-0.2</v>
      </c>
      <c r="E146" s="370" t="s">
        <v>113</v>
      </c>
      <c r="F146" s="371">
        <f>0.5*(MAX(D146:E146)-MIN(D146:E146))</f>
        <v>0</v>
      </c>
      <c r="H146" s="372"/>
      <c r="I146" s="368">
        <v>35</v>
      </c>
      <c r="J146" s="369">
        <v>0.6</v>
      </c>
      <c r="K146" s="370" t="s">
        <v>113</v>
      </c>
      <c r="L146" s="371">
        <f>0.5*(MAX(J146:K146)-MIN(J146:K146))</f>
        <v>0</v>
      </c>
      <c r="O146" s="163"/>
      <c r="P146" s="158"/>
    </row>
    <row r="147" spans="1:16" x14ac:dyDescent="0.25">
      <c r="A147" s="963"/>
      <c r="C147" s="373">
        <v>20</v>
      </c>
      <c r="D147" s="366">
        <v>-0.1</v>
      </c>
      <c r="E147" s="181" t="s">
        <v>113</v>
      </c>
      <c r="F147" s="374">
        <f t="shared" ref="F147:F151" si="28">0.5*(MAX(D147:E147)-MIN(D147:E147))</f>
        <v>0</v>
      </c>
      <c r="H147" s="372"/>
      <c r="I147" s="373">
        <v>40</v>
      </c>
      <c r="J147" s="366">
        <v>0.3</v>
      </c>
      <c r="K147" s="181" t="s">
        <v>113</v>
      </c>
      <c r="L147" s="374">
        <f t="shared" ref="L147:L152" si="29">0.5*(MAX(J147:K147)-MIN(J147:K147))</f>
        <v>0</v>
      </c>
      <c r="O147" s="163"/>
      <c r="P147" s="158"/>
    </row>
    <row r="148" spans="1:16" x14ac:dyDescent="0.25">
      <c r="A148" s="963"/>
      <c r="C148" s="373">
        <v>25</v>
      </c>
      <c r="D148" s="366">
        <v>-0.1</v>
      </c>
      <c r="E148" s="181" t="s">
        <v>113</v>
      </c>
      <c r="F148" s="374">
        <f t="shared" si="28"/>
        <v>0</v>
      </c>
      <c r="H148" s="372"/>
      <c r="I148" s="373">
        <v>50</v>
      </c>
      <c r="J148" s="366">
        <v>-0.2</v>
      </c>
      <c r="K148" s="181" t="s">
        <v>113</v>
      </c>
      <c r="L148" s="374">
        <f t="shared" si="29"/>
        <v>0</v>
      </c>
      <c r="O148" s="163"/>
      <c r="P148" s="158"/>
    </row>
    <row r="149" spans="1:16" x14ac:dyDescent="0.25">
      <c r="A149" s="963"/>
      <c r="C149" s="377">
        <v>30</v>
      </c>
      <c r="D149" s="375">
        <v>-0.3</v>
      </c>
      <c r="E149" s="378" t="s">
        <v>113</v>
      </c>
      <c r="F149" s="374">
        <f t="shared" si="28"/>
        <v>0</v>
      </c>
      <c r="H149" s="372"/>
      <c r="I149" s="377">
        <v>60</v>
      </c>
      <c r="J149" s="375">
        <v>-0.6</v>
      </c>
      <c r="K149" s="378" t="s">
        <v>113</v>
      </c>
      <c r="L149" s="374">
        <f t="shared" si="29"/>
        <v>0</v>
      </c>
      <c r="O149" s="163"/>
      <c r="P149" s="158"/>
    </row>
    <row r="150" spans="1:16" x14ac:dyDescent="0.25">
      <c r="A150" s="963"/>
      <c r="C150" s="377">
        <v>35</v>
      </c>
      <c r="D150" s="375">
        <v>-0.6</v>
      </c>
      <c r="E150" s="378" t="s">
        <v>113</v>
      </c>
      <c r="F150" s="374">
        <f t="shared" si="28"/>
        <v>0</v>
      </c>
      <c r="H150" s="372"/>
      <c r="I150" s="377">
        <v>70</v>
      </c>
      <c r="J150" s="375">
        <v>-0.8</v>
      </c>
      <c r="K150" s="378" t="s">
        <v>113</v>
      </c>
      <c r="L150" s="374">
        <f t="shared" si="29"/>
        <v>0</v>
      </c>
      <c r="O150" s="163"/>
      <c r="P150" s="158"/>
    </row>
    <row r="151" spans="1:16" x14ac:dyDescent="0.25">
      <c r="A151" s="963"/>
      <c r="C151" s="377">
        <v>37</v>
      </c>
      <c r="D151" s="375">
        <v>-0.8</v>
      </c>
      <c r="E151" s="378" t="s">
        <v>113</v>
      </c>
      <c r="F151" s="374">
        <f t="shared" si="28"/>
        <v>0</v>
      </c>
      <c r="H151" s="372"/>
      <c r="I151" s="377">
        <v>80</v>
      </c>
      <c r="J151" s="375">
        <v>-0.9</v>
      </c>
      <c r="K151" s="378" t="s">
        <v>113</v>
      </c>
      <c r="L151" s="374">
        <f t="shared" si="29"/>
        <v>0</v>
      </c>
      <c r="O151" s="163"/>
      <c r="P151" s="158"/>
    </row>
    <row r="152" spans="1:16" ht="13.8" thickBot="1" x14ac:dyDescent="0.3">
      <c r="A152" s="964"/>
      <c r="B152" s="214"/>
      <c r="C152" s="380">
        <v>40</v>
      </c>
      <c r="D152" s="381">
        <v>-1.1000000000000001</v>
      </c>
      <c r="E152" s="382" t="s">
        <v>113</v>
      </c>
      <c r="F152" s="383">
        <f>0.5*(MAX(D152:E152)-MIN(D152:E152))</f>
        <v>0</v>
      </c>
      <c r="G152" s="214"/>
      <c r="H152" s="384"/>
      <c r="I152" s="380">
        <v>90</v>
      </c>
      <c r="J152" s="381">
        <v>-0.8</v>
      </c>
      <c r="K152" s="382" t="s">
        <v>113</v>
      </c>
      <c r="L152" s="383">
        <f t="shared" si="29"/>
        <v>0</v>
      </c>
      <c r="M152" s="214"/>
      <c r="N152" s="214"/>
      <c r="O152" s="215"/>
      <c r="P152" s="158"/>
    </row>
    <row r="153" spans="1:16" ht="13.8" thickBot="1" x14ac:dyDescent="0.3">
      <c r="A153" s="962">
        <v>15</v>
      </c>
      <c r="B153" s="965" t="s">
        <v>348</v>
      </c>
      <c r="C153" s="966"/>
      <c r="D153" s="966"/>
      <c r="E153" s="966"/>
      <c r="F153" s="967"/>
      <c r="G153" s="160"/>
      <c r="H153" s="965" t="str">
        <f>B153</f>
        <v>KOREKSI EXTECH SD700 A.100586</v>
      </c>
      <c r="I153" s="966"/>
      <c r="J153" s="966"/>
      <c r="K153" s="966"/>
      <c r="L153" s="967"/>
      <c r="M153" s="160"/>
      <c r="N153" s="968" t="s">
        <v>235</v>
      </c>
      <c r="O153" s="969"/>
      <c r="P153" s="158"/>
    </row>
    <row r="154" spans="1:16" ht="13.8" thickBot="1" x14ac:dyDescent="0.3">
      <c r="A154" s="963"/>
      <c r="B154" s="975" t="s">
        <v>330</v>
      </c>
      <c r="C154" s="976"/>
      <c r="D154" s="971" t="s">
        <v>331</v>
      </c>
      <c r="E154" s="972"/>
      <c r="F154" s="973" t="s">
        <v>332</v>
      </c>
      <c r="H154" s="975" t="s">
        <v>333</v>
      </c>
      <c r="I154" s="976"/>
      <c r="J154" s="971" t="s">
        <v>331</v>
      </c>
      <c r="K154" s="972"/>
      <c r="L154" s="973" t="s">
        <v>332</v>
      </c>
      <c r="N154" s="358" t="s">
        <v>330</v>
      </c>
      <c r="O154" s="359">
        <v>0.3</v>
      </c>
      <c r="P154" s="158"/>
    </row>
    <row r="155" spans="1:16" ht="15" thickBot="1" x14ac:dyDescent="0.3">
      <c r="A155" s="963"/>
      <c r="B155" s="979" t="s">
        <v>334</v>
      </c>
      <c r="C155" s="980"/>
      <c r="D155" s="360">
        <v>2020</v>
      </c>
      <c r="E155" s="361" t="s">
        <v>113</v>
      </c>
      <c r="F155" s="974"/>
      <c r="H155" s="981" t="s">
        <v>19</v>
      </c>
      <c r="I155" s="982"/>
      <c r="J155" s="362">
        <f>D155</f>
        <v>2020</v>
      </c>
      <c r="K155" s="363" t="str">
        <f>E155</f>
        <v>-</v>
      </c>
      <c r="L155" s="974"/>
      <c r="N155" s="364" t="s">
        <v>19</v>
      </c>
      <c r="O155" s="365">
        <v>2</v>
      </c>
      <c r="P155" s="158"/>
    </row>
    <row r="156" spans="1:16" x14ac:dyDescent="0.25">
      <c r="A156" s="963"/>
      <c r="C156" s="368">
        <v>15</v>
      </c>
      <c r="D156" s="369">
        <v>0</v>
      </c>
      <c r="E156" s="370" t="s">
        <v>113</v>
      </c>
      <c r="F156" s="371">
        <f>0.5*(MAX(D156:E156)-MIN(D156:E156))</f>
        <v>0</v>
      </c>
      <c r="H156" s="372"/>
      <c r="I156" s="368">
        <v>35</v>
      </c>
      <c r="J156" s="369">
        <v>-0.4</v>
      </c>
      <c r="K156" s="370" t="s">
        <v>113</v>
      </c>
      <c r="L156" s="371">
        <f>0.5*(MAX(J156:K156)-MIN(J156:K156))</f>
        <v>0</v>
      </c>
      <c r="O156" s="163"/>
      <c r="P156" s="158"/>
    </row>
    <row r="157" spans="1:16" x14ac:dyDescent="0.25">
      <c r="A157" s="963"/>
      <c r="C157" s="373">
        <v>20</v>
      </c>
      <c r="D157" s="366">
        <v>0</v>
      </c>
      <c r="E157" s="181" t="s">
        <v>113</v>
      </c>
      <c r="F157" s="374">
        <f t="shared" ref="F157:F161" si="30">0.5*(MAX(D157:E157)-MIN(D157:E157))</f>
        <v>0</v>
      </c>
      <c r="H157" s="372"/>
      <c r="I157" s="373">
        <v>40</v>
      </c>
      <c r="J157" s="366">
        <v>-0.1</v>
      </c>
      <c r="K157" s="181" t="s">
        <v>113</v>
      </c>
      <c r="L157" s="374">
        <f t="shared" ref="L157:L162" si="31">0.5*(MAX(J157:K157)-MIN(J157:K157))</f>
        <v>0</v>
      </c>
      <c r="O157" s="163"/>
      <c r="P157" s="158"/>
    </row>
    <row r="158" spans="1:16" x14ac:dyDescent="0.25">
      <c r="A158" s="963"/>
      <c r="C158" s="373">
        <v>25</v>
      </c>
      <c r="D158" s="366">
        <v>0</v>
      </c>
      <c r="E158" s="181" t="s">
        <v>113</v>
      </c>
      <c r="F158" s="374">
        <f t="shared" si="30"/>
        <v>0</v>
      </c>
      <c r="H158" s="372"/>
      <c r="I158" s="373">
        <v>50</v>
      </c>
      <c r="J158" s="366">
        <v>0</v>
      </c>
      <c r="K158" s="181" t="s">
        <v>113</v>
      </c>
      <c r="L158" s="374">
        <f t="shared" si="31"/>
        <v>0</v>
      </c>
      <c r="O158" s="163"/>
      <c r="P158" s="158"/>
    </row>
    <row r="159" spans="1:16" x14ac:dyDescent="0.25">
      <c r="A159" s="963"/>
      <c r="C159" s="377">
        <v>30</v>
      </c>
      <c r="D159" s="375">
        <v>-0.1</v>
      </c>
      <c r="E159" s="378" t="s">
        <v>113</v>
      </c>
      <c r="F159" s="374">
        <f t="shared" si="30"/>
        <v>0</v>
      </c>
      <c r="H159" s="372"/>
      <c r="I159" s="377">
        <v>60</v>
      </c>
      <c r="J159" s="375">
        <v>0</v>
      </c>
      <c r="K159" s="378" t="s">
        <v>113</v>
      </c>
      <c r="L159" s="374">
        <f t="shared" si="31"/>
        <v>0</v>
      </c>
      <c r="O159" s="163"/>
      <c r="P159" s="158"/>
    </row>
    <row r="160" spans="1:16" x14ac:dyDescent="0.25">
      <c r="A160" s="963"/>
      <c r="C160" s="377">
        <v>35</v>
      </c>
      <c r="D160" s="375">
        <v>-0.2</v>
      </c>
      <c r="E160" s="378" t="s">
        <v>113</v>
      </c>
      <c r="F160" s="374">
        <f t="shared" si="30"/>
        <v>0</v>
      </c>
      <c r="H160" s="372"/>
      <c r="I160" s="377">
        <v>70</v>
      </c>
      <c r="J160" s="375">
        <v>-0.1</v>
      </c>
      <c r="K160" s="378" t="s">
        <v>113</v>
      </c>
      <c r="L160" s="374">
        <f t="shared" si="31"/>
        <v>0</v>
      </c>
      <c r="O160" s="163"/>
      <c r="P160" s="158"/>
    </row>
    <row r="161" spans="1:16" x14ac:dyDescent="0.25">
      <c r="A161" s="963"/>
      <c r="C161" s="377">
        <v>37</v>
      </c>
      <c r="D161" s="375">
        <v>-0.3</v>
      </c>
      <c r="E161" s="378" t="s">
        <v>113</v>
      </c>
      <c r="F161" s="374">
        <f t="shared" si="30"/>
        <v>0</v>
      </c>
      <c r="H161" s="372"/>
      <c r="I161" s="377">
        <v>80</v>
      </c>
      <c r="J161" s="375">
        <v>-0.5</v>
      </c>
      <c r="K161" s="378" t="s">
        <v>113</v>
      </c>
      <c r="L161" s="374">
        <f t="shared" si="31"/>
        <v>0</v>
      </c>
      <c r="O161" s="163"/>
      <c r="P161" s="158"/>
    </row>
    <row r="162" spans="1:16" ht="13.8" thickBot="1" x14ac:dyDescent="0.3">
      <c r="A162" s="964"/>
      <c r="B162" s="214"/>
      <c r="C162" s="380">
        <v>40</v>
      </c>
      <c r="D162" s="381">
        <v>-0.4</v>
      </c>
      <c r="E162" s="382" t="s">
        <v>113</v>
      </c>
      <c r="F162" s="383">
        <f>0.5*(MAX(D162:E162)-MIN(D162:E162))</f>
        <v>0</v>
      </c>
      <c r="G162" s="214"/>
      <c r="H162" s="384"/>
      <c r="I162" s="380">
        <v>90</v>
      </c>
      <c r="J162" s="381">
        <v>-0.9</v>
      </c>
      <c r="K162" s="382" t="s">
        <v>113</v>
      </c>
      <c r="L162" s="383">
        <f t="shared" si="31"/>
        <v>0</v>
      </c>
      <c r="M162" s="214"/>
      <c r="N162" s="214"/>
      <c r="O162" s="215"/>
      <c r="P162" s="158"/>
    </row>
    <row r="163" spans="1:16" ht="13.8" thickBot="1" x14ac:dyDescent="0.3">
      <c r="A163" s="962">
        <v>16</v>
      </c>
      <c r="B163" s="965" t="s">
        <v>349</v>
      </c>
      <c r="C163" s="966"/>
      <c r="D163" s="966"/>
      <c r="E163" s="966"/>
      <c r="F163" s="967"/>
      <c r="G163" s="160"/>
      <c r="H163" s="965" t="str">
        <f>B163</f>
        <v>KOREKSI EXTECH SD700 A.100616</v>
      </c>
      <c r="I163" s="966"/>
      <c r="J163" s="966"/>
      <c r="K163" s="966"/>
      <c r="L163" s="967"/>
      <c r="M163" s="160"/>
      <c r="N163" s="968" t="s">
        <v>235</v>
      </c>
      <c r="O163" s="969"/>
      <c r="P163" s="158"/>
    </row>
    <row r="164" spans="1:16" ht="13.8" thickBot="1" x14ac:dyDescent="0.3">
      <c r="A164" s="963"/>
      <c r="B164" s="975" t="s">
        <v>330</v>
      </c>
      <c r="C164" s="976"/>
      <c r="D164" s="971" t="s">
        <v>331</v>
      </c>
      <c r="E164" s="972"/>
      <c r="F164" s="973" t="s">
        <v>332</v>
      </c>
      <c r="H164" s="975" t="s">
        <v>333</v>
      </c>
      <c r="I164" s="976"/>
      <c r="J164" s="971" t="s">
        <v>331</v>
      </c>
      <c r="K164" s="972"/>
      <c r="L164" s="973" t="s">
        <v>332</v>
      </c>
      <c r="N164" s="358" t="s">
        <v>330</v>
      </c>
      <c r="O164" s="359">
        <v>0.4</v>
      </c>
      <c r="P164" s="158"/>
    </row>
    <row r="165" spans="1:16" ht="15" thickBot="1" x14ac:dyDescent="0.3">
      <c r="A165" s="963"/>
      <c r="B165" s="979" t="s">
        <v>334</v>
      </c>
      <c r="C165" s="980"/>
      <c r="D165" s="360">
        <v>2020</v>
      </c>
      <c r="E165" s="361" t="s">
        <v>113</v>
      </c>
      <c r="F165" s="974"/>
      <c r="H165" s="981" t="s">
        <v>19</v>
      </c>
      <c r="I165" s="982"/>
      <c r="J165" s="362">
        <f>D165</f>
        <v>2020</v>
      </c>
      <c r="K165" s="363" t="str">
        <f>E165</f>
        <v>-</v>
      </c>
      <c r="L165" s="974"/>
      <c r="N165" s="364" t="s">
        <v>19</v>
      </c>
      <c r="O165" s="365">
        <v>2.2000000000000002</v>
      </c>
      <c r="P165" s="158"/>
    </row>
    <row r="166" spans="1:16" x14ac:dyDescent="0.25">
      <c r="A166" s="963"/>
      <c r="C166" s="368">
        <v>15</v>
      </c>
      <c r="D166" s="369">
        <v>0.1</v>
      </c>
      <c r="E166" s="370" t="s">
        <v>113</v>
      </c>
      <c r="F166" s="371">
        <f>0.5*(MAX(D166:E166)-MIN(D166:E166))</f>
        <v>0</v>
      </c>
      <c r="H166" s="372"/>
      <c r="I166" s="368">
        <v>35</v>
      </c>
      <c r="J166" s="369">
        <v>-1.6</v>
      </c>
      <c r="K166" s="370" t="s">
        <v>113</v>
      </c>
      <c r="L166" s="371">
        <f t="shared" ref="L166:L172" si="32">0.5*(MAX(J166:K166)-MIN(J166:K166))</f>
        <v>0</v>
      </c>
      <c r="O166" s="163"/>
      <c r="P166" s="158"/>
    </row>
    <row r="167" spans="1:16" x14ac:dyDescent="0.25">
      <c r="A167" s="963"/>
      <c r="C167" s="373">
        <v>20</v>
      </c>
      <c r="D167" s="366">
        <v>0.2</v>
      </c>
      <c r="E167" s="181" t="s">
        <v>113</v>
      </c>
      <c r="F167" s="374">
        <f t="shared" ref="F167:F171" si="33">0.5*(MAX(D167:E167)-MIN(D167:E167))</f>
        <v>0</v>
      </c>
      <c r="H167" s="372"/>
      <c r="I167" s="373">
        <v>40</v>
      </c>
      <c r="J167" s="366">
        <v>-1.4</v>
      </c>
      <c r="K167" s="181" t="s">
        <v>113</v>
      </c>
      <c r="L167" s="374">
        <f>0.5*(MAX(J167:K167)-MIN(J167:K167))</f>
        <v>0</v>
      </c>
      <c r="O167" s="163"/>
      <c r="P167" s="158"/>
    </row>
    <row r="168" spans="1:16" x14ac:dyDescent="0.25">
      <c r="A168" s="963"/>
      <c r="C168" s="373">
        <v>25</v>
      </c>
      <c r="D168" s="366">
        <v>0.2</v>
      </c>
      <c r="E168" s="181" t="s">
        <v>113</v>
      </c>
      <c r="F168" s="374">
        <f t="shared" si="33"/>
        <v>0</v>
      </c>
      <c r="H168" s="372"/>
      <c r="I168" s="373">
        <v>50</v>
      </c>
      <c r="J168" s="366">
        <v>-1.4</v>
      </c>
      <c r="K168" s="181" t="s">
        <v>113</v>
      </c>
      <c r="L168" s="374">
        <f t="shared" si="32"/>
        <v>0</v>
      </c>
      <c r="O168" s="163"/>
      <c r="P168" s="158"/>
    </row>
    <row r="169" spans="1:16" x14ac:dyDescent="0.25">
      <c r="A169" s="963"/>
      <c r="C169" s="377">
        <v>30</v>
      </c>
      <c r="D169" s="375">
        <v>0.2</v>
      </c>
      <c r="E169" s="378" t="s">
        <v>113</v>
      </c>
      <c r="F169" s="374">
        <f t="shared" si="33"/>
        <v>0</v>
      </c>
      <c r="H169" s="372"/>
      <c r="I169" s="377">
        <v>60</v>
      </c>
      <c r="J169" s="375">
        <v>-1.5</v>
      </c>
      <c r="K169" s="378" t="s">
        <v>113</v>
      </c>
      <c r="L169" s="374">
        <f t="shared" si="32"/>
        <v>0</v>
      </c>
      <c r="O169" s="163"/>
      <c r="P169" s="158"/>
    </row>
    <row r="170" spans="1:16" x14ac:dyDescent="0.25">
      <c r="A170" s="963"/>
      <c r="C170" s="377">
        <v>35</v>
      </c>
      <c r="D170" s="375">
        <v>0.1</v>
      </c>
      <c r="E170" s="378" t="s">
        <v>113</v>
      </c>
      <c r="F170" s="374">
        <f t="shared" si="33"/>
        <v>0</v>
      </c>
      <c r="H170" s="372"/>
      <c r="I170" s="377">
        <v>70</v>
      </c>
      <c r="J170" s="375">
        <v>-1.8</v>
      </c>
      <c r="K170" s="378" t="s">
        <v>113</v>
      </c>
      <c r="L170" s="374">
        <f t="shared" si="32"/>
        <v>0</v>
      </c>
      <c r="O170" s="163"/>
      <c r="P170" s="158"/>
    </row>
    <row r="171" spans="1:16" x14ac:dyDescent="0.25">
      <c r="A171" s="963"/>
      <c r="C171" s="377">
        <v>37</v>
      </c>
      <c r="D171" s="375">
        <v>0</v>
      </c>
      <c r="E171" s="378" t="s">
        <v>113</v>
      </c>
      <c r="F171" s="374">
        <f t="shared" si="33"/>
        <v>0</v>
      </c>
      <c r="H171" s="372"/>
      <c r="I171" s="377">
        <v>80</v>
      </c>
      <c r="J171" s="375">
        <v>-2.2999999999999998</v>
      </c>
      <c r="K171" s="378" t="s">
        <v>113</v>
      </c>
      <c r="L171" s="374">
        <f t="shared" si="32"/>
        <v>0</v>
      </c>
      <c r="O171" s="163"/>
      <c r="P171" s="158"/>
    </row>
    <row r="172" spans="1:16" ht="13.8" thickBot="1" x14ac:dyDescent="0.3">
      <c r="A172" s="964"/>
      <c r="B172" s="214"/>
      <c r="C172" s="380">
        <v>40</v>
      </c>
      <c r="D172" s="381">
        <v>0</v>
      </c>
      <c r="E172" s="382" t="s">
        <v>113</v>
      </c>
      <c r="F172" s="383">
        <f>0.5*(MAX(D172:E172)-MIN(D172:E172))</f>
        <v>0</v>
      </c>
      <c r="G172" s="214"/>
      <c r="H172" s="384"/>
      <c r="I172" s="380">
        <v>90</v>
      </c>
      <c r="J172" s="381">
        <v>-3</v>
      </c>
      <c r="K172" s="382" t="s">
        <v>113</v>
      </c>
      <c r="L172" s="383">
        <f t="shared" si="32"/>
        <v>0</v>
      </c>
      <c r="M172" s="214"/>
      <c r="N172" s="214"/>
      <c r="O172" s="215"/>
      <c r="P172" s="158"/>
    </row>
    <row r="173" spans="1:16" ht="13.8" thickBot="1" x14ac:dyDescent="0.3">
      <c r="A173" s="962">
        <v>17</v>
      </c>
      <c r="B173" s="965" t="s">
        <v>350</v>
      </c>
      <c r="C173" s="966"/>
      <c r="D173" s="966"/>
      <c r="E173" s="966"/>
      <c r="F173" s="967"/>
      <c r="G173" s="160"/>
      <c r="H173" s="965" t="str">
        <f>B173</f>
        <v>KOREKSI EXTECH SD700 A.100617</v>
      </c>
      <c r="I173" s="966"/>
      <c r="J173" s="966"/>
      <c r="K173" s="966"/>
      <c r="L173" s="967"/>
      <c r="M173" s="160"/>
      <c r="N173" s="968" t="s">
        <v>235</v>
      </c>
      <c r="O173" s="969"/>
      <c r="P173" s="158"/>
    </row>
    <row r="174" spans="1:16" ht="13.8" thickBot="1" x14ac:dyDescent="0.3">
      <c r="A174" s="963"/>
      <c r="B174" s="975" t="s">
        <v>330</v>
      </c>
      <c r="C174" s="976"/>
      <c r="D174" s="971" t="s">
        <v>331</v>
      </c>
      <c r="E174" s="972"/>
      <c r="F174" s="973" t="s">
        <v>332</v>
      </c>
      <c r="H174" s="975" t="s">
        <v>333</v>
      </c>
      <c r="I174" s="976"/>
      <c r="J174" s="971" t="s">
        <v>331</v>
      </c>
      <c r="K174" s="972"/>
      <c r="L174" s="973" t="s">
        <v>332</v>
      </c>
      <c r="N174" s="358" t="s">
        <v>330</v>
      </c>
      <c r="O174" s="359">
        <v>0.3</v>
      </c>
      <c r="P174" s="158"/>
    </row>
    <row r="175" spans="1:16" ht="15" thickBot="1" x14ac:dyDescent="0.3">
      <c r="A175" s="963"/>
      <c r="B175" s="979" t="s">
        <v>334</v>
      </c>
      <c r="C175" s="980"/>
      <c r="D175" s="360">
        <v>2020</v>
      </c>
      <c r="E175" s="361" t="s">
        <v>113</v>
      </c>
      <c r="F175" s="974"/>
      <c r="H175" s="981" t="s">
        <v>19</v>
      </c>
      <c r="I175" s="982"/>
      <c r="J175" s="362">
        <f>D175</f>
        <v>2020</v>
      </c>
      <c r="K175" s="363" t="str">
        <f>E175</f>
        <v>-</v>
      </c>
      <c r="L175" s="974"/>
      <c r="N175" s="364" t="s">
        <v>19</v>
      </c>
      <c r="O175" s="365">
        <v>2.8</v>
      </c>
      <c r="P175" s="158"/>
    </row>
    <row r="176" spans="1:16" x14ac:dyDescent="0.25">
      <c r="A176" s="963"/>
      <c r="C176" s="368">
        <v>15</v>
      </c>
      <c r="D176" s="369">
        <v>0.1</v>
      </c>
      <c r="E176" s="370" t="s">
        <v>113</v>
      </c>
      <c r="F176" s="371">
        <f>0.5*(MAX(D176:E176)-MIN(D176:E176))</f>
        <v>0</v>
      </c>
      <c r="H176" s="372"/>
      <c r="I176" s="368">
        <v>35</v>
      </c>
      <c r="J176" s="369">
        <v>0.1</v>
      </c>
      <c r="K176" s="370" t="s">
        <v>113</v>
      </c>
      <c r="L176" s="371">
        <f t="shared" ref="L176:L182" si="34">0.5*(MAX(J176:K176)-MIN(J176:K176))</f>
        <v>0</v>
      </c>
      <c r="O176" s="163"/>
      <c r="P176" s="158"/>
    </row>
    <row r="177" spans="1:16" x14ac:dyDescent="0.25">
      <c r="A177" s="963"/>
      <c r="C177" s="373">
        <v>20</v>
      </c>
      <c r="D177" s="366">
        <v>0.1</v>
      </c>
      <c r="E177" s="181" t="s">
        <v>113</v>
      </c>
      <c r="F177" s="374">
        <f t="shared" ref="F177:F181" si="35">0.5*(MAX(D177:E177)-MIN(D177:E177))</f>
        <v>0</v>
      </c>
      <c r="H177" s="372"/>
      <c r="I177" s="373">
        <v>40</v>
      </c>
      <c r="J177" s="366">
        <v>0.2</v>
      </c>
      <c r="K177" s="181" t="s">
        <v>113</v>
      </c>
      <c r="L177" s="374">
        <f>0.5*(MAX(J177:K177)-MIN(J177:K177))</f>
        <v>0</v>
      </c>
      <c r="O177" s="163"/>
      <c r="P177" s="158"/>
    </row>
    <row r="178" spans="1:16" x14ac:dyDescent="0.25">
      <c r="A178" s="963"/>
      <c r="C178" s="373">
        <v>25</v>
      </c>
      <c r="D178" s="366">
        <v>0</v>
      </c>
      <c r="E178" s="181" t="s">
        <v>113</v>
      </c>
      <c r="F178" s="374">
        <f t="shared" si="35"/>
        <v>0</v>
      </c>
      <c r="H178" s="372"/>
      <c r="I178" s="373">
        <v>50</v>
      </c>
      <c r="J178" s="366">
        <v>0.2</v>
      </c>
      <c r="K178" s="181" t="s">
        <v>113</v>
      </c>
      <c r="L178" s="374">
        <f t="shared" si="34"/>
        <v>0</v>
      </c>
      <c r="O178" s="163"/>
      <c r="P178" s="158"/>
    </row>
    <row r="179" spans="1:16" x14ac:dyDescent="0.25">
      <c r="A179" s="963"/>
      <c r="C179" s="377">
        <v>30</v>
      </c>
      <c r="D179" s="375">
        <v>-0.2</v>
      </c>
      <c r="E179" s="378" t="s">
        <v>113</v>
      </c>
      <c r="F179" s="374">
        <f t="shared" si="35"/>
        <v>0</v>
      </c>
      <c r="H179" s="372"/>
      <c r="I179" s="377">
        <v>60</v>
      </c>
      <c r="J179" s="375">
        <v>0</v>
      </c>
      <c r="K179" s="378" t="s">
        <v>113</v>
      </c>
      <c r="L179" s="374">
        <f t="shared" si="34"/>
        <v>0</v>
      </c>
      <c r="O179" s="163"/>
      <c r="P179" s="158"/>
    </row>
    <row r="180" spans="1:16" x14ac:dyDescent="0.25">
      <c r="A180" s="963"/>
      <c r="C180" s="377">
        <v>35</v>
      </c>
      <c r="D180" s="375">
        <v>-0.5</v>
      </c>
      <c r="E180" s="378" t="s">
        <v>113</v>
      </c>
      <c r="F180" s="374">
        <f t="shared" si="35"/>
        <v>0</v>
      </c>
      <c r="H180" s="372"/>
      <c r="I180" s="377">
        <v>70</v>
      </c>
      <c r="J180" s="375">
        <v>-0.3</v>
      </c>
      <c r="K180" s="378" t="s">
        <v>113</v>
      </c>
      <c r="L180" s="374">
        <f t="shared" si="34"/>
        <v>0</v>
      </c>
      <c r="O180" s="163"/>
      <c r="P180" s="158"/>
    </row>
    <row r="181" spans="1:16" x14ac:dyDescent="0.25">
      <c r="A181" s="963"/>
      <c r="C181" s="377">
        <v>37</v>
      </c>
      <c r="D181" s="375">
        <v>-0.6</v>
      </c>
      <c r="E181" s="378" t="s">
        <v>113</v>
      </c>
      <c r="F181" s="374">
        <f t="shared" si="35"/>
        <v>0</v>
      </c>
      <c r="H181" s="372"/>
      <c r="I181" s="377">
        <v>80</v>
      </c>
      <c r="J181" s="375">
        <v>-0.8</v>
      </c>
      <c r="K181" s="378" t="s">
        <v>113</v>
      </c>
      <c r="L181" s="374">
        <f t="shared" si="34"/>
        <v>0</v>
      </c>
      <c r="O181" s="163"/>
      <c r="P181" s="158"/>
    </row>
    <row r="182" spans="1:16" ht="13.8" thickBot="1" x14ac:dyDescent="0.3">
      <c r="A182" s="964"/>
      <c r="B182" s="214"/>
      <c r="C182" s="380">
        <v>40</v>
      </c>
      <c r="D182" s="381">
        <v>-0.8</v>
      </c>
      <c r="E182" s="382" t="s">
        <v>113</v>
      </c>
      <c r="F182" s="383">
        <f>0.5*(MAX(D182:E182)-MIN(D182:E182))</f>
        <v>0</v>
      </c>
      <c r="G182" s="214"/>
      <c r="H182" s="384"/>
      <c r="I182" s="380">
        <v>90</v>
      </c>
      <c r="J182" s="381">
        <v>-1.4</v>
      </c>
      <c r="K182" s="382" t="s">
        <v>113</v>
      </c>
      <c r="L182" s="383">
        <f t="shared" si="34"/>
        <v>0</v>
      </c>
      <c r="M182" s="214"/>
      <c r="N182" s="214"/>
      <c r="O182" s="215"/>
      <c r="P182" s="158"/>
    </row>
    <row r="183" spans="1:16" ht="13.8" thickBot="1" x14ac:dyDescent="0.3">
      <c r="A183" s="962">
        <v>18</v>
      </c>
      <c r="B183" s="965" t="s">
        <v>351</v>
      </c>
      <c r="C183" s="966"/>
      <c r="D183" s="966"/>
      <c r="E183" s="966"/>
      <c r="F183" s="967"/>
      <c r="G183" s="160"/>
      <c r="H183" s="965" t="str">
        <f>B183</f>
        <v>KOREKSI EXTECH SD700 A.100618</v>
      </c>
      <c r="I183" s="966"/>
      <c r="J183" s="966"/>
      <c r="K183" s="966"/>
      <c r="L183" s="967"/>
      <c r="M183" s="160"/>
      <c r="N183" s="968" t="s">
        <v>235</v>
      </c>
      <c r="O183" s="969"/>
      <c r="P183" s="158"/>
    </row>
    <row r="184" spans="1:16" ht="13.8" thickBot="1" x14ac:dyDescent="0.3">
      <c r="A184" s="963"/>
      <c r="B184" s="975" t="s">
        <v>330</v>
      </c>
      <c r="C184" s="976"/>
      <c r="D184" s="971" t="s">
        <v>331</v>
      </c>
      <c r="E184" s="972"/>
      <c r="F184" s="973" t="s">
        <v>332</v>
      </c>
      <c r="H184" s="975" t="s">
        <v>333</v>
      </c>
      <c r="I184" s="976"/>
      <c r="J184" s="971" t="s">
        <v>331</v>
      </c>
      <c r="K184" s="972"/>
      <c r="L184" s="973" t="s">
        <v>332</v>
      </c>
      <c r="N184" s="358" t="s">
        <v>330</v>
      </c>
      <c r="O184" s="359">
        <v>0.3</v>
      </c>
      <c r="P184" s="158"/>
    </row>
    <row r="185" spans="1:16" ht="15" thickBot="1" x14ac:dyDescent="0.3">
      <c r="A185" s="963"/>
      <c r="B185" s="979" t="s">
        <v>334</v>
      </c>
      <c r="C185" s="980"/>
      <c r="D185" s="360">
        <v>2020</v>
      </c>
      <c r="E185" s="361" t="s">
        <v>113</v>
      </c>
      <c r="F185" s="974"/>
      <c r="H185" s="981" t="s">
        <v>19</v>
      </c>
      <c r="I185" s="982"/>
      <c r="J185" s="362">
        <f>D185</f>
        <v>2020</v>
      </c>
      <c r="K185" s="363" t="str">
        <f>E185</f>
        <v>-</v>
      </c>
      <c r="L185" s="974"/>
      <c r="N185" s="364" t="s">
        <v>19</v>
      </c>
      <c r="O185" s="365">
        <v>1.6</v>
      </c>
      <c r="P185" s="158"/>
    </row>
    <row r="186" spans="1:16" x14ac:dyDescent="0.25">
      <c r="A186" s="963"/>
      <c r="C186" s="368">
        <v>15</v>
      </c>
      <c r="D186" s="369">
        <v>0</v>
      </c>
      <c r="E186" s="370" t="s">
        <v>113</v>
      </c>
      <c r="F186" s="371">
        <f>0.5*(MAX(D186:E186)-MIN(D186:E186))</f>
        <v>0</v>
      </c>
      <c r="H186" s="372"/>
      <c r="I186" s="368">
        <v>35</v>
      </c>
      <c r="J186" s="369">
        <v>-0.4</v>
      </c>
      <c r="K186" s="370" t="s">
        <v>113</v>
      </c>
      <c r="L186" s="371">
        <f t="shared" ref="L186:L192" si="36">0.5*(MAX(J186:K186)-MIN(J186:K186))</f>
        <v>0</v>
      </c>
      <c r="O186" s="163"/>
      <c r="P186" s="158"/>
    </row>
    <row r="187" spans="1:16" x14ac:dyDescent="0.25">
      <c r="A187" s="963"/>
      <c r="C187" s="373">
        <v>20</v>
      </c>
      <c r="D187" s="366">
        <v>-0.1</v>
      </c>
      <c r="E187" s="181" t="s">
        <v>113</v>
      </c>
      <c r="F187" s="374">
        <f t="shared" ref="F187:F191" si="37">0.5*(MAX(D187:E187)-MIN(D187:E187))</f>
        <v>0</v>
      </c>
      <c r="H187" s="372"/>
      <c r="I187" s="373">
        <v>40</v>
      </c>
      <c r="J187" s="366">
        <v>-0.2</v>
      </c>
      <c r="K187" s="181" t="s">
        <v>113</v>
      </c>
      <c r="L187" s="374">
        <f>0.5*(MAX(J187:K187)-MIN(J187:K187))</f>
        <v>0</v>
      </c>
      <c r="O187" s="163"/>
      <c r="P187" s="158"/>
    </row>
    <row r="188" spans="1:16" x14ac:dyDescent="0.25">
      <c r="A188" s="963"/>
      <c r="C188" s="373">
        <v>25</v>
      </c>
      <c r="D188" s="366">
        <v>-0.2</v>
      </c>
      <c r="E188" s="181" t="s">
        <v>113</v>
      </c>
      <c r="F188" s="374">
        <f t="shared" si="37"/>
        <v>0</v>
      </c>
      <c r="H188" s="372"/>
      <c r="I188" s="373">
        <v>50</v>
      </c>
      <c r="J188" s="366">
        <v>-0.2</v>
      </c>
      <c r="K188" s="181" t="s">
        <v>113</v>
      </c>
      <c r="L188" s="374">
        <f t="shared" si="36"/>
        <v>0</v>
      </c>
      <c r="O188" s="163"/>
      <c r="P188" s="158"/>
    </row>
    <row r="189" spans="1:16" x14ac:dyDescent="0.25">
      <c r="A189" s="963"/>
      <c r="C189" s="377">
        <v>30</v>
      </c>
      <c r="D189" s="375">
        <v>-0.2</v>
      </c>
      <c r="E189" s="378" t="s">
        <v>113</v>
      </c>
      <c r="F189" s="374">
        <f t="shared" si="37"/>
        <v>0</v>
      </c>
      <c r="H189" s="372"/>
      <c r="I189" s="377">
        <v>60</v>
      </c>
      <c r="J189" s="375">
        <v>-0.2</v>
      </c>
      <c r="K189" s="378" t="s">
        <v>113</v>
      </c>
      <c r="L189" s="374">
        <f t="shared" si="36"/>
        <v>0</v>
      </c>
      <c r="O189" s="163"/>
      <c r="P189" s="158"/>
    </row>
    <row r="190" spans="1:16" x14ac:dyDescent="0.25">
      <c r="A190" s="963"/>
      <c r="C190" s="377">
        <v>35</v>
      </c>
      <c r="D190" s="375">
        <v>-0.3</v>
      </c>
      <c r="E190" s="378" t="s">
        <v>113</v>
      </c>
      <c r="F190" s="374">
        <f t="shared" si="37"/>
        <v>0</v>
      </c>
      <c r="H190" s="372"/>
      <c r="I190" s="377">
        <v>70</v>
      </c>
      <c r="J190" s="375">
        <v>-0.3</v>
      </c>
      <c r="K190" s="378" t="s">
        <v>113</v>
      </c>
      <c r="L190" s="374">
        <f t="shared" si="36"/>
        <v>0</v>
      </c>
      <c r="O190" s="163"/>
      <c r="P190" s="158"/>
    </row>
    <row r="191" spans="1:16" x14ac:dyDescent="0.25">
      <c r="A191" s="963"/>
      <c r="C191" s="377">
        <v>37</v>
      </c>
      <c r="D191" s="375">
        <v>-0.3</v>
      </c>
      <c r="E191" s="378" t="s">
        <v>113</v>
      </c>
      <c r="F191" s="374">
        <f t="shared" si="37"/>
        <v>0</v>
      </c>
      <c r="H191" s="372"/>
      <c r="I191" s="377">
        <v>80</v>
      </c>
      <c r="J191" s="375">
        <v>-0.5</v>
      </c>
      <c r="K191" s="378" t="s">
        <v>113</v>
      </c>
      <c r="L191" s="374">
        <f t="shared" si="36"/>
        <v>0</v>
      </c>
      <c r="O191" s="163"/>
      <c r="P191" s="158"/>
    </row>
    <row r="192" spans="1:16" ht="13.8" thickBot="1" x14ac:dyDescent="0.3">
      <c r="A192" s="964"/>
      <c r="B192" s="214"/>
      <c r="C192" s="380">
        <v>40</v>
      </c>
      <c r="D192" s="381">
        <v>-0.4</v>
      </c>
      <c r="E192" s="382" t="s">
        <v>113</v>
      </c>
      <c r="F192" s="383">
        <f>0.5*(MAX(D192:E192)-MIN(D192:E192))</f>
        <v>0</v>
      </c>
      <c r="G192" s="214"/>
      <c r="H192" s="384"/>
      <c r="I192" s="380">
        <v>90</v>
      </c>
      <c r="J192" s="381">
        <v>-0.8</v>
      </c>
      <c r="K192" s="382" t="s">
        <v>113</v>
      </c>
      <c r="L192" s="383">
        <f t="shared" si="36"/>
        <v>0</v>
      </c>
      <c r="M192" s="214"/>
      <c r="N192" s="214"/>
      <c r="O192" s="215"/>
      <c r="P192" s="158"/>
    </row>
    <row r="193" spans="1:19" ht="13.8" thickBot="1" x14ac:dyDescent="0.3">
      <c r="A193" s="401"/>
      <c r="B193" s="402"/>
      <c r="C193" s="402"/>
      <c r="D193" s="402"/>
      <c r="E193" s="402"/>
      <c r="F193" s="402"/>
      <c r="G193" s="402"/>
      <c r="H193" s="402"/>
      <c r="I193" s="402"/>
      <c r="J193" s="402"/>
      <c r="K193" s="402"/>
      <c r="L193" s="402"/>
      <c r="M193" s="402"/>
      <c r="N193" s="402"/>
      <c r="O193" s="403"/>
      <c r="P193" s="158"/>
    </row>
    <row r="194" spans="1:19" ht="13.8" thickBot="1" x14ac:dyDescent="0.3">
      <c r="A194" s="158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</row>
    <row r="195" spans="1:19" x14ac:dyDescent="0.25">
      <c r="A195" s="992" t="s">
        <v>43</v>
      </c>
      <c r="B195" s="994" t="s">
        <v>302</v>
      </c>
      <c r="C195" s="996" t="s">
        <v>352</v>
      </c>
      <c r="D195" s="996"/>
      <c r="E195" s="996"/>
      <c r="F195" s="996"/>
      <c r="G195" s="404"/>
      <c r="H195" s="997" t="s">
        <v>43</v>
      </c>
      <c r="I195" s="994" t="s">
        <v>302</v>
      </c>
      <c r="J195" s="996" t="s">
        <v>352</v>
      </c>
      <c r="K195" s="996"/>
      <c r="L195" s="996"/>
      <c r="M195" s="996"/>
      <c r="N195" s="405"/>
      <c r="O195" s="986" t="s">
        <v>235</v>
      </c>
      <c r="P195" s="986"/>
    </row>
    <row r="196" spans="1:19" ht="13.8" x14ac:dyDescent="0.25">
      <c r="A196" s="993"/>
      <c r="B196" s="995"/>
      <c r="C196" s="538" t="s">
        <v>330</v>
      </c>
      <c r="D196" s="987" t="s">
        <v>331</v>
      </c>
      <c r="E196" s="987"/>
      <c r="F196" s="987" t="s">
        <v>332</v>
      </c>
      <c r="G196" s="158"/>
      <c r="H196" s="998"/>
      <c r="I196" s="995"/>
      <c r="J196" s="538" t="s">
        <v>333</v>
      </c>
      <c r="K196" s="987" t="s">
        <v>331</v>
      </c>
      <c r="L196" s="987"/>
      <c r="M196" s="987" t="s">
        <v>332</v>
      </c>
      <c r="N196" s="158"/>
      <c r="O196" s="988" t="s">
        <v>330</v>
      </c>
      <c r="P196" s="988"/>
    </row>
    <row r="197" spans="1:19" ht="14.4" x14ac:dyDescent="0.25">
      <c r="A197" s="993"/>
      <c r="B197" s="995"/>
      <c r="C197" s="537" t="s">
        <v>353</v>
      </c>
      <c r="D197" s="538"/>
      <c r="E197" s="538"/>
      <c r="F197" s="987"/>
      <c r="G197" s="158"/>
      <c r="H197" s="998"/>
      <c r="I197" s="995"/>
      <c r="J197" s="537" t="s">
        <v>19</v>
      </c>
      <c r="K197" s="538"/>
      <c r="L197" s="538"/>
      <c r="M197" s="987"/>
      <c r="N197" s="158"/>
      <c r="O197" s="539">
        <v>1</v>
      </c>
      <c r="P197" s="406">
        <f>O3</f>
        <v>0.8</v>
      </c>
      <c r="R197" s="407"/>
      <c r="S197" s="408"/>
    </row>
    <row r="198" spans="1:19" x14ac:dyDescent="0.25">
      <c r="A198" s="999" t="s">
        <v>276</v>
      </c>
      <c r="B198" s="409">
        <v>1</v>
      </c>
      <c r="C198" s="410">
        <f>C5</f>
        <v>15</v>
      </c>
      <c r="D198" s="410">
        <f>D5</f>
        <v>0.1</v>
      </c>
      <c r="E198" s="410">
        <f>E5</f>
        <v>-0.5</v>
      </c>
      <c r="F198" s="410">
        <f>F5</f>
        <v>0.3</v>
      </c>
      <c r="G198" s="158"/>
      <c r="H198" s="989" t="s">
        <v>276</v>
      </c>
      <c r="I198" s="409">
        <v>1</v>
      </c>
      <c r="J198" s="410">
        <f>I5</f>
        <v>30</v>
      </c>
      <c r="K198" s="410">
        <f>J5</f>
        <v>-14.4</v>
      </c>
      <c r="L198" s="410">
        <f>K5</f>
        <v>-6</v>
      </c>
      <c r="M198" s="410">
        <f>L5</f>
        <v>4.2</v>
      </c>
      <c r="N198" s="158"/>
      <c r="O198" s="411">
        <v>2</v>
      </c>
      <c r="P198" s="539">
        <f>O14</f>
        <v>0.8</v>
      </c>
      <c r="R198" s="407"/>
      <c r="S198" s="408"/>
    </row>
    <row r="199" spans="1:19" x14ac:dyDescent="0.25">
      <c r="A199" s="1000"/>
      <c r="B199" s="409">
        <v>2</v>
      </c>
      <c r="C199" s="410">
        <f>C16</f>
        <v>15</v>
      </c>
      <c r="D199" s="410">
        <f>D16</f>
        <v>0.4</v>
      </c>
      <c r="E199" s="410">
        <f>E16</f>
        <v>0</v>
      </c>
      <c r="F199" s="410">
        <f>F16</f>
        <v>0.2</v>
      </c>
      <c r="G199" s="158"/>
      <c r="H199" s="990"/>
      <c r="I199" s="409">
        <v>2</v>
      </c>
      <c r="J199" s="410">
        <f>I16</f>
        <v>35</v>
      </c>
      <c r="K199" s="410">
        <f>J16</f>
        <v>0</v>
      </c>
      <c r="L199" s="410">
        <f>K16</f>
        <v>-1.6</v>
      </c>
      <c r="M199" s="410">
        <f>L16</f>
        <v>0.8</v>
      </c>
      <c r="N199" s="158"/>
      <c r="O199" s="411">
        <v>3</v>
      </c>
      <c r="P199" s="411">
        <f>O25</f>
        <v>0.5</v>
      </c>
    </row>
    <row r="200" spans="1:19" x14ac:dyDescent="0.25">
      <c r="A200" s="1000"/>
      <c r="B200" s="409">
        <v>3</v>
      </c>
      <c r="C200" s="410">
        <f>C27</f>
        <v>15</v>
      </c>
      <c r="D200" s="410">
        <f>D27</f>
        <v>0.4</v>
      </c>
      <c r="E200" s="410">
        <f>E27</f>
        <v>0</v>
      </c>
      <c r="F200" s="410">
        <f>F27</f>
        <v>0.2</v>
      </c>
      <c r="G200" s="158"/>
      <c r="H200" s="990"/>
      <c r="I200" s="409">
        <v>3</v>
      </c>
      <c r="J200" s="410">
        <f>I27</f>
        <v>30</v>
      </c>
      <c r="K200" s="410">
        <f>J27</f>
        <v>0</v>
      </c>
      <c r="L200" s="410">
        <f>K27</f>
        <v>-5.7</v>
      </c>
      <c r="M200" s="410">
        <f>L27</f>
        <v>2.85</v>
      </c>
      <c r="N200" s="158"/>
      <c r="O200" s="411">
        <v>4</v>
      </c>
      <c r="P200" s="411">
        <f>O36</f>
        <v>0.3</v>
      </c>
    </row>
    <row r="201" spans="1:19" x14ac:dyDescent="0.25">
      <c r="A201" s="1000"/>
      <c r="B201" s="409">
        <v>4</v>
      </c>
      <c r="C201" s="412">
        <f>C38</f>
        <v>15</v>
      </c>
      <c r="D201" s="412">
        <f>D38</f>
        <v>-0.2</v>
      </c>
      <c r="E201" s="412">
        <f>E38</f>
        <v>-0.1</v>
      </c>
      <c r="F201" s="412">
        <f>F38</f>
        <v>0.05</v>
      </c>
      <c r="G201" s="158"/>
      <c r="H201" s="990"/>
      <c r="I201" s="409">
        <v>4</v>
      </c>
      <c r="J201" s="412">
        <f>I38</f>
        <v>35</v>
      </c>
      <c r="K201" s="412">
        <f>J38</f>
        <v>-4.5</v>
      </c>
      <c r="L201" s="412">
        <f>K38</f>
        <v>-1.7</v>
      </c>
      <c r="M201" s="412">
        <f>L38</f>
        <v>1.4</v>
      </c>
      <c r="N201" s="158"/>
      <c r="O201" s="411">
        <v>5</v>
      </c>
      <c r="P201" s="411">
        <f>O47</f>
        <v>0.3</v>
      </c>
    </row>
    <row r="202" spans="1:19" x14ac:dyDescent="0.25">
      <c r="A202" s="1000"/>
      <c r="B202" s="409">
        <v>5</v>
      </c>
      <c r="C202" s="412">
        <f>C49</f>
        <v>15</v>
      </c>
      <c r="D202" s="412">
        <f>D49</f>
        <v>-0.1</v>
      </c>
      <c r="E202" s="412">
        <f>E49</f>
        <v>-0.3</v>
      </c>
      <c r="F202" s="412">
        <f>F49</f>
        <v>9.9999999999999992E-2</v>
      </c>
      <c r="G202" s="158"/>
      <c r="H202" s="990"/>
      <c r="I202" s="409">
        <v>5</v>
      </c>
      <c r="J202" s="412">
        <f>I49</f>
        <v>30</v>
      </c>
      <c r="K202" s="412">
        <f>J49</f>
        <v>-9.6999999999999993</v>
      </c>
      <c r="L202" s="412">
        <f>K49</f>
        <v>-7.7</v>
      </c>
      <c r="M202" s="412">
        <f>L49</f>
        <v>0.99999999999999956</v>
      </c>
      <c r="N202" s="158"/>
      <c r="O202" s="539">
        <v>6</v>
      </c>
      <c r="P202" s="406">
        <f>O58</f>
        <v>0.8</v>
      </c>
    </row>
    <row r="203" spans="1:19" x14ac:dyDescent="0.25">
      <c r="A203" s="1000"/>
      <c r="B203" s="409">
        <v>6</v>
      </c>
      <c r="C203" s="412">
        <f>C60</f>
        <v>15</v>
      </c>
      <c r="D203" s="412">
        <f>D60</f>
        <v>0.4</v>
      </c>
      <c r="E203" s="412">
        <f>E60</f>
        <v>0.4</v>
      </c>
      <c r="F203" s="412">
        <f>F60</f>
        <v>0</v>
      </c>
      <c r="G203" s="158"/>
      <c r="H203" s="990"/>
      <c r="I203" s="409">
        <v>6</v>
      </c>
      <c r="J203" s="412">
        <f>I60</f>
        <v>30</v>
      </c>
      <c r="K203" s="412">
        <f>J60</f>
        <v>-1.5</v>
      </c>
      <c r="L203" s="412">
        <f>K60</f>
        <v>1.7</v>
      </c>
      <c r="M203" s="412">
        <f>L60</f>
        <v>1.6</v>
      </c>
      <c r="N203" s="158"/>
      <c r="O203" s="539">
        <v>7</v>
      </c>
      <c r="P203" s="406">
        <f>O69</f>
        <v>0.2</v>
      </c>
    </row>
    <row r="204" spans="1:19" x14ac:dyDescent="0.25">
      <c r="A204" s="1000"/>
      <c r="B204" s="409">
        <v>7</v>
      </c>
      <c r="C204" s="412">
        <f>C71</f>
        <v>15</v>
      </c>
      <c r="D204" s="412">
        <f>D71</f>
        <v>0.1</v>
      </c>
      <c r="E204" s="412">
        <f>E71</f>
        <v>0.3</v>
      </c>
      <c r="F204" s="412">
        <f>F71</f>
        <v>9.9999999999999992E-2</v>
      </c>
      <c r="G204" s="158"/>
      <c r="H204" s="990"/>
      <c r="I204" s="409">
        <v>7</v>
      </c>
      <c r="J204" s="412">
        <f>I71</f>
        <v>30</v>
      </c>
      <c r="K204" s="412">
        <f>J71</f>
        <v>-1.9</v>
      </c>
      <c r="L204" s="412">
        <f>K71</f>
        <v>1.8</v>
      </c>
      <c r="M204" s="412">
        <f>L71</f>
        <v>1.85</v>
      </c>
      <c r="N204" s="158"/>
      <c r="O204" s="539">
        <v>8</v>
      </c>
      <c r="P204" s="406">
        <f>O80</f>
        <v>0.3</v>
      </c>
    </row>
    <row r="205" spans="1:19" x14ac:dyDescent="0.25">
      <c r="A205" s="1000"/>
      <c r="B205" s="409">
        <v>8</v>
      </c>
      <c r="C205" s="412">
        <f>C82</f>
        <v>15</v>
      </c>
      <c r="D205" s="412">
        <f>D82</f>
        <v>0.1</v>
      </c>
      <c r="E205" s="412">
        <f>E82</f>
        <v>0</v>
      </c>
      <c r="F205" s="412">
        <f>F82</f>
        <v>0.05</v>
      </c>
      <c r="G205" s="158"/>
      <c r="H205" s="990"/>
      <c r="I205" s="409">
        <v>8</v>
      </c>
      <c r="J205" s="412">
        <f>I82</f>
        <v>30</v>
      </c>
      <c r="K205" s="412">
        <f>J82</f>
        <v>-4</v>
      </c>
      <c r="L205" s="412">
        <f>K82</f>
        <v>-1.4</v>
      </c>
      <c r="M205" s="412">
        <f>L82</f>
        <v>1.3</v>
      </c>
      <c r="N205" s="158"/>
      <c r="O205" s="539">
        <v>9</v>
      </c>
      <c r="P205" s="406">
        <f>O91</f>
        <v>0.3</v>
      </c>
    </row>
    <row r="206" spans="1:19" x14ac:dyDescent="0.25">
      <c r="A206" s="1000"/>
      <c r="B206" s="409">
        <v>9</v>
      </c>
      <c r="C206" s="412">
        <f>C93</f>
        <v>15</v>
      </c>
      <c r="D206" s="412">
        <f>D93</f>
        <v>0</v>
      </c>
      <c r="E206" s="412" t="str">
        <f>E93</f>
        <v>-</v>
      </c>
      <c r="F206" s="412">
        <f>F93</f>
        <v>0</v>
      </c>
      <c r="G206" s="158"/>
      <c r="H206" s="990"/>
      <c r="I206" s="409">
        <v>9</v>
      </c>
      <c r="J206" s="412">
        <f>I93</f>
        <v>30</v>
      </c>
      <c r="K206" s="412">
        <f>J93</f>
        <v>-1.2</v>
      </c>
      <c r="L206" s="412" t="str">
        <f>K93</f>
        <v>-</v>
      </c>
      <c r="M206" s="412">
        <f>L93</f>
        <v>0</v>
      </c>
      <c r="N206" s="158"/>
      <c r="O206" s="539">
        <v>10</v>
      </c>
      <c r="P206" s="406">
        <f>O102</f>
        <v>0.3</v>
      </c>
    </row>
    <row r="207" spans="1:19" x14ac:dyDescent="0.25">
      <c r="A207" s="1000"/>
      <c r="B207" s="409">
        <v>10</v>
      </c>
      <c r="C207" s="412">
        <f>C104</f>
        <v>15</v>
      </c>
      <c r="D207" s="412">
        <f>D104</f>
        <v>0.2</v>
      </c>
      <c r="E207" s="412">
        <f>E104</f>
        <v>0.2</v>
      </c>
      <c r="F207" s="412">
        <f>F104</f>
        <v>0</v>
      </c>
      <c r="G207" s="158"/>
      <c r="H207" s="990"/>
      <c r="I207" s="409">
        <v>10</v>
      </c>
      <c r="J207" s="412">
        <f>I104</f>
        <v>30</v>
      </c>
      <c r="K207" s="412">
        <f>J104</f>
        <v>-2.9</v>
      </c>
      <c r="L207" s="412">
        <f>K104</f>
        <v>-5.8</v>
      </c>
      <c r="M207" s="412">
        <f>L104</f>
        <v>1.45</v>
      </c>
      <c r="N207" s="158"/>
      <c r="O207" s="539">
        <v>11</v>
      </c>
      <c r="P207" s="406">
        <f>O113</f>
        <v>0.3</v>
      </c>
    </row>
    <row r="208" spans="1:19" x14ac:dyDescent="0.25">
      <c r="A208" s="1000"/>
      <c r="B208" s="409">
        <v>11</v>
      </c>
      <c r="C208" s="412">
        <f>C115</f>
        <v>14.8</v>
      </c>
      <c r="D208" s="412">
        <f>D115</f>
        <v>0.3</v>
      </c>
      <c r="E208" s="412">
        <f>E115</f>
        <v>0.3</v>
      </c>
      <c r="F208" s="412">
        <f>F115</f>
        <v>0</v>
      </c>
      <c r="G208" s="158"/>
      <c r="H208" s="990"/>
      <c r="I208" s="409">
        <v>11</v>
      </c>
      <c r="J208" s="412">
        <f>I115</f>
        <v>45.7</v>
      </c>
      <c r="K208" s="412">
        <f>J115</f>
        <v>-5.2</v>
      </c>
      <c r="L208" s="412">
        <f>K115</f>
        <v>-6.4</v>
      </c>
      <c r="M208" s="412">
        <f>L115</f>
        <v>0.60000000000000009</v>
      </c>
      <c r="N208" s="158"/>
      <c r="O208" s="539">
        <v>12</v>
      </c>
      <c r="P208" s="406">
        <f>O124</f>
        <v>0.3</v>
      </c>
    </row>
    <row r="209" spans="1:16" x14ac:dyDescent="0.25">
      <c r="A209" s="1000"/>
      <c r="B209" s="409">
        <v>12</v>
      </c>
      <c r="C209" s="412">
        <f>C126</f>
        <v>15</v>
      </c>
      <c r="D209" s="412">
        <f>D126</f>
        <v>-0.7</v>
      </c>
      <c r="E209" s="412" t="str">
        <f>E126</f>
        <v>-</v>
      </c>
      <c r="F209" s="412">
        <f>F126</f>
        <v>0</v>
      </c>
      <c r="G209" s="158"/>
      <c r="H209" s="990"/>
      <c r="I209" s="409">
        <v>12</v>
      </c>
      <c r="J209" s="412">
        <f>I126</f>
        <v>35</v>
      </c>
      <c r="K209" s="412">
        <f>J126</f>
        <v>-1.4</v>
      </c>
      <c r="L209" s="412" t="str">
        <f>K126</f>
        <v>-</v>
      </c>
      <c r="M209" s="412">
        <f>L126</f>
        <v>0</v>
      </c>
      <c r="N209" s="158"/>
      <c r="O209" s="539">
        <v>13</v>
      </c>
      <c r="P209" s="413">
        <f>O134</f>
        <v>0.3</v>
      </c>
    </row>
    <row r="210" spans="1:16" x14ac:dyDescent="0.25">
      <c r="A210" s="1000"/>
      <c r="B210" s="409">
        <v>13</v>
      </c>
      <c r="C210" s="412">
        <f>C136</f>
        <v>15</v>
      </c>
      <c r="D210" s="412">
        <f>D136</f>
        <v>-0.6</v>
      </c>
      <c r="E210" s="412" t="str">
        <f>E136</f>
        <v>-</v>
      </c>
      <c r="F210" s="412">
        <f>F136</f>
        <v>0</v>
      </c>
      <c r="G210" s="158"/>
      <c r="H210" s="990"/>
      <c r="I210" s="409">
        <v>13</v>
      </c>
      <c r="J210" s="412">
        <f>I136</f>
        <v>35</v>
      </c>
      <c r="K210" s="412">
        <f>J136</f>
        <v>-0.4</v>
      </c>
      <c r="L210" s="412" t="str">
        <f>K136</f>
        <v>-</v>
      </c>
      <c r="M210" s="412">
        <f>L136</f>
        <v>0</v>
      </c>
      <c r="N210" s="158"/>
      <c r="O210" s="539">
        <v>14</v>
      </c>
      <c r="P210" s="413">
        <f>O144</f>
        <v>0.4</v>
      </c>
    </row>
    <row r="211" spans="1:16" x14ac:dyDescent="0.25">
      <c r="A211" s="1000"/>
      <c r="B211" s="409">
        <v>14</v>
      </c>
      <c r="C211" s="412">
        <f>C146</f>
        <v>15</v>
      </c>
      <c r="D211" s="412">
        <f>D146</f>
        <v>-0.2</v>
      </c>
      <c r="E211" s="412" t="str">
        <f>E146</f>
        <v>-</v>
      </c>
      <c r="F211" s="412">
        <f>F146</f>
        <v>0</v>
      </c>
      <c r="G211" s="158"/>
      <c r="H211" s="990"/>
      <c r="I211" s="409">
        <v>14</v>
      </c>
      <c r="J211" s="412">
        <f>I146</f>
        <v>35</v>
      </c>
      <c r="K211" s="412">
        <f>J146</f>
        <v>0.6</v>
      </c>
      <c r="L211" s="412" t="str">
        <f>K146</f>
        <v>-</v>
      </c>
      <c r="M211" s="412">
        <f>L146</f>
        <v>0</v>
      </c>
      <c r="N211" s="158"/>
      <c r="O211" s="539">
        <v>15</v>
      </c>
      <c r="P211" s="413">
        <f>O154</f>
        <v>0.3</v>
      </c>
    </row>
    <row r="212" spans="1:16" x14ac:dyDescent="0.25">
      <c r="A212" s="1000"/>
      <c r="B212" s="409">
        <v>15</v>
      </c>
      <c r="C212" s="412">
        <f>C156</f>
        <v>15</v>
      </c>
      <c r="D212" s="412">
        <f t="shared" ref="D212:F212" si="38">D156</f>
        <v>0</v>
      </c>
      <c r="E212" s="412" t="str">
        <f t="shared" si="38"/>
        <v>-</v>
      </c>
      <c r="F212" s="412">
        <f t="shared" si="38"/>
        <v>0</v>
      </c>
      <c r="G212" s="158"/>
      <c r="H212" s="990"/>
      <c r="I212" s="409">
        <v>15</v>
      </c>
      <c r="J212" s="412">
        <f>I156</f>
        <v>35</v>
      </c>
      <c r="K212" s="412">
        <f t="shared" ref="K212:M212" si="39">J156</f>
        <v>-0.4</v>
      </c>
      <c r="L212" s="412" t="str">
        <f t="shared" si="39"/>
        <v>-</v>
      </c>
      <c r="M212" s="412">
        <f t="shared" si="39"/>
        <v>0</v>
      </c>
      <c r="N212" s="158"/>
      <c r="O212" s="539">
        <v>16</v>
      </c>
      <c r="P212" s="413">
        <f>O164</f>
        <v>0.4</v>
      </c>
    </row>
    <row r="213" spans="1:16" x14ac:dyDescent="0.25">
      <c r="A213" s="1000"/>
      <c r="B213" s="409">
        <v>16</v>
      </c>
      <c r="C213" s="412">
        <f>C166</f>
        <v>15</v>
      </c>
      <c r="D213" s="412">
        <f t="shared" ref="D213:F213" si="40">D166</f>
        <v>0.1</v>
      </c>
      <c r="E213" s="412" t="str">
        <f t="shared" si="40"/>
        <v>-</v>
      </c>
      <c r="F213" s="412">
        <f t="shared" si="40"/>
        <v>0</v>
      </c>
      <c r="G213" s="158"/>
      <c r="H213" s="990"/>
      <c r="I213" s="409">
        <v>16</v>
      </c>
      <c r="J213" s="412">
        <f>I166</f>
        <v>35</v>
      </c>
      <c r="K213" s="412">
        <f t="shared" ref="K213:M213" si="41">J166</f>
        <v>-1.6</v>
      </c>
      <c r="L213" s="412" t="str">
        <f t="shared" si="41"/>
        <v>-</v>
      </c>
      <c r="M213" s="412">
        <f t="shared" si="41"/>
        <v>0</v>
      </c>
      <c r="N213" s="158"/>
      <c r="O213" s="539">
        <v>17</v>
      </c>
      <c r="P213" s="413">
        <f>O174</f>
        <v>0.3</v>
      </c>
    </row>
    <row r="214" spans="1:16" x14ac:dyDescent="0.25">
      <c r="A214" s="1000"/>
      <c r="B214" s="409">
        <v>17</v>
      </c>
      <c r="C214" s="412">
        <f>C176</f>
        <v>15</v>
      </c>
      <c r="D214" s="412">
        <f t="shared" ref="D214:F214" si="42">D176</f>
        <v>0.1</v>
      </c>
      <c r="E214" s="412" t="str">
        <f t="shared" si="42"/>
        <v>-</v>
      </c>
      <c r="F214" s="412">
        <f t="shared" si="42"/>
        <v>0</v>
      </c>
      <c r="G214" s="158"/>
      <c r="H214" s="990"/>
      <c r="I214" s="409">
        <v>17</v>
      </c>
      <c r="J214" s="412">
        <f>I176</f>
        <v>35</v>
      </c>
      <c r="K214" s="412">
        <f t="shared" ref="K214:M214" si="43">J176</f>
        <v>0.1</v>
      </c>
      <c r="L214" s="412" t="str">
        <f t="shared" si="43"/>
        <v>-</v>
      </c>
      <c r="M214" s="412">
        <f t="shared" si="43"/>
        <v>0</v>
      </c>
      <c r="N214" s="158"/>
      <c r="O214" s="539">
        <v>18</v>
      </c>
      <c r="P214" s="413">
        <f>O184</f>
        <v>0.3</v>
      </c>
    </row>
    <row r="215" spans="1:16" x14ac:dyDescent="0.25">
      <c r="A215" s="1000"/>
      <c r="B215" s="540">
        <v>18</v>
      </c>
      <c r="C215" s="414">
        <f>C186</f>
        <v>15</v>
      </c>
      <c r="D215" s="414">
        <f t="shared" ref="D215:F215" si="44">D186</f>
        <v>0</v>
      </c>
      <c r="E215" s="414" t="str">
        <f t="shared" si="44"/>
        <v>-</v>
      </c>
      <c r="F215" s="414">
        <f t="shared" si="44"/>
        <v>0</v>
      </c>
      <c r="G215" s="158"/>
      <c r="H215" s="990"/>
      <c r="I215" s="409">
        <v>18</v>
      </c>
      <c r="J215" s="412">
        <f>I186</f>
        <v>35</v>
      </c>
      <c r="K215" s="412">
        <f t="shared" ref="K215:M215" si="45">J186</f>
        <v>-0.4</v>
      </c>
      <c r="L215" s="412" t="str">
        <f t="shared" si="45"/>
        <v>-</v>
      </c>
      <c r="M215" s="412">
        <f t="shared" si="45"/>
        <v>0</v>
      </c>
      <c r="N215" s="158"/>
      <c r="O215" s="539">
        <v>19</v>
      </c>
      <c r="P215" s="413">
        <f>AD3</f>
        <v>0.1</v>
      </c>
    </row>
    <row r="216" spans="1:16" x14ac:dyDescent="0.25">
      <c r="A216" s="1001"/>
      <c r="B216" s="409">
        <v>19</v>
      </c>
      <c r="C216" s="412">
        <f>R5</f>
        <v>15</v>
      </c>
      <c r="D216" s="412">
        <f>S5</f>
        <v>0</v>
      </c>
      <c r="E216" s="412">
        <f>T5</f>
        <v>0</v>
      </c>
      <c r="F216" s="412">
        <f t="shared" ref="F216" si="46">U5</f>
        <v>0</v>
      </c>
      <c r="G216" s="158"/>
      <c r="H216" s="991"/>
      <c r="I216" s="409">
        <v>19</v>
      </c>
      <c r="J216" s="412">
        <f>X5</f>
        <v>35</v>
      </c>
      <c r="K216" s="412">
        <f>Y5</f>
        <v>-1.5</v>
      </c>
      <c r="L216" s="412">
        <f>Z5</f>
        <v>-0.4</v>
      </c>
      <c r="M216" s="412">
        <f>AA5</f>
        <v>0</v>
      </c>
      <c r="N216" s="158"/>
      <c r="O216" s="415"/>
      <c r="P216" s="416"/>
    </row>
    <row r="217" spans="1:16" x14ac:dyDescent="0.25">
      <c r="A217" s="417"/>
      <c r="B217" s="418"/>
      <c r="C217" s="419"/>
      <c r="D217" s="419"/>
      <c r="E217" s="419"/>
      <c r="F217" s="420"/>
      <c r="G217" s="4"/>
      <c r="H217" s="421"/>
      <c r="I217" s="421"/>
      <c r="J217" s="422"/>
      <c r="K217" s="422"/>
      <c r="L217" s="422"/>
      <c r="M217" s="422"/>
      <c r="N217" s="4"/>
      <c r="O217" s="4"/>
      <c r="P217" s="4"/>
    </row>
    <row r="218" spans="1:16" x14ac:dyDescent="0.25">
      <c r="A218" s="989" t="s">
        <v>278</v>
      </c>
      <c r="B218" s="409">
        <v>1</v>
      </c>
      <c r="C218" s="412">
        <f>C6</f>
        <v>20</v>
      </c>
      <c r="D218" s="412">
        <f>D6</f>
        <v>0.1</v>
      </c>
      <c r="E218" s="412">
        <f>E6</f>
        <v>-0.2</v>
      </c>
      <c r="F218" s="412">
        <f>F6</f>
        <v>0.15000000000000002</v>
      </c>
      <c r="G218" s="158"/>
      <c r="H218" s="989" t="s">
        <v>278</v>
      </c>
      <c r="I218" s="409">
        <v>1</v>
      </c>
      <c r="J218" s="412">
        <f>I6</f>
        <v>40</v>
      </c>
      <c r="K218" s="412">
        <f>J50</f>
        <v>-9.6999999999999993</v>
      </c>
      <c r="L218" s="412">
        <f>K50</f>
        <v>-7.2</v>
      </c>
      <c r="M218" s="412">
        <f>L50</f>
        <v>1.2499999999999996</v>
      </c>
      <c r="N218" s="158"/>
    </row>
    <row r="219" spans="1:16" x14ac:dyDescent="0.25">
      <c r="A219" s="990"/>
      <c r="B219" s="409">
        <v>2</v>
      </c>
      <c r="C219" s="412">
        <f>C17</f>
        <v>20</v>
      </c>
      <c r="D219" s="412">
        <f>D17</f>
        <v>0.7</v>
      </c>
      <c r="E219" s="412">
        <f>E17</f>
        <v>-0.1</v>
      </c>
      <c r="F219" s="412">
        <f>F17</f>
        <v>0.39999999999999997</v>
      </c>
      <c r="G219" s="158"/>
      <c r="H219" s="990"/>
      <c r="I219" s="409">
        <v>2</v>
      </c>
      <c r="J219" s="412">
        <f>I17</f>
        <v>40</v>
      </c>
      <c r="K219" s="412">
        <f>J17</f>
        <v>-6.2</v>
      </c>
      <c r="L219" s="412">
        <f>K17</f>
        <v>-1.6</v>
      </c>
      <c r="M219" s="412">
        <f>L17</f>
        <v>2.2999999999999998</v>
      </c>
      <c r="N219" s="158"/>
    </row>
    <row r="220" spans="1:16" x14ac:dyDescent="0.25">
      <c r="A220" s="990"/>
      <c r="B220" s="409">
        <v>3</v>
      </c>
      <c r="C220" s="410">
        <f>C28</f>
        <v>20</v>
      </c>
      <c r="D220" s="410">
        <f>D28</f>
        <v>1</v>
      </c>
      <c r="E220" s="410">
        <f>E28</f>
        <v>0</v>
      </c>
      <c r="F220" s="410">
        <f>F28</f>
        <v>0.5</v>
      </c>
      <c r="G220" s="158"/>
      <c r="H220" s="990"/>
      <c r="I220" s="409">
        <v>3</v>
      </c>
      <c r="J220" s="410">
        <f>I28</f>
        <v>40</v>
      </c>
      <c r="K220" s="410">
        <f>J28</f>
        <v>-5.9</v>
      </c>
      <c r="L220" s="410">
        <f>K28</f>
        <v>-5.3</v>
      </c>
      <c r="M220" s="410">
        <f>L28</f>
        <v>0.30000000000000027</v>
      </c>
      <c r="N220" s="158"/>
    </row>
    <row r="221" spans="1:16" x14ac:dyDescent="0.25">
      <c r="A221" s="990"/>
      <c r="B221" s="409">
        <v>4</v>
      </c>
      <c r="C221" s="410">
        <f>C39</f>
        <v>20</v>
      </c>
      <c r="D221" s="410">
        <f>D39</f>
        <v>-0.1</v>
      </c>
      <c r="E221" s="410">
        <f>E39</f>
        <v>-0.3</v>
      </c>
      <c r="F221" s="410">
        <f>F39</f>
        <v>9.9999999999999992E-2</v>
      </c>
      <c r="G221" s="158"/>
      <c r="H221" s="990"/>
      <c r="I221" s="409">
        <v>4</v>
      </c>
      <c r="J221" s="410">
        <f>I39</f>
        <v>40</v>
      </c>
      <c r="K221" s="410">
        <f>J39</f>
        <v>-4.4000000000000004</v>
      </c>
      <c r="L221" s="410">
        <f>K39</f>
        <v>-1.5</v>
      </c>
      <c r="M221" s="410">
        <f>L39</f>
        <v>1.4500000000000002</v>
      </c>
      <c r="N221" s="158"/>
    </row>
    <row r="222" spans="1:16" x14ac:dyDescent="0.25">
      <c r="A222" s="990"/>
      <c r="B222" s="409">
        <v>5</v>
      </c>
      <c r="C222" s="410">
        <f>C50</f>
        <v>20</v>
      </c>
      <c r="D222" s="410">
        <f>D50</f>
        <v>0.1</v>
      </c>
      <c r="E222" s="410">
        <f>E50</f>
        <v>0.1</v>
      </c>
      <c r="F222" s="410">
        <f>F50</f>
        <v>0</v>
      </c>
      <c r="G222" s="158"/>
      <c r="H222" s="990"/>
      <c r="I222" s="409">
        <v>5</v>
      </c>
      <c r="J222" s="410">
        <f>I50</f>
        <v>40</v>
      </c>
      <c r="K222" s="410">
        <f>J50</f>
        <v>-9.6999999999999993</v>
      </c>
      <c r="L222" s="410">
        <f>K50</f>
        <v>-7.2</v>
      </c>
      <c r="M222" s="410">
        <f>L50</f>
        <v>1.2499999999999996</v>
      </c>
      <c r="N222" s="158"/>
    </row>
    <row r="223" spans="1:16" x14ac:dyDescent="0.25">
      <c r="A223" s="990"/>
      <c r="B223" s="409">
        <v>6</v>
      </c>
      <c r="C223" s="410">
        <f>C61</f>
        <v>20</v>
      </c>
      <c r="D223" s="410">
        <f>D61</f>
        <v>0.3</v>
      </c>
      <c r="E223" s="410">
        <f>E61</f>
        <v>0.2</v>
      </c>
      <c r="F223" s="410">
        <f>F61</f>
        <v>4.9999999999999989E-2</v>
      </c>
      <c r="G223" s="158"/>
      <c r="H223" s="990"/>
      <c r="I223" s="409">
        <v>6</v>
      </c>
      <c r="J223" s="410">
        <f>I61</f>
        <v>40</v>
      </c>
      <c r="K223" s="410">
        <f>J61</f>
        <v>-3.8</v>
      </c>
      <c r="L223" s="410">
        <f>K61</f>
        <v>1.5</v>
      </c>
      <c r="M223" s="410">
        <f>L61</f>
        <v>2.65</v>
      </c>
      <c r="N223" s="158"/>
    </row>
    <row r="224" spans="1:16" x14ac:dyDescent="0.25">
      <c r="A224" s="990"/>
      <c r="B224" s="409">
        <v>7</v>
      </c>
      <c r="C224" s="410">
        <f>C72</f>
        <v>20</v>
      </c>
      <c r="D224" s="410">
        <f>D72</f>
        <v>0</v>
      </c>
      <c r="E224" s="410">
        <f>E72</f>
        <v>0.1</v>
      </c>
      <c r="F224" s="410">
        <f>F72</f>
        <v>0.05</v>
      </c>
      <c r="G224" s="158"/>
      <c r="H224" s="990"/>
      <c r="I224" s="409">
        <v>7</v>
      </c>
      <c r="J224" s="410">
        <f>I72</f>
        <v>40</v>
      </c>
      <c r="K224" s="410">
        <f>J72</f>
        <v>-1.9</v>
      </c>
      <c r="L224" s="410">
        <f>K72</f>
        <v>1.2</v>
      </c>
      <c r="M224" s="410">
        <f>L72</f>
        <v>1.5499999999999998</v>
      </c>
      <c r="N224" s="158"/>
    </row>
    <row r="225" spans="1:16" x14ac:dyDescent="0.25">
      <c r="A225" s="990"/>
      <c r="B225" s="409">
        <v>8</v>
      </c>
      <c r="C225" s="410">
        <f>C83</f>
        <v>20</v>
      </c>
      <c r="D225" s="410">
        <f>D83</f>
        <v>0</v>
      </c>
      <c r="E225" s="410">
        <f>E83</f>
        <v>-0.2</v>
      </c>
      <c r="F225" s="410">
        <f>F83</f>
        <v>0.1</v>
      </c>
      <c r="G225" s="158"/>
      <c r="H225" s="990"/>
      <c r="I225" s="409">
        <v>8</v>
      </c>
      <c r="J225" s="410">
        <f>I83</f>
        <v>40</v>
      </c>
      <c r="K225" s="410">
        <f>J83</f>
        <v>-3.8</v>
      </c>
      <c r="L225" s="410">
        <f>K83</f>
        <v>-1.2</v>
      </c>
      <c r="M225" s="410">
        <f>L83</f>
        <v>1.2999999999999998</v>
      </c>
      <c r="N225" s="158"/>
    </row>
    <row r="226" spans="1:16" x14ac:dyDescent="0.25">
      <c r="A226" s="990"/>
      <c r="B226" s="409">
        <v>9</v>
      </c>
      <c r="C226" s="410">
        <f>C94</f>
        <v>20</v>
      </c>
      <c r="D226" s="410">
        <f>D94</f>
        <v>-0.2</v>
      </c>
      <c r="E226" s="410" t="str">
        <f>E94</f>
        <v>-</v>
      </c>
      <c r="F226" s="410">
        <f>F94</f>
        <v>0</v>
      </c>
      <c r="G226" s="158"/>
      <c r="H226" s="990"/>
      <c r="I226" s="409">
        <v>9</v>
      </c>
      <c r="J226" s="410">
        <f>I94</f>
        <v>40</v>
      </c>
      <c r="K226" s="410">
        <f>J94</f>
        <v>-1</v>
      </c>
      <c r="L226" s="410" t="str">
        <f>K94</f>
        <v>-</v>
      </c>
      <c r="M226" s="410">
        <f>L94</f>
        <v>0</v>
      </c>
      <c r="N226" s="158"/>
    </row>
    <row r="227" spans="1:16" x14ac:dyDescent="0.25">
      <c r="A227" s="990"/>
      <c r="B227" s="409">
        <v>10</v>
      </c>
      <c r="C227" s="410">
        <f>C105</f>
        <v>20</v>
      </c>
      <c r="D227" s="410">
        <f>D105</f>
        <v>0.2</v>
      </c>
      <c r="E227" s="410">
        <f>E105</f>
        <v>-0.7</v>
      </c>
      <c r="F227" s="410">
        <f>F105</f>
        <v>0.44999999999999996</v>
      </c>
      <c r="G227" s="158"/>
      <c r="H227" s="990"/>
      <c r="I227" s="409">
        <v>10</v>
      </c>
      <c r="J227" s="410">
        <f>I105</f>
        <v>40</v>
      </c>
      <c r="K227" s="410">
        <f>J105</f>
        <v>-3.3</v>
      </c>
      <c r="L227" s="410">
        <f>K105</f>
        <v>-6.4</v>
      </c>
      <c r="M227" s="410">
        <f>L105</f>
        <v>1.5500000000000003</v>
      </c>
      <c r="N227" s="158"/>
    </row>
    <row r="228" spans="1:16" x14ac:dyDescent="0.25">
      <c r="A228" s="990"/>
      <c r="B228" s="409">
        <v>11</v>
      </c>
      <c r="C228" s="410">
        <f>C116</f>
        <v>19.7</v>
      </c>
      <c r="D228" s="410">
        <f>D116</f>
        <v>0.4</v>
      </c>
      <c r="E228" s="410">
        <f>E116</f>
        <v>0.5</v>
      </c>
      <c r="F228" s="410">
        <f>F116</f>
        <v>4.9999999999999989E-2</v>
      </c>
      <c r="G228" s="158"/>
      <c r="H228" s="990"/>
      <c r="I228" s="409">
        <v>11</v>
      </c>
      <c r="J228" s="410">
        <f>I116</f>
        <v>54.3</v>
      </c>
      <c r="K228" s="410">
        <f>J116</f>
        <v>-5.5</v>
      </c>
      <c r="L228" s="410">
        <f>K116</f>
        <v>-5.9</v>
      </c>
      <c r="M228" s="410">
        <f>L116</f>
        <v>0.20000000000000018</v>
      </c>
      <c r="N228" s="158"/>
    </row>
    <row r="229" spans="1:16" x14ac:dyDescent="0.25">
      <c r="A229" s="990"/>
      <c r="B229" s="409">
        <v>12</v>
      </c>
      <c r="C229" s="410">
        <f>C127</f>
        <v>20</v>
      </c>
      <c r="D229" s="410">
        <f>D127</f>
        <v>-0.4</v>
      </c>
      <c r="E229" s="410" t="str">
        <f>E127</f>
        <v>-</v>
      </c>
      <c r="F229" s="410">
        <f>F127</f>
        <v>0</v>
      </c>
      <c r="G229" s="158"/>
      <c r="H229" s="990"/>
      <c r="I229" s="409">
        <v>12</v>
      </c>
      <c r="J229" s="410">
        <f>I127</f>
        <v>40</v>
      </c>
      <c r="K229" s="410">
        <f>J127</f>
        <v>-1.3</v>
      </c>
      <c r="L229" s="410" t="str">
        <f>K127</f>
        <v>-</v>
      </c>
      <c r="M229" s="410">
        <f>L127</f>
        <v>0</v>
      </c>
      <c r="N229" s="158"/>
    </row>
    <row r="230" spans="1:16" x14ac:dyDescent="0.25">
      <c r="A230" s="990"/>
      <c r="B230" s="409">
        <v>13</v>
      </c>
      <c r="C230" s="410">
        <f>C137</f>
        <v>20</v>
      </c>
      <c r="D230" s="410">
        <f>D137</f>
        <v>-0.5</v>
      </c>
      <c r="E230" s="410" t="str">
        <f>E137</f>
        <v>-</v>
      </c>
      <c r="F230" s="410">
        <f>F137</f>
        <v>0</v>
      </c>
      <c r="G230" s="158"/>
      <c r="H230" s="990"/>
      <c r="I230" s="409">
        <v>13</v>
      </c>
      <c r="J230" s="410">
        <f>I137</f>
        <v>40</v>
      </c>
      <c r="K230" s="410">
        <f>J137</f>
        <v>-0.3</v>
      </c>
      <c r="L230" s="410" t="str">
        <f>K137</f>
        <v>-</v>
      </c>
      <c r="M230" s="410">
        <f>L137</f>
        <v>0</v>
      </c>
      <c r="N230" s="158"/>
    </row>
    <row r="231" spans="1:16" x14ac:dyDescent="0.25">
      <c r="A231" s="990"/>
      <c r="B231" s="409">
        <v>14</v>
      </c>
      <c r="C231" s="410">
        <f>C147</f>
        <v>20</v>
      </c>
      <c r="D231" s="410">
        <f>D147</f>
        <v>-0.1</v>
      </c>
      <c r="E231" s="410" t="str">
        <f>E147</f>
        <v>-</v>
      </c>
      <c r="F231" s="410">
        <f>F147</f>
        <v>0</v>
      </c>
      <c r="G231" s="158"/>
      <c r="H231" s="990"/>
      <c r="I231" s="409">
        <v>14</v>
      </c>
      <c r="J231" s="410">
        <f>I147</f>
        <v>40</v>
      </c>
      <c r="K231" s="410">
        <f>J147</f>
        <v>0.3</v>
      </c>
      <c r="L231" s="410" t="str">
        <f>K147</f>
        <v>-</v>
      </c>
      <c r="M231" s="410">
        <f>L147</f>
        <v>0</v>
      </c>
      <c r="N231" s="158"/>
    </row>
    <row r="232" spans="1:16" x14ac:dyDescent="0.25">
      <c r="A232" s="990"/>
      <c r="B232" s="409">
        <v>15</v>
      </c>
      <c r="C232" s="412">
        <f>C157</f>
        <v>20</v>
      </c>
      <c r="D232" s="412">
        <f t="shared" ref="D232:F232" si="47">D157</f>
        <v>0</v>
      </c>
      <c r="E232" s="412" t="str">
        <f t="shared" si="47"/>
        <v>-</v>
      </c>
      <c r="F232" s="412">
        <f t="shared" si="47"/>
        <v>0</v>
      </c>
      <c r="G232" s="158"/>
      <c r="H232" s="990"/>
      <c r="I232" s="409">
        <v>15</v>
      </c>
      <c r="J232" s="412">
        <f>I157</f>
        <v>40</v>
      </c>
      <c r="K232" s="412">
        <f t="shared" ref="K232:M232" si="48">J157</f>
        <v>-0.1</v>
      </c>
      <c r="L232" s="412" t="str">
        <f t="shared" si="48"/>
        <v>-</v>
      </c>
      <c r="M232" s="412">
        <f t="shared" si="48"/>
        <v>0</v>
      </c>
      <c r="N232" s="158"/>
      <c r="O232" s="158"/>
      <c r="P232" s="158"/>
    </row>
    <row r="233" spans="1:16" x14ac:dyDescent="0.25">
      <c r="A233" s="990"/>
      <c r="B233" s="409">
        <v>16</v>
      </c>
      <c r="C233" s="412">
        <f>C167</f>
        <v>20</v>
      </c>
      <c r="D233" s="412">
        <f t="shared" ref="D233:F233" si="49">D167</f>
        <v>0.2</v>
      </c>
      <c r="E233" s="412" t="str">
        <f t="shared" si="49"/>
        <v>-</v>
      </c>
      <c r="F233" s="412">
        <f t="shared" si="49"/>
        <v>0</v>
      </c>
      <c r="G233" s="158"/>
      <c r="H233" s="990"/>
      <c r="I233" s="409">
        <v>16</v>
      </c>
      <c r="J233" s="412">
        <f>I167</f>
        <v>40</v>
      </c>
      <c r="K233" s="412">
        <f t="shared" ref="K233:M233" si="50">J167</f>
        <v>-1.4</v>
      </c>
      <c r="L233" s="412" t="str">
        <f t="shared" si="50"/>
        <v>-</v>
      </c>
      <c r="M233" s="412">
        <f t="shared" si="50"/>
        <v>0</v>
      </c>
      <c r="N233" s="158"/>
      <c r="O233" s="158"/>
      <c r="P233" s="158"/>
    </row>
    <row r="234" spans="1:16" x14ac:dyDescent="0.25">
      <c r="A234" s="990"/>
      <c r="B234" s="409">
        <v>17</v>
      </c>
      <c r="C234" s="412">
        <f>C177</f>
        <v>20</v>
      </c>
      <c r="D234" s="412">
        <f t="shared" ref="D234:F234" si="51">D177</f>
        <v>0.1</v>
      </c>
      <c r="E234" s="412" t="str">
        <f t="shared" si="51"/>
        <v>-</v>
      </c>
      <c r="F234" s="412">
        <f t="shared" si="51"/>
        <v>0</v>
      </c>
      <c r="G234" s="158"/>
      <c r="H234" s="990"/>
      <c r="I234" s="409">
        <v>17</v>
      </c>
      <c r="J234" s="412">
        <f>I177</f>
        <v>40</v>
      </c>
      <c r="K234" s="412">
        <f t="shared" ref="K234:M234" si="52">J177</f>
        <v>0.2</v>
      </c>
      <c r="L234" s="412" t="str">
        <f t="shared" si="52"/>
        <v>-</v>
      </c>
      <c r="M234" s="412">
        <f t="shared" si="52"/>
        <v>0</v>
      </c>
      <c r="N234" s="158"/>
      <c r="O234" s="158"/>
      <c r="P234" s="158"/>
    </row>
    <row r="235" spans="1:16" x14ac:dyDescent="0.25">
      <c r="A235" s="990"/>
      <c r="B235" s="409">
        <v>18</v>
      </c>
      <c r="C235" s="412">
        <f>C187</f>
        <v>20</v>
      </c>
      <c r="D235" s="412">
        <f t="shared" ref="D235:F235" si="53">D187</f>
        <v>-0.1</v>
      </c>
      <c r="E235" s="412" t="str">
        <f t="shared" si="53"/>
        <v>-</v>
      </c>
      <c r="F235" s="412">
        <f t="shared" si="53"/>
        <v>0</v>
      </c>
      <c r="G235" s="158"/>
      <c r="H235" s="990"/>
      <c r="I235" s="409">
        <v>18</v>
      </c>
      <c r="J235" s="412">
        <f>I187</f>
        <v>40</v>
      </c>
      <c r="K235" s="412">
        <f t="shared" ref="K235:M235" si="54">J187</f>
        <v>-0.2</v>
      </c>
      <c r="L235" s="412" t="str">
        <f t="shared" si="54"/>
        <v>-</v>
      </c>
      <c r="M235" s="412">
        <f t="shared" si="54"/>
        <v>0</v>
      </c>
      <c r="N235" s="158"/>
      <c r="O235" s="158"/>
      <c r="P235" s="158"/>
    </row>
    <row r="236" spans="1:16" x14ac:dyDescent="0.25">
      <c r="A236" s="991"/>
      <c r="B236" s="409">
        <v>19</v>
      </c>
      <c r="C236" s="412">
        <f>R6</f>
        <v>20</v>
      </c>
      <c r="D236" s="412">
        <f>S6</f>
        <v>0.1</v>
      </c>
      <c r="E236" s="412">
        <f>T6</f>
        <v>-0.1</v>
      </c>
      <c r="F236" s="412">
        <f t="shared" ref="F236" si="55">U6</f>
        <v>0</v>
      </c>
      <c r="G236" s="158"/>
      <c r="H236" s="991"/>
      <c r="I236" s="409">
        <v>19</v>
      </c>
      <c r="J236" s="412">
        <f>X6</f>
        <v>40</v>
      </c>
      <c r="K236" s="412">
        <f>Y6</f>
        <v>-0.8</v>
      </c>
      <c r="L236" s="412">
        <f>Z6</f>
        <v>-0.2</v>
      </c>
      <c r="M236" s="412">
        <f t="shared" ref="M236" si="56">AA6</f>
        <v>0</v>
      </c>
      <c r="N236" s="158"/>
      <c r="O236" s="158"/>
      <c r="P236" s="158"/>
    </row>
    <row r="237" spans="1:16" x14ac:dyDescent="0.25">
      <c r="A237" s="417"/>
      <c r="B237" s="418"/>
      <c r="C237" s="423"/>
      <c r="D237" s="423"/>
      <c r="E237" s="423"/>
      <c r="F237" s="424"/>
      <c r="G237" s="4"/>
      <c r="H237" s="417"/>
      <c r="I237" s="418"/>
      <c r="J237" s="423"/>
      <c r="K237" s="423"/>
      <c r="L237" s="423"/>
      <c r="M237" s="424"/>
      <c r="N237" s="158"/>
    </row>
    <row r="238" spans="1:16" x14ac:dyDescent="0.25">
      <c r="A238" s="989" t="s">
        <v>280</v>
      </c>
      <c r="B238" s="409">
        <v>1</v>
      </c>
      <c r="C238" s="410">
        <f>C7</f>
        <v>25</v>
      </c>
      <c r="D238" s="410">
        <f>D7</f>
        <v>0.1</v>
      </c>
      <c r="E238" s="410">
        <f>E7</f>
        <v>0</v>
      </c>
      <c r="F238" s="410">
        <f>F7</f>
        <v>0.05</v>
      </c>
      <c r="G238" s="158"/>
      <c r="H238" s="989" t="s">
        <v>280</v>
      </c>
      <c r="I238" s="409">
        <v>1</v>
      </c>
      <c r="J238" s="410">
        <f>I7</f>
        <v>50</v>
      </c>
      <c r="K238" s="410">
        <f>J7</f>
        <v>-9.1</v>
      </c>
      <c r="L238" s="410">
        <f>K7</f>
        <v>-5.3</v>
      </c>
      <c r="M238" s="410">
        <f>L7</f>
        <v>1.9</v>
      </c>
      <c r="N238" s="158"/>
    </row>
    <row r="239" spans="1:16" x14ac:dyDescent="0.25">
      <c r="A239" s="990"/>
      <c r="B239" s="409">
        <v>2</v>
      </c>
      <c r="C239" s="410">
        <f>C18</f>
        <v>25</v>
      </c>
      <c r="D239" s="410">
        <f>D18</f>
        <v>0.5</v>
      </c>
      <c r="E239" s="410">
        <f>E18</f>
        <v>-0.2</v>
      </c>
      <c r="F239" s="410">
        <f>F18</f>
        <v>0.35</v>
      </c>
      <c r="G239" s="158"/>
      <c r="H239" s="990"/>
      <c r="I239" s="409">
        <v>2</v>
      </c>
      <c r="J239" s="410">
        <f>I18</f>
        <v>50</v>
      </c>
      <c r="K239" s="410">
        <f>J18</f>
        <v>-5.3</v>
      </c>
      <c r="L239" s="410">
        <f>K18</f>
        <v>-1.5</v>
      </c>
      <c r="M239" s="410">
        <f>L18</f>
        <v>1.9</v>
      </c>
      <c r="N239" s="158"/>
    </row>
    <row r="240" spans="1:16" x14ac:dyDescent="0.25">
      <c r="A240" s="990"/>
      <c r="B240" s="409">
        <v>3</v>
      </c>
      <c r="C240" s="410">
        <f>C29</f>
        <v>25</v>
      </c>
      <c r="D240" s="410">
        <f>D29</f>
        <v>0.7</v>
      </c>
      <c r="E240" s="410">
        <f>E29</f>
        <v>-0.1</v>
      </c>
      <c r="F240" s="410">
        <f>F29</f>
        <v>0.39999999999999997</v>
      </c>
      <c r="G240" s="158"/>
      <c r="H240" s="990"/>
      <c r="I240" s="409">
        <v>3</v>
      </c>
      <c r="J240" s="410">
        <f>I29</f>
        <v>50</v>
      </c>
      <c r="K240" s="410">
        <f>J29</f>
        <v>-4.5</v>
      </c>
      <c r="L240" s="410">
        <f>K29</f>
        <v>-4.9000000000000004</v>
      </c>
      <c r="M240" s="410">
        <f>L29</f>
        <v>0.20000000000000018</v>
      </c>
      <c r="N240" s="158"/>
    </row>
    <row r="241" spans="1:16" x14ac:dyDescent="0.25">
      <c r="A241" s="990"/>
      <c r="B241" s="409">
        <v>4</v>
      </c>
      <c r="C241" s="410">
        <f>C40</f>
        <v>25</v>
      </c>
      <c r="D241" s="410">
        <f>D40</f>
        <v>-0.1</v>
      </c>
      <c r="E241" s="410">
        <f>E40</f>
        <v>-0.5</v>
      </c>
      <c r="F241" s="410">
        <f>F40</f>
        <v>0.2</v>
      </c>
      <c r="G241" s="158"/>
      <c r="H241" s="990"/>
      <c r="I241" s="409">
        <v>4</v>
      </c>
      <c r="J241" s="410">
        <f>I40</f>
        <v>50</v>
      </c>
      <c r="K241" s="410">
        <f>J40</f>
        <v>-4.3</v>
      </c>
      <c r="L241" s="410">
        <f>K40</f>
        <v>-1</v>
      </c>
      <c r="M241" s="410">
        <f>L40</f>
        <v>1.65</v>
      </c>
      <c r="N241" s="158"/>
    </row>
    <row r="242" spans="1:16" x14ac:dyDescent="0.25">
      <c r="A242" s="990"/>
      <c r="B242" s="409">
        <v>5</v>
      </c>
      <c r="C242" s="410">
        <f>C51</f>
        <v>25</v>
      </c>
      <c r="D242" s="410">
        <f>D51</f>
        <v>0.2</v>
      </c>
      <c r="E242" s="410">
        <f>E51</f>
        <v>0.4</v>
      </c>
      <c r="F242" s="410">
        <f>F51</f>
        <v>0.1</v>
      </c>
      <c r="G242" s="158"/>
      <c r="H242" s="990"/>
      <c r="I242" s="409">
        <v>5</v>
      </c>
      <c r="J242" s="410">
        <f>I51</f>
        <v>50</v>
      </c>
      <c r="K242" s="410">
        <f>J51</f>
        <v>-9.1</v>
      </c>
      <c r="L242" s="410">
        <f>K51</f>
        <v>-6.2</v>
      </c>
      <c r="M242" s="410">
        <f>L51</f>
        <v>1.4499999999999997</v>
      </c>
      <c r="N242" s="158"/>
      <c r="O242" s="158"/>
      <c r="P242" s="158"/>
    </row>
    <row r="243" spans="1:16" x14ac:dyDescent="0.25">
      <c r="A243" s="990"/>
      <c r="B243" s="409">
        <v>6</v>
      </c>
      <c r="C243" s="410">
        <f>C62</f>
        <v>25</v>
      </c>
      <c r="D243" s="410">
        <f>D62</f>
        <v>0.2</v>
      </c>
      <c r="E243" s="410">
        <f>E62</f>
        <v>-0.1</v>
      </c>
      <c r="F243" s="410">
        <f>F62</f>
        <v>0.15000000000000002</v>
      </c>
      <c r="G243" s="158"/>
      <c r="H243" s="990"/>
      <c r="I243" s="409">
        <v>6</v>
      </c>
      <c r="J243" s="410">
        <f>I62</f>
        <v>50</v>
      </c>
      <c r="K243" s="410">
        <f>J62</f>
        <v>-5.4</v>
      </c>
      <c r="L243" s="410">
        <f>K62</f>
        <v>1.2</v>
      </c>
      <c r="M243" s="410">
        <f>L62</f>
        <v>3.3000000000000003</v>
      </c>
      <c r="N243" s="158"/>
      <c r="O243" s="158"/>
      <c r="P243" s="158"/>
    </row>
    <row r="244" spans="1:16" x14ac:dyDescent="0.25">
      <c r="A244" s="990"/>
      <c r="B244" s="409">
        <v>7</v>
      </c>
      <c r="C244" s="410">
        <f>C73</f>
        <v>25</v>
      </c>
      <c r="D244" s="410">
        <f>D73</f>
        <v>0</v>
      </c>
      <c r="E244" s="410">
        <f>E73</f>
        <v>-0.2</v>
      </c>
      <c r="F244" s="410">
        <f>F73</f>
        <v>0.1</v>
      </c>
      <c r="G244" s="158"/>
      <c r="H244" s="990"/>
      <c r="I244" s="409">
        <v>7</v>
      </c>
      <c r="J244" s="410">
        <f>I73</f>
        <v>50</v>
      </c>
      <c r="K244" s="410">
        <f>J73</f>
        <v>-1.9</v>
      </c>
      <c r="L244" s="410">
        <f>K73</f>
        <v>0.8</v>
      </c>
      <c r="M244" s="410">
        <f>L73</f>
        <v>1.35</v>
      </c>
      <c r="N244" s="158"/>
      <c r="O244" s="158"/>
      <c r="P244" s="158"/>
    </row>
    <row r="245" spans="1:16" x14ac:dyDescent="0.25">
      <c r="A245" s="990"/>
      <c r="B245" s="409">
        <v>8</v>
      </c>
      <c r="C245" s="410">
        <f>C84</f>
        <v>25</v>
      </c>
      <c r="D245" s="410">
        <f>D84</f>
        <v>-0.1</v>
      </c>
      <c r="E245" s="410">
        <f>E84</f>
        <v>-0.4</v>
      </c>
      <c r="F245" s="410">
        <f>F84</f>
        <v>0.15000000000000002</v>
      </c>
      <c r="G245" s="158"/>
      <c r="H245" s="990"/>
      <c r="I245" s="409">
        <v>8</v>
      </c>
      <c r="J245" s="410">
        <f>I84</f>
        <v>50</v>
      </c>
      <c r="K245" s="410">
        <f>J84</f>
        <v>-3.8</v>
      </c>
      <c r="L245" s="410">
        <f>K84</f>
        <v>-1.2</v>
      </c>
      <c r="M245" s="410">
        <f>L84</f>
        <v>1.2999999999999998</v>
      </c>
      <c r="N245" s="158"/>
      <c r="O245" s="158"/>
      <c r="P245" s="158"/>
    </row>
    <row r="246" spans="1:16" x14ac:dyDescent="0.25">
      <c r="A246" s="990"/>
      <c r="B246" s="409">
        <v>9</v>
      </c>
      <c r="C246" s="410">
        <f>C95</f>
        <v>25</v>
      </c>
      <c r="D246" s="410">
        <f>D95</f>
        <v>-0.4</v>
      </c>
      <c r="E246" s="410" t="str">
        <f>E95</f>
        <v>-</v>
      </c>
      <c r="F246" s="410">
        <f>F95</f>
        <v>0</v>
      </c>
      <c r="G246" s="158"/>
      <c r="H246" s="990"/>
      <c r="I246" s="409">
        <v>9</v>
      </c>
      <c r="J246" s="410">
        <f>I95</f>
        <v>50</v>
      </c>
      <c r="K246" s="410">
        <f>J95</f>
        <v>-0.9</v>
      </c>
      <c r="L246" s="410" t="str">
        <f>K95</f>
        <v>-</v>
      </c>
      <c r="M246" s="410">
        <f>L95</f>
        <v>0</v>
      </c>
      <c r="N246" s="158"/>
      <c r="O246" s="158"/>
      <c r="P246" s="158"/>
    </row>
    <row r="247" spans="1:16" x14ac:dyDescent="0.25">
      <c r="A247" s="990"/>
      <c r="B247" s="409">
        <v>10</v>
      </c>
      <c r="C247" s="410">
        <f>C106</f>
        <v>25</v>
      </c>
      <c r="D247" s="410">
        <f>D106</f>
        <v>0.1</v>
      </c>
      <c r="E247" s="410">
        <f>E106</f>
        <v>-0.5</v>
      </c>
      <c r="F247" s="410">
        <f>F106</f>
        <v>0.3</v>
      </c>
      <c r="G247" s="158"/>
      <c r="H247" s="990"/>
      <c r="I247" s="409">
        <v>10</v>
      </c>
      <c r="J247" s="410">
        <f>I106</f>
        <v>50</v>
      </c>
      <c r="K247" s="410">
        <f>J106</f>
        <v>-3.1</v>
      </c>
      <c r="L247" s="410">
        <f>K106</f>
        <v>-6.1</v>
      </c>
      <c r="M247" s="410">
        <f>L106</f>
        <v>1.4999999999999998</v>
      </c>
      <c r="N247" s="158"/>
      <c r="O247" s="158"/>
      <c r="P247" s="158"/>
    </row>
    <row r="248" spans="1:16" x14ac:dyDescent="0.25">
      <c r="A248" s="990"/>
      <c r="B248" s="409">
        <v>11</v>
      </c>
      <c r="C248" s="410">
        <f>C117</f>
        <v>24.6</v>
      </c>
      <c r="D248" s="410">
        <f>D117</f>
        <v>0.4</v>
      </c>
      <c r="E248" s="410">
        <f>E117</f>
        <v>0.5</v>
      </c>
      <c r="F248" s="410">
        <f>F117</f>
        <v>4.9999999999999989E-2</v>
      </c>
      <c r="G248" s="158"/>
      <c r="H248" s="990"/>
      <c r="I248" s="409">
        <v>11</v>
      </c>
      <c r="J248" s="410">
        <f>I117</f>
        <v>62.5</v>
      </c>
      <c r="K248" s="410">
        <f>J117</f>
        <v>-5.5</v>
      </c>
      <c r="L248" s="410">
        <f>K117</f>
        <v>-5.6</v>
      </c>
      <c r="M248" s="410">
        <f>L117</f>
        <v>4.9999999999999822E-2</v>
      </c>
      <c r="N248" s="158"/>
      <c r="O248" s="158"/>
      <c r="P248" s="158"/>
    </row>
    <row r="249" spans="1:16" x14ac:dyDescent="0.25">
      <c r="A249" s="990"/>
      <c r="B249" s="409">
        <v>12</v>
      </c>
      <c r="C249" s="410">
        <f>C128</f>
        <v>25</v>
      </c>
      <c r="D249" s="410">
        <f>D128</f>
        <v>-0.2</v>
      </c>
      <c r="E249" s="410" t="str">
        <f>E128</f>
        <v>-</v>
      </c>
      <c r="F249" s="410">
        <f>F128</f>
        <v>0</v>
      </c>
      <c r="G249" s="158"/>
      <c r="H249" s="990"/>
      <c r="I249" s="409">
        <v>12</v>
      </c>
      <c r="J249" s="410">
        <f>I128</f>
        <v>50</v>
      </c>
      <c r="K249" s="410">
        <f>J128</f>
        <v>-1.3</v>
      </c>
      <c r="L249" s="410" t="str">
        <f>K128</f>
        <v>-</v>
      </c>
      <c r="M249" s="410">
        <f>L128</f>
        <v>0</v>
      </c>
      <c r="N249" s="158"/>
      <c r="O249" s="158"/>
      <c r="P249" s="158"/>
    </row>
    <row r="250" spans="1:16" x14ac:dyDescent="0.25">
      <c r="A250" s="990"/>
      <c r="B250" s="409">
        <v>13</v>
      </c>
      <c r="C250" s="410">
        <f>C138</f>
        <v>25</v>
      </c>
      <c r="D250" s="410">
        <f>D138</f>
        <v>-0.4</v>
      </c>
      <c r="E250" s="410" t="str">
        <f>E138</f>
        <v>-</v>
      </c>
      <c r="F250" s="410">
        <f>F138</f>
        <v>0</v>
      </c>
      <c r="G250" s="158"/>
      <c r="H250" s="990"/>
      <c r="I250" s="409">
        <v>13</v>
      </c>
      <c r="J250" s="410">
        <f>I148</f>
        <v>50</v>
      </c>
      <c r="K250" s="410">
        <f>J138</f>
        <v>-0.3</v>
      </c>
      <c r="L250" s="410" t="str">
        <f>K138</f>
        <v>-</v>
      </c>
      <c r="M250" s="410">
        <f>L138</f>
        <v>0</v>
      </c>
      <c r="N250" s="158"/>
    </row>
    <row r="251" spans="1:16" x14ac:dyDescent="0.25">
      <c r="A251" s="990"/>
      <c r="B251" s="409">
        <v>14</v>
      </c>
      <c r="C251" s="410">
        <f>C148</f>
        <v>25</v>
      </c>
      <c r="D251" s="410">
        <f>D148</f>
        <v>-0.1</v>
      </c>
      <c r="E251" s="410" t="str">
        <f>E148</f>
        <v>-</v>
      </c>
      <c r="F251" s="410">
        <f>F148</f>
        <v>0</v>
      </c>
      <c r="G251" s="158"/>
      <c r="H251" s="990"/>
      <c r="I251" s="409">
        <v>14</v>
      </c>
      <c r="J251" s="410">
        <f>I148</f>
        <v>50</v>
      </c>
      <c r="K251" s="410">
        <f>J148</f>
        <v>-0.2</v>
      </c>
      <c r="L251" s="410" t="str">
        <f>K148</f>
        <v>-</v>
      </c>
      <c r="M251" s="410">
        <f>L148</f>
        <v>0</v>
      </c>
      <c r="N251" s="158"/>
    </row>
    <row r="252" spans="1:16" x14ac:dyDescent="0.25">
      <c r="A252" s="990"/>
      <c r="B252" s="409">
        <v>15</v>
      </c>
      <c r="C252" s="412">
        <f>C158</f>
        <v>25</v>
      </c>
      <c r="D252" s="412">
        <f t="shared" ref="D252:F252" si="57">D158</f>
        <v>0</v>
      </c>
      <c r="E252" s="412" t="str">
        <f t="shared" si="57"/>
        <v>-</v>
      </c>
      <c r="F252" s="412">
        <f t="shared" si="57"/>
        <v>0</v>
      </c>
      <c r="G252" s="158"/>
      <c r="H252" s="990"/>
      <c r="I252" s="409">
        <v>15</v>
      </c>
      <c r="J252" s="412">
        <f>I158</f>
        <v>50</v>
      </c>
      <c r="K252" s="412">
        <f t="shared" ref="K252:M252" si="58">J158</f>
        <v>0</v>
      </c>
      <c r="L252" s="412" t="str">
        <f t="shared" si="58"/>
        <v>-</v>
      </c>
      <c r="M252" s="412">
        <f t="shared" si="58"/>
        <v>0</v>
      </c>
      <c r="N252" s="158"/>
      <c r="O252" s="158"/>
      <c r="P252" s="158"/>
    </row>
    <row r="253" spans="1:16" x14ac:dyDescent="0.25">
      <c r="A253" s="990"/>
      <c r="B253" s="409">
        <v>16</v>
      </c>
      <c r="C253" s="412">
        <f>C168</f>
        <v>25</v>
      </c>
      <c r="D253" s="412">
        <f t="shared" ref="D253:F253" si="59">D168</f>
        <v>0.2</v>
      </c>
      <c r="E253" s="412" t="str">
        <f t="shared" si="59"/>
        <v>-</v>
      </c>
      <c r="F253" s="412">
        <f t="shared" si="59"/>
        <v>0</v>
      </c>
      <c r="G253" s="158"/>
      <c r="H253" s="990"/>
      <c r="I253" s="409">
        <v>16</v>
      </c>
      <c r="J253" s="412">
        <f>I168</f>
        <v>50</v>
      </c>
      <c r="K253" s="412">
        <f t="shared" ref="K253:M253" si="60">J168</f>
        <v>-1.4</v>
      </c>
      <c r="L253" s="412" t="str">
        <f t="shared" si="60"/>
        <v>-</v>
      </c>
      <c r="M253" s="412">
        <f t="shared" si="60"/>
        <v>0</v>
      </c>
      <c r="N253" s="158"/>
      <c r="O253" s="158"/>
      <c r="P253" s="158"/>
    </row>
    <row r="254" spans="1:16" x14ac:dyDescent="0.25">
      <c r="A254" s="990"/>
      <c r="B254" s="409">
        <v>17</v>
      </c>
      <c r="C254" s="412">
        <f>C178</f>
        <v>25</v>
      </c>
      <c r="D254" s="412">
        <f t="shared" ref="D254:F254" si="61">D178</f>
        <v>0</v>
      </c>
      <c r="E254" s="412" t="str">
        <f t="shared" si="61"/>
        <v>-</v>
      </c>
      <c r="F254" s="412">
        <f t="shared" si="61"/>
        <v>0</v>
      </c>
      <c r="G254" s="158"/>
      <c r="H254" s="990"/>
      <c r="I254" s="409">
        <v>17</v>
      </c>
      <c r="J254" s="412">
        <f>I178</f>
        <v>50</v>
      </c>
      <c r="K254" s="412">
        <f t="shared" ref="K254:M254" si="62">J178</f>
        <v>0.2</v>
      </c>
      <c r="L254" s="412" t="str">
        <f t="shared" si="62"/>
        <v>-</v>
      </c>
      <c r="M254" s="412">
        <f t="shared" si="62"/>
        <v>0</v>
      </c>
      <c r="N254" s="158"/>
      <c r="O254" s="986" t="s">
        <v>235</v>
      </c>
      <c r="P254" s="986"/>
    </row>
    <row r="255" spans="1:16" x14ac:dyDescent="0.25">
      <c r="A255" s="990"/>
      <c r="B255" s="409">
        <v>18</v>
      </c>
      <c r="C255" s="412">
        <f>C188</f>
        <v>25</v>
      </c>
      <c r="D255" s="412">
        <f t="shared" ref="D255:F255" si="63">D188</f>
        <v>-0.2</v>
      </c>
      <c r="E255" s="412" t="str">
        <f t="shared" si="63"/>
        <v>-</v>
      </c>
      <c r="F255" s="412">
        <f t="shared" si="63"/>
        <v>0</v>
      </c>
      <c r="G255" s="158"/>
      <c r="H255" s="990"/>
      <c r="I255" s="409">
        <v>18</v>
      </c>
      <c r="J255" s="412">
        <f>I188</f>
        <v>50</v>
      </c>
      <c r="K255" s="412">
        <f t="shared" ref="K255:M255" si="64">J188</f>
        <v>-0.2</v>
      </c>
      <c r="L255" s="412" t="str">
        <f t="shared" si="64"/>
        <v>-</v>
      </c>
      <c r="M255" s="412">
        <f t="shared" si="64"/>
        <v>0</v>
      </c>
      <c r="N255" s="158"/>
      <c r="O255" s="988" t="s">
        <v>333</v>
      </c>
      <c r="P255" s="988"/>
    </row>
    <row r="256" spans="1:16" x14ac:dyDescent="0.25">
      <c r="A256" s="991"/>
      <c r="B256" s="409">
        <v>19</v>
      </c>
      <c r="C256" s="412">
        <f>R7</f>
        <v>25</v>
      </c>
      <c r="D256" s="412">
        <f>S7</f>
        <v>0</v>
      </c>
      <c r="E256" s="412">
        <f>T7</f>
        <v>-0.2</v>
      </c>
      <c r="F256" s="412">
        <f t="shared" ref="F256" si="65">U7</f>
        <v>0</v>
      </c>
      <c r="G256" s="158"/>
      <c r="H256" s="991"/>
      <c r="I256" s="409">
        <v>19</v>
      </c>
      <c r="J256" s="412">
        <f>X7</f>
        <v>50</v>
      </c>
      <c r="K256" s="412">
        <f>Y7</f>
        <v>-0.2</v>
      </c>
      <c r="L256" s="412">
        <f>Z7</f>
        <v>-0.2</v>
      </c>
      <c r="M256" s="412">
        <f t="shared" ref="M256" si="66">AA7</f>
        <v>0</v>
      </c>
      <c r="N256" s="158"/>
      <c r="O256" s="539"/>
      <c r="P256" s="539"/>
    </row>
    <row r="257" spans="1:16" x14ac:dyDescent="0.25">
      <c r="A257" s="417"/>
      <c r="B257" s="418"/>
      <c r="C257" s="423"/>
      <c r="D257" s="423"/>
      <c r="E257" s="423"/>
      <c r="F257" s="424"/>
      <c r="G257" s="4"/>
      <c r="H257" s="417"/>
      <c r="I257" s="425"/>
      <c r="J257" s="423"/>
      <c r="K257" s="423"/>
      <c r="L257" s="423"/>
      <c r="M257" s="424"/>
      <c r="N257" s="158"/>
      <c r="O257" s="426">
        <v>1</v>
      </c>
      <c r="P257" s="427">
        <f>O4</f>
        <v>2.5</v>
      </c>
    </row>
    <row r="258" spans="1:16" x14ac:dyDescent="0.25">
      <c r="A258" s="989" t="s">
        <v>292</v>
      </c>
      <c r="B258" s="409">
        <v>1</v>
      </c>
      <c r="C258" s="410">
        <f>C8</f>
        <v>30</v>
      </c>
      <c r="D258" s="410">
        <f>D8</f>
        <v>0</v>
      </c>
      <c r="E258" s="410">
        <f>E8</f>
        <v>0</v>
      </c>
      <c r="F258" s="410">
        <f>F8</f>
        <v>0</v>
      </c>
      <c r="G258" s="158"/>
      <c r="H258" s="989" t="s">
        <v>292</v>
      </c>
      <c r="I258" s="409">
        <v>1</v>
      </c>
      <c r="J258" s="410">
        <f>I8</f>
        <v>60</v>
      </c>
      <c r="K258" s="410">
        <f>J8</f>
        <v>-6.9</v>
      </c>
      <c r="L258" s="410">
        <f>K8</f>
        <v>-4.4000000000000004</v>
      </c>
      <c r="M258" s="410">
        <f>L8</f>
        <v>1.25</v>
      </c>
      <c r="N258" s="158"/>
      <c r="O258" s="539">
        <v>2</v>
      </c>
      <c r="P258" s="539">
        <f>O15</f>
        <v>2.2000000000000002</v>
      </c>
    </row>
    <row r="259" spans="1:16" x14ac:dyDescent="0.25">
      <c r="A259" s="990"/>
      <c r="B259" s="409">
        <v>2</v>
      </c>
      <c r="C259" s="410">
        <f>C19</f>
        <v>30</v>
      </c>
      <c r="D259" s="410">
        <f>D19</f>
        <v>0.2</v>
      </c>
      <c r="E259" s="410">
        <f>E19</f>
        <v>-0.3</v>
      </c>
      <c r="F259" s="410">
        <f>F19</f>
        <v>0.25</v>
      </c>
      <c r="G259" s="158"/>
      <c r="H259" s="990"/>
      <c r="I259" s="409">
        <v>2</v>
      </c>
      <c r="J259" s="410">
        <f>I19</f>
        <v>60</v>
      </c>
      <c r="K259" s="410">
        <f>J19</f>
        <v>-4</v>
      </c>
      <c r="L259" s="410">
        <f>K19</f>
        <v>-1.3</v>
      </c>
      <c r="M259" s="410">
        <f>L19</f>
        <v>1.35</v>
      </c>
      <c r="N259" s="158"/>
      <c r="O259" s="539">
        <v>3</v>
      </c>
      <c r="P259" s="539">
        <f>O26</f>
        <v>3.1</v>
      </c>
    </row>
    <row r="260" spans="1:16" x14ac:dyDescent="0.25">
      <c r="A260" s="990"/>
      <c r="B260" s="409">
        <v>3</v>
      </c>
      <c r="C260" s="410">
        <f>C30</f>
        <v>30</v>
      </c>
      <c r="D260" s="410">
        <f>D30</f>
        <v>0</v>
      </c>
      <c r="E260" s="410">
        <f>E30</f>
        <v>-0.3</v>
      </c>
      <c r="F260" s="410">
        <f>F30</f>
        <v>0.15</v>
      </c>
      <c r="G260" s="158"/>
      <c r="H260" s="990"/>
      <c r="I260" s="409">
        <v>3</v>
      </c>
      <c r="J260" s="410">
        <f>I30</f>
        <v>60</v>
      </c>
      <c r="K260" s="410">
        <f>J30</f>
        <v>-3.2</v>
      </c>
      <c r="L260" s="410">
        <f>K30</f>
        <v>-4.3</v>
      </c>
      <c r="M260" s="410">
        <f>L30</f>
        <v>0.54999999999999982</v>
      </c>
      <c r="N260" s="158"/>
      <c r="O260" s="539">
        <v>4</v>
      </c>
      <c r="P260" s="539">
        <f>O37</f>
        <v>1.3</v>
      </c>
    </row>
    <row r="261" spans="1:16" x14ac:dyDescent="0.25">
      <c r="A261" s="990"/>
      <c r="B261" s="409">
        <v>4</v>
      </c>
      <c r="C261" s="410">
        <f>C41</f>
        <v>30</v>
      </c>
      <c r="D261" s="410">
        <f>D41</f>
        <v>-0.1</v>
      </c>
      <c r="E261" s="410">
        <f>E41</f>
        <v>-0.6</v>
      </c>
      <c r="F261" s="410">
        <f>F41</f>
        <v>0.25</v>
      </c>
      <c r="G261" s="158"/>
      <c r="H261" s="990"/>
      <c r="I261" s="409">
        <v>4</v>
      </c>
      <c r="J261" s="410">
        <f>I41</f>
        <v>60</v>
      </c>
      <c r="K261" s="410">
        <f>J41</f>
        <v>-4.2</v>
      </c>
      <c r="L261" s="410">
        <f>K41</f>
        <v>-0.3</v>
      </c>
      <c r="M261" s="410">
        <f>L41</f>
        <v>1.9500000000000002</v>
      </c>
      <c r="N261" s="158"/>
      <c r="O261" s="428">
        <v>5</v>
      </c>
      <c r="P261" s="539">
        <f>O48</f>
        <v>3.1</v>
      </c>
    </row>
    <row r="262" spans="1:16" x14ac:dyDescent="0.25">
      <c r="A262" s="990"/>
      <c r="B262" s="409">
        <v>5</v>
      </c>
      <c r="C262" s="410">
        <f>C52</f>
        <v>30</v>
      </c>
      <c r="D262" s="410">
        <f>D52</f>
        <v>0.1</v>
      </c>
      <c r="E262" s="410">
        <f>E52</f>
        <v>0.6</v>
      </c>
      <c r="F262" s="410">
        <f>F52</f>
        <v>0.25</v>
      </c>
      <c r="G262" s="158"/>
      <c r="H262" s="990"/>
      <c r="I262" s="409">
        <v>5</v>
      </c>
      <c r="J262" s="410">
        <f>I52</f>
        <v>60</v>
      </c>
      <c r="K262" s="410">
        <f>J52</f>
        <v>-7.9</v>
      </c>
      <c r="L262" s="410">
        <f>K52</f>
        <v>-5.2</v>
      </c>
      <c r="M262" s="410">
        <f>L52</f>
        <v>1.35</v>
      </c>
      <c r="N262" s="158"/>
      <c r="O262" s="428">
        <v>6</v>
      </c>
      <c r="P262" s="406">
        <f>O59</f>
        <v>2.6</v>
      </c>
    </row>
    <row r="263" spans="1:16" x14ac:dyDescent="0.25">
      <c r="A263" s="990"/>
      <c r="B263" s="409">
        <v>6</v>
      </c>
      <c r="C263" s="410">
        <f>C63</f>
        <v>30</v>
      </c>
      <c r="D263" s="410">
        <f>D63</f>
        <v>0.1</v>
      </c>
      <c r="E263" s="410">
        <f>E63</f>
        <v>-0.5</v>
      </c>
      <c r="F263" s="410">
        <f>F63</f>
        <v>0.3</v>
      </c>
      <c r="G263" s="158"/>
      <c r="H263" s="990"/>
      <c r="I263" s="409">
        <v>6</v>
      </c>
      <c r="J263" s="410">
        <f>I63</f>
        <v>60</v>
      </c>
      <c r="K263" s="410">
        <f>J63</f>
        <v>-6.4</v>
      </c>
      <c r="L263" s="410">
        <f>K63</f>
        <v>1.1000000000000001</v>
      </c>
      <c r="M263" s="410">
        <f>L63</f>
        <v>3.75</v>
      </c>
      <c r="N263" s="158"/>
      <c r="O263" s="428">
        <v>7</v>
      </c>
      <c r="P263" s="406">
        <f>O70</f>
        <v>2.4</v>
      </c>
    </row>
    <row r="264" spans="1:16" x14ac:dyDescent="0.25">
      <c r="A264" s="990"/>
      <c r="B264" s="409">
        <v>7</v>
      </c>
      <c r="C264" s="410">
        <f>C74</f>
        <v>30</v>
      </c>
      <c r="D264" s="410">
        <f>D74</f>
        <v>0</v>
      </c>
      <c r="E264" s="410">
        <f>E74</f>
        <v>-0.6</v>
      </c>
      <c r="F264" s="410">
        <f>F74</f>
        <v>0.3</v>
      </c>
      <c r="G264" s="158"/>
      <c r="H264" s="990"/>
      <c r="I264" s="409">
        <v>7</v>
      </c>
      <c r="J264" s="410">
        <f>I74</f>
        <v>60</v>
      </c>
      <c r="K264" s="410">
        <f>J74</f>
        <v>-2.1</v>
      </c>
      <c r="L264" s="410">
        <f>K74</f>
        <v>0.7</v>
      </c>
      <c r="M264" s="410">
        <f>L74</f>
        <v>1.4</v>
      </c>
      <c r="N264" s="158"/>
      <c r="O264" s="428">
        <v>8</v>
      </c>
      <c r="P264" s="406">
        <f>O81</f>
        <v>2.5</v>
      </c>
    </row>
    <row r="265" spans="1:16" x14ac:dyDescent="0.25">
      <c r="A265" s="990"/>
      <c r="B265" s="409">
        <v>8</v>
      </c>
      <c r="C265" s="410">
        <f>C85</f>
        <v>30</v>
      </c>
      <c r="D265" s="410">
        <f>D85</f>
        <v>-0.2</v>
      </c>
      <c r="E265" s="410">
        <f>E85</f>
        <v>-0.4</v>
      </c>
      <c r="F265" s="410">
        <f>F85</f>
        <v>0.1</v>
      </c>
      <c r="G265" s="158"/>
      <c r="H265" s="990"/>
      <c r="I265" s="409">
        <v>8</v>
      </c>
      <c r="J265" s="410">
        <f>I85</f>
        <v>60</v>
      </c>
      <c r="K265" s="410">
        <f>J85</f>
        <v>-3.9</v>
      </c>
      <c r="L265" s="410">
        <f>K85</f>
        <v>-1.1000000000000001</v>
      </c>
      <c r="M265" s="410">
        <f>L85</f>
        <v>1.4</v>
      </c>
      <c r="N265" s="158"/>
      <c r="O265" s="428">
        <v>9</v>
      </c>
      <c r="P265" s="406">
        <f>O92</f>
        <v>2.4</v>
      </c>
    </row>
    <row r="266" spans="1:16" x14ac:dyDescent="0.25">
      <c r="A266" s="990"/>
      <c r="B266" s="409">
        <v>9</v>
      </c>
      <c r="C266" s="410">
        <f>C96</f>
        <v>30</v>
      </c>
      <c r="D266" s="410">
        <f>D96</f>
        <v>-0.5</v>
      </c>
      <c r="E266" s="429" t="str">
        <f>E96</f>
        <v>-</v>
      </c>
      <c r="F266" s="410">
        <f>F96</f>
        <v>0</v>
      </c>
      <c r="G266" s="158"/>
      <c r="H266" s="990"/>
      <c r="I266" s="409">
        <v>9</v>
      </c>
      <c r="J266" s="410">
        <f>I96</f>
        <v>60</v>
      </c>
      <c r="K266" s="410">
        <f>J96</f>
        <v>-0.8</v>
      </c>
      <c r="L266" s="429" t="str">
        <f>K96</f>
        <v>-</v>
      </c>
      <c r="M266" s="410">
        <f>L96</f>
        <v>0</v>
      </c>
      <c r="N266" s="158"/>
      <c r="O266" s="428">
        <v>10</v>
      </c>
      <c r="P266" s="406">
        <f>O103</f>
        <v>1.5</v>
      </c>
    </row>
    <row r="267" spans="1:16" x14ac:dyDescent="0.25">
      <c r="A267" s="990"/>
      <c r="B267" s="409">
        <v>10</v>
      </c>
      <c r="C267" s="410">
        <f>C107</f>
        <v>30</v>
      </c>
      <c r="D267" s="410">
        <f>D107</f>
        <v>0.1</v>
      </c>
      <c r="E267" s="410">
        <f>E107</f>
        <v>0.2</v>
      </c>
      <c r="F267" s="410">
        <f>F107</f>
        <v>0.05</v>
      </c>
      <c r="G267" s="158"/>
      <c r="H267" s="990"/>
      <c r="I267" s="409">
        <v>10</v>
      </c>
      <c r="J267" s="410">
        <f>I107</f>
        <v>60</v>
      </c>
      <c r="K267" s="410">
        <f>J107</f>
        <v>-2.1</v>
      </c>
      <c r="L267" s="410">
        <f>K107</f>
        <v>-5.6</v>
      </c>
      <c r="M267" s="410">
        <f>L107</f>
        <v>1.7499999999999998</v>
      </c>
      <c r="N267" s="158"/>
      <c r="O267" s="428">
        <v>11</v>
      </c>
      <c r="P267" s="406">
        <f>O114</f>
        <v>1.8</v>
      </c>
    </row>
    <row r="268" spans="1:16" x14ac:dyDescent="0.25">
      <c r="A268" s="990"/>
      <c r="B268" s="409">
        <v>11</v>
      </c>
      <c r="C268" s="410">
        <f>C118</f>
        <v>29.5</v>
      </c>
      <c r="D268" s="410">
        <f>D118</f>
        <v>0.5</v>
      </c>
      <c r="E268" s="429">
        <f>E118</f>
        <v>0.4</v>
      </c>
      <c r="F268" s="410">
        <f>F118</f>
        <v>4.9999999999999989E-2</v>
      </c>
      <c r="G268" s="158"/>
      <c r="H268" s="990"/>
      <c r="I268" s="409">
        <v>11</v>
      </c>
      <c r="J268" s="410">
        <f>I118</f>
        <v>71.5</v>
      </c>
      <c r="K268" s="410">
        <f>J118</f>
        <v>-4.8</v>
      </c>
      <c r="L268" s="429">
        <f>K118</f>
        <v>-4.5</v>
      </c>
      <c r="M268" s="410">
        <f>L118</f>
        <v>0.14999999999999991</v>
      </c>
      <c r="N268" s="158"/>
      <c r="O268" s="428">
        <v>12</v>
      </c>
      <c r="P268" s="430">
        <f>O125</f>
        <v>2.7</v>
      </c>
    </row>
    <row r="269" spans="1:16" x14ac:dyDescent="0.25">
      <c r="A269" s="990"/>
      <c r="B269" s="409">
        <v>12</v>
      </c>
      <c r="C269" s="410">
        <f>C129</f>
        <v>30</v>
      </c>
      <c r="D269" s="410">
        <f>D129</f>
        <v>0.1</v>
      </c>
      <c r="E269" s="429" t="str">
        <f>E129</f>
        <v>-</v>
      </c>
      <c r="F269" s="410">
        <f>F129</f>
        <v>0</v>
      </c>
      <c r="G269" s="158"/>
      <c r="H269" s="990"/>
      <c r="I269" s="409">
        <v>12</v>
      </c>
      <c r="J269" s="410">
        <f>I129</f>
        <v>60</v>
      </c>
      <c r="K269" s="410">
        <f>J129</f>
        <v>-1.5</v>
      </c>
      <c r="L269" s="429" t="str">
        <f>K129</f>
        <v>-</v>
      </c>
      <c r="M269" s="410">
        <f>L129</f>
        <v>0</v>
      </c>
      <c r="N269" s="158"/>
      <c r="O269" s="428">
        <v>13</v>
      </c>
      <c r="P269" s="431">
        <f>O135</f>
        <v>2.7</v>
      </c>
    </row>
    <row r="270" spans="1:16" x14ac:dyDescent="0.25">
      <c r="A270" s="990"/>
      <c r="B270" s="409">
        <v>13</v>
      </c>
      <c r="C270" s="410">
        <f>C139</f>
        <v>30</v>
      </c>
      <c r="D270" s="410">
        <f>D139</f>
        <v>-0.2</v>
      </c>
      <c r="E270" s="429" t="str">
        <f>E139</f>
        <v>-</v>
      </c>
      <c r="F270" s="410">
        <f>F139</f>
        <v>0</v>
      </c>
      <c r="G270" s="158"/>
      <c r="H270" s="990"/>
      <c r="I270" s="409">
        <v>13</v>
      </c>
      <c r="J270" s="410">
        <f>I139</f>
        <v>60</v>
      </c>
      <c r="K270" s="410">
        <f>J139</f>
        <v>-0.5</v>
      </c>
      <c r="L270" s="429" t="str">
        <f>K139</f>
        <v>-</v>
      </c>
      <c r="M270" s="410">
        <f>L139</f>
        <v>0</v>
      </c>
      <c r="N270" s="158"/>
      <c r="O270" s="428">
        <v>14</v>
      </c>
      <c r="P270" s="406">
        <f>O145</f>
        <v>2.2000000000000002</v>
      </c>
    </row>
    <row r="271" spans="1:16" x14ac:dyDescent="0.25">
      <c r="A271" s="990"/>
      <c r="B271" s="409">
        <v>14</v>
      </c>
      <c r="C271" s="410">
        <f>C149</f>
        <v>30</v>
      </c>
      <c r="D271" s="410">
        <f>D149</f>
        <v>-0.3</v>
      </c>
      <c r="E271" s="429" t="str">
        <f>E149</f>
        <v>-</v>
      </c>
      <c r="F271" s="410">
        <f>F149</f>
        <v>0</v>
      </c>
      <c r="G271" s="158"/>
      <c r="H271" s="990"/>
      <c r="I271" s="409">
        <v>14</v>
      </c>
      <c r="J271" s="410">
        <f>I149</f>
        <v>60</v>
      </c>
      <c r="K271" s="410">
        <f>J149</f>
        <v>-0.6</v>
      </c>
      <c r="L271" s="429" t="str">
        <f>K149</f>
        <v>-</v>
      </c>
      <c r="M271" s="410">
        <f>L149</f>
        <v>0</v>
      </c>
      <c r="N271" s="158"/>
      <c r="O271" s="428">
        <v>15</v>
      </c>
      <c r="P271" s="406">
        <f>O155</f>
        <v>2</v>
      </c>
    </row>
    <row r="272" spans="1:16" x14ac:dyDescent="0.25">
      <c r="A272" s="990"/>
      <c r="B272" s="409">
        <v>15</v>
      </c>
      <c r="C272" s="412">
        <f>C159</f>
        <v>30</v>
      </c>
      <c r="D272" s="412">
        <f t="shared" ref="D272:F272" si="67">D159</f>
        <v>-0.1</v>
      </c>
      <c r="E272" s="412" t="str">
        <f t="shared" si="67"/>
        <v>-</v>
      </c>
      <c r="F272" s="412">
        <f t="shared" si="67"/>
        <v>0</v>
      </c>
      <c r="G272" s="158"/>
      <c r="H272" s="990"/>
      <c r="I272" s="409">
        <v>15</v>
      </c>
      <c r="J272" s="412">
        <f>I159</f>
        <v>60</v>
      </c>
      <c r="K272" s="412">
        <f t="shared" ref="K272:M272" si="68">J159</f>
        <v>0</v>
      </c>
      <c r="L272" s="412" t="str">
        <f t="shared" si="68"/>
        <v>-</v>
      </c>
      <c r="M272" s="412">
        <f t="shared" si="68"/>
        <v>0</v>
      </c>
      <c r="N272" s="158"/>
      <c r="O272" s="428">
        <v>16</v>
      </c>
      <c r="P272" s="431">
        <f>O165</f>
        <v>2.2000000000000002</v>
      </c>
    </row>
    <row r="273" spans="1:16" x14ac:dyDescent="0.25">
      <c r="A273" s="990"/>
      <c r="B273" s="409">
        <v>16</v>
      </c>
      <c r="C273" s="412">
        <f>C169</f>
        <v>30</v>
      </c>
      <c r="D273" s="412">
        <f t="shared" ref="D273:F273" si="69">D169</f>
        <v>0.2</v>
      </c>
      <c r="E273" s="412" t="str">
        <f t="shared" si="69"/>
        <v>-</v>
      </c>
      <c r="F273" s="412">
        <f t="shared" si="69"/>
        <v>0</v>
      </c>
      <c r="G273" s="158"/>
      <c r="H273" s="990"/>
      <c r="I273" s="409">
        <v>16</v>
      </c>
      <c r="J273" s="412">
        <f>I169</f>
        <v>60</v>
      </c>
      <c r="K273" s="412">
        <f t="shared" ref="K273:M273" si="70">J169</f>
        <v>-1.5</v>
      </c>
      <c r="L273" s="412" t="str">
        <f t="shared" si="70"/>
        <v>-</v>
      </c>
      <c r="M273" s="412">
        <f t="shared" si="70"/>
        <v>0</v>
      </c>
      <c r="N273" s="158"/>
      <c r="O273" s="428">
        <v>17</v>
      </c>
      <c r="P273" s="431">
        <f>O175</f>
        <v>2.8</v>
      </c>
    </row>
    <row r="274" spans="1:16" x14ac:dyDescent="0.25">
      <c r="A274" s="990"/>
      <c r="B274" s="409">
        <v>17</v>
      </c>
      <c r="C274" s="412">
        <f>C179</f>
        <v>30</v>
      </c>
      <c r="D274" s="412">
        <f t="shared" ref="D274:F274" si="71">D179</f>
        <v>-0.2</v>
      </c>
      <c r="E274" s="412" t="str">
        <f t="shared" si="71"/>
        <v>-</v>
      </c>
      <c r="F274" s="412">
        <f t="shared" si="71"/>
        <v>0</v>
      </c>
      <c r="G274" s="158"/>
      <c r="H274" s="990"/>
      <c r="I274" s="409">
        <v>17</v>
      </c>
      <c r="J274" s="412">
        <f>I179</f>
        <v>60</v>
      </c>
      <c r="K274" s="412">
        <f t="shared" ref="K274:M274" si="72">J179</f>
        <v>0</v>
      </c>
      <c r="L274" s="412" t="str">
        <f t="shared" si="72"/>
        <v>-</v>
      </c>
      <c r="M274" s="412">
        <f t="shared" si="72"/>
        <v>0</v>
      </c>
      <c r="N274" s="158"/>
      <c r="O274" s="428">
        <v>18</v>
      </c>
      <c r="P274" s="406">
        <f>O185</f>
        <v>1.6</v>
      </c>
    </row>
    <row r="275" spans="1:16" x14ac:dyDescent="0.25">
      <c r="A275" s="990"/>
      <c r="B275" s="409">
        <v>18</v>
      </c>
      <c r="C275" s="412">
        <f>C189</f>
        <v>30</v>
      </c>
      <c r="D275" s="412">
        <f t="shared" ref="D275:F275" si="73">D189</f>
        <v>-0.2</v>
      </c>
      <c r="E275" s="412" t="str">
        <f t="shared" si="73"/>
        <v>-</v>
      </c>
      <c r="F275" s="412">
        <f t="shared" si="73"/>
        <v>0</v>
      </c>
      <c r="G275" s="158"/>
      <c r="H275" s="990"/>
      <c r="I275" s="409">
        <v>18</v>
      </c>
      <c r="J275" s="412">
        <f>I189</f>
        <v>60</v>
      </c>
      <c r="K275" s="412">
        <f t="shared" ref="K275:M275" si="74">J189</f>
        <v>-0.2</v>
      </c>
      <c r="L275" s="412" t="str">
        <f t="shared" si="74"/>
        <v>-</v>
      </c>
      <c r="M275" s="412">
        <f t="shared" si="74"/>
        <v>0</v>
      </c>
      <c r="N275" s="158"/>
      <c r="O275" s="411">
        <v>19</v>
      </c>
      <c r="P275" s="413">
        <f>AD4</f>
        <v>1.5</v>
      </c>
    </row>
    <row r="276" spans="1:16" x14ac:dyDescent="0.25">
      <c r="A276" s="991"/>
      <c r="B276" s="409">
        <v>19</v>
      </c>
      <c r="C276" s="412">
        <f>R8</f>
        <v>30</v>
      </c>
      <c r="D276" s="412">
        <f>S8</f>
        <v>-0.1</v>
      </c>
      <c r="E276" s="412">
        <f>T8</f>
        <v>-0.2</v>
      </c>
      <c r="F276" s="412">
        <f t="shared" ref="F276" si="75">U8</f>
        <v>0</v>
      </c>
      <c r="G276" s="158"/>
      <c r="H276" s="991"/>
      <c r="I276" s="409">
        <v>19</v>
      </c>
      <c r="J276" s="412">
        <f>X8</f>
        <v>60</v>
      </c>
      <c r="K276" s="412">
        <f>Y8</f>
        <v>0.2</v>
      </c>
      <c r="L276" s="412">
        <f>Z8</f>
        <v>-0.2</v>
      </c>
      <c r="M276" s="412">
        <f t="shared" ref="M276" si="76">AA8</f>
        <v>0</v>
      </c>
      <c r="N276" s="158"/>
      <c r="O276" s="432"/>
      <c r="P276" s="416"/>
    </row>
    <row r="277" spans="1:16" x14ac:dyDescent="0.25">
      <c r="A277" s="417"/>
      <c r="B277" s="418"/>
      <c r="C277" s="423"/>
      <c r="D277" s="423"/>
      <c r="E277" s="423"/>
      <c r="F277" s="424"/>
      <c r="G277" s="4"/>
      <c r="H277" s="417"/>
      <c r="I277" s="425"/>
      <c r="J277" s="423"/>
      <c r="K277" s="423"/>
      <c r="L277" s="423"/>
      <c r="M277" s="424"/>
      <c r="N277" s="158"/>
    </row>
    <row r="278" spans="1:16" x14ac:dyDescent="0.25">
      <c r="A278" s="989" t="s">
        <v>294</v>
      </c>
      <c r="B278" s="409">
        <v>1</v>
      </c>
      <c r="C278" s="410">
        <f>C9</f>
        <v>35</v>
      </c>
      <c r="D278" s="410">
        <f>D9</f>
        <v>-0.2</v>
      </c>
      <c r="E278" s="410">
        <f>E9</f>
        <v>-0.1</v>
      </c>
      <c r="F278" s="410">
        <f>F9</f>
        <v>0.05</v>
      </c>
      <c r="G278" s="158"/>
      <c r="H278" s="989" t="s">
        <v>294</v>
      </c>
      <c r="I278" s="409">
        <v>1</v>
      </c>
      <c r="J278" s="410">
        <f>I20</f>
        <v>70</v>
      </c>
      <c r="K278" s="410">
        <f>J20</f>
        <v>-2.4</v>
      </c>
      <c r="L278" s="410">
        <f>K20</f>
        <v>-1.1000000000000001</v>
      </c>
      <c r="M278" s="410">
        <f>L20</f>
        <v>0.64999999999999991</v>
      </c>
      <c r="N278" s="158"/>
    </row>
    <row r="279" spans="1:16" x14ac:dyDescent="0.25">
      <c r="A279" s="990"/>
      <c r="B279" s="409">
        <v>2</v>
      </c>
      <c r="C279" s="410">
        <f>C20</f>
        <v>35</v>
      </c>
      <c r="D279" s="410">
        <f>D20</f>
        <v>-0.1</v>
      </c>
      <c r="E279" s="410">
        <f>E20</f>
        <v>-0.3</v>
      </c>
      <c r="F279" s="410">
        <f>F20</f>
        <v>9.9999999999999992E-2</v>
      </c>
      <c r="G279" s="158"/>
      <c r="H279" s="990"/>
      <c r="I279" s="409">
        <v>2</v>
      </c>
      <c r="J279" s="410">
        <f>I20</f>
        <v>70</v>
      </c>
      <c r="K279" s="410">
        <f>J20</f>
        <v>-2.4</v>
      </c>
      <c r="L279" s="410">
        <f>K20</f>
        <v>-1.1000000000000001</v>
      </c>
      <c r="M279" s="410">
        <f>L20</f>
        <v>0.64999999999999991</v>
      </c>
      <c r="N279" s="158"/>
      <c r="O279" s="158"/>
      <c r="P279" s="158"/>
    </row>
    <row r="280" spans="1:16" x14ac:dyDescent="0.25">
      <c r="A280" s="990"/>
      <c r="B280" s="409">
        <v>3</v>
      </c>
      <c r="C280" s="410">
        <f>C31</f>
        <v>35</v>
      </c>
      <c r="D280" s="410">
        <f>D31</f>
        <v>-0.3</v>
      </c>
      <c r="E280" s="410">
        <f>E31</f>
        <v>-0.5</v>
      </c>
      <c r="F280" s="410">
        <f>F31</f>
        <v>0.1</v>
      </c>
      <c r="G280" s="158"/>
      <c r="H280" s="990"/>
      <c r="I280" s="409">
        <v>3</v>
      </c>
      <c r="J280" s="410">
        <f>I31</f>
        <v>70</v>
      </c>
      <c r="K280" s="410">
        <f>J31</f>
        <v>-2</v>
      </c>
      <c r="L280" s="410">
        <f>K31</f>
        <v>-3.6</v>
      </c>
      <c r="M280" s="410">
        <f>L31</f>
        <v>0.8</v>
      </c>
      <c r="N280" s="158"/>
      <c r="O280" s="158"/>
      <c r="P280" s="158"/>
    </row>
    <row r="281" spans="1:16" x14ac:dyDescent="0.25">
      <c r="A281" s="990"/>
      <c r="B281" s="409">
        <v>4</v>
      </c>
      <c r="C281" s="410">
        <f>C42</f>
        <v>35</v>
      </c>
      <c r="D281" s="410">
        <f>D42</f>
        <v>-0.3</v>
      </c>
      <c r="E281" s="410">
        <f>E42</f>
        <v>-0.6</v>
      </c>
      <c r="F281" s="410">
        <f>F42</f>
        <v>0.15</v>
      </c>
      <c r="G281" s="158"/>
      <c r="H281" s="990"/>
      <c r="I281" s="409">
        <v>4</v>
      </c>
      <c r="J281" s="410">
        <f>I42</f>
        <v>70</v>
      </c>
      <c r="K281" s="410">
        <f>J42</f>
        <v>-4</v>
      </c>
      <c r="L281" s="410">
        <f>K42</f>
        <v>0.7</v>
      </c>
      <c r="M281" s="410">
        <f>L42</f>
        <v>2.35</v>
      </c>
      <c r="N281" s="158"/>
      <c r="O281" s="158"/>
      <c r="P281" s="158"/>
    </row>
    <row r="282" spans="1:16" x14ac:dyDescent="0.25">
      <c r="A282" s="990"/>
      <c r="B282" s="409">
        <v>5</v>
      </c>
      <c r="C282" s="410">
        <f>C53</f>
        <v>35</v>
      </c>
      <c r="D282" s="410">
        <f>D53</f>
        <v>0.1</v>
      </c>
      <c r="E282" s="410">
        <f>E53</f>
        <v>0.7</v>
      </c>
      <c r="F282" s="410">
        <f>F53</f>
        <v>0.3</v>
      </c>
      <c r="G282" s="158"/>
      <c r="H282" s="990"/>
      <c r="I282" s="409">
        <v>5</v>
      </c>
      <c r="J282" s="410">
        <f>I53</f>
        <v>70</v>
      </c>
      <c r="K282" s="410">
        <f>J53</f>
        <v>-6.1</v>
      </c>
      <c r="L282" s="410">
        <f>K53</f>
        <v>-4.0999999999999996</v>
      </c>
      <c r="M282" s="410">
        <f>L53</f>
        <v>1</v>
      </c>
      <c r="N282" s="158"/>
      <c r="O282" s="158"/>
      <c r="P282" s="158"/>
    </row>
    <row r="283" spans="1:16" x14ac:dyDescent="0.25">
      <c r="A283" s="990"/>
      <c r="B283" s="409">
        <v>6</v>
      </c>
      <c r="C283" s="410">
        <f>C64</f>
        <v>35</v>
      </c>
      <c r="D283" s="410">
        <f>D64</f>
        <v>0.1</v>
      </c>
      <c r="E283" s="410">
        <f>E64</f>
        <v>-0.9</v>
      </c>
      <c r="F283" s="410">
        <f>F64</f>
        <v>0.5</v>
      </c>
      <c r="G283" s="158"/>
      <c r="H283" s="990"/>
      <c r="I283" s="409">
        <v>6</v>
      </c>
      <c r="J283" s="410">
        <f>I64</f>
        <v>70</v>
      </c>
      <c r="K283" s="410">
        <f>J64</f>
        <v>-6.7</v>
      </c>
      <c r="L283" s="410">
        <f>K64</f>
        <v>0.9</v>
      </c>
      <c r="M283" s="410">
        <f>L64</f>
        <v>3.8000000000000003</v>
      </c>
      <c r="N283" s="158"/>
      <c r="O283" s="158"/>
      <c r="P283" s="158"/>
    </row>
    <row r="284" spans="1:16" x14ac:dyDescent="0.25">
      <c r="A284" s="990"/>
      <c r="B284" s="409">
        <v>7</v>
      </c>
      <c r="C284" s="410">
        <f>C75</f>
        <v>35</v>
      </c>
      <c r="D284" s="410">
        <f>D75</f>
        <v>0</v>
      </c>
      <c r="E284" s="410">
        <f>E75</f>
        <v>-1.1000000000000001</v>
      </c>
      <c r="F284" s="410">
        <f>F75</f>
        <v>0.55000000000000004</v>
      </c>
      <c r="G284" s="158"/>
      <c r="H284" s="990"/>
      <c r="I284" s="409">
        <v>7</v>
      </c>
      <c r="J284" s="410">
        <f>I75</f>
        <v>70</v>
      </c>
      <c r="K284" s="410">
        <f>J75</f>
        <v>-2.2999999999999998</v>
      </c>
      <c r="L284" s="410">
        <f>K75</f>
        <v>0.9</v>
      </c>
      <c r="M284" s="410">
        <f>L75</f>
        <v>1.5999999999999999</v>
      </c>
      <c r="N284" s="158"/>
      <c r="O284" s="158"/>
      <c r="P284" s="158"/>
    </row>
    <row r="285" spans="1:16" x14ac:dyDescent="0.25">
      <c r="A285" s="990"/>
      <c r="B285" s="409">
        <v>8</v>
      </c>
      <c r="C285" s="410">
        <f>C86</f>
        <v>35</v>
      </c>
      <c r="D285" s="410">
        <f>D86</f>
        <v>-0.1</v>
      </c>
      <c r="E285" s="410">
        <f>E86</f>
        <v>-0.5</v>
      </c>
      <c r="F285" s="410">
        <f>F86</f>
        <v>0.2</v>
      </c>
      <c r="G285" s="158"/>
      <c r="H285" s="990"/>
      <c r="I285" s="409">
        <v>8</v>
      </c>
      <c r="J285" s="410">
        <f>I86</f>
        <v>70</v>
      </c>
      <c r="K285" s="410">
        <f>J86</f>
        <v>-4.0999999999999996</v>
      </c>
      <c r="L285" s="410">
        <f>K86</f>
        <v>-1.2</v>
      </c>
      <c r="M285" s="410">
        <f>L86</f>
        <v>1.4499999999999997</v>
      </c>
      <c r="N285" s="158"/>
      <c r="O285" s="158"/>
      <c r="P285" s="158"/>
    </row>
    <row r="286" spans="1:16" x14ac:dyDescent="0.25">
      <c r="A286" s="990"/>
      <c r="B286" s="409">
        <v>9</v>
      </c>
      <c r="C286" s="410">
        <f>C97</f>
        <v>35</v>
      </c>
      <c r="D286" s="410">
        <f>D97</f>
        <v>-0.5</v>
      </c>
      <c r="E286" s="429" t="str">
        <f>E97</f>
        <v>-</v>
      </c>
      <c r="F286" s="410">
        <f>F97</f>
        <v>0</v>
      </c>
      <c r="G286" s="158"/>
      <c r="H286" s="990"/>
      <c r="I286" s="409">
        <v>9</v>
      </c>
      <c r="J286" s="410">
        <f>I97</f>
        <v>70</v>
      </c>
      <c r="K286" s="410">
        <f>J97</f>
        <v>-0.6</v>
      </c>
      <c r="L286" s="429" t="str">
        <f>K97</f>
        <v>-</v>
      </c>
      <c r="M286" s="410">
        <f>L97</f>
        <v>0</v>
      </c>
      <c r="N286" s="158"/>
      <c r="O286" s="158"/>
      <c r="P286" s="158"/>
    </row>
    <row r="287" spans="1:16" x14ac:dyDescent="0.25">
      <c r="A287" s="990"/>
      <c r="B287" s="409">
        <v>10</v>
      </c>
      <c r="C287" s="410">
        <f>C108</f>
        <v>35</v>
      </c>
      <c r="D287" s="410">
        <f>D108</f>
        <v>0.2</v>
      </c>
      <c r="E287" s="410">
        <f>E108</f>
        <v>0.8</v>
      </c>
      <c r="F287" s="410">
        <f>F108</f>
        <v>0.30000000000000004</v>
      </c>
      <c r="G287" s="158"/>
      <c r="H287" s="990"/>
      <c r="I287" s="409">
        <v>10</v>
      </c>
      <c r="J287" s="410">
        <f>I108</f>
        <v>70</v>
      </c>
      <c r="K287" s="410">
        <f>J108</f>
        <v>-0.3</v>
      </c>
      <c r="L287" s="410">
        <f>K108</f>
        <v>-5.0999999999999996</v>
      </c>
      <c r="M287" s="410">
        <f>L108</f>
        <v>2.4</v>
      </c>
      <c r="N287" s="158"/>
      <c r="O287" s="158"/>
      <c r="P287" s="158"/>
    </row>
    <row r="288" spans="1:16" x14ac:dyDescent="0.25">
      <c r="A288" s="990"/>
      <c r="B288" s="409">
        <v>11</v>
      </c>
      <c r="C288" s="410">
        <f>C119</f>
        <v>34.5</v>
      </c>
      <c r="D288" s="410">
        <f>D119</f>
        <v>0.5</v>
      </c>
      <c r="E288" s="429">
        <f>E119</f>
        <v>0.4</v>
      </c>
      <c r="F288" s="410">
        <f>F119</f>
        <v>4.9999999999999989E-2</v>
      </c>
      <c r="G288" s="158"/>
      <c r="H288" s="990"/>
      <c r="I288" s="409">
        <v>11</v>
      </c>
      <c r="J288" s="410">
        <f>I119</f>
        <v>80.8</v>
      </c>
      <c r="K288" s="410">
        <f>J119</f>
        <v>-3.4</v>
      </c>
      <c r="L288" s="429">
        <f>K119</f>
        <v>-1.7</v>
      </c>
      <c r="M288" s="410">
        <f>L119</f>
        <v>0.85</v>
      </c>
      <c r="N288" s="158"/>
      <c r="O288" s="158"/>
      <c r="P288" s="158"/>
    </row>
    <row r="289" spans="1:16" x14ac:dyDescent="0.25">
      <c r="A289" s="990"/>
      <c r="B289" s="409">
        <v>12</v>
      </c>
      <c r="C289" s="410">
        <f>C130</f>
        <v>35</v>
      </c>
      <c r="D289" s="410">
        <f>D130</f>
        <v>0.3</v>
      </c>
      <c r="E289" s="429" t="str">
        <f>E130</f>
        <v>-</v>
      </c>
      <c r="F289" s="410">
        <f>F130</f>
        <v>0</v>
      </c>
      <c r="G289" s="158"/>
      <c r="H289" s="990"/>
      <c r="I289" s="409">
        <v>12</v>
      </c>
      <c r="J289" s="410">
        <f>I130</f>
        <v>70</v>
      </c>
      <c r="K289" s="410">
        <f>J130</f>
        <v>-1.9</v>
      </c>
      <c r="L289" s="429" t="str">
        <f>K130</f>
        <v>-</v>
      </c>
      <c r="M289" s="410">
        <f>L130</f>
        <v>0</v>
      </c>
      <c r="N289" s="158"/>
      <c r="O289" s="158"/>
      <c r="P289" s="158"/>
    </row>
    <row r="290" spans="1:16" x14ac:dyDescent="0.25">
      <c r="A290" s="990"/>
      <c r="B290" s="409">
        <v>13</v>
      </c>
      <c r="C290" s="410">
        <f>C140</f>
        <v>35</v>
      </c>
      <c r="D290" s="410">
        <f>D140</f>
        <v>-0.1</v>
      </c>
      <c r="E290" s="429" t="str">
        <f>E140</f>
        <v>-</v>
      </c>
      <c r="F290" s="410">
        <f>F140</f>
        <v>0</v>
      </c>
      <c r="G290" s="158"/>
      <c r="H290" s="990"/>
      <c r="I290" s="409">
        <v>13</v>
      </c>
      <c r="J290" s="410">
        <f>I140</f>
        <v>70</v>
      </c>
      <c r="K290" s="410">
        <f>J140</f>
        <v>-0.8</v>
      </c>
      <c r="L290" s="429" t="str">
        <f>K140</f>
        <v>-</v>
      </c>
      <c r="M290" s="410">
        <f>L140</f>
        <v>0</v>
      </c>
      <c r="N290" s="158"/>
      <c r="O290" s="158"/>
      <c r="P290" s="158"/>
    </row>
    <row r="291" spans="1:16" x14ac:dyDescent="0.25">
      <c r="A291" s="990"/>
      <c r="B291" s="409">
        <v>14</v>
      </c>
      <c r="C291" s="410">
        <f>C150</f>
        <v>35</v>
      </c>
      <c r="D291" s="410">
        <f>D150</f>
        <v>-0.6</v>
      </c>
      <c r="E291" s="429" t="str">
        <f>E150</f>
        <v>-</v>
      </c>
      <c r="F291" s="410">
        <f>F150</f>
        <v>0</v>
      </c>
      <c r="G291" s="158"/>
      <c r="H291" s="990"/>
      <c r="I291" s="409">
        <v>14</v>
      </c>
      <c r="J291" s="410">
        <f>I150</f>
        <v>70</v>
      </c>
      <c r="K291" s="410">
        <f>J150</f>
        <v>-0.8</v>
      </c>
      <c r="L291" s="429" t="str">
        <f>K150</f>
        <v>-</v>
      </c>
      <c r="M291" s="410">
        <f>L150</f>
        <v>0</v>
      </c>
      <c r="N291" s="158"/>
      <c r="O291" s="158"/>
      <c r="P291" s="158"/>
    </row>
    <row r="292" spans="1:16" x14ac:dyDescent="0.25">
      <c r="A292" s="990"/>
      <c r="B292" s="409">
        <v>15</v>
      </c>
      <c r="C292" s="412">
        <f>C160</f>
        <v>35</v>
      </c>
      <c r="D292" s="412">
        <f t="shared" ref="D292:F292" si="77">D160</f>
        <v>-0.2</v>
      </c>
      <c r="E292" s="412" t="str">
        <f t="shared" si="77"/>
        <v>-</v>
      </c>
      <c r="F292" s="412">
        <f t="shared" si="77"/>
        <v>0</v>
      </c>
      <c r="G292" s="158"/>
      <c r="H292" s="990"/>
      <c r="I292" s="409">
        <v>15</v>
      </c>
      <c r="J292" s="412">
        <f>I160</f>
        <v>70</v>
      </c>
      <c r="K292" s="412">
        <f t="shared" ref="K292:M292" si="78">J160</f>
        <v>-0.1</v>
      </c>
      <c r="L292" s="412" t="str">
        <f t="shared" si="78"/>
        <v>-</v>
      </c>
      <c r="M292" s="412">
        <f t="shared" si="78"/>
        <v>0</v>
      </c>
      <c r="N292" s="158"/>
      <c r="O292" s="158"/>
      <c r="P292" s="158"/>
    </row>
    <row r="293" spans="1:16" x14ac:dyDescent="0.25">
      <c r="A293" s="990"/>
      <c r="B293" s="409">
        <v>16</v>
      </c>
      <c r="C293" s="412">
        <f>C170</f>
        <v>35</v>
      </c>
      <c r="D293" s="412">
        <f t="shared" ref="D293:F293" si="79">D170</f>
        <v>0.1</v>
      </c>
      <c r="E293" s="412" t="str">
        <f t="shared" si="79"/>
        <v>-</v>
      </c>
      <c r="F293" s="412">
        <f t="shared" si="79"/>
        <v>0</v>
      </c>
      <c r="G293" s="158"/>
      <c r="H293" s="990"/>
      <c r="I293" s="409">
        <v>16</v>
      </c>
      <c r="J293" s="412">
        <f>I170</f>
        <v>70</v>
      </c>
      <c r="K293" s="412">
        <f t="shared" ref="K293:M293" si="80">J170</f>
        <v>-1.8</v>
      </c>
      <c r="L293" s="412" t="str">
        <f t="shared" si="80"/>
        <v>-</v>
      </c>
      <c r="M293" s="412">
        <f t="shared" si="80"/>
        <v>0</v>
      </c>
      <c r="N293" s="158"/>
      <c r="O293" s="158"/>
      <c r="P293" s="158"/>
    </row>
    <row r="294" spans="1:16" x14ac:dyDescent="0.25">
      <c r="A294" s="990"/>
      <c r="B294" s="409">
        <v>17</v>
      </c>
      <c r="C294" s="412">
        <f>C180</f>
        <v>35</v>
      </c>
      <c r="D294" s="412">
        <f t="shared" ref="D294:F294" si="81">D180</f>
        <v>-0.5</v>
      </c>
      <c r="E294" s="412" t="str">
        <f t="shared" si="81"/>
        <v>-</v>
      </c>
      <c r="F294" s="412">
        <f t="shared" si="81"/>
        <v>0</v>
      </c>
      <c r="G294" s="158"/>
      <c r="H294" s="990"/>
      <c r="I294" s="409">
        <v>17</v>
      </c>
      <c r="J294" s="412">
        <f>I180</f>
        <v>70</v>
      </c>
      <c r="K294" s="412">
        <f t="shared" ref="K294:M294" si="82">J180</f>
        <v>-0.3</v>
      </c>
      <c r="L294" s="412" t="str">
        <f t="shared" si="82"/>
        <v>-</v>
      </c>
      <c r="M294" s="412">
        <f t="shared" si="82"/>
        <v>0</v>
      </c>
      <c r="N294" s="158"/>
      <c r="O294" s="158"/>
      <c r="P294" s="158"/>
    </row>
    <row r="295" spans="1:16" x14ac:dyDescent="0.25">
      <c r="A295" s="990"/>
      <c r="B295" s="409">
        <v>18</v>
      </c>
      <c r="C295" s="412">
        <f>C190</f>
        <v>35</v>
      </c>
      <c r="D295" s="412">
        <f t="shared" ref="D295:F295" si="83">D190</f>
        <v>-0.3</v>
      </c>
      <c r="E295" s="412" t="str">
        <f t="shared" si="83"/>
        <v>-</v>
      </c>
      <c r="F295" s="412">
        <f t="shared" si="83"/>
        <v>0</v>
      </c>
      <c r="G295" s="158"/>
      <c r="H295" s="990"/>
      <c r="I295" s="409">
        <v>18</v>
      </c>
      <c r="J295" s="412">
        <f>I190</f>
        <v>70</v>
      </c>
      <c r="K295" s="412">
        <f t="shared" ref="K295:M295" si="84">J190</f>
        <v>-0.3</v>
      </c>
      <c r="L295" s="412" t="str">
        <f t="shared" si="84"/>
        <v>-</v>
      </c>
      <c r="M295" s="412">
        <f t="shared" si="84"/>
        <v>0</v>
      </c>
      <c r="N295" s="158"/>
      <c r="O295" s="158"/>
      <c r="P295" s="158"/>
    </row>
    <row r="296" spans="1:16" x14ac:dyDescent="0.25">
      <c r="A296" s="991"/>
      <c r="B296" s="409">
        <v>19</v>
      </c>
      <c r="C296" s="412">
        <f>R9</f>
        <v>35</v>
      </c>
      <c r="D296" s="412">
        <f>S9</f>
        <v>-0.1</v>
      </c>
      <c r="E296" s="412">
        <f>T9</f>
        <v>-0.3</v>
      </c>
      <c r="F296" s="412">
        <f t="shared" ref="F296" si="85">U9</f>
        <v>0</v>
      </c>
      <c r="G296" s="158"/>
      <c r="H296" s="991"/>
      <c r="I296" s="409">
        <v>19</v>
      </c>
      <c r="J296" s="412">
        <f>X9</f>
        <v>70</v>
      </c>
      <c r="K296" s="412">
        <f>Y9</f>
        <v>-0.7</v>
      </c>
      <c r="L296" s="412">
        <f>Z9</f>
        <v>-0.3</v>
      </c>
      <c r="M296" s="412">
        <f t="shared" ref="M296" si="86">AA9</f>
        <v>0</v>
      </c>
      <c r="N296" s="158"/>
      <c r="O296" s="158"/>
      <c r="P296" s="158"/>
    </row>
    <row r="297" spans="1:16" x14ac:dyDescent="0.25">
      <c r="A297" s="417"/>
      <c r="B297" s="418"/>
      <c r="C297" s="423"/>
      <c r="D297" s="423"/>
      <c r="E297" s="423"/>
      <c r="F297" s="424"/>
      <c r="G297" s="4"/>
      <c r="H297" s="417"/>
      <c r="I297" s="418"/>
      <c r="J297" s="423"/>
      <c r="K297" s="423"/>
      <c r="L297" s="423"/>
      <c r="M297" s="424"/>
      <c r="N297" s="158"/>
      <c r="O297" s="158"/>
      <c r="P297" s="158"/>
    </row>
    <row r="298" spans="1:16" x14ac:dyDescent="0.25">
      <c r="A298" s="989" t="s">
        <v>296</v>
      </c>
      <c r="B298" s="409">
        <v>1</v>
      </c>
      <c r="C298" s="410">
        <f>C10</f>
        <v>37</v>
      </c>
      <c r="D298" s="410">
        <f>D10</f>
        <v>-0.3</v>
      </c>
      <c r="E298" s="410">
        <f>E10</f>
        <v>-0.2</v>
      </c>
      <c r="F298" s="410">
        <f>F10</f>
        <v>4.9999999999999989E-2</v>
      </c>
      <c r="G298" s="158"/>
      <c r="H298" s="989" t="s">
        <v>296</v>
      </c>
      <c r="I298" s="409">
        <v>1</v>
      </c>
      <c r="J298" s="410">
        <f>I10</f>
        <v>80</v>
      </c>
      <c r="K298" s="410">
        <f>J10</f>
        <v>-3.7</v>
      </c>
      <c r="L298" s="410">
        <f>K10</f>
        <v>-1.6</v>
      </c>
      <c r="M298" s="410">
        <f>L10</f>
        <v>1.05</v>
      </c>
      <c r="N298" s="158"/>
      <c r="O298" s="158"/>
      <c r="P298" s="158"/>
    </row>
    <row r="299" spans="1:16" x14ac:dyDescent="0.25">
      <c r="A299" s="990"/>
      <c r="B299" s="409">
        <v>2</v>
      </c>
      <c r="C299" s="410">
        <f>C21</f>
        <v>37</v>
      </c>
      <c r="D299" s="410">
        <f>D21</f>
        <v>-0.2</v>
      </c>
      <c r="E299" s="410">
        <f>E21</f>
        <v>-0.3</v>
      </c>
      <c r="F299" s="410">
        <f>F21</f>
        <v>4.9999999999999989E-2</v>
      </c>
      <c r="G299" s="158"/>
      <c r="H299" s="990"/>
      <c r="I299" s="409">
        <v>2</v>
      </c>
      <c r="J299" s="410">
        <f>I21</f>
        <v>80</v>
      </c>
      <c r="K299" s="410">
        <f>J21</f>
        <v>-0.5</v>
      </c>
      <c r="L299" s="410">
        <f>K21</f>
        <v>-0.7</v>
      </c>
      <c r="M299" s="410">
        <f>L21</f>
        <v>9.9999999999999978E-2</v>
      </c>
      <c r="N299" s="158"/>
      <c r="O299" s="158"/>
      <c r="P299" s="158"/>
    </row>
    <row r="300" spans="1:16" x14ac:dyDescent="0.25">
      <c r="A300" s="990"/>
      <c r="B300" s="409">
        <v>3</v>
      </c>
      <c r="C300" s="410">
        <f>C32</f>
        <v>37</v>
      </c>
      <c r="D300" s="410">
        <f>D32</f>
        <v>-0.2</v>
      </c>
      <c r="E300" s="410">
        <f>E32</f>
        <v>-0.6</v>
      </c>
      <c r="F300" s="410">
        <f>F32</f>
        <v>0.19999999999999998</v>
      </c>
      <c r="G300" s="158"/>
      <c r="H300" s="990"/>
      <c r="I300" s="409">
        <v>3</v>
      </c>
      <c r="J300" s="410">
        <f>I32</f>
        <v>80</v>
      </c>
      <c r="K300" s="410">
        <f>J32</f>
        <v>-0.8</v>
      </c>
      <c r="L300" s="410">
        <f>K32</f>
        <v>-2.9</v>
      </c>
      <c r="M300" s="410">
        <f>L32</f>
        <v>1.0499999999999998</v>
      </c>
      <c r="N300" s="158"/>
      <c r="O300" s="158"/>
      <c r="P300" s="158"/>
    </row>
    <row r="301" spans="1:16" x14ac:dyDescent="0.25">
      <c r="A301" s="990"/>
      <c r="B301" s="409">
        <v>4</v>
      </c>
      <c r="C301" s="410">
        <f>C43</f>
        <v>37</v>
      </c>
      <c r="D301" s="410">
        <f>D43</f>
        <v>-0.4</v>
      </c>
      <c r="E301" s="410">
        <f>E43</f>
        <v>-0.6</v>
      </c>
      <c r="F301" s="410">
        <f>F43</f>
        <v>9.9999999999999978E-2</v>
      </c>
      <c r="G301" s="158"/>
      <c r="H301" s="990"/>
      <c r="I301" s="409">
        <v>4</v>
      </c>
      <c r="J301" s="410">
        <f>I43</f>
        <v>80</v>
      </c>
      <c r="K301" s="410">
        <f>J43</f>
        <v>-3.8</v>
      </c>
      <c r="L301" s="410">
        <f>K43</f>
        <v>1.9</v>
      </c>
      <c r="M301" s="410">
        <f>L43</f>
        <v>2.8499999999999996</v>
      </c>
      <c r="N301" s="158"/>
      <c r="O301" s="158"/>
      <c r="P301" s="158"/>
    </row>
    <row r="302" spans="1:16" x14ac:dyDescent="0.25">
      <c r="A302" s="990"/>
      <c r="B302" s="409">
        <v>5</v>
      </c>
      <c r="C302" s="410">
        <f>C54</f>
        <v>37</v>
      </c>
      <c r="D302" s="410">
        <f>D54</f>
        <v>0.1</v>
      </c>
      <c r="E302" s="410">
        <f>E54</f>
        <v>0.7</v>
      </c>
      <c r="F302" s="410">
        <f>F54</f>
        <v>0.3</v>
      </c>
      <c r="G302" s="158"/>
      <c r="H302" s="990"/>
      <c r="I302" s="409">
        <v>5</v>
      </c>
      <c r="J302" s="410">
        <f>I54</f>
        <v>80</v>
      </c>
      <c r="K302" s="410">
        <f>J54</f>
        <v>-3.8</v>
      </c>
      <c r="L302" s="410">
        <f>K54</f>
        <v>-3</v>
      </c>
      <c r="M302" s="410">
        <f>L54</f>
        <v>0.39999999999999991</v>
      </c>
      <c r="N302" s="158"/>
      <c r="O302" s="158"/>
      <c r="P302" s="158"/>
    </row>
    <row r="303" spans="1:16" x14ac:dyDescent="0.25">
      <c r="A303" s="990"/>
      <c r="B303" s="409">
        <v>6</v>
      </c>
      <c r="C303" s="410">
        <f>C65</f>
        <v>37</v>
      </c>
      <c r="D303" s="410">
        <f>D65</f>
        <v>0.1</v>
      </c>
      <c r="E303" s="410">
        <f>E65</f>
        <v>-1.1000000000000001</v>
      </c>
      <c r="F303" s="410">
        <f>F65</f>
        <v>0.60000000000000009</v>
      </c>
      <c r="G303" s="158"/>
      <c r="H303" s="990"/>
      <c r="I303" s="409">
        <v>6</v>
      </c>
      <c r="J303" s="410">
        <f>I65</f>
        <v>80</v>
      </c>
      <c r="K303" s="410">
        <f>J65</f>
        <v>-6.3</v>
      </c>
      <c r="L303" s="410">
        <f>K65</f>
        <v>0.8</v>
      </c>
      <c r="M303" s="410">
        <f>L65</f>
        <v>3.55</v>
      </c>
      <c r="N303" s="158"/>
      <c r="O303" s="158"/>
      <c r="P303" s="158"/>
    </row>
    <row r="304" spans="1:16" x14ac:dyDescent="0.25">
      <c r="A304" s="990"/>
      <c r="B304" s="409">
        <v>7</v>
      </c>
      <c r="C304" s="410">
        <f>C76</f>
        <v>37</v>
      </c>
      <c r="D304" s="410">
        <f>D76</f>
        <v>0</v>
      </c>
      <c r="E304" s="410">
        <f>E76</f>
        <v>-1.4</v>
      </c>
      <c r="F304" s="410">
        <f>F76</f>
        <v>0.7</v>
      </c>
      <c r="G304" s="158"/>
      <c r="H304" s="990"/>
      <c r="I304" s="409">
        <v>7</v>
      </c>
      <c r="J304" s="410">
        <f>I76</f>
        <v>80</v>
      </c>
      <c r="K304" s="410">
        <f>J76</f>
        <v>-2.6</v>
      </c>
      <c r="L304" s="410">
        <f>K76</f>
        <v>1.2</v>
      </c>
      <c r="M304" s="410">
        <f>L76</f>
        <v>1.9</v>
      </c>
      <c r="N304" s="158"/>
      <c r="O304" s="158"/>
      <c r="P304" s="158"/>
    </row>
    <row r="305" spans="1:16" x14ac:dyDescent="0.25">
      <c r="A305" s="990"/>
      <c r="B305" s="409">
        <v>8</v>
      </c>
      <c r="C305" s="410">
        <f>C87</f>
        <v>37</v>
      </c>
      <c r="D305" s="410">
        <f>D87</f>
        <v>-0.1</v>
      </c>
      <c r="E305" s="410">
        <f>E87</f>
        <v>-0.5</v>
      </c>
      <c r="F305" s="410">
        <f>F87</f>
        <v>0.2</v>
      </c>
      <c r="G305" s="158"/>
      <c r="H305" s="990"/>
      <c r="I305" s="409">
        <v>8</v>
      </c>
      <c r="J305" s="410">
        <f>I87</f>
        <v>80</v>
      </c>
      <c r="K305" s="410">
        <f>J87</f>
        <v>-4.5</v>
      </c>
      <c r="L305" s="410">
        <f>K87</f>
        <v>-1.2</v>
      </c>
      <c r="M305" s="410">
        <f>L87</f>
        <v>1.65</v>
      </c>
      <c r="N305" s="158"/>
      <c r="O305" s="158"/>
      <c r="P305" s="158"/>
    </row>
    <row r="306" spans="1:16" x14ac:dyDescent="0.25">
      <c r="A306" s="990"/>
      <c r="B306" s="409">
        <v>9</v>
      </c>
      <c r="C306" s="410">
        <f>C98</f>
        <v>37</v>
      </c>
      <c r="D306" s="410">
        <f>D98</f>
        <v>-0.5</v>
      </c>
      <c r="E306" s="429" t="str">
        <f>E98</f>
        <v>-</v>
      </c>
      <c r="F306" s="410">
        <f>F98</f>
        <v>0</v>
      </c>
      <c r="G306" s="158"/>
      <c r="H306" s="990"/>
      <c r="I306" s="409">
        <v>9</v>
      </c>
      <c r="J306" s="410">
        <f>I98</f>
        <v>80</v>
      </c>
      <c r="K306" s="410">
        <f>J98</f>
        <v>-0.5</v>
      </c>
      <c r="L306" s="429" t="str">
        <f>K98</f>
        <v>-</v>
      </c>
      <c r="M306" s="410">
        <f>L98</f>
        <v>0</v>
      </c>
      <c r="N306" s="158"/>
      <c r="O306" s="158"/>
      <c r="P306" s="158"/>
    </row>
    <row r="307" spans="1:16" x14ac:dyDescent="0.25">
      <c r="A307" s="990"/>
      <c r="B307" s="409">
        <v>10</v>
      </c>
      <c r="C307" s="410">
        <f>C109</f>
        <v>37</v>
      </c>
      <c r="D307" s="410">
        <f>D109</f>
        <v>0.2</v>
      </c>
      <c r="E307" s="410">
        <f>E109</f>
        <v>0.4</v>
      </c>
      <c r="F307" s="410">
        <f>F109</f>
        <v>0.1</v>
      </c>
      <c r="G307" s="158"/>
      <c r="H307" s="990"/>
      <c r="I307" s="409">
        <v>10</v>
      </c>
      <c r="J307" s="410">
        <f>I109</f>
        <v>80</v>
      </c>
      <c r="K307" s="410">
        <f>J109</f>
        <v>2.2000000000000002</v>
      </c>
      <c r="L307" s="410">
        <f>K109</f>
        <v>-4.7</v>
      </c>
      <c r="M307" s="410">
        <f>L109</f>
        <v>3.45</v>
      </c>
      <c r="N307" s="158"/>
      <c r="O307" s="158"/>
      <c r="P307" s="158"/>
    </row>
    <row r="308" spans="1:16" x14ac:dyDescent="0.25">
      <c r="A308" s="990"/>
      <c r="B308" s="409">
        <v>11</v>
      </c>
      <c r="C308" s="410">
        <f>C120</f>
        <v>39.5</v>
      </c>
      <c r="D308" s="410">
        <f>D120</f>
        <v>0.5</v>
      </c>
      <c r="E308" s="429">
        <f>E120</f>
        <v>0.5</v>
      </c>
      <c r="F308" s="410">
        <f>F120</f>
        <v>0</v>
      </c>
      <c r="G308" s="158"/>
      <c r="H308" s="990"/>
      <c r="I308" s="409">
        <v>11</v>
      </c>
      <c r="J308" s="410">
        <f>I120</f>
        <v>88.7</v>
      </c>
      <c r="K308" s="410">
        <f>J120</f>
        <v>-1.4</v>
      </c>
      <c r="L308" s="429">
        <f>K120</f>
        <v>2.6</v>
      </c>
      <c r="M308" s="410">
        <f>L120</f>
        <v>2</v>
      </c>
      <c r="N308" s="158"/>
      <c r="O308" s="158"/>
      <c r="P308" s="158"/>
    </row>
    <row r="309" spans="1:16" x14ac:dyDescent="0.25">
      <c r="A309" s="990"/>
      <c r="B309" s="409">
        <v>12</v>
      </c>
      <c r="C309" s="410">
        <f>C131</f>
        <v>37</v>
      </c>
      <c r="D309" s="410">
        <f>D131</f>
        <v>0.4</v>
      </c>
      <c r="E309" s="429" t="str">
        <f>E131</f>
        <v>-</v>
      </c>
      <c r="F309" s="410">
        <f>F131</f>
        <v>0</v>
      </c>
      <c r="G309" s="158"/>
      <c r="H309" s="990"/>
      <c r="I309" s="409">
        <v>12</v>
      </c>
      <c r="J309" s="410">
        <f>I131</f>
        <v>80</v>
      </c>
      <c r="K309" s="410">
        <f>J131</f>
        <v>-2.5</v>
      </c>
      <c r="L309" s="429" t="str">
        <f>K131</f>
        <v>-</v>
      </c>
      <c r="M309" s="410">
        <f>L131</f>
        <v>0</v>
      </c>
      <c r="N309" s="158"/>
      <c r="O309" s="158"/>
      <c r="P309" s="158"/>
    </row>
    <row r="310" spans="1:16" x14ac:dyDescent="0.25">
      <c r="A310" s="990"/>
      <c r="B310" s="409">
        <v>13</v>
      </c>
      <c r="C310" s="410">
        <f>C141</f>
        <v>37</v>
      </c>
      <c r="D310" s="410">
        <f>D141</f>
        <v>-0.1</v>
      </c>
      <c r="E310" s="429" t="str">
        <f>E141</f>
        <v>-</v>
      </c>
      <c r="F310" s="410">
        <f>F141</f>
        <v>0</v>
      </c>
      <c r="G310" s="158"/>
      <c r="H310" s="990"/>
      <c r="I310" s="409">
        <v>13</v>
      </c>
      <c r="J310" s="410">
        <f>I141</f>
        <v>80</v>
      </c>
      <c r="K310" s="410">
        <f>J141</f>
        <v>-1.3</v>
      </c>
      <c r="L310" s="429" t="str">
        <f>K141</f>
        <v>-</v>
      </c>
      <c r="M310" s="410">
        <f>L141</f>
        <v>0</v>
      </c>
      <c r="N310" s="158"/>
      <c r="O310" s="158"/>
      <c r="P310" s="158"/>
    </row>
    <row r="311" spans="1:16" x14ac:dyDescent="0.25">
      <c r="A311" s="990"/>
      <c r="B311" s="409">
        <v>14</v>
      </c>
      <c r="C311" s="410">
        <f>C151</f>
        <v>37</v>
      </c>
      <c r="D311" s="410">
        <f>D151</f>
        <v>-0.8</v>
      </c>
      <c r="E311" s="429" t="str">
        <f>E151</f>
        <v>-</v>
      </c>
      <c r="F311" s="410">
        <f>F151</f>
        <v>0</v>
      </c>
      <c r="G311" s="158"/>
      <c r="H311" s="990"/>
      <c r="I311" s="409">
        <v>14</v>
      </c>
      <c r="J311" s="410">
        <f>I151</f>
        <v>80</v>
      </c>
      <c r="K311" s="410">
        <f>J151</f>
        <v>-0.9</v>
      </c>
      <c r="L311" s="429" t="str">
        <f>K151</f>
        <v>-</v>
      </c>
      <c r="M311" s="410">
        <f>L151</f>
        <v>0</v>
      </c>
      <c r="N311" s="158"/>
      <c r="O311" s="158"/>
      <c r="P311" s="158"/>
    </row>
    <row r="312" spans="1:16" x14ac:dyDescent="0.25">
      <c r="A312" s="990"/>
      <c r="B312" s="409">
        <v>15</v>
      </c>
      <c r="C312" s="412">
        <f>C161</f>
        <v>37</v>
      </c>
      <c r="D312" s="412">
        <f t="shared" ref="D312:F312" si="87">D161</f>
        <v>-0.3</v>
      </c>
      <c r="E312" s="412" t="str">
        <f t="shared" si="87"/>
        <v>-</v>
      </c>
      <c r="F312" s="412">
        <f t="shared" si="87"/>
        <v>0</v>
      </c>
      <c r="G312" s="158"/>
      <c r="H312" s="990"/>
      <c r="I312" s="409">
        <v>15</v>
      </c>
      <c r="J312" s="412">
        <f>I161</f>
        <v>80</v>
      </c>
      <c r="K312" s="412">
        <f t="shared" ref="K312:M312" si="88">J161</f>
        <v>-0.5</v>
      </c>
      <c r="L312" s="412" t="str">
        <f t="shared" si="88"/>
        <v>-</v>
      </c>
      <c r="M312" s="412">
        <f t="shared" si="88"/>
        <v>0</v>
      </c>
      <c r="N312" s="158"/>
      <c r="O312" s="158"/>
      <c r="P312" s="158"/>
    </row>
    <row r="313" spans="1:16" x14ac:dyDescent="0.25">
      <c r="A313" s="990"/>
      <c r="B313" s="409">
        <v>16</v>
      </c>
      <c r="C313" s="412">
        <f>C171</f>
        <v>37</v>
      </c>
      <c r="D313" s="412">
        <f t="shared" ref="D313:F313" si="89">D171</f>
        <v>0</v>
      </c>
      <c r="E313" s="412" t="str">
        <f t="shared" si="89"/>
        <v>-</v>
      </c>
      <c r="F313" s="412">
        <f t="shared" si="89"/>
        <v>0</v>
      </c>
      <c r="G313" s="158"/>
      <c r="H313" s="990"/>
      <c r="I313" s="409">
        <v>16</v>
      </c>
      <c r="J313" s="412">
        <f>I171</f>
        <v>80</v>
      </c>
      <c r="K313" s="412">
        <f t="shared" ref="K313:M313" si="90">J171</f>
        <v>-2.2999999999999998</v>
      </c>
      <c r="L313" s="412" t="str">
        <f t="shared" si="90"/>
        <v>-</v>
      </c>
      <c r="M313" s="412">
        <f t="shared" si="90"/>
        <v>0</v>
      </c>
      <c r="N313" s="158"/>
      <c r="O313" s="158"/>
      <c r="P313" s="158"/>
    </row>
    <row r="314" spans="1:16" x14ac:dyDescent="0.25">
      <c r="A314" s="990"/>
      <c r="B314" s="409">
        <v>17</v>
      </c>
      <c r="C314" s="412">
        <f>C181</f>
        <v>37</v>
      </c>
      <c r="D314" s="412">
        <f t="shared" ref="D314:F314" si="91">D181</f>
        <v>-0.6</v>
      </c>
      <c r="E314" s="412" t="str">
        <f t="shared" si="91"/>
        <v>-</v>
      </c>
      <c r="F314" s="412">
        <f t="shared" si="91"/>
        <v>0</v>
      </c>
      <c r="G314" s="158"/>
      <c r="H314" s="990"/>
      <c r="I314" s="409">
        <v>17</v>
      </c>
      <c r="J314" s="412">
        <f>I181</f>
        <v>80</v>
      </c>
      <c r="K314" s="412">
        <f t="shared" ref="K314:M314" si="92">J181</f>
        <v>-0.8</v>
      </c>
      <c r="L314" s="412" t="str">
        <f t="shared" si="92"/>
        <v>-</v>
      </c>
      <c r="M314" s="412">
        <f t="shared" si="92"/>
        <v>0</v>
      </c>
      <c r="N314" s="158"/>
      <c r="O314" s="158"/>
      <c r="P314" s="158"/>
    </row>
    <row r="315" spans="1:16" x14ac:dyDescent="0.25">
      <c r="A315" s="990"/>
      <c r="B315" s="409">
        <v>18</v>
      </c>
      <c r="C315" s="412">
        <f>C191</f>
        <v>37</v>
      </c>
      <c r="D315" s="412">
        <f t="shared" ref="D315:F315" si="93">D191</f>
        <v>-0.3</v>
      </c>
      <c r="E315" s="412" t="str">
        <f t="shared" si="93"/>
        <v>-</v>
      </c>
      <c r="F315" s="412">
        <f t="shared" si="93"/>
        <v>0</v>
      </c>
      <c r="G315" s="158"/>
      <c r="H315" s="990"/>
      <c r="I315" s="409">
        <v>18</v>
      </c>
      <c r="J315" s="412">
        <f>I191</f>
        <v>80</v>
      </c>
      <c r="K315" s="412">
        <f t="shared" ref="K315:M315" si="94">J191</f>
        <v>-0.5</v>
      </c>
      <c r="L315" s="412" t="str">
        <f t="shared" si="94"/>
        <v>-</v>
      </c>
      <c r="M315" s="412">
        <f t="shared" si="94"/>
        <v>0</v>
      </c>
      <c r="N315" s="158"/>
      <c r="O315" s="158"/>
      <c r="P315" s="158"/>
    </row>
    <row r="316" spans="1:16" x14ac:dyDescent="0.25">
      <c r="A316" s="991"/>
      <c r="B316" s="409">
        <v>19</v>
      </c>
      <c r="C316" s="412">
        <f>R10</f>
        <v>37</v>
      </c>
      <c r="D316" s="412">
        <f>S10</f>
        <v>0</v>
      </c>
      <c r="E316" s="412">
        <f>T10</f>
        <v>-0.3</v>
      </c>
      <c r="F316" s="412">
        <f t="shared" ref="F316" si="95">U10</f>
        <v>0</v>
      </c>
      <c r="G316" s="158"/>
      <c r="H316" s="991"/>
      <c r="I316" s="409">
        <v>19</v>
      </c>
      <c r="J316" s="412">
        <f>X10</f>
        <v>80</v>
      </c>
      <c r="K316" s="412">
        <f>Y10</f>
        <v>-0.9</v>
      </c>
      <c r="L316" s="412">
        <f>Z10</f>
        <v>-0.5</v>
      </c>
      <c r="M316" s="412">
        <f t="shared" ref="M316" si="96">AA10</f>
        <v>0</v>
      </c>
      <c r="N316" s="158"/>
      <c r="O316" s="158"/>
      <c r="P316" s="158"/>
    </row>
    <row r="317" spans="1:16" x14ac:dyDescent="0.25">
      <c r="A317" s="417"/>
      <c r="B317" s="418"/>
      <c r="C317" s="423"/>
      <c r="D317" s="423"/>
      <c r="E317" s="423"/>
      <c r="F317" s="424"/>
      <c r="G317" s="4"/>
      <c r="H317" s="5"/>
      <c r="I317" s="418"/>
      <c r="J317" s="423"/>
      <c r="K317" s="423"/>
      <c r="L317" s="423"/>
      <c r="M317" s="424"/>
      <c r="N317" s="158"/>
      <c r="O317" s="158"/>
      <c r="P317" s="158"/>
    </row>
    <row r="318" spans="1:16" x14ac:dyDescent="0.25">
      <c r="A318" s="989" t="s">
        <v>102</v>
      </c>
      <c r="B318" s="409">
        <v>1</v>
      </c>
      <c r="C318" s="410">
        <f>C11</f>
        <v>40</v>
      </c>
      <c r="D318" s="410">
        <f>D11</f>
        <v>-0.4</v>
      </c>
      <c r="E318" s="410">
        <f>E11</f>
        <v>-0.3</v>
      </c>
      <c r="F318" s="410">
        <f>F11</f>
        <v>5.0000000000000017E-2</v>
      </c>
      <c r="G318" s="158"/>
      <c r="H318" s="989" t="s">
        <v>102</v>
      </c>
      <c r="I318" s="409">
        <v>1</v>
      </c>
      <c r="J318" s="410">
        <f>I11</f>
        <v>90</v>
      </c>
      <c r="K318" s="410">
        <f>J11</f>
        <v>-2.7</v>
      </c>
      <c r="L318" s="410">
        <f>K11</f>
        <v>0.3</v>
      </c>
      <c r="M318" s="410">
        <f>L11</f>
        <v>1.5</v>
      </c>
      <c r="N318" s="158"/>
      <c r="O318" s="158"/>
      <c r="P318" s="158"/>
    </row>
    <row r="319" spans="1:16" x14ac:dyDescent="0.25">
      <c r="A319" s="990"/>
      <c r="B319" s="409">
        <v>2</v>
      </c>
      <c r="C319" s="410">
        <f>C22</f>
        <v>40</v>
      </c>
      <c r="D319" s="410">
        <f>D22</f>
        <v>-0.1</v>
      </c>
      <c r="E319" s="410">
        <f>E22</f>
        <v>-0.3</v>
      </c>
      <c r="F319" s="410">
        <f>F22</f>
        <v>9.9999999999999992E-2</v>
      </c>
      <c r="G319" s="158"/>
      <c r="H319" s="990"/>
      <c r="I319" s="409">
        <v>2</v>
      </c>
      <c r="J319" s="410">
        <f>I22</f>
        <v>90</v>
      </c>
      <c r="K319" s="410">
        <f>J22</f>
        <v>1.7</v>
      </c>
      <c r="L319" s="410">
        <f>K22</f>
        <v>-0.3</v>
      </c>
      <c r="M319" s="410">
        <f>L22</f>
        <v>1</v>
      </c>
      <c r="N319" s="158"/>
      <c r="O319" s="158"/>
      <c r="P319" s="158"/>
    </row>
    <row r="320" spans="1:16" x14ac:dyDescent="0.25">
      <c r="A320" s="990"/>
      <c r="B320" s="409">
        <v>3</v>
      </c>
      <c r="C320" s="410">
        <f>C33</f>
        <v>40</v>
      </c>
      <c r="D320" s="410">
        <f>D33</f>
        <v>0.2</v>
      </c>
      <c r="E320" s="410">
        <f>E33</f>
        <v>-0.7</v>
      </c>
      <c r="F320" s="410">
        <f>F33</f>
        <v>0.44999999999999996</v>
      </c>
      <c r="G320" s="158"/>
      <c r="H320" s="990"/>
      <c r="I320" s="409">
        <v>3</v>
      </c>
      <c r="J320" s="410">
        <f>I33</f>
        <v>90</v>
      </c>
      <c r="K320" s="410">
        <f>J33</f>
        <v>0.3</v>
      </c>
      <c r="L320" s="410">
        <f>K33</f>
        <v>-2</v>
      </c>
      <c r="M320" s="410">
        <f>L33</f>
        <v>1.1499999999999999</v>
      </c>
      <c r="N320" s="158"/>
      <c r="O320" s="158"/>
      <c r="P320" s="158"/>
    </row>
    <row r="321" spans="1:16" x14ac:dyDescent="0.25">
      <c r="A321" s="990"/>
      <c r="B321" s="409">
        <v>4</v>
      </c>
      <c r="C321" s="410">
        <f>C44</f>
        <v>40</v>
      </c>
      <c r="D321" s="410">
        <f>D44</f>
        <v>-0.5</v>
      </c>
      <c r="E321" s="410">
        <f>E44</f>
        <v>-0.6</v>
      </c>
      <c r="F321" s="410">
        <f>F44</f>
        <v>4.9999999999999989E-2</v>
      </c>
      <c r="G321" s="158"/>
      <c r="H321" s="990"/>
      <c r="I321" s="409">
        <v>4</v>
      </c>
      <c r="J321" s="410">
        <f>I44</f>
        <v>90</v>
      </c>
      <c r="K321" s="410">
        <f>J44</f>
        <v>-3.5</v>
      </c>
      <c r="L321" s="410">
        <f>K44</f>
        <v>3.3</v>
      </c>
      <c r="M321" s="410">
        <f>L44</f>
        <v>3.4</v>
      </c>
      <c r="N321" s="158"/>
      <c r="O321" s="158"/>
      <c r="P321" s="158"/>
    </row>
    <row r="322" spans="1:16" x14ac:dyDescent="0.25">
      <c r="A322" s="990"/>
      <c r="B322" s="409">
        <v>5</v>
      </c>
      <c r="C322" s="410">
        <f>C55</f>
        <v>40</v>
      </c>
      <c r="D322" s="410">
        <f>D55</f>
        <v>0.2</v>
      </c>
      <c r="E322" s="410">
        <f>E55</f>
        <v>0.7</v>
      </c>
      <c r="F322" s="410">
        <f>F55</f>
        <v>0.24999999999999997</v>
      </c>
      <c r="G322" s="158"/>
      <c r="H322" s="990"/>
      <c r="I322" s="409">
        <v>5</v>
      </c>
      <c r="J322" s="410">
        <f>I55</f>
        <v>90</v>
      </c>
      <c r="K322" s="410">
        <f>J55</f>
        <v>-0.8</v>
      </c>
      <c r="L322" s="410">
        <f>K55</f>
        <v>-1.8</v>
      </c>
      <c r="M322" s="410">
        <f>L55</f>
        <v>0.5</v>
      </c>
      <c r="N322" s="158"/>
      <c r="O322" s="158"/>
      <c r="P322" s="158"/>
    </row>
    <row r="323" spans="1:16" x14ac:dyDescent="0.25">
      <c r="A323" s="990"/>
      <c r="B323" s="409">
        <v>6</v>
      </c>
      <c r="C323" s="410">
        <f>C66</f>
        <v>40</v>
      </c>
      <c r="D323" s="410">
        <f>D66</f>
        <v>0.1</v>
      </c>
      <c r="E323" s="410">
        <f>E66</f>
        <v>-1.4</v>
      </c>
      <c r="F323" s="410">
        <f>F66</f>
        <v>0.75</v>
      </c>
      <c r="G323" s="158"/>
      <c r="H323" s="990"/>
      <c r="I323" s="409">
        <v>6</v>
      </c>
      <c r="J323" s="410">
        <f>I66</f>
        <v>90</v>
      </c>
      <c r="K323" s="410">
        <f>J66</f>
        <v>-5.2</v>
      </c>
      <c r="L323" s="410">
        <f>K66</f>
        <v>0.7</v>
      </c>
      <c r="M323" s="410">
        <f>L66</f>
        <v>2.95</v>
      </c>
      <c r="N323" s="158"/>
      <c r="O323" s="158"/>
      <c r="P323" s="158"/>
    </row>
    <row r="324" spans="1:16" x14ac:dyDescent="0.25">
      <c r="A324" s="990"/>
      <c r="B324" s="409">
        <v>7</v>
      </c>
      <c r="C324" s="410">
        <f>C77</f>
        <v>40</v>
      </c>
      <c r="D324" s="410">
        <f>D77</f>
        <v>0.1</v>
      </c>
      <c r="E324" s="410">
        <f>E77</f>
        <v>-1.7</v>
      </c>
      <c r="F324" s="410">
        <f>F77</f>
        <v>0.9</v>
      </c>
      <c r="G324" s="158"/>
      <c r="H324" s="990"/>
      <c r="I324" s="409">
        <v>7</v>
      </c>
      <c r="J324" s="410">
        <f>I77</f>
        <v>90</v>
      </c>
      <c r="K324" s="410">
        <f>J77</f>
        <v>-3</v>
      </c>
      <c r="L324" s="410">
        <f>K77</f>
        <v>1.8</v>
      </c>
      <c r="M324" s="410">
        <f>L77</f>
        <v>2.4</v>
      </c>
      <c r="N324" s="158"/>
      <c r="O324" s="158"/>
      <c r="P324" s="158"/>
    </row>
    <row r="325" spans="1:16" x14ac:dyDescent="0.25">
      <c r="A325" s="990"/>
      <c r="B325" s="409">
        <v>8</v>
      </c>
      <c r="C325" s="410">
        <f>C88</f>
        <v>40</v>
      </c>
      <c r="D325" s="410">
        <f>D88</f>
        <v>0</v>
      </c>
      <c r="E325" s="410">
        <f>E88</f>
        <v>-0.4</v>
      </c>
      <c r="F325" s="410">
        <f>F88</f>
        <v>0.2</v>
      </c>
      <c r="G325" s="158"/>
      <c r="H325" s="990"/>
      <c r="I325" s="409">
        <v>8</v>
      </c>
      <c r="J325" s="410">
        <f>I88</f>
        <v>90</v>
      </c>
      <c r="K325" s="410">
        <f>J88</f>
        <v>-4.9000000000000004</v>
      </c>
      <c r="L325" s="410">
        <f>K88</f>
        <v>-1.3</v>
      </c>
      <c r="M325" s="410">
        <f>L88</f>
        <v>1.8000000000000003</v>
      </c>
      <c r="N325" s="158"/>
      <c r="O325" s="158"/>
      <c r="P325" s="158"/>
    </row>
    <row r="326" spans="1:16" x14ac:dyDescent="0.25">
      <c r="A326" s="990"/>
      <c r="B326" s="409">
        <v>9</v>
      </c>
      <c r="C326" s="410">
        <f>C99</f>
        <v>40</v>
      </c>
      <c r="D326" s="410">
        <f>D99</f>
        <v>-0.4</v>
      </c>
      <c r="E326" s="429" t="str">
        <f>E99</f>
        <v>-</v>
      </c>
      <c r="F326" s="410">
        <f>F99</f>
        <v>0</v>
      </c>
      <c r="G326" s="158"/>
      <c r="H326" s="990"/>
      <c r="I326" s="409">
        <v>9</v>
      </c>
      <c r="J326" s="410">
        <f>I99</f>
        <v>90</v>
      </c>
      <c r="K326" s="410">
        <f>J99</f>
        <v>-0.2</v>
      </c>
      <c r="L326" s="429" t="str">
        <f>K99</f>
        <v>-</v>
      </c>
      <c r="M326" s="410">
        <f>L99</f>
        <v>0</v>
      </c>
      <c r="N326" s="158"/>
      <c r="O326" s="158"/>
      <c r="P326" s="158"/>
    </row>
    <row r="327" spans="1:16" x14ac:dyDescent="0.25">
      <c r="A327" s="990"/>
      <c r="B327" s="409">
        <v>10</v>
      </c>
      <c r="C327" s="410">
        <f>C110</f>
        <v>40</v>
      </c>
      <c r="D327" s="410">
        <f>D110</f>
        <v>0.2</v>
      </c>
      <c r="E327" s="410">
        <f>E110</f>
        <v>0</v>
      </c>
      <c r="F327" s="410">
        <f>F110</f>
        <v>0.1</v>
      </c>
      <c r="G327" s="158"/>
      <c r="H327" s="990"/>
      <c r="I327" s="409">
        <v>10</v>
      </c>
      <c r="J327" s="410">
        <f>I110</f>
        <v>90</v>
      </c>
      <c r="K327" s="410">
        <f>J110</f>
        <v>5.4</v>
      </c>
      <c r="L327" s="410">
        <f>K110</f>
        <v>0</v>
      </c>
      <c r="M327" s="410">
        <f>L110</f>
        <v>2.7</v>
      </c>
      <c r="N327" s="158"/>
      <c r="O327" s="158"/>
      <c r="P327" s="158"/>
    </row>
    <row r="328" spans="1:16" x14ac:dyDescent="0.25">
      <c r="A328" s="990"/>
      <c r="B328" s="409">
        <v>11</v>
      </c>
      <c r="C328" s="410">
        <f>C121</f>
        <v>40</v>
      </c>
      <c r="D328" s="410">
        <f>D121</f>
        <v>0.5</v>
      </c>
      <c r="E328" s="429">
        <f>E121</f>
        <v>0</v>
      </c>
      <c r="F328" s="410">
        <f>F121</f>
        <v>0.25</v>
      </c>
      <c r="G328" s="158"/>
      <c r="H328" s="990"/>
      <c r="I328" s="409">
        <v>11</v>
      </c>
      <c r="J328" s="410">
        <f>I121</f>
        <v>90</v>
      </c>
      <c r="K328" s="410">
        <f>J121</f>
        <v>1.3</v>
      </c>
      <c r="L328" s="429">
        <f>K121</f>
        <v>0</v>
      </c>
      <c r="M328" s="410">
        <f>L121</f>
        <v>0.65</v>
      </c>
      <c r="N328" s="158"/>
      <c r="O328" s="158"/>
      <c r="P328" s="158"/>
    </row>
    <row r="329" spans="1:16" x14ac:dyDescent="0.25">
      <c r="A329" s="990"/>
      <c r="B329" s="409">
        <v>12</v>
      </c>
      <c r="C329" s="410">
        <f>C132</f>
        <v>40</v>
      </c>
      <c r="D329" s="410">
        <f>D132</f>
        <v>0.5</v>
      </c>
      <c r="E329" s="429" t="str">
        <f>E132</f>
        <v>-</v>
      </c>
      <c r="F329" s="410">
        <f>F132</f>
        <v>0</v>
      </c>
      <c r="G329" s="158"/>
      <c r="H329" s="990"/>
      <c r="I329" s="409">
        <v>12</v>
      </c>
      <c r="J329" s="410">
        <f>I132</f>
        <v>90</v>
      </c>
      <c r="K329" s="410">
        <f>J132</f>
        <v>-3.2</v>
      </c>
      <c r="L329" s="429" t="str">
        <f>K132</f>
        <v>-</v>
      </c>
      <c r="M329" s="410">
        <f>L132</f>
        <v>0</v>
      </c>
      <c r="N329" s="158"/>
      <c r="O329" s="158"/>
      <c r="P329" s="158"/>
    </row>
    <row r="330" spans="1:16" x14ac:dyDescent="0.25">
      <c r="A330" s="990"/>
      <c r="B330" s="409">
        <v>13</v>
      </c>
      <c r="C330" s="410">
        <f>C142</f>
        <v>40</v>
      </c>
      <c r="D330" s="410">
        <f>D142</f>
        <v>0</v>
      </c>
      <c r="E330" s="429" t="str">
        <f>E142</f>
        <v>-</v>
      </c>
      <c r="F330" s="410">
        <f>F142</f>
        <v>0</v>
      </c>
      <c r="G330" s="158"/>
      <c r="H330" s="990"/>
      <c r="I330" s="409">
        <v>13</v>
      </c>
      <c r="J330" s="410">
        <f>I142</f>
        <v>90</v>
      </c>
      <c r="K330" s="410">
        <f>J142</f>
        <v>-2</v>
      </c>
      <c r="L330" s="429" t="str">
        <f>K142</f>
        <v>-</v>
      </c>
      <c r="M330" s="410">
        <f>L142</f>
        <v>0</v>
      </c>
      <c r="N330" s="158"/>
      <c r="O330" s="158"/>
      <c r="P330" s="158"/>
    </row>
    <row r="331" spans="1:16" x14ac:dyDescent="0.25">
      <c r="A331" s="990"/>
      <c r="B331" s="409">
        <v>14</v>
      </c>
      <c r="C331" s="410">
        <f>C152</f>
        <v>40</v>
      </c>
      <c r="D331" s="410">
        <f>D152</f>
        <v>-1.1000000000000001</v>
      </c>
      <c r="E331" s="429" t="str">
        <f>E152</f>
        <v>-</v>
      </c>
      <c r="F331" s="410">
        <f>F152</f>
        <v>0</v>
      </c>
      <c r="G331" s="158"/>
      <c r="H331" s="990"/>
      <c r="I331" s="409">
        <v>14</v>
      </c>
      <c r="J331" s="410">
        <f>I152</f>
        <v>90</v>
      </c>
      <c r="K331" s="410">
        <f>J152</f>
        <v>-0.8</v>
      </c>
      <c r="L331" s="429" t="str">
        <f>K152</f>
        <v>-</v>
      </c>
      <c r="M331" s="410">
        <f>L152</f>
        <v>0</v>
      </c>
      <c r="N331" s="158"/>
      <c r="O331" s="158"/>
      <c r="P331" s="158"/>
    </row>
    <row r="332" spans="1:16" x14ac:dyDescent="0.25">
      <c r="A332" s="990"/>
      <c r="B332" s="409">
        <v>15</v>
      </c>
      <c r="C332" s="412">
        <f>C162</f>
        <v>40</v>
      </c>
      <c r="D332" s="412">
        <f t="shared" ref="D332:F332" si="97">D162</f>
        <v>-0.4</v>
      </c>
      <c r="E332" s="412" t="str">
        <f t="shared" si="97"/>
        <v>-</v>
      </c>
      <c r="F332" s="412">
        <f t="shared" si="97"/>
        <v>0</v>
      </c>
      <c r="G332" s="158"/>
      <c r="H332" s="990"/>
      <c r="I332" s="409">
        <v>15</v>
      </c>
      <c r="J332" s="412">
        <f>I162</f>
        <v>90</v>
      </c>
      <c r="K332" s="412">
        <f t="shared" ref="K332:M332" si="98">J162</f>
        <v>-0.9</v>
      </c>
      <c r="L332" s="412" t="str">
        <f t="shared" si="98"/>
        <v>-</v>
      </c>
      <c r="M332" s="412">
        <f t="shared" si="98"/>
        <v>0</v>
      </c>
      <c r="N332" s="158"/>
      <c r="O332" s="158"/>
      <c r="P332" s="158"/>
    </row>
    <row r="333" spans="1:16" x14ac:dyDescent="0.25">
      <c r="A333" s="990"/>
      <c r="B333" s="409">
        <v>16</v>
      </c>
      <c r="C333" s="412">
        <f>C172</f>
        <v>40</v>
      </c>
      <c r="D333" s="412">
        <f t="shared" ref="D333:F333" si="99">D172</f>
        <v>0</v>
      </c>
      <c r="E333" s="412" t="str">
        <f t="shared" si="99"/>
        <v>-</v>
      </c>
      <c r="F333" s="412">
        <f t="shared" si="99"/>
        <v>0</v>
      </c>
      <c r="G333" s="158"/>
      <c r="H333" s="990"/>
      <c r="I333" s="409">
        <v>16</v>
      </c>
      <c r="J333" s="412">
        <f>I172</f>
        <v>90</v>
      </c>
      <c r="K333" s="412">
        <f t="shared" ref="K333:M333" si="100">J172</f>
        <v>-3</v>
      </c>
      <c r="L333" s="412" t="str">
        <f t="shared" si="100"/>
        <v>-</v>
      </c>
      <c r="M333" s="412">
        <f t="shared" si="100"/>
        <v>0</v>
      </c>
      <c r="N333" s="158"/>
      <c r="O333" s="158"/>
      <c r="P333" s="158"/>
    </row>
    <row r="334" spans="1:16" x14ac:dyDescent="0.25">
      <c r="A334" s="990"/>
      <c r="B334" s="409">
        <v>17</v>
      </c>
      <c r="C334" s="412">
        <f>C182</f>
        <v>40</v>
      </c>
      <c r="D334" s="412">
        <f t="shared" ref="D334:F334" si="101">D182</f>
        <v>-0.8</v>
      </c>
      <c r="E334" s="412" t="str">
        <f t="shared" si="101"/>
        <v>-</v>
      </c>
      <c r="F334" s="412">
        <f t="shared" si="101"/>
        <v>0</v>
      </c>
      <c r="G334" s="158"/>
      <c r="H334" s="990"/>
      <c r="I334" s="409">
        <v>17</v>
      </c>
      <c r="J334" s="412">
        <f>I182</f>
        <v>90</v>
      </c>
      <c r="K334" s="412">
        <f t="shared" ref="K334:M334" si="102">J182</f>
        <v>-1.4</v>
      </c>
      <c r="L334" s="412" t="str">
        <f t="shared" si="102"/>
        <v>-</v>
      </c>
      <c r="M334" s="412">
        <f t="shared" si="102"/>
        <v>0</v>
      </c>
      <c r="N334" s="158"/>
      <c r="O334" s="158"/>
      <c r="P334" s="158"/>
    </row>
    <row r="335" spans="1:16" x14ac:dyDescent="0.25">
      <c r="A335" s="990"/>
      <c r="B335" s="409">
        <v>18</v>
      </c>
      <c r="C335" s="412">
        <f>C192</f>
        <v>40</v>
      </c>
      <c r="D335" s="412">
        <f t="shared" ref="D335:F335" si="103">D192</f>
        <v>-0.4</v>
      </c>
      <c r="E335" s="412" t="str">
        <f t="shared" si="103"/>
        <v>-</v>
      </c>
      <c r="F335" s="412">
        <f t="shared" si="103"/>
        <v>0</v>
      </c>
      <c r="G335" s="158"/>
      <c r="H335" s="990"/>
      <c r="I335" s="409">
        <v>18</v>
      </c>
      <c r="J335" s="412">
        <f>I192</f>
        <v>90</v>
      </c>
      <c r="K335" s="412">
        <f t="shared" ref="K335:M335" si="104">J192</f>
        <v>-0.8</v>
      </c>
      <c r="L335" s="412" t="str">
        <f t="shared" si="104"/>
        <v>-</v>
      </c>
      <c r="M335" s="412">
        <f t="shared" si="104"/>
        <v>0</v>
      </c>
      <c r="N335" s="158"/>
      <c r="O335" s="158"/>
      <c r="P335" s="158"/>
    </row>
    <row r="336" spans="1:16" x14ac:dyDescent="0.25">
      <c r="A336" s="991"/>
      <c r="B336" s="409">
        <v>19</v>
      </c>
      <c r="C336" s="412">
        <f>R11</f>
        <v>40</v>
      </c>
      <c r="D336" s="412">
        <f>S11</f>
        <v>0.2</v>
      </c>
      <c r="E336" s="412">
        <f>T11</f>
        <v>-0.4</v>
      </c>
      <c r="F336" s="412">
        <f t="shared" ref="F336" si="105">U11</f>
        <v>0</v>
      </c>
      <c r="G336" s="158"/>
      <c r="H336" s="991"/>
      <c r="I336" s="409">
        <v>19</v>
      </c>
      <c r="J336" s="412">
        <f>X11</f>
        <v>90</v>
      </c>
      <c r="K336" s="412">
        <f>Y11</f>
        <v>-0.6</v>
      </c>
      <c r="L336" s="412">
        <f>Z11</f>
        <v>-0.8</v>
      </c>
      <c r="M336" s="412">
        <f t="shared" ref="M336" si="106">AA11</f>
        <v>0</v>
      </c>
      <c r="N336" s="158"/>
      <c r="O336" s="158"/>
      <c r="P336" s="158"/>
    </row>
    <row r="337" spans="1:19" ht="13.8" thickBot="1" x14ac:dyDescent="0.3">
      <c r="A337" s="433"/>
      <c r="B337" s="7"/>
      <c r="C337" s="4"/>
      <c r="D337" s="4"/>
      <c r="E337" s="4"/>
      <c r="F337" s="4"/>
      <c r="G337" s="4"/>
      <c r="H337" s="158"/>
      <c r="I337" s="434"/>
      <c r="J337" s="7"/>
      <c r="K337" s="4"/>
      <c r="L337" s="4"/>
      <c r="M337" s="4"/>
      <c r="N337" s="4"/>
      <c r="O337" s="4"/>
      <c r="P337" s="158"/>
    </row>
    <row r="338" spans="1:19" ht="29.25" customHeight="1" x14ac:dyDescent="0.25">
      <c r="A338" s="435">
        <f>A377</f>
        <v>14</v>
      </c>
      <c r="B338" s="1002" t="str">
        <f>A357</f>
        <v>Thermohygrobarometer, Merek : EXTECH, Model : SD700, SN : A.100609</v>
      </c>
      <c r="C338" s="1002"/>
      <c r="D338" s="1003"/>
      <c r="E338" s="436"/>
      <c r="F338" s="435">
        <f>A338</f>
        <v>14</v>
      </c>
      <c r="G338" s="1002" t="str">
        <f>B338</f>
        <v>Thermohygrobarometer, Merek : EXTECH, Model : SD700, SN : A.100609</v>
      </c>
      <c r="H338" s="1002"/>
      <c r="I338" s="1003"/>
      <c r="J338" s="436"/>
      <c r="K338" s="435">
        <f>A338</f>
        <v>14</v>
      </c>
      <c r="L338" s="1018" t="str">
        <f>G338</f>
        <v>Thermohygrobarometer, Merek : EXTECH, Model : SD700, SN : A.100609</v>
      </c>
      <c r="M338" s="1019"/>
      <c r="N338" s="1019"/>
      <c r="O338" s="1020"/>
      <c r="P338" s="158"/>
    </row>
    <row r="339" spans="1:19" ht="13.8" x14ac:dyDescent="0.25">
      <c r="A339" s="437" t="s">
        <v>330</v>
      </c>
      <c r="B339" s="1021" t="s">
        <v>331</v>
      </c>
      <c r="C339" s="1021"/>
      <c r="D339" s="1022" t="s">
        <v>332</v>
      </c>
      <c r="E339" s="4"/>
      <c r="F339" s="437" t="s">
        <v>333</v>
      </c>
      <c r="G339" s="1021" t="s">
        <v>331</v>
      </c>
      <c r="H339" s="1021"/>
      <c r="I339" s="1022" t="s">
        <v>332</v>
      </c>
      <c r="J339" s="4"/>
      <c r="K339" s="1023"/>
      <c r="L339" s="1026" t="s">
        <v>354</v>
      </c>
      <c r="M339" s="1026" t="s">
        <v>355</v>
      </c>
      <c r="N339" s="1026" t="s">
        <v>356</v>
      </c>
      <c r="O339" s="1027" t="s">
        <v>235</v>
      </c>
      <c r="P339" s="158"/>
    </row>
    <row r="340" spans="1:19" ht="14.4" x14ac:dyDescent="0.25">
      <c r="A340" s="10" t="s">
        <v>353</v>
      </c>
      <c r="B340" s="173">
        <f>VLOOKUP(B338,A358:K376,9,FALSE)</f>
        <v>2020</v>
      </c>
      <c r="C340" s="173" t="str">
        <f>VLOOKUP(B338,A358:K376,10,FALSE)</f>
        <v>-</v>
      </c>
      <c r="D340" s="1022"/>
      <c r="E340" s="4"/>
      <c r="F340" s="438" t="s">
        <v>19</v>
      </c>
      <c r="G340" s="173">
        <f>B340</f>
        <v>2020</v>
      </c>
      <c r="H340" s="173" t="str">
        <f>C340</f>
        <v>-</v>
      </c>
      <c r="I340" s="1022"/>
      <c r="J340" s="4"/>
      <c r="K340" s="1024"/>
      <c r="L340" s="1026"/>
      <c r="M340" s="1026"/>
      <c r="N340" s="1026"/>
      <c r="O340" s="1027"/>
      <c r="P340" s="158"/>
    </row>
    <row r="341" spans="1:19" x14ac:dyDescent="0.25">
      <c r="A341" s="439">
        <f>VLOOKUP($A$338,$B$198:$F$216,2,FALSE)</f>
        <v>15</v>
      </c>
      <c r="B341" s="440">
        <f>VLOOKUP($A$338,$B$198:$F$216,3,FALSE)</f>
        <v>-0.2</v>
      </c>
      <c r="C341" s="440" t="str">
        <f>VLOOKUP($A$338,$B$198:$F$216,4,FALSE)</f>
        <v>-</v>
      </c>
      <c r="D341" s="441">
        <f>VLOOKUP($A$338,$B$198:$F$216,5,FALSE)</f>
        <v>0</v>
      </c>
      <c r="E341" s="4"/>
      <c r="F341" s="439">
        <f>VLOOKUP($F$338,$I$198:$M$216,2,FALSE)</f>
        <v>35</v>
      </c>
      <c r="G341" s="440">
        <f>VLOOKUP($F$338,$I$198:$M$216,3,FALSE)</f>
        <v>0.6</v>
      </c>
      <c r="H341" s="440" t="str">
        <f>VLOOKUP($F$338,$I$198:$M$216,4,FALSE)</f>
        <v>-</v>
      </c>
      <c r="I341" s="441">
        <f>VLOOKUP($F$338,$I$198:$M$216,5,FALSE)</f>
        <v>0</v>
      </c>
      <c r="J341" s="4"/>
      <c r="K341" s="1025"/>
      <c r="L341" s="1026"/>
      <c r="M341" s="1026"/>
      <c r="N341" s="1026"/>
      <c r="O341" s="1027"/>
      <c r="P341" s="158"/>
      <c r="S341" s="442"/>
    </row>
    <row r="342" spans="1:19" x14ac:dyDescent="0.25">
      <c r="A342" s="439">
        <f>VLOOKUP($A$338,$B$218:$F$236,2,FALSE)</f>
        <v>20</v>
      </c>
      <c r="B342" s="440">
        <f>VLOOKUP($A$338,$B$218:$F$236,3,FALSE)</f>
        <v>-0.1</v>
      </c>
      <c r="C342" s="440" t="str">
        <f>VLOOKUP($A$338,$B$218:$F$236,4,FALSE)</f>
        <v>-</v>
      </c>
      <c r="D342" s="441">
        <f>VLOOKUP($A$338,$B$218:$F$236,5,FALSE)</f>
        <v>0</v>
      </c>
      <c r="E342" s="4"/>
      <c r="F342" s="439">
        <f>VLOOKUP($F$338,$I$218:$M$236,2,FALSE)</f>
        <v>40</v>
      </c>
      <c r="G342" s="440">
        <f>VLOOKUP($F$338,$I$218:$M$236,3,FALSE)</f>
        <v>0.3</v>
      </c>
      <c r="H342" s="440" t="str">
        <f>VLOOKUP($F$338,$I$218:$M$236,4,FALSE)</f>
        <v>-</v>
      </c>
      <c r="I342" s="441">
        <f>VLOOKUP($F$338,$I$218:$M$236,5,FALSE)</f>
        <v>0</v>
      </c>
      <c r="J342" s="4"/>
      <c r="K342" s="443" t="s">
        <v>330</v>
      </c>
      <c r="L342" s="444">
        <f>AVERAGE(ID!E23:F23)</f>
        <v>27.2</v>
      </c>
      <c r="M342" s="445">
        <f>L342+C351</f>
        <v>27.012</v>
      </c>
      <c r="N342" s="445">
        <f>STDEV(ID!E23:F23)</f>
        <v>0.70710678118654757</v>
      </c>
      <c r="O342" s="446">
        <f>VLOOKUP(K338,O197:P215,2,(FALSE))</f>
        <v>0.4</v>
      </c>
      <c r="P342" s="447"/>
    </row>
    <row r="343" spans="1:19" ht="13.8" thickBot="1" x14ac:dyDescent="0.3">
      <c r="A343" s="439">
        <f>VLOOKUP($A$338,$B$238:$F$256,2,FALSE)</f>
        <v>25</v>
      </c>
      <c r="B343" s="440">
        <f>VLOOKUP($A$338,$B$238:$F$256,3,FALSE)</f>
        <v>-0.1</v>
      </c>
      <c r="C343" s="440" t="str">
        <f>VLOOKUP($A$338,$B$238:$F$256,4,FALSE)</f>
        <v>-</v>
      </c>
      <c r="D343" s="441">
        <f>VLOOKUP($A$338,$B$238:$F$256,5,FALSE)</f>
        <v>0</v>
      </c>
      <c r="E343" s="4"/>
      <c r="F343" s="439">
        <f>VLOOKUP($F$338,$I$238:$M$256,2,FALSE)</f>
        <v>50</v>
      </c>
      <c r="G343" s="440">
        <f>VLOOKUP($F$338,$I$238:$M$256,3,FALSE)</f>
        <v>-0.2</v>
      </c>
      <c r="H343" s="440" t="str">
        <f>VLOOKUP($F$338,$I$238:$M$256,4,FALSE)</f>
        <v>-</v>
      </c>
      <c r="I343" s="441">
        <f>VLOOKUP($F$338,$I$238:$M$256,5,FALSE)</f>
        <v>0</v>
      </c>
      <c r="J343" s="4"/>
      <c r="K343" s="448" t="s">
        <v>19</v>
      </c>
      <c r="L343" s="444">
        <f>AVERAGE(ID!E24:F24)</f>
        <v>72.650000000000006</v>
      </c>
      <c r="M343" s="449">
        <f>L343+H351</f>
        <v>71.82350000000001</v>
      </c>
      <c r="N343" s="445">
        <f>STDEV(ID!E24:F24)</f>
        <v>0.91923881554250975</v>
      </c>
      <c r="O343" s="450">
        <f>VLOOKUP(K338,O257:P275,2,(FALSE))</f>
        <v>2.2000000000000002</v>
      </c>
      <c r="P343" s="447"/>
    </row>
    <row r="344" spans="1:19" x14ac:dyDescent="0.25">
      <c r="A344" s="439">
        <f>VLOOKUP($A$338,$B$258:$F$276,2,FALSE)</f>
        <v>30</v>
      </c>
      <c r="B344" s="440">
        <f>VLOOKUP($A$338,$B$258:$F$276,3,FALSE)</f>
        <v>-0.3</v>
      </c>
      <c r="C344" s="440" t="str">
        <f>VLOOKUP($A$338,$B$258:$F$276,4,FALSE)</f>
        <v>-</v>
      </c>
      <c r="D344" s="441">
        <f>VLOOKUP($A$338,$B$258:$F$276,5,FALSE)</f>
        <v>0</v>
      </c>
      <c r="E344" s="4"/>
      <c r="F344" s="439">
        <f>VLOOKUP($F$338,$I$258:$M$276,2,FALSE)</f>
        <v>60</v>
      </c>
      <c r="G344" s="440">
        <f>VLOOKUP($F$338,$I$258:$M$276,3,FALSE)</f>
        <v>-0.6</v>
      </c>
      <c r="H344" s="440" t="str">
        <f>VLOOKUP($F$338,$I$258:$M$276,4,FALSE)</f>
        <v>-</v>
      </c>
      <c r="I344" s="441">
        <f>VLOOKUP($F$338,$I$258:$M$276,5,FALSE)</f>
        <v>0</v>
      </c>
      <c r="J344" s="4"/>
      <c r="K344" s="4"/>
      <c r="L344" s="451"/>
      <c r="M344" s="452"/>
      <c r="N344" s="451"/>
      <c r="O344" s="453"/>
      <c r="P344" s="447"/>
    </row>
    <row r="345" spans="1:19" ht="13.8" thickBot="1" x14ac:dyDescent="0.3">
      <c r="A345" s="439">
        <f>VLOOKUP($A$338,$B$278:$F$296,2,FALSE)</f>
        <v>35</v>
      </c>
      <c r="B345" s="440">
        <f>VLOOKUP($A$338,$B$278:$F$296,3,FALSE)</f>
        <v>-0.6</v>
      </c>
      <c r="C345" s="440" t="str">
        <f>VLOOKUP($A$338,$B$278:$F$296,4,FALSE)</f>
        <v>-</v>
      </c>
      <c r="D345" s="441">
        <f>VLOOKUP($A$338,$B$278:$F$296,5,FALSE)</f>
        <v>0</v>
      </c>
      <c r="E345" s="4"/>
      <c r="F345" s="439">
        <f>VLOOKUP($F$338,$I$278:$M$296,2,FALSE)</f>
        <v>70</v>
      </c>
      <c r="G345" s="440">
        <f>VLOOKUP($F$338,$I$278:$M$296,3,FALSE)</f>
        <v>-0.8</v>
      </c>
      <c r="H345" s="440" t="str">
        <f>VLOOKUP($F$338,$I$278:$M$296,4,FALSE)</f>
        <v>-</v>
      </c>
      <c r="I345" s="441">
        <f>VLOOKUP($F$338,$I$278:$M$296,5,FALSE)</f>
        <v>0</v>
      </c>
      <c r="J345" s="4"/>
      <c r="K345" s="4"/>
      <c r="O345" s="454"/>
      <c r="P345" s="447"/>
    </row>
    <row r="346" spans="1:19" ht="13.8" x14ac:dyDescent="0.25">
      <c r="A346" s="439">
        <f>VLOOKUP($A$338,$B$298:$F$316,2,FALSE)</f>
        <v>37</v>
      </c>
      <c r="B346" s="440">
        <f>VLOOKUP($A$338,$B$298:$F$316,3,FALSE)</f>
        <v>-0.8</v>
      </c>
      <c r="C346" s="440" t="str">
        <f>VLOOKUP($A$338,$B$298:$F$316,4,FALSE)</f>
        <v>-</v>
      </c>
      <c r="D346" s="441">
        <f>VLOOKUP($A$338,$B$298:$F$316,5,FALSE)</f>
        <v>0</v>
      </c>
      <c r="E346" s="4"/>
      <c r="F346" s="439">
        <f>VLOOKUP($F$338,$I$298:$M$316,2,FALSE)</f>
        <v>80</v>
      </c>
      <c r="G346" s="440">
        <f>VLOOKUP($F$338,$I$298:$M$316,3,FALSE)</f>
        <v>-0.9</v>
      </c>
      <c r="H346" s="440" t="str">
        <f>VLOOKUP($F$338,$I$298:$M$316,4,FALSE)</f>
        <v>-</v>
      </c>
      <c r="I346" s="441">
        <f>VLOOKUP($F$338,$I$298:$M$316,5,FALSE)</f>
        <v>0</v>
      </c>
      <c r="J346" s="4"/>
      <c r="K346" s="1004" t="s">
        <v>309</v>
      </c>
      <c r="L346" s="160" t="str">
        <f>M360&amp;M358&amp;N360&amp;N358&amp;O360&amp;O358</f>
        <v>( 27.0 ± 0.4 ) °C</v>
      </c>
      <c r="M346" s="455"/>
      <c r="O346" s="456"/>
      <c r="P346" s="457"/>
    </row>
    <row r="347" spans="1:19" ht="14.4" thickBot="1" x14ac:dyDescent="0.3">
      <c r="A347" s="458">
        <f>VLOOKUP($A$338,$B$318:$F$336,2,FALSE)</f>
        <v>40</v>
      </c>
      <c r="B347" s="459">
        <f>VLOOKUP($A$338,$B$318:$F$336,3,FALSE)</f>
        <v>-1.1000000000000001</v>
      </c>
      <c r="C347" s="459" t="str">
        <f>VLOOKUP($A$338,$B$318:$F$336,4,FALSE)</f>
        <v>-</v>
      </c>
      <c r="D347" s="460">
        <f>VLOOKUP($A$338,$B$318:$F$336,5,FALSE)</f>
        <v>0</v>
      </c>
      <c r="E347" s="4"/>
      <c r="F347" s="458">
        <f>VLOOKUP($F$338,$I$318:$M$336,2,FALSE)</f>
        <v>90</v>
      </c>
      <c r="G347" s="459">
        <f>VLOOKUP($F$338,$I$318:$M$336,3,FALSE)</f>
        <v>-0.8</v>
      </c>
      <c r="H347" s="459" t="str">
        <f>VLOOKUP($F$338,$I$318:$M$336,4,FALSE)</f>
        <v>-</v>
      </c>
      <c r="I347" s="460">
        <f>VLOOKUP($F$338,$I$318:$M$336,5,FALSE)</f>
        <v>0</v>
      </c>
      <c r="J347" s="4"/>
      <c r="K347" s="1005"/>
      <c r="L347" s="214" t="str">
        <f>M360&amp;M359&amp;N360&amp;N359&amp;O360&amp;O359</f>
        <v>( 71.8 ± 2.2 ) %RH</v>
      </c>
      <c r="M347" s="215"/>
      <c r="O347" s="456"/>
      <c r="P347" s="447"/>
    </row>
    <row r="348" spans="1:19" ht="16.2" thickBot="1" x14ac:dyDescent="0.35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O348" s="456"/>
      <c r="P348" s="461"/>
    </row>
    <row r="349" spans="1:19" ht="14.4" thickBot="1" x14ac:dyDescent="0.3">
      <c r="A349" s="1006" t="s">
        <v>357</v>
      </c>
      <c r="B349" s="1007"/>
      <c r="C349" s="1007"/>
      <c r="D349" s="1008"/>
      <c r="E349" s="462"/>
      <c r="F349" s="1006" t="s">
        <v>358</v>
      </c>
      <c r="G349" s="1007"/>
      <c r="H349" s="1007"/>
      <c r="I349" s="1008"/>
      <c r="J349" s="4"/>
      <c r="K349" s="463"/>
      <c r="L349" s="162"/>
      <c r="M349" s="464"/>
      <c r="N349" s="465"/>
      <c r="O349" s="456"/>
      <c r="P349" s="466"/>
    </row>
    <row r="350" spans="1:19" ht="13.8" x14ac:dyDescent="0.25">
      <c r="A350" s="467"/>
      <c r="B350" s="468">
        <f>IF(A351&lt;=A342,A341,IF(A351&lt;=A343,A342,IF(A351&lt;=A344,A343,IF(A351&lt;=A345,A344,IF(A351&lt;=A346,A345,IF(A351&lt;=A347,A346))))))</f>
        <v>25</v>
      </c>
      <c r="C350" s="468"/>
      <c r="D350" s="469">
        <f>IF(A351&lt;=A342,B341,IF(A351&lt;=A343,B342,IF(A351&lt;=A344,B343,IF(A351&lt;=A345,B344,IF(A351&lt;=A346,B345,IF(A351&lt;=A347,B346))))))</f>
        <v>-0.1</v>
      </c>
      <c r="E350" s="470"/>
      <c r="F350" s="471"/>
      <c r="G350" s="468">
        <f>IF(F351&lt;=F342,F341,IF(F351&lt;=F343,F342,IF(F351&lt;=F344,F343,IF(F351&lt;=F345,F344,IF(F351&lt;=F346,F345,IF(F351&lt;=F347,F346))))))</f>
        <v>70</v>
      </c>
      <c r="H350" s="468"/>
      <c r="I350" s="469">
        <f>IF(F351&lt;=F342,G341,IF(F351&lt;=F343,G342,IF(F351&lt;=F344,G343,IF(F351&lt;=F345,G344,IF(F351&lt;=F346,G345,IF(F351&lt;=F347,G346))))))</f>
        <v>-0.8</v>
      </c>
      <c r="J350" s="4"/>
      <c r="K350" s="4"/>
      <c r="L350" s="162"/>
      <c r="M350" s="4"/>
      <c r="N350" s="4"/>
      <c r="O350" s="472"/>
      <c r="P350" s="473"/>
    </row>
    <row r="351" spans="1:19" ht="14.4" x14ac:dyDescent="0.3">
      <c r="A351" s="474">
        <f>L342</f>
        <v>27.2</v>
      </c>
      <c r="B351" s="475"/>
      <c r="C351" s="475">
        <f>((A351-B350)/(B352-B350)*(D352-D350)+D350)</f>
        <v>-0.18799999999999994</v>
      </c>
      <c r="D351" s="476"/>
      <c r="E351" s="470"/>
      <c r="F351" s="474">
        <f>L343</f>
        <v>72.650000000000006</v>
      </c>
      <c r="G351" s="475"/>
      <c r="H351" s="475">
        <f>((F351-G350)/(G352-G350)*(I352-I350)+I350)</f>
        <v>-0.82650000000000012</v>
      </c>
      <c r="I351" s="476"/>
      <c r="J351" s="4"/>
      <c r="K351" s="4"/>
      <c r="L351" s="4"/>
      <c r="M351" s="4"/>
      <c r="N351" s="4"/>
      <c r="O351" s="472"/>
      <c r="P351" s="477"/>
    </row>
    <row r="352" spans="1:19" ht="13.8" thickBot="1" x14ac:dyDescent="0.3">
      <c r="A352" s="3"/>
      <c r="B352" s="478">
        <f>IF(A351&lt;=A342,A342,IF(A351&lt;=A343,A343,IF(A351&lt;=A344,A344,IF(A351&lt;=A345,A345,IF(A351&lt;=A346,A346,IF(A351&lt;=A347,A347))))))</f>
        <v>30</v>
      </c>
      <c r="C352" s="479"/>
      <c r="D352" s="480">
        <f>IF(A351&lt;=A342,B342,IF(A351&lt;=A343,B343,IF(A351&lt;=A344,B344,IF(A351&lt;=A345,B345,IF(A351&lt;=A346,B346,IF(A351&lt;=A347,B347))))))</f>
        <v>-0.3</v>
      </c>
      <c r="E352" s="481"/>
      <c r="F352" s="3"/>
      <c r="G352" s="478">
        <f>IF(F351&lt;=F342,F342,IF(F351&lt;=F343,F343,IF(F351&lt;=F344,F344,IF(F351&lt;=F345,F345,IF(F351&lt;=F346,F346,IF(F351&lt;=F347,F347))))))</f>
        <v>80</v>
      </c>
      <c r="H352" s="479"/>
      <c r="I352" s="480">
        <f>IF(F351&lt;=F342,G342,IF(F351&lt;=F343,G343,IF(F351&lt;=F344,G344,IF(F351&lt;=F345,G345,IF(F351&lt;=F346,G346,IF(F351&lt;=F347,G347))))))</f>
        <v>-0.9</v>
      </c>
      <c r="J352" s="482"/>
      <c r="K352" s="482"/>
      <c r="L352" s="482"/>
      <c r="M352" s="482"/>
      <c r="N352" s="482"/>
      <c r="O352" s="483"/>
      <c r="P352" s="484"/>
    </row>
    <row r="356" spans="1:15" ht="13.8" thickBot="1" x14ac:dyDescent="0.3"/>
    <row r="357" spans="1:15" s="159" customFormat="1" x14ac:dyDescent="0.25">
      <c r="A357" s="1009" t="str">
        <f>ID!B64</f>
        <v>Thermohygrobarometer, Merek : EXTECH, Model : SD700, SN : A.100609</v>
      </c>
      <c r="B357" s="1010"/>
      <c r="C357" s="1010"/>
      <c r="D357" s="1010"/>
      <c r="E357" s="1010"/>
      <c r="F357" s="1010"/>
      <c r="G357" s="1010"/>
      <c r="H357" s="1010"/>
      <c r="I357" s="1011"/>
      <c r="J357" s="1011"/>
      <c r="K357" s="1012"/>
      <c r="M357" s="1013" t="s">
        <v>310</v>
      </c>
      <c r="N357" s="1013"/>
      <c r="O357" s="1013"/>
    </row>
    <row r="358" spans="1:15" s="159" customFormat="1" ht="15.6" x14ac:dyDescent="0.25">
      <c r="A358" s="485" t="s">
        <v>359</v>
      </c>
      <c r="B358" s="486"/>
      <c r="C358" s="486"/>
      <c r="D358" s="487"/>
      <c r="E358" s="487"/>
      <c r="F358" s="487"/>
      <c r="G358" s="488"/>
      <c r="H358" s="489"/>
      <c r="I358" s="490">
        <f>D4</f>
        <v>2021</v>
      </c>
      <c r="J358" s="490">
        <f>E4</f>
        <v>2020</v>
      </c>
      <c r="K358" s="491">
        <v>1</v>
      </c>
      <c r="M358" s="11" t="str">
        <f>TEXT(M342,"0.0")</f>
        <v>27.0</v>
      </c>
      <c r="N358" s="11" t="str">
        <f>TEXT(O342,"0.0")</f>
        <v>0.4</v>
      </c>
      <c r="O358" s="161" t="s">
        <v>360</v>
      </c>
    </row>
    <row r="359" spans="1:15" s="159" customFormat="1" ht="15.6" x14ac:dyDescent="0.25">
      <c r="A359" s="485" t="s">
        <v>361</v>
      </c>
      <c r="B359" s="486"/>
      <c r="C359" s="486"/>
      <c r="D359" s="487"/>
      <c r="E359" s="487"/>
      <c r="F359" s="487"/>
      <c r="G359" s="488"/>
      <c r="H359" s="489"/>
      <c r="I359" s="490">
        <f>D15</f>
        <v>2021</v>
      </c>
      <c r="J359" s="490">
        <f>E15</f>
        <v>2018</v>
      </c>
      <c r="K359" s="491">
        <v>2</v>
      </c>
      <c r="M359" s="11" t="str">
        <f>TEXT(M343,"0.0")</f>
        <v>71.8</v>
      </c>
      <c r="N359" s="11" t="str">
        <f>TEXT(O343,"0.0")</f>
        <v>2.2</v>
      </c>
      <c r="O359" s="161" t="s">
        <v>362</v>
      </c>
    </row>
    <row r="360" spans="1:15" s="159" customFormat="1" ht="15.6" x14ac:dyDescent="0.25">
      <c r="A360" s="485" t="s">
        <v>363</v>
      </c>
      <c r="B360" s="486"/>
      <c r="C360" s="486"/>
      <c r="D360" s="487"/>
      <c r="E360" s="487"/>
      <c r="F360" s="487"/>
      <c r="G360" s="488"/>
      <c r="H360" s="489"/>
      <c r="I360" s="490">
        <f>D26</f>
        <v>2021</v>
      </c>
      <c r="J360" s="490">
        <f>E26</f>
        <v>2018</v>
      </c>
      <c r="K360" s="491">
        <v>3</v>
      </c>
      <c r="M360" s="492" t="s">
        <v>313</v>
      </c>
      <c r="N360" s="493" t="s">
        <v>314</v>
      </c>
      <c r="O360" s="493" t="s">
        <v>315</v>
      </c>
    </row>
    <row r="361" spans="1:15" s="159" customFormat="1" x14ac:dyDescent="0.25">
      <c r="A361" s="485" t="s">
        <v>364</v>
      </c>
      <c r="B361" s="486"/>
      <c r="C361" s="486"/>
      <c r="D361" s="487"/>
      <c r="E361" s="487"/>
      <c r="F361" s="487"/>
      <c r="G361" s="488"/>
      <c r="H361" s="489"/>
      <c r="I361" s="490">
        <f>D37</f>
        <v>2019</v>
      </c>
      <c r="J361" s="490">
        <f>E37</f>
        <v>2017</v>
      </c>
      <c r="K361" s="491">
        <v>4</v>
      </c>
    </row>
    <row r="362" spans="1:15" s="159" customFormat="1" x14ac:dyDescent="0.25">
      <c r="A362" s="485" t="s">
        <v>365</v>
      </c>
      <c r="B362" s="486"/>
      <c r="C362" s="486"/>
      <c r="D362" s="487"/>
      <c r="E362" s="487"/>
      <c r="F362" s="487"/>
      <c r="G362" s="488"/>
      <c r="H362" s="489"/>
      <c r="I362" s="490">
        <f>D48</f>
        <v>2021</v>
      </c>
      <c r="J362" s="490">
        <f>E48</f>
        <v>2020</v>
      </c>
      <c r="K362" s="491">
        <v>5</v>
      </c>
    </row>
    <row r="363" spans="1:15" s="159" customFormat="1" x14ac:dyDescent="0.25">
      <c r="A363" s="485" t="s">
        <v>366</v>
      </c>
      <c r="B363" s="486"/>
      <c r="C363" s="486"/>
      <c r="D363" s="487"/>
      <c r="E363" s="487"/>
      <c r="F363" s="487"/>
      <c r="G363" s="488"/>
      <c r="H363" s="489"/>
      <c r="I363" s="490">
        <f>D59</f>
        <v>2019</v>
      </c>
      <c r="J363" s="490">
        <f>E59</f>
        <v>2018</v>
      </c>
      <c r="K363" s="491">
        <v>6</v>
      </c>
    </row>
    <row r="364" spans="1:15" s="159" customFormat="1" x14ac:dyDescent="0.25">
      <c r="A364" s="485" t="s">
        <v>367</v>
      </c>
      <c r="B364" s="486"/>
      <c r="C364" s="486"/>
      <c r="D364" s="487"/>
      <c r="E364" s="487"/>
      <c r="F364" s="487"/>
      <c r="G364" s="488"/>
      <c r="H364" s="489"/>
      <c r="I364" s="490">
        <f>D70</f>
        <v>2021</v>
      </c>
      <c r="J364" s="490">
        <f>E70</f>
        <v>2018</v>
      </c>
      <c r="K364" s="491">
        <v>7</v>
      </c>
    </row>
    <row r="365" spans="1:15" s="159" customFormat="1" x14ac:dyDescent="0.25">
      <c r="A365" s="485" t="s">
        <v>368</v>
      </c>
      <c r="B365" s="486"/>
      <c r="C365" s="486"/>
      <c r="D365" s="487"/>
      <c r="E365" s="487"/>
      <c r="F365" s="487"/>
      <c r="G365" s="488"/>
      <c r="H365" s="489"/>
      <c r="I365" s="490">
        <f>D81</f>
        <v>2021</v>
      </c>
      <c r="J365" s="490">
        <f>E81</f>
        <v>2019</v>
      </c>
      <c r="K365" s="491">
        <v>8</v>
      </c>
    </row>
    <row r="366" spans="1:15" s="159" customFormat="1" x14ac:dyDescent="0.25">
      <c r="A366" s="485" t="s">
        <v>369</v>
      </c>
      <c r="B366" s="486"/>
      <c r="C366" s="486"/>
      <c r="D366" s="487"/>
      <c r="E366" s="487"/>
      <c r="F366" s="487"/>
      <c r="G366" s="488"/>
      <c r="H366" s="489"/>
      <c r="I366" s="490">
        <f>D92</f>
        <v>2019</v>
      </c>
      <c r="J366" s="494" t="str">
        <f>E92</f>
        <v>-</v>
      </c>
      <c r="K366" s="491">
        <v>9</v>
      </c>
    </row>
    <row r="367" spans="1:15" s="159" customFormat="1" x14ac:dyDescent="0.25">
      <c r="A367" s="485" t="s">
        <v>370</v>
      </c>
      <c r="B367" s="486"/>
      <c r="C367" s="486"/>
      <c r="D367" s="487"/>
      <c r="E367" s="487"/>
      <c r="F367" s="487"/>
      <c r="G367" s="488"/>
      <c r="H367" s="489"/>
      <c r="I367" s="490">
        <f>D103</f>
        <v>2019</v>
      </c>
      <c r="J367" s="490">
        <f>E103</f>
        <v>2016</v>
      </c>
      <c r="K367" s="491">
        <v>10</v>
      </c>
    </row>
    <row r="368" spans="1:15" s="159" customFormat="1" x14ac:dyDescent="0.25">
      <c r="A368" s="485" t="s">
        <v>371</v>
      </c>
      <c r="B368" s="486"/>
      <c r="C368" s="486"/>
      <c r="D368" s="487"/>
      <c r="E368" s="487"/>
      <c r="F368" s="487"/>
      <c r="G368" s="488"/>
      <c r="H368" s="489"/>
      <c r="I368" s="490">
        <f>D114</f>
        <v>2020</v>
      </c>
      <c r="J368" s="494">
        <f>E114</f>
        <v>2016</v>
      </c>
      <c r="K368" s="491">
        <v>11</v>
      </c>
    </row>
    <row r="369" spans="1:11" s="159" customFormat="1" x14ac:dyDescent="0.25">
      <c r="A369" s="485" t="s">
        <v>372</v>
      </c>
      <c r="B369" s="486"/>
      <c r="C369" s="486"/>
      <c r="D369" s="487"/>
      <c r="E369" s="487"/>
      <c r="F369" s="487"/>
      <c r="G369" s="488"/>
      <c r="H369" s="489"/>
      <c r="I369" s="490">
        <f>D125</f>
        <v>2020</v>
      </c>
      <c r="J369" s="494" t="str">
        <f>E125</f>
        <v>-</v>
      </c>
      <c r="K369" s="491">
        <v>12</v>
      </c>
    </row>
    <row r="370" spans="1:11" s="159" customFormat="1" x14ac:dyDescent="0.25">
      <c r="A370" s="485" t="s">
        <v>373</v>
      </c>
      <c r="B370" s="495"/>
      <c r="C370" s="495"/>
      <c r="D370" s="496"/>
      <c r="E370" s="496"/>
      <c r="F370" s="496"/>
      <c r="G370" s="497"/>
      <c r="H370" s="498"/>
      <c r="I370" s="490">
        <f>D135</f>
        <v>2020</v>
      </c>
      <c r="J370" s="494" t="str">
        <f>E135</f>
        <v>-</v>
      </c>
      <c r="K370" s="499">
        <v>13</v>
      </c>
    </row>
    <row r="371" spans="1:11" s="159" customFormat="1" x14ac:dyDescent="0.25">
      <c r="A371" s="485" t="s">
        <v>119</v>
      </c>
      <c r="B371" s="495"/>
      <c r="C371" s="495"/>
      <c r="D371" s="496"/>
      <c r="E371" s="496"/>
      <c r="F371" s="496"/>
      <c r="G371" s="497"/>
      <c r="H371" s="498"/>
      <c r="I371" s="490">
        <f>D145</f>
        <v>2020</v>
      </c>
      <c r="J371" s="494" t="str">
        <f>E145</f>
        <v>-</v>
      </c>
      <c r="K371" s="499">
        <v>14</v>
      </c>
    </row>
    <row r="372" spans="1:11" s="159" customFormat="1" x14ac:dyDescent="0.25">
      <c r="A372" s="485" t="s">
        <v>374</v>
      </c>
      <c r="B372" s="495"/>
      <c r="C372" s="495"/>
      <c r="D372" s="496"/>
      <c r="E372" s="496"/>
      <c r="F372" s="496"/>
      <c r="G372" s="497"/>
      <c r="H372" s="498"/>
      <c r="I372" s="490">
        <f>D155</f>
        <v>2020</v>
      </c>
      <c r="J372" s="494" t="str">
        <f>E155</f>
        <v>-</v>
      </c>
      <c r="K372" s="499">
        <v>15</v>
      </c>
    </row>
    <row r="373" spans="1:11" s="159" customFormat="1" x14ac:dyDescent="0.25">
      <c r="A373" s="485" t="s">
        <v>375</v>
      </c>
      <c r="B373" s="495"/>
      <c r="C373" s="495"/>
      <c r="D373" s="496"/>
      <c r="E373" s="496"/>
      <c r="F373" s="496"/>
      <c r="G373" s="497"/>
      <c r="H373" s="498"/>
      <c r="I373" s="490">
        <f>D165</f>
        <v>2020</v>
      </c>
      <c r="J373" s="494" t="str">
        <f>E165</f>
        <v>-</v>
      </c>
      <c r="K373" s="499">
        <v>16</v>
      </c>
    </row>
    <row r="374" spans="1:11" s="159" customFormat="1" x14ac:dyDescent="0.25">
      <c r="A374" s="485" t="s">
        <v>376</v>
      </c>
      <c r="B374" s="495"/>
      <c r="C374" s="495"/>
      <c r="D374" s="496"/>
      <c r="E374" s="496"/>
      <c r="F374" s="496"/>
      <c r="G374" s="497"/>
      <c r="H374" s="498"/>
      <c r="I374" s="490">
        <f>D175</f>
        <v>2020</v>
      </c>
      <c r="J374" s="494" t="str">
        <f>E175</f>
        <v>-</v>
      </c>
      <c r="K374" s="499">
        <v>17</v>
      </c>
    </row>
    <row r="375" spans="1:11" s="159" customFormat="1" x14ac:dyDescent="0.25">
      <c r="A375" s="485" t="s">
        <v>377</v>
      </c>
      <c r="B375" s="495"/>
      <c r="C375" s="495"/>
      <c r="D375" s="496"/>
      <c r="E375" s="496"/>
      <c r="F375" s="496"/>
      <c r="G375" s="497"/>
      <c r="H375" s="498"/>
      <c r="I375" s="490">
        <f>D185</f>
        <v>2020</v>
      </c>
      <c r="J375" s="494" t="str">
        <f>E185</f>
        <v>-</v>
      </c>
      <c r="K375" s="499">
        <v>18</v>
      </c>
    </row>
    <row r="376" spans="1:11" s="159" customFormat="1" x14ac:dyDescent="0.25">
      <c r="A376" s="485" t="s">
        <v>378</v>
      </c>
      <c r="B376" s="495"/>
      <c r="C376" s="495"/>
      <c r="D376" s="496"/>
      <c r="E376" s="496"/>
      <c r="F376" s="496"/>
      <c r="G376" s="497"/>
      <c r="H376" s="498"/>
      <c r="I376" s="500">
        <f>S4</f>
        <v>2021</v>
      </c>
      <c r="J376" s="501">
        <f>T4</f>
        <v>2020</v>
      </c>
      <c r="K376" s="499">
        <v>19</v>
      </c>
    </row>
    <row r="377" spans="1:11" s="159" customFormat="1" ht="13.8" thickBot="1" x14ac:dyDescent="0.3">
      <c r="A377" s="1014">
        <f>VLOOKUP(A357,A358:K376,11,(FALSE))</f>
        <v>14</v>
      </c>
      <c r="B377" s="1015"/>
      <c r="C377" s="1015"/>
      <c r="D377" s="1015"/>
      <c r="E377" s="1015"/>
      <c r="F377" s="1015"/>
      <c r="G377" s="1015"/>
      <c r="H377" s="1015"/>
      <c r="I377" s="1016"/>
      <c r="J377" s="1016"/>
      <c r="K377" s="1017"/>
    </row>
  </sheetData>
  <mergeCells count="275">
    <mergeCell ref="K346:K347"/>
    <mergeCell ref="A349:D349"/>
    <mergeCell ref="F349:I349"/>
    <mergeCell ref="A357:K357"/>
    <mergeCell ref="M357:O357"/>
    <mergeCell ref="A377:K377"/>
    <mergeCell ref="L338:O338"/>
    <mergeCell ref="B339:C339"/>
    <mergeCell ref="D339:D340"/>
    <mergeCell ref="G339:H339"/>
    <mergeCell ref="I339:I340"/>
    <mergeCell ref="K339:K341"/>
    <mergeCell ref="L339:L341"/>
    <mergeCell ref="M339:M341"/>
    <mergeCell ref="N339:N341"/>
    <mergeCell ref="O339:O341"/>
    <mergeCell ref="A318:A336"/>
    <mergeCell ref="H318:H336"/>
    <mergeCell ref="B338:D338"/>
    <mergeCell ref="G338:I338"/>
    <mergeCell ref="O254:P254"/>
    <mergeCell ref="O255:P255"/>
    <mergeCell ref="A258:A276"/>
    <mergeCell ref="H258:H276"/>
    <mergeCell ref="A278:A296"/>
    <mergeCell ref="H278:H296"/>
    <mergeCell ref="A238:A256"/>
    <mergeCell ref="H238:H256"/>
    <mergeCell ref="O195:P195"/>
    <mergeCell ref="D196:E196"/>
    <mergeCell ref="F196:F197"/>
    <mergeCell ref="K196:L196"/>
    <mergeCell ref="M196:M197"/>
    <mergeCell ref="O196:P196"/>
    <mergeCell ref="A298:A316"/>
    <mergeCell ref="H298:H316"/>
    <mergeCell ref="A195:A197"/>
    <mergeCell ref="B195:B197"/>
    <mergeCell ref="C195:F195"/>
    <mergeCell ref="H195:H197"/>
    <mergeCell ref="I195:I197"/>
    <mergeCell ref="J195:M195"/>
    <mergeCell ref="A198:A216"/>
    <mergeCell ref="H198:H216"/>
    <mergeCell ref="A218:A236"/>
    <mergeCell ref="H218:H236"/>
    <mergeCell ref="B175:C175"/>
    <mergeCell ref="H175:I175"/>
    <mergeCell ref="A183:A192"/>
    <mergeCell ref="B183:F183"/>
    <mergeCell ref="H183:L183"/>
    <mergeCell ref="N183:O183"/>
    <mergeCell ref="B184:C184"/>
    <mergeCell ref="D184:E184"/>
    <mergeCell ref="F184:F185"/>
    <mergeCell ref="H184:I184"/>
    <mergeCell ref="A173:A182"/>
    <mergeCell ref="B173:F173"/>
    <mergeCell ref="H173:L173"/>
    <mergeCell ref="N173:O173"/>
    <mergeCell ref="B174:C174"/>
    <mergeCell ref="D174:E174"/>
    <mergeCell ref="F174:F175"/>
    <mergeCell ref="H174:I174"/>
    <mergeCell ref="J174:K174"/>
    <mergeCell ref="L174:L175"/>
    <mergeCell ref="J184:K184"/>
    <mergeCell ref="L184:L185"/>
    <mergeCell ref="B185:C185"/>
    <mergeCell ref="H185:I185"/>
    <mergeCell ref="A163:A172"/>
    <mergeCell ref="B163:F163"/>
    <mergeCell ref="H163:L163"/>
    <mergeCell ref="B145:C145"/>
    <mergeCell ref="H145:I145"/>
    <mergeCell ref="A153:A162"/>
    <mergeCell ref="B153:F153"/>
    <mergeCell ref="H153:L153"/>
    <mergeCell ref="N163:O163"/>
    <mergeCell ref="B164:C164"/>
    <mergeCell ref="D164:E164"/>
    <mergeCell ref="F164:F165"/>
    <mergeCell ref="H164:I164"/>
    <mergeCell ref="J164:K164"/>
    <mergeCell ref="L164:L165"/>
    <mergeCell ref="B165:C165"/>
    <mergeCell ref="H165:I165"/>
    <mergeCell ref="N153:O153"/>
    <mergeCell ref="B154:C154"/>
    <mergeCell ref="D154:E154"/>
    <mergeCell ref="F154:F155"/>
    <mergeCell ref="H154:I154"/>
    <mergeCell ref="A143:A152"/>
    <mergeCell ref="B143:F143"/>
    <mergeCell ref="H143:L143"/>
    <mergeCell ref="N143:O143"/>
    <mergeCell ref="B144:C144"/>
    <mergeCell ref="D144:E144"/>
    <mergeCell ref="F144:F145"/>
    <mergeCell ref="H144:I144"/>
    <mergeCell ref="J144:K144"/>
    <mergeCell ref="L144:L145"/>
    <mergeCell ref="J154:K154"/>
    <mergeCell ref="L154:L155"/>
    <mergeCell ref="B155:C155"/>
    <mergeCell ref="H155:I155"/>
    <mergeCell ref="A133:A142"/>
    <mergeCell ref="B133:F133"/>
    <mergeCell ref="H133:L133"/>
    <mergeCell ref="B114:C114"/>
    <mergeCell ref="H114:I114"/>
    <mergeCell ref="A123:A132"/>
    <mergeCell ref="B123:F123"/>
    <mergeCell ref="H123:L123"/>
    <mergeCell ref="N133:O133"/>
    <mergeCell ref="B134:C134"/>
    <mergeCell ref="D134:E134"/>
    <mergeCell ref="F134:F135"/>
    <mergeCell ref="H134:I134"/>
    <mergeCell ref="J134:K134"/>
    <mergeCell ref="L134:L135"/>
    <mergeCell ref="B135:C135"/>
    <mergeCell ref="H135:I135"/>
    <mergeCell ref="N123:O123"/>
    <mergeCell ref="B124:C124"/>
    <mergeCell ref="D124:E124"/>
    <mergeCell ref="F124:F125"/>
    <mergeCell ref="H124:I124"/>
    <mergeCell ref="A112:A121"/>
    <mergeCell ref="B112:F112"/>
    <mergeCell ref="H112:L112"/>
    <mergeCell ref="N112:O112"/>
    <mergeCell ref="B113:C113"/>
    <mergeCell ref="D113:E113"/>
    <mergeCell ref="F113:F114"/>
    <mergeCell ref="H113:I113"/>
    <mergeCell ref="J113:K113"/>
    <mergeCell ref="L113:L114"/>
    <mergeCell ref="J124:K124"/>
    <mergeCell ref="L124:L125"/>
    <mergeCell ref="B125:C125"/>
    <mergeCell ref="H125:I125"/>
    <mergeCell ref="A101:A110"/>
    <mergeCell ref="B101:F101"/>
    <mergeCell ref="H101:L101"/>
    <mergeCell ref="B81:C81"/>
    <mergeCell ref="H81:I81"/>
    <mergeCell ref="A90:A99"/>
    <mergeCell ref="B90:F90"/>
    <mergeCell ref="H90:L90"/>
    <mergeCell ref="N101:O101"/>
    <mergeCell ref="B102:C102"/>
    <mergeCell ref="D102:E102"/>
    <mergeCell ref="F102:F103"/>
    <mergeCell ref="H102:I102"/>
    <mergeCell ref="J102:K102"/>
    <mergeCell ref="L102:L103"/>
    <mergeCell ref="B103:C103"/>
    <mergeCell ref="H103:I103"/>
    <mergeCell ref="N90:O90"/>
    <mergeCell ref="B91:C91"/>
    <mergeCell ref="D91:E91"/>
    <mergeCell ref="F91:F92"/>
    <mergeCell ref="H91:I91"/>
    <mergeCell ref="A79:A88"/>
    <mergeCell ref="B79:F79"/>
    <mergeCell ref="H79:L79"/>
    <mergeCell ref="N79:O79"/>
    <mergeCell ref="B80:C80"/>
    <mergeCell ref="D80:E80"/>
    <mergeCell ref="F80:F81"/>
    <mergeCell ref="H80:I80"/>
    <mergeCell ref="J80:K80"/>
    <mergeCell ref="L80:L81"/>
    <mergeCell ref="J91:K91"/>
    <mergeCell ref="L91:L92"/>
    <mergeCell ref="B92:C92"/>
    <mergeCell ref="H92:I92"/>
    <mergeCell ref="A68:A77"/>
    <mergeCell ref="B68:F68"/>
    <mergeCell ref="H68:L68"/>
    <mergeCell ref="B48:C48"/>
    <mergeCell ref="H48:I48"/>
    <mergeCell ref="A57:A66"/>
    <mergeCell ref="B57:F57"/>
    <mergeCell ref="H57:L57"/>
    <mergeCell ref="N68:O68"/>
    <mergeCell ref="B69:C69"/>
    <mergeCell ref="D69:E69"/>
    <mergeCell ref="F69:F70"/>
    <mergeCell ref="H69:I69"/>
    <mergeCell ref="J69:K69"/>
    <mergeCell ref="L69:L70"/>
    <mergeCell ref="B70:C70"/>
    <mergeCell ref="H70:I70"/>
    <mergeCell ref="N57:O57"/>
    <mergeCell ref="B58:C58"/>
    <mergeCell ref="D58:E58"/>
    <mergeCell ref="F58:F59"/>
    <mergeCell ref="H58:I58"/>
    <mergeCell ref="A46:A55"/>
    <mergeCell ref="B46:F46"/>
    <mergeCell ref="H46:L46"/>
    <mergeCell ref="N46:O46"/>
    <mergeCell ref="B47:C47"/>
    <mergeCell ref="D47:E47"/>
    <mergeCell ref="F47:F48"/>
    <mergeCell ref="H47:I47"/>
    <mergeCell ref="J47:K47"/>
    <mergeCell ref="L47:L48"/>
    <mergeCell ref="J58:K58"/>
    <mergeCell ref="L58:L59"/>
    <mergeCell ref="B59:C59"/>
    <mergeCell ref="H59:I59"/>
    <mergeCell ref="A35:A44"/>
    <mergeCell ref="B35:F35"/>
    <mergeCell ref="H35:L35"/>
    <mergeCell ref="B15:C15"/>
    <mergeCell ref="H15:I15"/>
    <mergeCell ref="A24:A33"/>
    <mergeCell ref="B24:F24"/>
    <mergeCell ref="H24:L24"/>
    <mergeCell ref="N35:O35"/>
    <mergeCell ref="B36:C36"/>
    <mergeCell ref="D36:E36"/>
    <mergeCell ref="F36:F37"/>
    <mergeCell ref="H36:I36"/>
    <mergeCell ref="J36:K36"/>
    <mergeCell ref="L36:L37"/>
    <mergeCell ref="B37:C37"/>
    <mergeCell ref="H37:I37"/>
    <mergeCell ref="Q3:R3"/>
    <mergeCell ref="N24:O24"/>
    <mergeCell ref="B25:C25"/>
    <mergeCell ref="D25:E25"/>
    <mergeCell ref="F25:F26"/>
    <mergeCell ref="H25:I25"/>
    <mergeCell ref="A13:A22"/>
    <mergeCell ref="B13:F13"/>
    <mergeCell ref="H13:L13"/>
    <mergeCell ref="N13:O13"/>
    <mergeCell ref="B14:C14"/>
    <mergeCell ref="D14:E14"/>
    <mergeCell ref="F14:F15"/>
    <mergeCell ref="H14:I14"/>
    <mergeCell ref="J14:K14"/>
    <mergeCell ref="L14:L15"/>
    <mergeCell ref="J25:K25"/>
    <mergeCell ref="L25:L26"/>
    <mergeCell ref="B26:C26"/>
    <mergeCell ref="H26:I26"/>
    <mergeCell ref="A1:AD1"/>
    <mergeCell ref="A2:A11"/>
    <mergeCell ref="B2:F2"/>
    <mergeCell ref="H2:L2"/>
    <mergeCell ref="N2:O2"/>
    <mergeCell ref="P2:P11"/>
    <mergeCell ref="Q2:U2"/>
    <mergeCell ref="W2:AA2"/>
    <mergeCell ref="AC2:AD2"/>
    <mergeCell ref="B3:C3"/>
    <mergeCell ref="S3:T3"/>
    <mergeCell ref="U3:U4"/>
    <mergeCell ref="W3:X3"/>
    <mergeCell ref="Y3:Z3"/>
    <mergeCell ref="AA3:AA4"/>
    <mergeCell ref="B4:C4"/>
    <mergeCell ref="H4:I4"/>
    <mergeCell ref="Q4:R4"/>
    <mergeCell ref="W4:X4"/>
    <mergeCell ref="D3:E3"/>
    <mergeCell ref="F3:F4"/>
    <mergeCell ref="H3:I3"/>
    <mergeCell ref="J3:K3"/>
    <mergeCell ref="L3:L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91"/>
  <sheetViews>
    <sheetView showGridLines="0" tabSelected="1" view="pageBreakPreview" topLeftCell="A42" zoomScale="90" zoomScaleNormal="100" zoomScaleSheetLayoutView="90" workbookViewId="0">
      <selection activeCell="B63" sqref="B63:K64"/>
    </sheetView>
  </sheetViews>
  <sheetFormatPr defaultColWidth="9.21875" defaultRowHeight="15" customHeight="1" x14ac:dyDescent="0.25"/>
  <cols>
    <col min="1" max="1" width="4.21875" style="31" customWidth="1"/>
    <col min="2" max="2" width="4.77734375" style="31" customWidth="1"/>
    <col min="3" max="3" width="16.5546875" style="31" customWidth="1"/>
    <col min="4" max="4" width="2.21875" style="31" customWidth="1"/>
    <col min="5" max="5" width="8.5546875" style="31" customWidth="1"/>
    <col min="6" max="6" width="12.5546875" style="31" customWidth="1"/>
    <col min="7" max="7" width="12.21875" style="31" customWidth="1"/>
    <col min="8" max="8" width="10.44140625" style="31" customWidth="1"/>
    <col min="9" max="9" width="13.21875" style="31" customWidth="1"/>
    <col min="10" max="11" width="8.77734375" style="31" customWidth="1"/>
    <col min="12" max="12" width="14.21875" style="31" customWidth="1"/>
    <col min="13" max="13" width="7.5546875" style="31" customWidth="1"/>
    <col min="14" max="16384" width="9.21875" style="31"/>
  </cols>
  <sheetData>
    <row r="1" spans="1:14" ht="15" customHeight="1" x14ac:dyDescent="0.25">
      <c r="A1" s="829" t="str">
        <f>PENYELIA!A1:R1</f>
        <v>Hasil Kalibrasi Photometer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541"/>
      <c r="M1" s="541"/>
      <c r="N1" s="196"/>
    </row>
    <row r="2" spans="1:14" ht="15" customHeight="1" x14ac:dyDescent="0.25">
      <c r="A2" s="1046" t="str">
        <f>PENYELIA!A2:R2</f>
        <v>Nomor Sertifikat : 85 / 1 / 1 - 21 / E - 114.123 DL</v>
      </c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206"/>
      <c r="M2" s="206"/>
    </row>
    <row r="3" spans="1:14" ht="15" customHeight="1" x14ac:dyDescent="0.25">
      <c r="L3" s="197"/>
    </row>
    <row r="4" spans="1:14" ht="15" customHeight="1" x14ac:dyDescent="0.25">
      <c r="A4" s="31" t="str">
        <f>PENYELIA!A4</f>
        <v>Merek</v>
      </c>
      <c r="D4" s="32" t="str">
        <f>PENYELIA!D4</f>
        <v>:</v>
      </c>
      <c r="E4" s="22" t="str">
        <f>PENYELIA!E4</f>
        <v>Mindray</v>
      </c>
      <c r="F4" s="22"/>
      <c r="G4" s="22"/>
      <c r="L4" s="197"/>
    </row>
    <row r="5" spans="1:14" ht="15" customHeight="1" x14ac:dyDescent="0.25">
      <c r="A5" s="31" t="str">
        <f>PENYELIA!A5</f>
        <v>Model/Tipe</v>
      </c>
      <c r="D5" s="32" t="str">
        <f>PENYELIA!D5</f>
        <v>:</v>
      </c>
      <c r="E5" s="22" t="str">
        <f>PENYELIA!E5</f>
        <v>BA 88 A</v>
      </c>
      <c r="F5" s="22"/>
      <c r="G5" s="22"/>
      <c r="L5" s="197"/>
    </row>
    <row r="6" spans="1:14" ht="15" customHeight="1" x14ac:dyDescent="0.25">
      <c r="A6" s="31" t="str">
        <f>PENYELIA!A6</f>
        <v>No. Seri</v>
      </c>
      <c r="D6" s="32" t="str">
        <f>PENYELIA!D6</f>
        <v>:</v>
      </c>
      <c r="E6" s="940" t="str">
        <f>PENYELIA!E6</f>
        <v>2019021001</v>
      </c>
      <c r="F6" s="940"/>
      <c r="G6" s="940"/>
      <c r="L6" s="197"/>
    </row>
    <row r="7" spans="1:14" ht="15" customHeight="1" x14ac:dyDescent="0.25">
      <c r="A7" s="31" t="str">
        <f>PENYELIA!A7</f>
        <v>Resolusi</v>
      </c>
      <c r="C7" s="30" t="str">
        <f>PENYELIA!C7</f>
        <v>Cholesterol</v>
      </c>
      <c r="D7" s="32" t="str">
        <f>PENYELIA!D7</f>
        <v>:</v>
      </c>
      <c r="E7" s="811">
        <f>ID!E9</f>
        <v>1</v>
      </c>
      <c r="F7" s="204" t="str">
        <f>ID!F9</f>
        <v>mg/dL</v>
      </c>
      <c r="G7" s="22"/>
      <c r="L7" s="197"/>
    </row>
    <row r="8" spans="1:14" ht="15" customHeight="1" x14ac:dyDescent="0.25">
      <c r="C8" s="30" t="str">
        <f>PENYELIA!C8</f>
        <v>Glucose</v>
      </c>
      <c r="D8" s="32" t="str">
        <f>PENYELIA!D8</f>
        <v>:</v>
      </c>
      <c r="E8" s="811">
        <f>ID!E10</f>
        <v>1</v>
      </c>
      <c r="F8" s="204" t="str">
        <f>ID!F10</f>
        <v>mg/dL</v>
      </c>
      <c r="G8" s="22"/>
      <c r="L8" s="197"/>
    </row>
    <row r="9" spans="1:14" ht="15" customHeight="1" x14ac:dyDescent="0.25">
      <c r="C9" s="30" t="str">
        <f>PENYELIA!C9</f>
        <v>Asam Urat</v>
      </c>
      <c r="D9" s="32" t="str">
        <f>PENYELIA!D9</f>
        <v>:</v>
      </c>
      <c r="E9" s="811">
        <f>ID!E11</f>
        <v>1</v>
      </c>
      <c r="F9" s="204" t="str">
        <f>ID!F11</f>
        <v>mg/dL</v>
      </c>
      <c r="G9" s="22"/>
      <c r="L9" s="197"/>
    </row>
    <row r="10" spans="1:14" ht="15" customHeight="1" x14ac:dyDescent="0.25">
      <c r="C10" s="30" t="str">
        <f>PENYELIA!C10</f>
        <v>Triglycerides</v>
      </c>
      <c r="D10" s="32" t="str">
        <f>PENYELIA!D10</f>
        <v>:</v>
      </c>
      <c r="E10" s="811">
        <f>ID!E12</f>
        <v>1</v>
      </c>
      <c r="F10" s="204" t="str">
        <f>ID!F12</f>
        <v>mg/dL</v>
      </c>
      <c r="G10" s="22"/>
      <c r="L10" s="197"/>
    </row>
    <row r="11" spans="1:14" ht="15" customHeight="1" x14ac:dyDescent="0.25">
      <c r="C11" s="30" t="str">
        <f>PENYELIA!C11</f>
        <v>SGOT</v>
      </c>
      <c r="D11" s="32" t="str">
        <f>PENYELIA!D11</f>
        <v>:</v>
      </c>
      <c r="E11" s="811">
        <f>ID!E13</f>
        <v>1</v>
      </c>
      <c r="F11" s="204" t="str">
        <f>ID!F13</f>
        <v>U/L</v>
      </c>
      <c r="G11" s="22"/>
      <c r="L11" s="197"/>
    </row>
    <row r="12" spans="1:14" ht="15" customHeight="1" x14ac:dyDescent="0.25">
      <c r="C12" s="30" t="str">
        <f>PENYELIA!C12</f>
        <v>SGPT</v>
      </c>
      <c r="D12" s="32" t="str">
        <f>PENYELIA!D12</f>
        <v>:</v>
      </c>
      <c r="E12" s="811">
        <f>ID!E14</f>
        <v>1</v>
      </c>
      <c r="F12" s="204" t="str">
        <f>ID!F14</f>
        <v>U/L</v>
      </c>
      <c r="G12" s="22"/>
      <c r="L12" s="197"/>
    </row>
    <row r="13" spans="1:14" ht="15" customHeight="1" x14ac:dyDescent="0.25">
      <c r="A13" s="31" t="str">
        <f>PENYELIA!A13</f>
        <v>Tanggal Penerimaan Alat</v>
      </c>
      <c r="D13" s="32" t="str">
        <f>PENYELIA!D13</f>
        <v>:</v>
      </c>
      <c r="E13" s="942">
        <f>PENYELIA!E13</f>
        <v>44483</v>
      </c>
      <c r="F13" s="942"/>
      <c r="G13" s="22"/>
      <c r="L13" s="197"/>
    </row>
    <row r="14" spans="1:14" ht="15" customHeight="1" x14ac:dyDescent="0.25">
      <c r="A14" s="31" t="str">
        <f>PENYELIA!A14</f>
        <v>Tanggal Kalibrasi</v>
      </c>
      <c r="D14" s="32" t="str">
        <f>PENYELIA!D14</f>
        <v>:</v>
      </c>
      <c r="E14" s="942">
        <f>PENYELIA!E14</f>
        <v>44483</v>
      </c>
      <c r="F14" s="942"/>
      <c r="G14" s="22"/>
      <c r="L14" s="197"/>
    </row>
    <row r="15" spans="1:14" ht="15" customHeight="1" x14ac:dyDescent="0.25">
      <c r="A15" s="31" t="str">
        <f>PENYELIA!A15</f>
        <v>Tempat Kalibrasi</v>
      </c>
      <c r="D15" s="32" t="str">
        <f>PENYELIA!D15</f>
        <v>:</v>
      </c>
      <c r="E15" s="22" t="str">
        <f>PENYELIA!E15</f>
        <v>Laboratorium</v>
      </c>
      <c r="F15" s="22"/>
      <c r="G15" s="22"/>
      <c r="L15" s="197"/>
    </row>
    <row r="16" spans="1:14" ht="15" customHeight="1" x14ac:dyDescent="0.25">
      <c r="A16" s="31" t="str">
        <f>PENYELIA!A16</f>
        <v>Nama Ruang</v>
      </c>
      <c r="D16" s="32" t="str">
        <f>PENYELIA!D16</f>
        <v>:</v>
      </c>
      <c r="E16" s="22" t="str">
        <f>PENYELIA!E16</f>
        <v>Laboratorium</v>
      </c>
      <c r="F16" s="22"/>
      <c r="G16" s="22"/>
      <c r="L16" s="197"/>
    </row>
    <row r="17" spans="1:13" ht="15" customHeight="1" x14ac:dyDescent="0.25">
      <c r="A17" s="31" t="str">
        <f>PENYELIA!A17</f>
        <v>Metode Kerja</v>
      </c>
      <c r="D17" s="32" t="str">
        <f>PENYELIA!D17</f>
        <v>:</v>
      </c>
      <c r="E17" s="31" t="str">
        <f>PENYELIA!E17</f>
        <v>MK 122 - 2019</v>
      </c>
      <c r="L17" s="197"/>
    </row>
    <row r="18" spans="1:13" ht="12" customHeight="1" x14ac:dyDescent="0.25">
      <c r="D18" s="32"/>
      <c r="L18" s="197"/>
    </row>
    <row r="19" spans="1:13" ht="15" customHeight="1" x14ac:dyDescent="0.25">
      <c r="A19" s="198" t="str">
        <f>PENYELIA!A19</f>
        <v>I.</v>
      </c>
      <c r="B19" s="198" t="str">
        <f>PENYELIA!B19</f>
        <v>Kondisi Ruang</v>
      </c>
      <c r="C19" s="198"/>
      <c r="D19" s="198"/>
      <c r="E19" s="198"/>
      <c r="F19" s="198"/>
      <c r="G19" s="198"/>
      <c r="H19" s="198"/>
      <c r="I19" s="198"/>
      <c r="J19" s="198"/>
      <c r="K19" s="198"/>
      <c r="L19" s="202"/>
      <c r="M19" s="198"/>
    </row>
    <row r="20" spans="1:13" ht="15" customHeight="1" x14ac:dyDescent="0.25">
      <c r="B20" s="31" t="str">
        <f>PENYELIA!B20</f>
        <v xml:space="preserve">1. Suhu </v>
      </c>
      <c r="D20" s="32" t="str">
        <f>PENYELIA!D20</f>
        <v>:</v>
      </c>
      <c r="E20" s="812" t="s">
        <v>420</v>
      </c>
      <c r="F20" s="811">
        <f>'DB Thermohygro'!M342</f>
        <v>27.012</v>
      </c>
      <c r="G20" s="814" t="s">
        <v>314</v>
      </c>
      <c r="H20" s="815">
        <f>'DB Thermohygro'!O342</f>
        <v>0.4</v>
      </c>
      <c r="I20" s="31" t="s">
        <v>421</v>
      </c>
      <c r="J20" s="31" t="s">
        <v>360</v>
      </c>
      <c r="L20" s="197"/>
    </row>
    <row r="21" spans="1:13" ht="15" customHeight="1" x14ac:dyDescent="0.25">
      <c r="B21" s="31" t="str">
        <f>PENYELIA!B21</f>
        <v xml:space="preserve">2. Kelembaban </v>
      </c>
      <c r="D21" s="32" t="str">
        <f>PENYELIA!D21</f>
        <v>:</v>
      </c>
      <c r="E21" s="812" t="s">
        <v>420</v>
      </c>
      <c r="F21" s="811">
        <f>'DB Thermohygro'!M343</f>
        <v>71.82350000000001</v>
      </c>
      <c r="G21" s="763" t="s">
        <v>314</v>
      </c>
      <c r="H21" s="815">
        <f>'DB Thermohygro'!O343</f>
        <v>2.2000000000000002</v>
      </c>
      <c r="I21" s="31" t="s">
        <v>421</v>
      </c>
      <c r="J21" s="31" t="s">
        <v>362</v>
      </c>
      <c r="L21" s="197"/>
    </row>
    <row r="22" spans="1:13" ht="15" customHeight="1" x14ac:dyDescent="0.25">
      <c r="B22" s="31" t="str">
        <f>PENYELIA!B22</f>
        <v>3. Tegangan Jala - jala</v>
      </c>
      <c r="D22" s="32" t="str">
        <f>PENYELIA!D22</f>
        <v>:</v>
      </c>
      <c r="E22" s="813" t="s">
        <v>420</v>
      </c>
      <c r="F22" s="1109">
        <f>'DB Kelistrikan'!M198</f>
        <v>219.61</v>
      </c>
      <c r="G22" s="763" t="s">
        <v>422</v>
      </c>
      <c r="H22" s="22"/>
      <c r="L22" s="197"/>
    </row>
    <row r="23" spans="1:13" ht="12" customHeight="1" x14ac:dyDescent="0.25">
      <c r="D23" s="32"/>
      <c r="E23" s="621"/>
      <c r="F23" s="32"/>
      <c r="G23" s="22"/>
      <c r="H23" s="22"/>
      <c r="L23" s="197"/>
    </row>
    <row r="24" spans="1:13" ht="15" customHeight="1" x14ac:dyDescent="0.25">
      <c r="A24" s="198" t="str">
        <f>PENYELIA!$A$24</f>
        <v>II.</v>
      </c>
      <c r="B24" s="198" t="str">
        <f>PENYELIA!$B$24</f>
        <v>Pemeriksaan Kondisi Fisik dan Fungsi Alat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7"/>
    </row>
    <row r="25" spans="1:13" ht="15" customHeight="1" x14ac:dyDescent="0.25">
      <c r="B25" s="31" t="str">
        <f>PENYELIA!$B$25</f>
        <v>1. Fisik</v>
      </c>
      <c r="D25" s="32" t="str">
        <f>PENYELIA!$D$25</f>
        <v>:</v>
      </c>
      <c r="E25" s="809" t="str">
        <f>PENYELIA!$E$25</f>
        <v>Baik</v>
      </c>
      <c r="L25" s="197"/>
    </row>
    <row r="26" spans="1:13" ht="15" customHeight="1" x14ac:dyDescent="0.25">
      <c r="B26" s="31" t="str">
        <f>PENYELIA!$B$26</f>
        <v>2. Fungsi</v>
      </c>
      <c r="D26" s="32" t="str">
        <f>PENYELIA!$D$26</f>
        <v>:</v>
      </c>
      <c r="E26" s="809" t="str">
        <f>PENYELIA!$E$26</f>
        <v>Baik</v>
      </c>
      <c r="L26" s="197"/>
    </row>
    <row r="27" spans="1:13" ht="12" customHeight="1" x14ac:dyDescent="0.25">
      <c r="D27" s="32"/>
      <c r="L27" s="197"/>
    </row>
    <row r="28" spans="1:13" ht="15" customHeight="1" x14ac:dyDescent="0.25">
      <c r="A28" s="198" t="str">
        <f>PENYELIA!$A$28</f>
        <v>III.</v>
      </c>
      <c r="B28" s="198" t="str">
        <f>PENYELIA!$B$28</f>
        <v>Pengujian Keselamatan Listrik</v>
      </c>
      <c r="C28" s="198"/>
      <c r="D28" s="198"/>
      <c r="H28" s="622"/>
      <c r="L28" s="197"/>
    </row>
    <row r="29" spans="1:13" ht="32.25" customHeight="1" x14ac:dyDescent="0.25">
      <c r="B29" s="623" t="s">
        <v>28</v>
      </c>
      <c r="C29" s="1043" t="s">
        <v>29</v>
      </c>
      <c r="D29" s="1044"/>
      <c r="E29" s="1044"/>
      <c r="F29" s="1044"/>
      <c r="G29" s="1045"/>
      <c r="H29" s="1032" t="s">
        <v>30</v>
      </c>
      <c r="I29" s="1032"/>
      <c r="J29" s="1032" t="s">
        <v>31</v>
      </c>
      <c r="K29" s="1032"/>
    </row>
    <row r="30" spans="1:13" ht="15" customHeight="1" x14ac:dyDescent="0.25">
      <c r="B30" s="624">
        <f>PENYELIA!B30</f>
        <v>1</v>
      </c>
      <c r="C30" s="625" t="str">
        <f>PENYELIA!C30</f>
        <v>Resistansi isolasi</v>
      </c>
      <c r="D30" s="626"/>
      <c r="E30" s="626"/>
      <c r="F30" s="626"/>
      <c r="G30" s="627"/>
      <c r="H30" s="816" t="str">
        <f>IFERROR(PENYELIA!J30,ID!I33)</f>
        <v>OL</v>
      </c>
      <c r="I30" s="193" t="str">
        <f>IFERROR(IF('DB Kelistrikan'!N199="OL"," ",LH!H30)," ")</f>
        <v xml:space="preserve"> </v>
      </c>
      <c r="J30" s="1034">
        <f>PENYELIA!L30</f>
        <v>2</v>
      </c>
      <c r="K30" s="1034"/>
    </row>
    <row r="31" spans="1:13" ht="15" customHeight="1" x14ac:dyDescent="0.25">
      <c r="B31" s="628">
        <f>PENYELIA!B31</f>
        <v>2</v>
      </c>
      <c r="C31" s="629" t="str">
        <f>PENYELIA!C31</f>
        <v>Resistansi pembumian protektif</v>
      </c>
      <c r="D31" s="630"/>
      <c r="E31" s="630"/>
      <c r="F31" s="630"/>
      <c r="G31" s="631"/>
      <c r="H31" s="817">
        <f>PENYELIA!J31</f>
        <v>0.32024666666666668</v>
      </c>
      <c r="I31" s="194" t="s">
        <v>36</v>
      </c>
      <c r="J31" s="1035">
        <f>PENYELIA!L31</f>
        <v>0.2</v>
      </c>
      <c r="K31" s="1035"/>
    </row>
    <row r="32" spans="1:13" ht="15" customHeight="1" x14ac:dyDescent="0.25">
      <c r="B32" s="632">
        <f>PENYELIA!B32</f>
        <v>3</v>
      </c>
      <c r="C32" s="633" t="str">
        <f>PENYELIA!C32</f>
        <v>Arus bocor peralatan untuk peralatan elektromedik kelas I</v>
      </c>
      <c r="D32" s="634"/>
      <c r="E32" s="634"/>
      <c r="F32" s="634"/>
      <c r="G32" s="635"/>
      <c r="H32" s="818">
        <f>PENYELIA!J32</f>
        <v>621.76</v>
      </c>
      <c r="I32" s="195" t="s">
        <v>39</v>
      </c>
      <c r="J32" s="1036">
        <f>PENYELIA!L32</f>
        <v>500</v>
      </c>
      <c r="K32" s="1036"/>
    </row>
    <row r="33" spans="1:17" ht="12" customHeight="1" x14ac:dyDescent="0.25">
      <c r="B33" s="32"/>
      <c r="H33" s="622"/>
      <c r="J33" s="636"/>
      <c r="L33" s="28"/>
    </row>
    <row r="34" spans="1:17" ht="19.5" customHeight="1" x14ac:dyDescent="0.25">
      <c r="A34" s="198" t="str">
        <f>PENYELIA!$A$34</f>
        <v>IV.</v>
      </c>
      <c r="B34" s="198" t="str">
        <f>PENYELIA!$B$34</f>
        <v>Pengujian Kinerja</v>
      </c>
      <c r="C34" s="198"/>
      <c r="D34" s="198"/>
      <c r="E34" s="198"/>
      <c r="F34" s="198"/>
      <c r="G34" s="198"/>
      <c r="H34" s="32"/>
      <c r="L34" s="197"/>
    </row>
    <row r="35" spans="1:17" ht="19.5" customHeight="1" x14ac:dyDescent="0.25">
      <c r="A35" s="198"/>
      <c r="B35" s="198" t="str">
        <f>PENYELIA!B35</f>
        <v xml:space="preserve">A. Kalibrasi </v>
      </c>
      <c r="C35" s="198"/>
      <c r="D35" s="198"/>
      <c r="E35" s="198"/>
      <c r="F35" s="198"/>
      <c r="G35" s="198"/>
      <c r="H35" s="32"/>
      <c r="L35" s="197"/>
    </row>
    <row r="36" spans="1:17" ht="26.4" x14ac:dyDescent="0.25">
      <c r="B36" s="637" t="s">
        <v>43</v>
      </c>
      <c r="C36" s="1043" t="str">
        <f>PENYELIA!C36</f>
        <v>Parameter</v>
      </c>
      <c r="D36" s="1044"/>
      <c r="E36" s="1045"/>
      <c r="F36" s="637" t="str">
        <f>PENYELIA!F36</f>
        <v>Setting Standar</v>
      </c>
      <c r="G36" s="637" t="str">
        <f>PENYELIA!G36</f>
        <v>Pembacaan Alat</v>
      </c>
      <c r="H36" s="637" t="str">
        <f>PENYELIA!H36</f>
        <v>Koreksi</v>
      </c>
      <c r="I36" s="637" t="s">
        <v>46</v>
      </c>
      <c r="J36" s="1033" t="str">
        <f>PENYELIA!J36</f>
        <v>Ketidakpastian Pengukuran</v>
      </c>
      <c r="K36" s="1032"/>
      <c r="L36" s="575"/>
      <c r="O36" s="37"/>
    </row>
    <row r="37" spans="1:17" ht="15.6" x14ac:dyDescent="0.25">
      <c r="B37" s="909">
        <f>PENYELIA!B38</f>
        <v>1</v>
      </c>
      <c r="C37" s="638" t="str">
        <f>PENYELIA!C38</f>
        <v>Cholesterol</v>
      </c>
      <c r="D37" s="857" t="str">
        <f>PENYELIA!E38</f>
        <v>mg/dL</v>
      </c>
      <c r="E37" s="858"/>
      <c r="F37" s="1037">
        <f>PENYELIA!F38</f>
        <v>93.6</v>
      </c>
      <c r="G37" s="1039">
        <f>PENYELIA!G38</f>
        <v>81</v>
      </c>
      <c r="H37" s="1039">
        <f>PENYELIA!H38</f>
        <v>-12.599999999999994</v>
      </c>
      <c r="I37" s="821">
        <f>PENYELIA!I38</f>
        <v>15.064102564102555</v>
      </c>
      <c r="J37" s="1030" t="s">
        <v>314</v>
      </c>
      <c r="K37" s="1028">
        <f>PENYELIA!J38</f>
        <v>2.011320203919845</v>
      </c>
      <c r="L37" s="820"/>
      <c r="N37" s="574"/>
      <c r="Q37" s="204"/>
    </row>
    <row r="38" spans="1:17" ht="15.6" x14ac:dyDescent="0.25">
      <c r="B38" s="910"/>
      <c r="C38" s="639" t="str">
        <f>PENYELIA!C39</f>
        <v>( CHO2A )</v>
      </c>
      <c r="D38" s="640"/>
      <c r="E38" s="641"/>
      <c r="F38" s="1038"/>
      <c r="G38" s="1040"/>
      <c r="H38" s="1040"/>
      <c r="I38" s="822" t="str">
        <f>PENYELIA!I39</f>
        <v>(79.5-107.7)mg/dL</v>
      </c>
      <c r="J38" s="1031"/>
      <c r="K38" s="1029"/>
      <c r="L38" s="820"/>
      <c r="N38" s="574"/>
      <c r="Q38" s="204"/>
    </row>
    <row r="39" spans="1:17" ht="15.6" x14ac:dyDescent="0.25">
      <c r="B39" s="909">
        <v>2</v>
      </c>
      <c r="C39" s="638" t="str">
        <f>PENYELIA!C40</f>
        <v>Glucose</v>
      </c>
      <c r="D39" s="857" t="str">
        <f>PENYELIA!E40</f>
        <v>mg/dL</v>
      </c>
      <c r="E39" s="858"/>
      <c r="F39" s="1037">
        <f>PENYELIA!F40</f>
        <v>105</v>
      </c>
      <c r="G39" s="1039">
        <f>PENYELIA!G40</f>
        <v>112.33333333333333</v>
      </c>
      <c r="H39" s="1039">
        <f>PENYELIA!H40</f>
        <v>7.3333333333333286</v>
      </c>
      <c r="I39" s="821">
        <f>PENYELIA!I40</f>
        <v>14.285714285714292</v>
      </c>
      <c r="J39" s="1030" t="s">
        <v>314</v>
      </c>
      <c r="K39" s="1028">
        <f>PENYELIA!J40</f>
        <v>3.3658434430098496</v>
      </c>
      <c r="L39" s="820"/>
      <c r="N39" s="574"/>
      <c r="Q39" s="204"/>
    </row>
    <row r="40" spans="1:17" ht="15.6" x14ac:dyDescent="0.25">
      <c r="B40" s="910"/>
      <c r="C40" s="639" t="str">
        <f>PENYELIA!C41</f>
        <v>( GLUC2 )</v>
      </c>
      <c r="D40" s="640"/>
      <c r="E40" s="641"/>
      <c r="F40" s="1038"/>
      <c r="G40" s="1040"/>
      <c r="H40" s="1040"/>
      <c r="I40" s="822" t="str">
        <f>PENYELIA!I41</f>
        <v>(90-120)mg/dL</v>
      </c>
      <c r="J40" s="1031"/>
      <c r="K40" s="1029"/>
      <c r="L40" s="820"/>
      <c r="N40" s="574"/>
      <c r="Q40" s="204"/>
    </row>
    <row r="41" spans="1:17" ht="15.6" x14ac:dyDescent="0.25">
      <c r="B41" s="909">
        <f>PENYELIA!B42</f>
        <v>3</v>
      </c>
      <c r="C41" s="638" t="str">
        <f>PENYELIA!C42</f>
        <v>Asam Urat</v>
      </c>
      <c r="D41" s="857" t="str">
        <f>PENYELIA!E42</f>
        <v>mg/dL</v>
      </c>
      <c r="E41" s="858"/>
      <c r="F41" s="1037">
        <f>PENYELIA!F42</f>
        <v>5.0199999999999996</v>
      </c>
      <c r="G41" s="1039">
        <f>PENYELIA!G42</f>
        <v>5.0999999999999996</v>
      </c>
      <c r="H41" s="1039">
        <f>PENYELIA!H42</f>
        <v>8.0000000000000071E-2</v>
      </c>
      <c r="I41" s="821">
        <f>PENYELIA!I42</f>
        <v>14.940239043824704</v>
      </c>
      <c r="J41" s="1030" t="s">
        <v>314</v>
      </c>
      <c r="K41" s="1028">
        <f>PENYELIA!J42</f>
        <v>0.59114163118601382</v>
      </c>
      <c r="L41" s="820"/>
      <c r="N41" s="574"/>
      <c r="Q41" s="204"/>
    </row>
    <row r="42" spans="1:17" ht="15.6" x14ac:dyDescent="0.25">
      <c r="B42" s="910"/>
      <c r="C42" s="639" t="str">
        <f>PENYELIA!C43</f>
        <v>( UA2 )</v>
      </c>
      <c r="D42" s="640"/>
      <c r="E42" s="641"/>
      <c r="F42" s="1038"/>
      <c r="G42" s="1040"/>
      <c r="H42" s="1040"/>
      <c r="I42" s="822" t="str">
        <f>PENYELIA!I43</f>
        <v>(4.27-5.77)mg/dL</v>
      </c>
      <c r="J42" s="1031"/>
      <c r="K42" s="1029"/>
      <c r="L42" s="820"/>
      <c r="N42" s="574"/>
      <c r="Q42" s="204"/>
    </row>
    <row r="43" spans="1:17" ht="15.6" x14ac:dyDescent="0.25">
      <c r="B43" s="909">
        <v>3</v>
      </c>
      <c r="C43" s="638" t="str">
        <f>PENYELIA!C44</f>
        <v>Triglycerides</v>
      </c>
      <c r="D43" s="857" t="str">
        <f>PENYELIA!E44</f>
        <v>mg/dL</v>
      </c>
      <c r="E43" s="858"/>
      <c r="F43" s="1037">
        <f>PENYELIA!F44</f>
        <v>120</v>
      </c>
      <c r="G43" s="1039">
        <f>PENYELIA!G44</f>
        <v>121.56666666666668</v>
      </c>
      <c r="H43" s="1039">
        <f>PENYELIA!H44</f>
        <v>1.5666666666666771</v>
      </c>
      <c r="I43" s="821">
        <f>PENYELIA!I44</f>
        <v>15</v>
      </c>
      <c r="J43" s="1030" t="s">
        <v>314</v>
      </c>
      <c r="K43" s="1028">
        <f>PENYELIA!J44</f>
        <v>0.77976304740942015</v>
      </c>
      <c r="L43" s="820"/>
      <c r="N43" s="574"/>
      <c r="Q43" s="204"/>
    </row>
    <row r="44" spans="1:17" ht="15.6" x14ac:dyDescent="0.25">
      <c r="B44" s="910"/>
      <c r="C44" s="639" t="str">
        <f>PENYELIA!C45</f>
        <v>( TRIGL )</v>
      </c>
      <c r="D44" s="640"/>
      <c r="E44" s="641"/>
      <c r="F44" s="1038"/>
      <c r="G44" s="1040"/>
      <c r="H44" s="1040"/>
      <c r="I44" s="822" t="str">
        <f>PENYELIA!I45</f>
        <v>(102-138)mg/dL</v>
      </c>
      <c r="J44" s="1031"/>
      <c r="K44" s="1029"/>
      <c r="L44" s="820"/>
      <c r="N44" s="574"/>
      <c r="Q44" s="204"/>
    </row>
    <row r="45" spans="1:17" ht="15.6" x14ac:dyDescent="0.25">
      <c r="B45" s="909">
        <f>PENYELIA!B46</f>
        <v>5</v>
      </c>
      <c r="C45" s="638" t="str">
        <f>PENYELIA!C46</f>
        <v>SGOT</v>
      </c>
      <c r="D45" s="857" t="str">
        <f>PENYELIA!E46</f>
        <v>U/L</v>
      </c>
      <c r="E45" s="858"/>
      <c r="F45" s="1037">
        <f>PENYELIA!F46</f>
        <v>46.3</v>
      </c>
      <c r="G45" s="1039" t="str">
        <f>PENYELIA!G46</f>
        <v>-</v>
      </c>
      <c r="H45" s="1039" t="str">
        <f>PENYELIA!H46</f>
        <v>-</v>
      </c>
      <c r="I45" s="821" t="str">
        <f>PENYELIA!I46</f>
        <v>-</v>
      </c>
      <c r="J45" s="1030" t="s">
        <v>314</v>
      </c>
      <c r="K45" s="1041" t="str">
        <f>PENYELIA!J46</f>
        <v>-</v>
      </c>
      <c r="L45" s="819"/>
      <c r="N45" s="574"/>
      <c r="Q45" s="204"/>
    </row>
    <row r="46" spans="1:17" ht="15.6" x14ac:dyDescent="0.25">
      <c r="B46" s="910"/>
      <c r="C46" s="639" t="str">
        <f>PENYELIA!C47</f>
        <v>( ASTL )</v>
      </c>
      <c r="D46" s="640"/>
      <c r="E46" s="641"/>
      <c r="F46" s="1038"/>
      <c r="G46" s="1040"/>
      <c r="H46" s="1040"/>
      <c r="I46" s="822" t="str">
        <f>PENYELIA!I47</f>
        <v>-</v>
      </c>
      <c r="J46" s="1031"/>
      <c r="K46" s="1042"/>
      <c r="L46" s="819"/>
      <c r="N46" s="574"/>
      <c r="Q46" s="204"/>
    </row>
    <row r="47" spans="1:17" ht="15.6" x14ac:dyDescent="0.25">
      <c r="B47" s="909">
        <v>4</v>
      </c>
      <c r="C47" s="638" t="str">
        <f>PENYELIA!C48</f>
        <v>SGPT</v>
      </c>
      <c r="D47" s="857" t="str">
        <f>PENYELIA!E48</f>
        <v>U/L</v>
      </c>
      <c r="E47" s="858"/>
      <c r="F47" s="1037">
        <f>PENYELIA!F48</f>
        <v>47.1</v>
      </c>
      <c r="G47" s="1039" t="str">
        <f>PENYELIA!G48</f>
        <v>-</v>
      </c>
      <c r="H47" s="1039" t="str">
        <f>PENYELIA!H48</f>
        <v>-</v>
      </c>
      <c r="I47" s="821" t="str">
        <f>PENYELIA!I48</f>
        <v>-</v>
      </c>
      <c r="J47" s="1030" t="s">
        <v>314</v>
      </c>
      <c r="K47" s="1041" t="str">
        <f>PENYELIA!J48</f>
        <v>-</v>
      </c>
      <c r="L47" s="819"/>
      <c r="N47" s="574"/>
      <c r="Q47" s="204"/>
    </row>
    <row r="48" spans="1:17" ht="15.6" x14ac:dyDescent="0.25">
      <c r="B48" s="910"/>
      <c r="C48" s="639" t="str">
        <f>PENYELIA!C49</f>
        <v>( ALTL )</v>
      </c>
      <c r="D48" s="640"/>
      <c r="E48" s="641"/>
      <c r="F48" s="1038"/>
      <c r="G48" s="1040"/>
      <c r="H48" s="1040"/>
      <c r="I48" s="822" t="str">
        <f>PENYELIA!I49</f>
        <v>-</v>
      </c>
      <c r="J48" s="1031"/>
      <c r="K48" s="1042"/>
      <c r="L48" s="819"/>
      <c r="M48" s="642"/>
    </row>
    <row r="49" spans="1:13" ht="12" customHeight="1" x14ac:dyDescent="0.25">
      <c r="B49" s="643"/>
      <c r="C49" s="644"/>
      <c r="D49" s="645"/>
      <c r="E49" s="645"/>
      <c r="F49" s="646"/>
      <c r="G49" s="646"/>
      <c r="H49" s="646"/>
      <c r="I49" s="647"/>
      <c r="J49" s="648"/>
      <c r="K49" s="642"/>
    </row>
    <row r="50" spans="1:13" ht="15" customHeight="1" x14ac:dyDescent="0.25">
      <c r="A50" s="198" t="str">
        <f>PENYELIA!$A$45</f>
        <v>V.</v>
      </c>
      <c r="B50" s="198" t="str">
        <f>PENYELIA!$B$51</f>
        <v>Keterangan</v>
      </c>
      <c r="C50" s="649"/>
      <c r="D50" s="649"/>
      <c r="L50" s="197"/>
    </row>
    <row r="51" spans="1:13" s="52" customFormat="1" ht="15" customHeight="1" x14ac:dyDescent="0.25">
      <c r="A51" s="31"/>
      <c r="B51" s="31" t="str">
        <f>PENYELIA!B52</f>
        <v>Ketidakpastian pengukuran dilaporkan pada tingkat kepercayaan 95 % dengan faktor cakupan k = 2</v>
      </c>
      <c r="C51" s="204"/>
      <c r="D51" s="204"/>
      <c r="E51" s="31"/>
      <c r="F51" s="31"/>
      <c r="G51" s="31"/>
      <c r="H51" s="31"/>
      <c r="I51" s="31"/>
      <c r="J51" s="31"/>
      <c r="K51" s="31"/>
      <c r="L51" s="60"/>
    </row>
    <row r="52" spans="1:13" s="52" customFormat="1" ht="15" customHeight="1" x14ac:dyDescent="0.25">
      <c r="A52" s="31"/>
      <c r="B52" s="31" t="str">
        <f>PENYELIA!B53</f>
        <v>Hasil pengujian Keselamatan Listrik tertelusur ke Satuan Internasional ( SI ) melalui PT. Kaliman (LK-032-IDN)</v>
      </c>
      <c r="C52" s="204"/>
      <c r="D52" s="204"/>
      <c r="E52" s="31"/>
      <c r="F52" s="31"/>
      <c r="G52" s="31"/>
      <c r="H52" s="31"/>
      <c r="I52" s="31"/>
      <c r="J52" s="31"/>
      <c r="K52" s="31"/>
      <c r="L52" s="60"/>
    </row>
    <row r="53" spans="1:13" s="52" customFormat="1" ht="15" customHeight="1" x14ac:dyDescent="0.25">
      <c r="A53" s="31"/>
      <c r="B53" s="31" t="str">
        <f>PENYELIA!B54</f>
        <v>Hasil pengujian photometer tertelusur ke Satuan Internasional ( SI ) melalui ROCHE</v>
      </c>
      <c r="C53" s="204"/>
      <c r="D53" s="204"/>
      <c r="E53" s="31"/>
      <c r="F53" s="31"/>
      <c r="G53" s="31"/>
      <c r="H53" s="31"/>
      <c r="I53" s="31"/>
      <c r="J53" s="31"/>
      <c r="K53" s="31"/>
      <c r="L53" s="60"/>
    </row>
    <row r="54" spans="1:13" s="52" customFormat="1" ht="15" customHeight="1" x14ac:dyDescent="0.25">
      <c r="A54" s="31"/>
      <c r="B54" s="31" t="str">
        <f>PENYELIA!B55</f>
        <v>Alat tidak boleh digunakan pada instalasi tanpa dilengkapi grounding</v>
      </c>
      <c r="C54" s="204"/>
      <c r="D54" s="204"/>
      <c r="E54" s="31"/>
      <c r="F54" s="31"/>
      <c r="G54" s="31"/>
      <c r="H54" s="31"/>
      <c r="I54" s="31"/>
      <c r="J54" s="31"/>
      <c r="K54" s="31"/>
      <c r="L54" s="60"/>
    </row>
    <row r="55" spans="1:13" s="52" customFormat="1" ht="15" customHeight="1" x14ac:dyDescent="0.25">
      <c r="A55" s="31"/>
      <c r="B55" s="31" t="str">
        <f>PENYELIA!B56</f>
        <v>Merk Reagent yang digunakan…..................</v>
      </c>
      <c r="C55" s="204"/>
      <c r="D55" s="204"/>
      <c r="E55" s="31"/>
      <c r="F55" s="31"/>
      <c r="G55" s="31"/>
      <c r="H55" s="31"/>
      <c r="I55" s="31"/>
      <c r="J55" s="31"/>
      <c r="K55" s="31"/>
      <c r="L55" s="60"/>
    </row>
    <row r="56" spans="1:13" s="52" customFormat="1" ht="15" customHeight="1" x14ac:dyDescent="0.25">
      <c r="A56" s="31"/>
      <c r="B56" s="31"/>
      <c r="C56" s="204"/>
      <c r="D56" s="204"/>
      <c r="E56" s="31"/>
      <c r="F56" s="31"/>
      <c r="G56" s="31"/>
      <c r="H56" s="31"/>
      <c r="I56" s="31"/>
      <c r="J56" s="31"/>
      <c r="K56" s="31"/>
      <c r="L56" s="60"/>
    </row>
    <row r="57" spans="1:13" ht="15" customHeight="1" x14ac:dyDescent="0.25">
      <c r="A57" s="198" t="str">
        <f>PENYELIA!$A$51</f>
        <v>VI.</v>
      </c>
      <c r="B57" s="198" t="str">
        <f>PENYELIA!$B$58</f>
        <v>Alat ukur yang digunakan</v>
      </c>
      <c r="C57" s="649"/>
      <c r="D57" s="649"/>
      <c r="E57" s="198"/>
      <c r="L57" s="197"/>
    </row>
    <row r="58" spans="1:13" ht="15" customHeight="1" x14ac:dyDescent="0.25">
      <c r="B58" s="809" t="str">
        <f>PENYELIA!B59</f>
        <v>Kontrol_Merek : Roche_Model : PreciControl ClinChem Multi 1_Lot : 525027 Ver.1</v>
      </c>
      <c r="L58" s="197"/>
    </row>
    <row r="59" spans="1:13" ht="15" customHeight="1" x14ac:dyDescent="0.25">
      <c r="B59" s="809" t="str">
        <f>PENYELIA!$B$60</f>
        <v>Electrical Safety Analyzer, Merek : Fluke, Model : ESA 615, SN : 4670010</v>
      </c>
      <c r="L59" s="197"/>
    </row>
    <row r="60" spans="1:13" ht="15" hidden="1" customHeight="1" x14ac:dyDescent="0.25">
      <c r="B60" s="31" t="str">
        <f>PENYELIA!$B$60</f>
        <v>Electrical Safety Analyzer, Merek : Fluke, Model : ESA 615, SN : 4670010</v>
      </c>
      <c r="L60" s="197"/>
    </row>
    <row r="61" spans="1:13" ht="12" customHeight="1" x14ac:dyDescent="0.25">
      <c r="L61" s="197"/>
    </row>
    <row r="62" spans="1:13" ht="15" customHeight="1" x14ac:dyDescent="0.25">
      <c r="A62" s="198" t="str">
        <f>PENYELIA!$A$58</f>
        <v>VII.</v>
      </c>
      <c r="B62" s="198" t="str">
        <f>PENYELIA!$B$63</f>
        <v>Kesimpulan</v>
      </c>
      <c r="C62" s="198"/>
      <c r="D62" s="198"/>
      <c r="L62" s="197"/>
    </row>
    <row r="63" spans="1:13" ht="15" customHeight="1" x14ac:dyDescent="0.25">
      <c r="B63" s="920" t="str">
        <f>PENYELIA!$B$64</f>
        <v>Alat yang dikalibrasi dalam batas toleransi dan dinyatakan LAIK PAKAI, dimana hasil atau skor akhir sama dengan atau melampaui 70% berdasarkan Keputusan Direktur Jenderal Pelayanan Kesehatan No : HK.02.02/V/0412/2020</v>
      </c>
      <c r="C63" s="920"/>
      <c r="D63" s="920"/>
      <c r="E63" s="920"/>
      <c r="F63" s="920"/>
      <c r="G63" s="920"/>
      <c r="H63" s="920"/>
      <c r="I63" s="920"/>
      <c r="J63" s="920"/>
      <c r="K63" s="920"/>
      <c r="L63" s="599"/>
      <c r="M63" s="599"/>
    </row>
    <row r="64" spans="1:13" ht="28.5" customHeight="1" x14ac:dyDescent="0.25">
      <c r="B64" s="920"/>
      <c r="C64" s="920"/>
      <c r="D64" s="920"/>
      <c r="E64" s="920"/>
      <c r="F64" s="920"/>
      <c r="G64" s="920"/>
      <c r="H64" s="920"/>
      <c r="I64" s="920"/>
      <c r="J64" s="920"/>
      <c r="K64" s="920"/>
      <c r="L64" s="599"/>
      <c r="M64" s="599"/>
    </row>
    <row r="65" spans="1:13" ht="12" customHeight="1" x14ac:dyDescent="0.25"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</row>
    <row r="66" spans="1:13" ht="15" customHeight="1" x14ac:dyDescent="0.25">
      <c r="A66" s="198" t="str">
        <f>PENYELIA!$A$62</f>
        <v>VIII.</v>
      </c>
      <c r="B66" s="198" t="str">
        <f>PENYELIA!$B$65</f>
        <v>Petugas Kalibrasi</v>
      </c>
      <c r="C66" s="198"/>
      <c r="D66" s="198"/>
      <c r="I66" s="197"/>
      <c r="J66" s="197"/>
      <c r="L66" s="197"/>
    </row>
    <row r="67" spans="1:13" ht="15" customHeight="1" x14ac:dyDescent="0.25">
      <c r="B67" s="809" t="str">
        <f>PENYELIA!$B$66</f>
        <v>Isra Mahensa</v>
      </c>
      <c r="I67" s="197"/>
      <c r="J67" s="197"/>
      <c r="L67" s="197"/>
    </row>
    <row r="68" spans="1:13" ht="15" customHeight="1" x14ac:dyDescent="0.25">
      <c r="I68" s="661"/>
      <c r="L68" s="197"/>
    </row>
    <row r="69" spans="1:13" ht="15" customHeight="1" x14ac:dyDescent="0.25">
      <c r="A69" s="52"/>
      <c r="B69" s="52"/>
      <c r="C69" s="52"/>
      <c r="D69" s="52"/>
      <c r="E69" s="52"/>
      <c r="F69" s="52"/>
      <c r="G69" s="52"/>
      <c r="H69" s="52"/>
      <c r="I69" s="57" t="s">
        <v>267</v>
      </c>
      <c r="J69" s="52"/>
      <c r="K69" s="52"/>
      <c r="L69" s="197"/>
    </row>
    <row r="70" spans="1:13" ht="15" customHeight="1" x14ac:dyDescent="0.25">
      <c r="A70" s="52"/>
      <c r="B70" s="52"/>
      <c r="C70" s="52"/>
      <c r="D70" s="52"/>
      <c r="E70" s="52"/>
      <c r="F70" s="52"/>
      <c r="G70" s="52"/>
      <c r="H70" s="650" t="str">
        <f>IF(I76=A84,"a.n.","")</f>
        <v/>
      </c>
      <c r="I70" s="57" t="s">
        <v>268</v>
      </c>
      <c r="J70" s="52"/>
      <c r="K70" s="52"/>
      <c r="L70" s="197"/>
    </row>
    <row r="71" spans="1:13" ht="15" customHeight="1" x14ac:dyDescent="0.25">
      <c r="A71" s="52"/>
      <c r="B71" s="52"/>
      <c r="C71" s="651"/>
      <c r="D71" s="651"/>
      <c r="E71" s="651"/>
      <c r="F71" s="651"/>
      <c r="G71" s="652"/>
      <c r="H71" s="652"/>
      <c r="I71" s="57" t="s">
        <v>269</v>
      </c>
      <c r="J71" s="52"/>
      <c r="K71" s="52"/>
      <c r="L71" s="197"/>
    </row>
    <row r="72" spans="1:13" ht="15" customHeight="1" x14ac:dyDescent="0.25">
      <c r="A72" s="52"/>
      <c r="B72" s="52"/>
      <c r="C72" s="653"/>
      <c r="D72" s="654"/>
      <c r="E72" s="654"/>
      <c r="F72" s="654"/>
      <c r="G72" s="652"/>
      <c r="H72" s="652"/>
      <c r="I72" s="57"/>
      <c r="J72" s="52"/>
      <c r="K72" s="52"/>
      <c r="L72" s="197"/>
    </row>
    <row r="73" spans="1:13" ht="15" customHeight="1" x14ac:dyDescent="0.25">
      <c r="A73" s="52"/>
      <c r="B73" s="52"/>
      <c r="C73" s="52"/>
      <c r="D73" s="52"/>
      <c r="E73" s="52"/>
      <c r="F73" s="52"/>
      <c r="G73" s="52"/>
      <c r="H73" s="52"/>
      <c r="I73" s="57"/>
      <c r="J73" s="52"/>
      <c r="K73" s="655"/>
      <c r="L73" s="202"/>
      <c r="M73" s="198"/>
    </row>
    <row r="74" spans="1:13" ht="15" customHeight="1" x14ac:dyDescent="0.25">
      <c r="A74" s="52"/>
      <c r="B74" s="52"/>
      <c r="C74" s="52"/>
      <c r="D74" s="52"/>
      <c r="E74" s="52"/>
      <c r="F74" s="52"/>
      <c r="G74" s="52"/>
      <c r="H74" s="52"/>
      <c r="I74" s="57"/>
      <c r="J74" s="52"/>
      <c r="K74" s="58"/>
      <c r="L74" s="202"/>
      <c r="M74" s="198"/>
    </row>
    <row r="75" spans="1:13" ht="15" customHeight="1" x14ac:dyDescent="0.25">
      <c r="A75" s="52"/>
      <c r="B75" s="52"/>
      <c r="C75" s="52"/>
      <c r="D75" s="52"/>
      <c r="E75" s="52"/>
      <c r="F75" s="52"/>
      <c r="G75" s="52"/>
      <c r="H75" s="52"/>
      <c r="I75" s="656"/>
      <c r="J75" s="52"/>
      <c r="K75" s="52"/>
      <c r="L75" s="197"/>
    </row>
    <row r="76" spans="1:13" ht="15" customHeight="1" x14ac:dyDescent="0.25">
      <c r="A76" s="52"/>
      <c r="B76" s="52"/>
      <c r="C76" s="52"/>
      <c r="D76" s="52"/>
      <c r="E76" s="52"/>
      <c r="F76" s="52"/>
      <c r="G76" s="52"/>
      <c r="H76" s="52"/>
      <c r="I76" s="657" t="s">
        <v>270</v>
      </c>
      <c r="J76" s="658"/>
      <c r="K76" s="658"/>
      <c r="L76" s="197"/>
    </row>
    <row r="77" spans="1:13" ht="15" customHeight="1" x14ac:dyDescent="0.25">
      <c r="A77" s="52"/>
      <c r="B77" s="52"/>
      <c r="C77" s="52"/>
      <c r="D77" s="52"/>
      <c r="E77" s="52"/>
      <c r="F77" s="52"/>
      <c r="G77" s="52"/>
      <c r="H77" s="52"/>
      <c r="I77" s="665" t="str">
        <f>VLOOKUP(I76,A84:B85,2,0)</f>
        <v>NIP 198008062010121001</v>
      </c>
      <c r="J77" s="658"/>
      <c r="K77" s="658"/>
      <c r="L77" s="197"/>
    </row>
    <row r="78" spans="1:13" ht="15" customHeight="1" x14ac:dyDescent="0.25">
      <c r="A78" s="52"/>
      <c r="B78" s="52"/>
      <c r="C78" s="52"/>
      <c r="D78" s="52"/>
      <c r="E78" s="52"/>
      <c r="F78" s="52"/>
      <c r="G78" s="52"/>
      <c r="H78" s="52"/>
      <c r="I78" s="659"/>
      <c r="J78" s="52"/>
      <c r="K78" s="52"/>
      <c r="L78" s="197"/>
    </row>
    <row r="79" spans="1:13" ht="8.25" customHeight="1" x14ac:dyDescent="0.25">
      <c r="A79" s="52"/>
      <c r="B79" s="52"/>
      <c r="C79" s="52"/>
      <c r="D79" s="52"/>
      <c r="E79" s="52"/>
      <c r="F79" s="52"/>
      <c r="G79" s="52"/>
      <c r="H79" s="52"/>
      <c r="I79" s="659"/>
      <c r="J79" s="52"/>
      <c r="K79" s="52"/>
      <c r="L79" s="197"/>
    </row>
    <row r="80" spans="1:13" ht="14.55" customHeight="1" x14ac:dyDescent="0.2">
      <c r="A80" s="52"/>
      <c r="B80" s="52"/>
      <c r="C80" s="52"/>
      <c r="D80" s="52"/>
      <c r="E80" s="52"/>
      <c r="F80" s="52"/>
      <c r="G80" s="52"/>
      <c r="H80" s="52"/>
      <c r="I80" s="620"/>
      <c r="J80" s="52"/>
      <c r="K80" s="660" t="s">
        <v>271</v>
      </c>
      <c r="L80" s="197"/>
    </row>
    <row r="81" spans="1:12" ht="15" customHeight="1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197"/>
    </row>
    <row r="82" spans="1:12" ht="10.5" customHeight="1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2" ht="15" customHeight="1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197"/>
    </row>
    <row r="84" spans="1:12" ht="15" customHeight="1" x14ac:dyDescent="0.3">
      <c r="A84" s="662" t="s">
        <v>272</v>
      </c>
      <c r="B84" s="663" t="s">
        <v>273</v>
      </c>
      <c r="C84" s="52"/>
      <c r="D84" s="52"/>
      <c r="E84" s="52"/>
      <c r="F84" s="52"/>
      <c r="G84" s="52"/>
      <c r="H84" s="52"/>
      <c r="I84" s="52"/>
      <c r="J84" s="52"/>
      <c r="K84" s="52"/>
      <c r="L84" s="197"/>
    </row>
    <row r="85" spans="1:12" ht="15" customHeight="1" x14ac:dyDescent="0.25">
      <c r="A85" s="664" t="s">
        <v>270</v>
      </c>
      <c r="B85" s="663" t="s">
        <v>274</v>
      </c>
      <c r="C85" s="52"/>
      <c r="D85" s="52"/>
      <c r="E85" s="52"/>
      <c r="F85" s="52"/>
      <c r="G85" s="52"/>
      <c r="H85" s="52"/>
      <c r="I85" s="52"/>
      <c r="J85" s="52"/>
      <c r="K85" s="52"/>
      <c r="L85" s="197"/>
    </row>
    <row r="89" spans="1:12" ht="15" customHeight="1" x14ac:dyDescent="0.25">
      <c r="L89" s="197"/>
    </row>
    <row r="90" spans="1:12" ht="15" customHeight="1" x14ac:dyDescent="0.25">
      <c r="L90" s="197"/>
    </row>
    <row r="91" spans="1:12" ht="15" customHeight="1" x14ac:dyDescent="0.25">
      <c r="L91" s="197"/>
    </row>
  </sheetData>
  <sheetProtection formatCells="0" formatColumns="0" formatRows="0" insertRows="0" deleteRows="0"/>
  <mergeCells count="56">
    <mergeCell ref="B63:K64"/>
    <mergeCell ref="A2:K2"/>
    <mergeCell ref="A1:K1"/>
    <mergeCell ref="E6:G6"/>
    <mergeCell ref="E14:F14"/>
    <mergeCell ref="C29:G29"/>
    <mergeCell ref="E13:F13"/>
    <mergeCell ref="D39:E39"/>
    <mergeCell ref="D45:E45"/>
    <mergeCell ref="G39:G40"/>
    <mergeCell ref="H39:H40"/>
    <mergeCell ref="B37:B38"/>
    <mergeCell ref="F37:F38"/>
    <mergeCell ref="G37:G38"/>
    <mergeCell ref="H37:H38"/>
    <mergeCell ref="C36:E36"/>
    <mergeCell ref="D47:E47"/>
    <mergeCell ref="D37:E37"/>
    <mergeCell ref="B39:B40"/>
    <mergeCell ref="F39:F40"/>
    <mergeCell ref="B43:B44"/>
    <mergeCell ref="F43:F44"/>
    <mergeCell ref="B41:B42"/>
    <mergeCell ref="F41:F42"/>
    <mergeCell ref="G41:G42"/>
    <mergeCell ref="H41:H42"/>
    <mergeCell ref="D43:E43"/>
    <mergeCell ref="D41:E41"/>
    <mergeCell ref="K45:K46"/>
    <mergeCell ref="K47:K48"/>
    <mergeCell ref="J45:J46"/>
    <mergeCell ref="J47:J48"/>
    <mergeCell ref="G43:G44"/>
    <mergeCell ref="H43:H44"/>
    <mergeCell ref="B47:B48"/>
    <mergeCell ref="F47:F48"/>
    <mergeCell ref="G47:G48"/>
    <mergeCell ref="H47:H48"/>
    <mergeCell ref="B45:B46"/>
    <mergeCell ref="F45:F46"/>
    <mergeCell ref="G45:G46"/>
    <mergeCell ref="H45:H46"/>
    <mergeCell ref="H29:I29"/>
    <mergeCell ref="J36:K36"/>
    <mergeCell ref="J29:K29"/>
    <mergeCell ref="J30:K30"/>
    <mergeCell ref="J31:K31"/>
    <mergeCell ref="J32:K32"/>
    <mergeCell ref="K39:K40"/>
    <mergeCell ref="K41:K42"/>
    <mergeCell ref="K37:K38"/>
    <mergeCell ref="K43:K44"/>
    <mergeCell ref="J37:J38"/>
    <mergeCell ref="J39:J40"/>
    <mergeCell ref="J41:J42"/>
    <mergeCell ref="J43:J44"/>
  </mergeCells>
  <phoneticPr fontId="4" type="noConversion"/>
  <dataValidations count="1">
    <dataValidation type="list" allowBlank="1" showInputMessage="1" showErrorMessage="1" sqref="I76" xr:uid="{E1C8C98F-FD7A-4094-A1EF-EF1D1D120F80}">
      <formula1>$A$84:$A$85</formula1>
    </dataValidation>
  </dataValidations>
  <printOptions horizontalCentered="1"/>
  <pageMargins left="0.196850393700787" right="0.196850393700787" top="0.39370078740157499" bottom="0.196850393700787" header="9.8425196850393706E-2" footer="9.8425196850393706E-2"/>
  <pageSetup paperSize="9" scale="64" orientation="portrait" horizontalDpi="4294967293" verticalDpi="4294967293" r:id="rId1"/>
  <headerFooter>
    <oddHeader xml:space="preserve">&amp;R&amp;"-,Regular"&amp;8OA.LHK - 0122-2019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15240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15240</xdr:colOff>
                <xdr:row>92</xdr:row>
                <xdr:rowOff>0</xdr:rowOff>
              </from>
              <to>
                <xdr:col>11</xdr:col>
                <xdr:colOff>411480</xdr:colOff>
                <xdr:row>92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I80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C2D6-55CA-4A43-8A39-4080BF9E1821}">
  <sheetPr codeName="Sheet3"/>
  <dimension ref="A1:X249"/>
  <sheetViews>
    <sheetView topLeftCell="F193" zoomScaleNormal="100" workbookViewId="0">
      <selection activeCell="M198" sqref="M198"/>
    </sheetView>
  </sheetViews>
  <sheetFormatPr defaultColWidth="9" defaultRowHeight="13.2" x14ac:dyDescent="0.25"/>
  <cols>
    <col min="1" max="1" width="10.21875" style="230" customWidth="1"/>
    <col min="2" max="11" width="9" style="230"/>
    <col min="12" max="13" width="12.21875" style="230" customWidth="1"/>
    <col min="14" max="16384" width="9" style="230"/>
  </cols>
  <sheetData>
    <row r="1" spans="1:22" ht="17.399999999999999" x14ac:dyDescent="0.25">
      <c r="A1" s="1105" t="s">
        <v>275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  <c r="L1" s="1106"/>
      <c r="M1" s="1106"/>
      <c r="N1" s="1106"/>
      <c r="O1" s="1106"/>
      <c r="P1" s="1106"/>
      <c r="Q1" s="1106"/>
      <c r="R1" s="1106"/>
      <c r="S1" s="1106"/>
      <c r="T1" s="1107"/>
      <c r="V1" s="230" t="s">
        <v>79</v>
      </c>
    </row>
    <row r="2" spans="1:22" ht="14.4" x14ac:dyDescent="0.25">
      <c r="A2" s="1094" t="s">
        <v>276</v>
      </c>
      <c r="B2" s="1096" t="s">
        <v>277</v>
      </c>
      <c r="C2" s="1096"/>
      <c r="D2" s="1096"/>
      <c r="E2" s="1096"/>
      <c r="F2" s="1096"/>
      <c r="G2" s="231"/>
      <c r="H2" s="1094" t="s">
        <v>278</v>
      </c>
      <c r="I2" s="1096" t="s">
        <v>279</v>
      </c>
      <c r="J2" s="1096"/>
      <c r="K2" s="1096"/>
      <c r="L2" s="1096"/>
      <c r="M2" s="1096"/>
      <c r="N2" s="232"/>
      <c r="O2" s="1094" t="s">
        <v>280</v>
      </c>
      <c r="P2" s="1096" t="s">
        <v>281</v>
      </c>
      <c r="Q2" s="1096"/>
      <c r="R2" s="1096"/>
      <c r="S2" s="1096"/>
      <c r="T2" s="1096"/>
    </row>
    <row r="3" spans="1:22" ht="14.4" x14ac:dyDescent="0.3">
      <c r="A3" s="1094"/>
      <c r="B3" s="1097" t="s">
        <v>282</v>
      </c>
      <c r="C3" s="1097"/>
      <c r="D3" s="1097"/>
      <c r="E3" s="1097"/>
      <c r="F3" s="1097"/>
      <c r="G3" s="233"/>
      <c r="H3" s="1094"/>
      <c r="I3" s="1097" t="s">
        <v>282</v>
      </c>
      <c r="J3" s="1097"/>
      <c r="K3" s="1097"/>
      <c r="L3" s="1097"/>
      <c r="M3" s="1097"/>
      <c r="N3" s="234"/>
      <c r="O3" s="1094"/>
      <c r="P3" s="1098" t="s">
        <v>282</v>
      </c>
      <c r="Q3" s="1098"/>
      <c r="R3" s="1098"/>
      <c r="S3" s="1098"/>
      <c r="T3" s="1098"/>
    </row>
    <row r="4" spans="1:22" x14ac:dyDescent="0.25">
      <c r="A4" s="1094"/>
      <c r="B4" s="1091" t="s">
        <v>283</v>
      </c>
      <c r="C4" s="1091"/>
      <c r="D4" s="1091"/>
      <c r="E4" s="1091" t="s">
        <v>284</v>
      </c>
      <c r="F4" s="1091" t="s">
        <v>235</v>
      </c>
      <c r="G4" s="235"/>
      <c r="H4" s="1094"/>
      <c r="I4" s="1091" t="str">
        <f>B4</f>
        <v>Setting VAC</v>
      </c>
      <c r="J4" s="1091"/>
      <c r="K4" s="1091"/>
      <c r="L4" s="1091" t="s">
        <v>284</v>
      </c>
      <c r="M4" s="1091" t="s">
        <v>235</v>
      </c>
      <c r="N4" s="235"/>
      <c r="O4" s="1094"/>
      <c r="P4" s="1091" t="str">
        <f>B4</f>
        <v>Setting VAC</v>
      </c>
      <c r="Q4" s="1091"/>
      <c r="R4" s="1091"/>
      <c r="S4" s="1091" t="s">
        <v>284</v>
      </c>
      <c r="T4" s="1091" t="s">
        <v>235</v>
      </c>
    </row>
    <row r="5" spans="1:22" ht="14.4" x14ac:dyDescent="0.25">
      <c r="A5" s="1094"/>
      <c r="B5" s="350" t="s">
        <v>285</v>
      </c>
      <c r="C5" s="351">
        <v>2019</v>
      </c>
      <c r="D5" s="351">
        <v>2020</v>
      </c>
      <c r="E5" s="1091"/>
      <c r="F5" s="1091"/>
      <c r="G5" s="235"/>
      <c r="H5" s="1094"/>
      <c r="I5" s="350" t="s">
        <v>285</v>
      </c>
      <c r="J5" s="351">
        <v>2017</v>
      </c>
      <c r="K5" s="351">
        <v>2019</v>
      </c>
      <c r="L5" s="1091"/>
      <c r="M5" s="1091"/>
      <c r="N5" s="235"/>
      <c r="O5" s="1094"/>
      <c r="P5" s="350" t="s">
        <v>285</v>
      </c>
      <c r="Q5" s="502">
        <v>2021</v>
      </c>
      <c r="R5" s="351">
        <v>2018</v>
      </c>
      <c r="S5" s="1091"/>
      <c r="T5" s="1091"/>
    </row>
    <row r="6" spans="1:22" ht="13.8" x14ac:dyDescent="0.25">
      <c r="A6" s="1094"/>
      <c r="B6" s="236">
        <v>150</v>
      </c>
      <c r="C6" s="237">
        <v>0.76</v>
      </c>
      <c r="D6" s="237">
        <v>0.31</v>
      </c>
      <c r="E6" s="238">
        <f t="shared" ref="E6:E11" si="0">0.5*(MAX(C6:D6)-MIN(C6:D6))</f>
        <v>0.22500000000000001</v>
      </c>
      <c r="F6" s="239">
        <f>1.2%*B6</f>
        <v>1.8</v>
      </c>
      <c r="G6" s="235"/>
      <c r="H6" s="1094"/>
      <c r="I6" s="236">
        <v>150</v>
      </c>
      <c r="J6" s="240">
        <v>0.23</v>
      </c>
      <c r="K6" s="237">
        <v>0.15</v>
      </c>
      <c r="L6" s="238">
        <f t="shared" ref="L6:L11" si="1">0.5*(MAX(J6:K6)-MIN(J6:K6))</f>
        <v>4.0000000000000008E-2</v>
      </c>
      <c r="M6" s="239">
        <f>1.2%*I6</f>
        <v>1.8</v>
      </c>
      <c r="N6" s="235" t="s">
        <v>79</v>
      </c>
      <c r="O6" s="1094"/>
      <c r="P6" s="503">
        <v>150</v>
      </c>
      <c r="Q6" s="504">
        <v>-1.6</v>
      </c>
      <c r="R6" s="505">
        <v>-7.0000000000000007E-2</v>
      </c>
      <c r="S6" s="238">
        <f t="shared" ref="S6:S11" si="2">0.5*(MAX(Q6:R6)-MIN(Q6:R6))</f>
        <v>0.76500000000000001</v>
      </c>
      <c r="T6" s="242">
        <f>1.2%*P6</f>
        <v>1.8</v>
      </c>
    </row>
    <row r="7" spans="1:22" x14ac:dyDescent="0.25">
      <c r="A7" s="1094"/>
      <c r="B7" s="236">
        <v>180</v>
      </c>
      <c r="C7" s="243">
        <v>-0.13</v>
      </c>
      <c r="D7" s="243">
        <v>0.1</v>
      </c>
      <c r="E7" s="238">
        <f t="shared" si="0"/>
        <v>0.115</v>
      </c>
      <c r="F7" s="239">
        <f t="shared" ref="F7:F11" si="3">1.2%*B7</f>
        <v>2.16</v>
      </c>
      <c r="G7" s="235"/>
      <c r="H7" s="1094"/>
      <c r="I7" s="236">
        <v>180</v>
      </c>
      <c r="J7" s="240">
        <v>-0.06</v>
      </c>
      <c r="K7" s="243">
        <v>0.12</v>
      </c>
      <c r="L7" s="238">
        <f t="shared" si="1"/>
        <v>0.09</v>
      </c>
      <c r="M7" s="239">
        <f t="shared" ref="M7:M11" si="4">1.2%*I7</f>
        <v>2.16</v>
      </c>
      <c r="N7" s="235"/>
      <c r="O7" s="1094"/>
      <c r="P7" s="506">
        <v>180</v>
      </c>
      <c r="Q7" s="504">
        <v>-1.9</v>
      </c>
      <c r="R7" s="505">
        <v>-0.13</v>
      </c>
      <c r="S7" s="238">
        <f t="shared" si="2"/>
        <v>0.88500000000000001</v>
      </c>
      <c r="T7" s="242">
        <f t="shared" ref="T7:T11" si="5">1.2%*P7</f>
        <v>2.16</v>
      </c>
    </row>
    <row r="8" spans="1:22" x14ac:dyDescent="0.25">
      <c r="A8" s="1094"/>
      <c r="B8" s="236">
        <v>200</v>
      </c>
      <c r="C8" s="243">
        <v>-0.16</v>
      </c>
      <c r="D8" s="243">
        <v>-0.04</v>
      </c>
      <c r="E8" s="238">
        <f t="shared" si="0"/>
        <v>0.06</v>
      </c>
      <c r="F8" s="239">
        <f t="shared" si="3"/>
        <v>2.4</v>
      </c>
      <c r="G8" s="507"/>
      <c r="H8" s="1094"/>
      <c r="I8" s="236">
        <v>200</v>
      </c>
      <c r="J8" s="240">
        <v>-0.18</v>
      </c>
      <c r="K8" s="243">
        <v>0.06</v>
      </c>
      <c r="L8" s="238">
        <f t="shared" si="1"/>
        <v>0.12</v>
      </c>
      <c r="M8" s="239">
        <f t="shared" si="4"/>
        <v>2.4</v>
      </c>
      <c r="N8" s="235"/>
      <c r="O8" s="1094"/>
      <c r="P8" s="506">
        <v>200</v>
      </c>
      <c r="Q8" s="504">
        <v>-2.14</v>
      </c>
      <c r="R8" s="505">
        <v>-0.26</v>
      </c>
      <c r="S8" s="238">
        <f t="shared" si="2"/>
        <v>0.94000000000000006</v>
      </c>
      <c r="T8" s="242">
        <f t="shared" si="5"/>
        <v>2.4</v>
      </c>
    </row>
    <row r="9" spans="1:22" x14ac:dyDescent="0.25">
      <c r="A9" s="1094"/>
      <c r="B9" s="236">
        <v>220</v>
      </c>
      <c r="C9" s="243">
        <v>-0.18</v>
      </c>
      <c r="D9" s="243">
        <v>-0.28000000000000003</v>
      </c>
      <c r="E9" s="238">
        <f t="shared" si="0"/>
        <v>5.0000000000000017E-2</v>
      </c>
      <c r="F9" s="239">
        <f t="shared" si="3"/>
        <v>2.64</v>
      </c>
      <c r="G9" s="235"/>
      <c r="H9" s="1094"/>
      <c r="I9" s="236">
        <v>220</v>
      </c>
      <c r="J9" s="240">
        <v>-0.03</v>
      </c>
      <c r="K9" s="243">
        <v>0.05</v>
      </c>
      <c r="L9" s="238">
        <f t="shared" si="1"/>
        <v>0.04</v>
      </c>
      <c r="M9" s="239">
        <f t="shared" si="4"/>
        <v>2.64</v>
      </c>
      <c r="N9" s="235"/>
      <c r="O9" s="1094"/>
      <c r="P9" s="506">
        <v>220</v>
      </c>
      <c r="Q9" s="504">
        <v>-3.44</v>
      </c>
      <c r="R9" s="505">
        <v>-0.28999999999999998</v>
      </c>
      <c r="S9" s="238">
        <f t="shared" si="2"/>
        <v>1.575</v>
      </c>
      <c r="T9" s="242">
        <f t="shared" si="5"/>
        <v>2.64</v>
      </c>
    </row>
    <row r="10" spans="1:22" x14ac:dyDescent="0.25">
      <c r="A10" s="1094"/>
      <c r="B10" s="236">
        <v>230</v>
      </c>
      <c r="C10" s="243">
        <v>-0.26</v>
      </c>
      <c r="D10" s="243">
        <v>-0.2</v>
      </c>
      <c r="E10" s="238">
        <f t="shared" si="0"/>
        <v>0.03</v>
      </c>
      <c r="F10" s="239">
        <f t="shared" si="3"/>
        <v>2.7600000000000002</v>
      </c>
      <c r="G10" s="508"/>
      <c r="H10" s="1094"/>
      <c r="I10" s="236">
        <v>230</v>
      </c>
      <c r="J10" s="240">
        <v>-10.02</v>
      </c>
      <c r="K10" s="243">
        <v>0.05</v>
      </c>
      <c r="L10" s="238">
        <f t="shared" si="1"/>
        <v>5.0350000000000001</v>
      </c>
      <c r="M10" s="239">
        <f t="shared" si="4"/>
        <v>2.7600000000000002</v>
      </c>
      <c r="N10" s="235"/>
      <c r="O10" s="1094"/>
      <c r="P10" s="506">
        <v>230</v>
      </c>
      <c r="Q10" s="504">
        <v>-2.52</v>
      </c>
      <c r="R10" s="505">
        <v>-0.23</v>
      </c>
      <c r="S10" s="238">
        <f t="shared" si="2"/>
        <v>1.145</v>
      </c>
      <c r="T10" s="242">
        <f t="shared" si="5"/>
        <v>2.7600000000000002</v>
      </c>
    </row>
    <row r="11" spans="1:22" x14ac:dyDescent="0.25">
      <c r="A11" s="1094"/>
      <c r="B11" s="236">
        <v>250</v>
      </c>
      <c r="C11" s="243">
        <v>0</v>
      </c>
      <c r="D11" s="243">
        <v>0</v>
      </c>
      <c r="E11" s="238">
        <f t="shared" si="0"/>
        <v>0</v>
      </c>
      <c r="F11" s="239">
        <f t="shared" si="3"/>
        <v>3</v>
      </c>
      <c r="G11" s="235"/>
      <c r="H11" s="1094"/>
      <c r="I11" s="236">
        <v>250</v>
      </c>
      <c r="J11" s="240">
        <v>0</v>
      </c>
      <c r="K11" s="243">
        <v>0</v>
      </c>
      <c r="L11" s="238">
        <f t="shared" si="1"/>
        <v>0</v>
      </c>
      <c r="M11" s="239">
        <f t="shared" si="4"/>
        <v>3</v>
      </c>
      <c r="N11" s="235"/>
      <c r="O11" s="1094"/>
      <c r="P11" s="506">
        <v>250</v>
      </c>
      <c r="Q11" s="504">
        <v>0</v>
      </c>
      <c r="R11" s="505">
        <v>0</v>
      </c>
      <c r="S11" s="238">
        <f t="shared" si="2"/>
        <v>0</v>
      </c>
      <c r="T11" s="242">
        <f t="shared" si="5"/>
        <v>3</v>
      </c>
    </row>
    <row r="12" spans="1:22" x14ac:dyDescent="0.25">
      <c r="A12" s="1094"/>
      <c r="B12" s="1090" t="s">
        <v>286</v>
      </c>
      <c r="C12" s="1090"/>
      <c r="D12" s="1090"/>
      <c r="E12" s="1091" t="s">
        <v>284</v>
      </c>
      <c r="F12" s="1091" t="s">
        <v>235</v>
      </c>
      <c r="G12" s="235"/>
      <c r="H12" s="1094"/>
      <c r="I12" s="1090" t="str">
        <f>B12</f>
        <v>Current Leakage</v>
      </c>
      <c r="J12" s="1090"/>
      <c r="K12" s="1090"/>
      <c r="L12" s="1091" t="s">
        <v>284</v>
      </c>
      <c r="M12" s="1091" t="s">
        <v>235</v>
      </c>
      <c r="N12" s="235"/>
      <c r="O12" s="1094"/>
      <c r="P12" s="1099" t="str">
        <f>B12</f>
        <v>Current Leakage</v>
      </c>
      <c r="Q12" s="1099"/>
      <c r="R12" s="1099"/>
      <c r="S12" s="1091" t="s">
        <v>284</v>
      </c>
      <c r="T12" s="1091" t="s">
        <v>235</v>
      </c>
    </row>
    <row r="13" spans="1:22" ht="14.4" x14ac:dyDescent="0.25">
      <c r="A13" s="1094"/>
      <c r="B13" s="350" t="s">
        <v>287</v>
      </c>
      <c r="C13" s="351">
        <f>C5</f>
        <v>2019</v>
      </c>
      <c r="D13" s="351">
        <f>D5</f>
        <v>2020</v>
      </c>
      <c r="E13" s="1091"/>
      <c r="F13" s="1091"/>
      <c r="G13" s="235"/>
      <c r="H13" s="1094"/>
      <c r="I13" s="350" t="s">
        <v>287</v>
      </c>
      <c r="J13" s="351">
        <f>J5</f>
        <v>2017</v>
      </c>
      <c r="K13" s="351">
        <f>K5</f>
        <v>2019</v>
      </c>
      <c r="L13" s="1091"/>
      <c r="M13" s="1091"/>
      <c r="N13" s="235"/>
      <c r="O13" s="1094"/>
      <c r="P13" s="509" t="s">
        <v>287</v>
      </c>
      <c r="Q13" s="510">
        <f>Q5</f>
        <v>2021</v>
      </c>
      <c r="R13" s="510">
        <f>R5</f>
        <v>2018</v>
      </c>
      <c r="S13" s="1091"/>
      <c r="T13" s="1091"/>
    </row>
    <row r="14" spans="1:22" x14ac:dyDescent="0.25">
      <c r="A14" s="1094"/>
      <c r="B14" s="244">
        <v>0</v>
      </c>
      <c r="C14" s="245">
        <v>0</v>
      </c>
      <c r="D14" s="245">
        <v>0</v>
      </c>
      <c r="E14" s="238">
        <f t="shared" ref="E14:E19" si="6">0.5*(MAX(C14:D14)-MIN(C14:D14))</f>
        <v>0</v>
      </c>
      <c r="F14" s="241">
        <v>0.28999999999999998</v>
      </c>
      <c r="G14" s="235"/>
      <c r="H14" s="1094"/>
      <c r="I14" s="244">
        <v>0</v>
      </c>
      <c r="J14" s="240">
        <v>0</v>
      </c>
      <c r="K14" s="245">
        <v>0</v>
      </c>
      <c r="L14" s="238">
        <f t="shared" ref="L14:L19" si="7">0.5*(MAX(J14:K14)-MIN(J14:K14))</f>
        <v>0</v>
      </c>
      <c r="M14" s="241">
        <v>0.28999999999999998</v>
      </c>
      <c r="N14" s="235"/>
      <c r="O14" s="1094"/>
      <c r="P14" s="506">
        <v>0</v>
      </c>
      <c r="Q14" s="511">
        <v>0</v>
      </c>
      <c r="R14" s="512">
        <v>0</v>
      </c>
      <c r="S14" s="238">
        <f t="shared" ref="S14:S19" si="8">0.5*(MAX(Q14:R14)-MIN(Q14:R14))</f>
        <v>0</v>
      </c>
      <c r="T14" s="241">
        <v>0.59</v>
      </c>
    </row>
    <row r="15" spans="1:22" x14ac:dyDescent="0.25">
      <c r="A15" s="1094"/>
      <c r="B15" s="244">
        <v>50</v>
      </c>
      <c r="C15" s="243">
        <v>-0.06</v>
      </c>
      <c r="D15" s="243">
        <v>0.1</v>
      </c>
      <c r="E15" s="238">
        <f t="shared" si="6"/>
        <v>0.08</v>
      </c>
      <c r="F15" s="241">
        <v>0.28999999999999998</v>
      </c>
      <c r="G15" s="235"/>
      <c r="H15" s="1094"/>
      <c r="I15" s="244">
        <v>50</v>
      </c>
      <c r="J15" s="240">
        <v>0.1</v>
      </c>
      <c r="K15" s="243">
        <v>0.1</v>
      </c>
      <c r="L15" s="238">
        <f t="shared" si="7"/>
        <v>0</v>
      </c>
      <c r="M15" s="241">
        <v>0.28999999999999998</v>
      </c>
      <c r="N15" s="235"/>
      <c r="O15" s="1094"/>
      <c r="P15" s="506">
        <v>50</v>
      </c>
      <c r="Q15" s="504">
        <v>2.1</v>
      </c>
      <c r="R15" s="505">
        <v>2</v>
      </c>
      <c r="S15" s="238">
        <f t="shared" si="8"/>
        <v>5.0000000000000044E-2</v>
      </c>
      <c r="T15" s="241">
        <v>0.59</v>
      </c>
    </row>
    <row r="16" spans="1:22" x14ac:dyDescent="0.25">
      <c r="A16" s="1094"/>
      <c r="B16" s="244">
        <v>100</v>
      </c>
      <c r="C16" s="243">
        <v>-0.06</v>
      </c>
      <c r="D16" s="243">
        <v>0.2</v>
      </c>
      <c r="E16" s="238">
        <f t="shared" si="6"/>
        <v>0.13</v>
      </c>
      <c r="F16" s="241">
        <v>0.28999999999999998</v>
      </c>
      <c r="G16" s="235"/>
      <c r="H16" s="1094"/>
      <c r="I16" s="244">
        <v>100</v>
      </c>
      <c r="J16" s="240">
        <v>2.2000000000000002</v>
      </c>
      <c r="K16" s="243">
        <v>0.4</v>
      </c>
      <c r="L16" s="238">
        <f t="shared" si="7"/>
        <v>0.90000000000000013</v>
      </c>
      <c r="M16" s="241">
        <v>0.28999999999999998</v>
      </c>
      <c r="N16" s="235"/>
      <c r="O16" s="1094"/>
      <c r="P16" s="506">
        <v>100</v>
      </c>
      <c r="Q16" s="504">
        <v>2.2999999999999998</v>
      </c>
      <c r="R16" s="505">
        <v>2</v>
      </c>
      <c r="S16" s="238">
        <f t="shared" si="8"/>
        <v>0.14999999999999991</v>
      </c>
      <c r="T16" s="241">
        <v>0.59</v>
      </c>
    </row>
    <row r="17" spans="1:20" x14ac:dyDescent="0.25">
      <c r="A17" s="1094"/>
      <c r="B17" s="244">
        <v>200</v>
      </c>
      <c r="C17" s="243">
        <v>0</v>
      </c>
      <c r="D17" s="243">
        <v>0.4</v>
      </c>
      <c r="E17" s="238">
        <f t="shared" si="6"/>
        <v>0.2</v>
      </c>
      <c r="F17" s="241">
        <v>0.28999999999999998</v>
      </c>
      <c r="G17" s="235"/>
      <c r="H17" s="1094"/>
      <c r="I17" s="244">
        <v>200</v>
      </c>
      <c r="J17" s="240">
        <v>3.3</v>
      </c>
      <c r="K17" s="243">
        <v>0.7</v>
      </c>
      <c r="L17" s="238">
        <f t="shared" si="7"/>
        <v>1.2999999999999998</v>
      </c>
      <c r="M17" s="241">
        <v>0.28999999999999998</v>
      </c>
      <c r="N17" s="235"/>
      <c r="O17" s="1094"/>
      <c r="P17" s="506">
        <v>200</v>
      </c>
      <c r="Q17" s="504">
        <v>2.5</v>
      </c>
      <c r="R17" s="505">
        <v>3.6</v>
      </c>
      <c r="S17" s="238">
        <f t="shared" si="8"/>
        <v>0.55000000000000004</v>
      </c>
      <c r="T17" s="241">
        <v>0.59</v>
      </c>
    </row>
    <row r="18" spans="1:20" x14ac:dyDescent="0.25">
      <c r="A18" s="1094"/>
      <c r="B18" s="244">
        <v>500</v>
      </c>
      <c r="C18" s="243">
        <v>-0.9</v>
      </c>
      <c r="D18" s="243">
        <v>3.8</v>
      </c>
      <c r="E18" s="238">
        <f t="shared" si="6"/>
        <v>2.35</v>
      </c>
      <c r="F18" s="241">
        <v>0.28999999999999998</v>
      </c>
      <c r="G18" s="235"/>
      <c r="H18" s="1094"/>
      <c r="I18" s="244">
        <v>500</v>
      </c>
      <c r="J18" s="240">
        <v>20</v>
      </c>
      <c r="K18" s="243">
        <v>0.8</v>
      </c>
      <c r="L18" s="238">
        <f t="shared" si="7"/>
        <v>9.6</v>
      </c>
      <c r="M18" s="241">
        <v>0.28999999999999998</v>
      </c>
      <c r="N18" s="235"/>
      <c r="O18" s="1094"/>
      <c r="P18" s="506">
        <v>500</v>
      </c>
      <c r="Q18" s="504">
        <v>4.3</v>
      </c>
      <c r="R18" s="505">
        <v>2.9</v>
      </c>
      <c r="S18" s="238">
        <f t="shared" si="8"/>
        <v>0.7</v>
      </c>
      <c r="T18" s="241">
        <v>0.59</v>
      </c>
    </row>
    <row r="19" spans="1:20" x14ac:dyDescent="0.25">
      <c r="A19" s="1094"/>
      <c r="B19" s="244">
        <v>1000</v>
      </c>
      <c r="C19" s="243">
        <v>-3.0000000000000001E-3</v>
      </c>
      <c r="D19" s="243">
        <v>9</v>
      </c>
      <c r="E19" s="238">
        <f t="shared" si="6"/>
        <v>4.5015000000000001</v>
      </c>
      <c r="F19" s="241">
        <v>0.28999999999999998</v>
      </c>
      <c r="G19" s="235"/>
      <c r="H19" s="1094"/>
      <c r="I19" s="244">
        <v>1000</v>
      </c>
      <c r="J19" s="246">
        <v>2</v>
      </c>
      <c r="K19" s="243">
        <v>8.0000000000000002E-3</v>
      </c>
      <c r="L19" s="238">
        <f t="shared" si="7"/>
        <v>0.996</v>
      </c>
      <c r="M19" s="241">
        <v>0.28999999999999998</v>
      </c>
      <c r="N19" s="235"/>
      <c r="O19" s="1094"/>
      <c r="P19" s="506">
        <v>1000</v>
      </c>
      <c r="Q19" s="504">
        <v>0</v>
      </c>
      <c r="R19" s="505">
        <v>3</v>
      </c>
      <c r="S19" s="238">
        <f t="shared" si="8"/>
        <v>1.5</v>
      </c>
      <c r="T19" s="241">
        <v>0.59</v>
      </c>
    </row>
    <row r="20" spans="1:20" x14ac:dyDescent="0.25">
      <c r="A20" s="1094"/>
      <c r="B20" s="1090" t="s">
        <v>288</v>
      </c>
      <c r="C20" s="1090"/>
      <c r="D20" s="1090"/>
      <c r="E20" s="1091" t="s">
        <v>284</v>
      </c>
      <c r="F20" s="1091" t="s">
        <v>235</v>
      </c>
      <c r="G20" s="235"/>
      <c r="H20" s="1094"/>
      <c r="I20" s="1090" t="str">
        <f>B20</f>
        <v>Main-PE</v>
      </c>
      <c r="J20" s="1090"/>
      <c r="K20" s="1090"/>
      <c r="L20" s="1091" t="s">
        <v>284</v>
      </c>
      <c r="M20" s="1091" t="s">
        <v>235</v>
      </c>
      <c r="N20" s="235"/>
      <c r="O20" s="1094"/>
      <c r="P20" s="1099" t="str">
        <f>B20</f>
        <v>Main-PE</v>
      </c>
      <c r="Q20" s="1099"/>
      <c r="R20" s="1099"/>
      <c r="S20" s="1091" t="s">
        <v>284</v>
      </c>
      <c r="T20" s="1091" t="s">
        <v>235</v>
      </c>
    </row>
    <row r="21" spans="1:20" ht="14.4" x14ac:dyDescent="0.25">
      <c r="A21" s="1094"/>
      <c r="B21" s="350" t="s">
        <v>289</v>
      </c>
      <c r="C21" s="351">
        <v>2019</v>
      </c>
      <c r="D21" s="351">
        <v>2015</v>
      </c>
      <c r="E21" s="1091"/>
      <c r="F21" s="1091"/>
      <c r="G21" s="235"/>
      <c r="H21" s="1094"/>
      <c r="I21" s="350" t="s">
        <v>289</v>
      </c>
      <c r="J21" s="351">
        <f>J5</f>
        <v>2017</v>
      </c>
      <c r="K21" s="351">
        <f>K5</f>
        <v>2019</v>
      </c>
      <c r="L21" s="1091"/>
      <c r="M21" s="1091"/>
      <c r="N21" s="235"/>
      <c r="O21" s="1094"/>
      <c r="P21" s="509" t="s">
        <v>289</v>
      </c>
      <c r="Q21" s="510">
        <f>Q5</f>
        <v>2021</v>
      </c>
      <c r="R21" s="510">
        <f>R5</f>
        <v>2018</v>
      </c>
      <c r="S21" s="1091"/>
      <c r="T21" s="1091"/>
    </row>
    <row r="22" spans="1:20" x14ac:dyDescent="0.25">
      <c r="A22" s="1094"/>
      <c r="B22" s="244">
        <v>10</v>
      </c>
      <c r="C22" s="240" t="s">
        <v>113</v>
      </c>
      <c r="D22" s="240">
        <v>0</v>
      </c>
      <c r="E22" s="238">
        <f t="shared" ref="E22:E25" si="9">0.5*(MAX(C22:D22)-MIN(C22:D22))</f>
        <v>0</v>
      </c>
      <c r="F22" s="247">
        <v>1.4</v>
      </c>
      <c r="G22" s="235"/>
      <c r="H22" s="1094"/>
      <c r="I22" s="244">
        <v>10</v>
      </c>
      <c r="J22" s="240">
        <v>0</v>
      </c>
      <c r="K22" s="243">
        <v>0.1</v>
      </c>
      <c r="L22" s="238">
        <f t="shared" ref="L22:L25" si="10">0.5*(MAX(J22:K22)-MIN(J22:K22))</f>
        <v>0.05</v>
      </c>
      <c r="M22" s="240">
        <v>1.3</v>
      </c>
      <c r="N22" s="235"/>
      <c r="O22" s="1094"/>
      <c r="P22" s="506">
        <v>10</v>
      </c>
      <c r="Q22" s="504">
        <v>0</v>
      </c>
      <c r="R22" s="505">
        <v>0</v>
      </c>
      <c r="S22" s="238">
        <f t="shared" ref="S22:S25" si="11">0.5*(MAX(Q22:R22)-MIN(Q22:R22))</f>
        <v>0</v>
      </c>
      <c r="T22" s="247">
        <v>1.7</v>
      </c>
    </row>
    <row r="23" spans="1:20" x14ac:dyDescent="0.25">
      <c r="A23" s="1094"/>
      <c r="B23" s="244">
        <v>20</v>
      </c>
      <c r="C23" s="240" t="s">
        <v>113</v>
      </c>
      <c r="D23" s="240">
        <v>0</v>
      </c>
      <c r="E23" s="238">
        <f t="shared" si="9"/>
        <v>0</v>
      </c>
      <c r="F23" s="247">
        <v>1.4</v>
      </c>
      <c r="G23" s="235"/>
      <c r="H23" s="1094"/>
      <c r="I23" s="244">
        <v>20</v>
      </c>
      <c r="J23" s="240">
        <v>0.1</v>
      </c>
      <c r="K23" s="243">
        <v>0.2</v>
      </c>
      <c r="L23" s="238">
        <f t="shared" si="10"/>
        <v>0.05</v>
      </c>
      <c r="M23" s="240">
        <v>1.3</v>
      </c>
      <c r="N23" s="235"/>
      <c r="O23" s="1094"/>
      <c r="P23" s="506">
        <v>20</v>
      </c>
      <c r="Q23" s="504">
        <v>0</v>
      </c>
      <c r="R23" s="505">
        <v>0</v>
      </c>
      <c r="S23" s="238">
        <f t="shared" si="11"/>
        <v>0</v>
      </c>
      <c r="T23" s="247">
        <v>1.7</v>
      </c>
    </row>
    <row r="24" spans="1:20" x14ac:dyDescent="0.25">
      <c r="A24" s="1094"/>
      <c r="B24" s="244">
        <v>50</v>
      </c>
      <c r="C24" s="240" t="s">
        <v>113</v>
      </c>
      <c r="D24" s="240">
        <v>0</v>
      </c>
      <c r="E24" s="238">
        <f t="shared" si="9"/>
        <v>0</v>
      </c>
      <c r="F24" s="247">
        <v>1.4</v>
      </c>
      <c r="G24" s="235"/>
      <c r="H24" s="1094"/>
      <c r="I24" s="244">
        <v>50</v>
      </c>
      <c r="J24" s="240">
        <v>0.1</v>
      </c>
      <c r="K24" s="243">
        <v>0.3</v>
      </c>
      <c r="L24" s="238">
        <f t="shared" si="10"/>
        <v>9.9999999999999992E-2</v>
      </c>
      <c r="M24" s="240">
        <v>1.3</v>
      </c>
      <c r="N24" s="235"/>
      <c r="O24" s="1094"/>
      <c r="P24" s="506">
        <v>50</v>
      </c>
      <c r="Q24" s="504">
        <v>0.4</v>
      </c>
      <c r="R24" s="505">
        <v>0.3</v>
      </c>
      <c r="S24" s="238">
        <f t="shared" si="11"/>
        <v>5.0000000000000017E-2</v>
      </c>
      <c r="T24" s="247">
        <v>1.7</v>
      </c>
    </row>
    <row r="25" spans="1:20" x14ac:dyDescent="0.25">
      <c r="A25" s="1094"/>
      <c r="B25" s="244">
        <v>100</v>
      </c>
      <c r="C25" s="240" t="s">
        <v>113</v>
      </c>
      <c r="D25" s="240">
        <v>-0.3</v>
      </c>
      <c r="E25" s="238">
        <f t="shared" si="9"/>
        <v>0</v>
      </c>
      <c r="F25" s="247">
        <v>1.4</v>
      </c>
      <c r="G25" s="235"/>
      <c r="H25" s="1094"/>
      <c r="I25" s="244">
        <v>100</v>
      </c>
      <c r="J25" s="240">
        <v>0</v>
      </c>
      <c r="K25" s="243">
        <v>0.3</v>
      </c>
      <c r="L25" s="238">
        <f t="shared" si="10"/>
        <v>0.15</v>
      </c>
      <c r="M25" s="240">
        <v>1.3</v>
      </c>
      <c r="N25" s="235"/>
      <c r="O25" s="1094"/>
      <c r="P25" s="506">
        <v>100</v>
      </c>
      <c r="Q25" s="504">
        <v>1.1000000000000001</v>
      </c>
      <c r="R25" s="505">
        <v>0.6</v>
      </c>
      <c r="S25" s="238">
        <f t="shared" si="11"/>
        <v>0.25000000000000006</v>
      </c>
      <c r="T25" s="247">
        <v>1.7</v>
      </c>
    </row>
    <row r="26" spans="1:20" x14ac:dyDescent="0.25">
      <c r="A26" s="1094"/>
      <c r="B26" s="1090" t="s">
        <v>290</v>
      </c>
      <c r="C26" s="1090"/>
      <c r="D26" s="1090"/>
      <c r="E26" s="1091" t="s">
        <v>284</v>
      </c>
      <c r="F26" s="1091" t="s">
        <v>235</v>
      </c>
      <c r="G26" s="235"/>
      <c r="H26" s="1094"/>
      <c r="I26" s="1090" t="str">
        <f>B26</f>
        <v>Resistance</v>
      </c>
      <c r="J26" s="1090"/>
      <c r="K26" s="1090"/>
      <c r="L26" s="1091" t="s">
        <v>284</v>
      </c>
      <c r="M26" s="1091" t="s">
        <v>235</v>
      </c>
      <c r="N26" s="235"/>
      <c r="O26" s="1094"/>
      <c r="P26" s="1099" t="str">
        <f>B26</f>
        <v>Resistance</v>
      </c>
      <c r="Q26" s="1099"/>
      <c r="R26" s="1099"/>
      <c r="S26" s="1091" t="s">
        <v>284</v>
      </c>
      <c r="T26" s="1091" t="s">
        <v>235</v>
      </c>
    </row>
    <row r="27" spans="1:20" ht="14.4" x14ac:dyDescent="0.25">
      <c r="A27" s="1094"/>
      <c r="B27" s="350" t="s">
        <v>291</v>
      </c>
      <c r="C27" s="351">
        <f>C5</f>
        <v>2019</v>
      </c>
      <c r="D27" s="351">
        <f>D5</f>
        <v>2020</v>
      </c>
      <c r="E27" s="1091"/>
      <c r="F27" s="1091"/>
      <c r="G27" s="235"/>
      <c r="H27" s="1094"/>
      <c r="I27" s="350" t="s">
        <v>291</v>
      </c>
      <c r="J27" s="351">
        <f>J5</f>
        <v>2017</v>
      </c>
      <c r="K27" s="351">
        <f>K5</f>
        <v>2019</v>
      </c>
      <c r="L27" s="1091"/>
      <c r="M27" s="1091"/>
      <c r="N27" s="235"/>
      <c r="O27" s="1094"/>
      <c r="P27" s="509" t="s">
        <v>291</v>
      </c>
      <c r="Q27" s="510">
        <f>Q5</f>
        <v>2021</v>
      </c>
      <c r="R27" s="510">
        <f>R5</f>
        <v>2018</v>
      </c>
      <c r="S27" s="1091"/>
      <c r="T27" s="1091"/>
    </row>
    <row r="28" spans="1:20" x14ac:dyDescent="0.25">
      <c r="A28" s="1094"/>
      <c r="B28" s="244">
        <v>0.01</v>
      </c>
      <c r="C28" s="248">
        <v>0</v>
      </c>
      <c r="D28" s="248">
        <v>0</v>
      </c>
      <c r="E28" s="238">
        <f t="shared" ref="E28:E31" si="12">0.5*(MAX(C28:D28)-MIN(C28:D28))</f>
        <v>0</v>
      </c>
      <c r="F28" s="244">
        <v>0.43</v>
      </c>
      <c r="G28" s="235"/>
      <c r="H28" s="1094"/>
      <c r="I28" s="244">
        <v>0.01</v>
      </c>
      <c r="J28" s="246">
        <v>0</v>
      </c>
      <c r="K28" s="248">
        <v>0</v>
      </c>
      <c r="L28" s="238">
        <f t="shared" ref="L28:L31" si="13">0.5*(MAX(J28:K28)-MIN(J28:K28))</f>
        <v>0</v>
      </c>
      <c r="M28" s="244">
        <v>0.43</v>
      </c>
      <c r="N28" s="235"/>
      <c r="O28" s="1094"/>
      <c r="P28" s="506">
        <v>0.01</v>
      </c>
      <c r="Q28" s="513">
        <v>0</v>
      </c>
      <c r="R28" s="514">
        <v>0</v>
      </c>
      <c r="S28" s="238">
        <f t="shared" ref="S28:S31" si="14">0.5*(MAX(Q28:R28)-MIN(Q28:R28))</f>
        <v>0</v>
      </c>
      <c r="T28" s="247">
        <v>1.2</v>
      </c>
    </row>
    <row r="29" spans="1:20" x14ac:dyDescent="0.25">
      <c r="A29" s="1094"/>
      <c r="B29" s="244">
        <v>0.1</v>
      </c>
      <c r="C29" s="248">
        <v>2E-3</v>
      </c>
      <c r="D29" s="248">
        <v>-1E-3</v>
      </c>
      <c r="E29" s="238">
        <f t="shared" si="12"/>
        <v>1.5E-3</v>
      </c>
      <c r="F29" s="244">
        <v>0.43</v>
      </c>
      <c r="G29" s="235"/>
      <c r="H29" s="1094"/>
      <c r="I29" s="244">
        <v>0.1</v>
      </c>
      <c r="J29" s="246">
        <v>5.0000000000000001E-3</v>
      </c>
      <c r="K29" s="248">
        <v>6.0000000000000001E-3</v>
      </c>
      <c r="L29" s="238">
        <f t="shared" si="13"/>
        <v>5.0000000000000001E-4</v>
      </c>
      <c r="M29" s="244">
        <v>0.43</v>
      </c>
      <c r="N29" s="235"/>
      <c r="O29" s="1094"/>
      <c r="P29" s="506">
        <v>0.1</v>
      </c>
      <c r="Q29" s="513">
        <v>0</v>
      </c>
      <c r="R29" s="514">
        <v>0</v>
      </c>
      <c r="S29" s="238">
        <f t="shared" si="14"/>
        <v>0</v>
      </c>
      <c r="T29" s="247">
        <v>1.2</v>
      </c>
    </row>
    <row r="30" spans="1:20" x14ac:dyDescent="0.25">
      <c r="A30" s="1094"/>
      <c r="B30" s="244">
        <v>1</v>
      </c>
      <c r="C30" s="248">
        <v>1.2E-2</v>
      </c>
      <c r="D30" s="248">
        <v>4.0000000000000001E-3</v>
      </c>
      <c r="E30" s="238">
        <f t="shared" si="12"/>
        <v>4.0000000000000001E-3</v>
      </c>
      <c r="F30" s="244">
        <v>0.43</v>
      </c>
      <c r="G30" s="235"/>
      <c r="H30" s="1094"/>
      <c r="I30" s="244">
        <v>1</v>
      </c>
      <c r="J30" s="246">
        <v>5.5E-2</v>
      </c>
      <c r="K30" s="248">
        <v>4.4999999999999998E-2</v>
      </c>
      <c r="L30" s="238">
        <f t="shared" si="13"/>
        <v>5.000000000000001E-3</v>
      </c>
      <c r="M30" s="244">
        <v>0.43</v>
      </c>
      <c r="N30" s="235"/>
      <c r="O30" s="1094"/>
      <c r="P30" s="506">
        <v>1</v>
      </c>
      <c r="Q30" s="513">
        <v>6.0000000000000001E-3</v>
      </c>
      <c r="R30" s="514">
        <v>0</v>
      </c>
      <c r="S30" s="238">
        <f t="shared" si="14"/>
        <v>3.0000000000000001E-3</v>
      </c>
      <c r="T30" s="247">
        <v>1.2</v>
      </c>
    </row>
    <row r="31" spans="1:20" x14ac:dyDescent="0.25">
      <c r="A31" s="1094"/>
      <c r="B31" s="244">
        <v>2</v>
      </c>
      <c r="C31" s="248">
        <v>0</v>
      </c>
      <c r="D31" s="248">
        <v>7.0000000000000001E-3</v>
      </c>
      <c r="E31" s="238">
        <f t="shared" si="12"/>
        <v>3.5000000000000001E-3</v>
      </c>
      <c r="F31" s="244">
        <v>0.43</v>
      </c>
      <c r="G31" s="235"/>
      <c r="H31" s="1094"/>
      <c r="I31" s="244">
        <v>2</v>
      </c>
      <c r="J31" s="246">
        <v>0</v>
      </c>
      <c r="K31" s="248">
        <v>0</v>
      </c>
      <c r="L31" s="238">
        <f t="shared" si="13"/>
        <v>0</v>
      </c>
      <c r="M31" s="244">
        <v>0.43</v>
      </c>
      <c r="N31" s="235"/>
      <c r="O31" s="1094"/>
      <c r="P31" s="506">
        <v>2</v>
      </c>
      <c r="Q31" s="513">
        <v>1.2999999999999999E-2</v>
      </c>
      <c r="R31" s="514">
        <v>0</v>
      </c>
      <c r="S31" s="238">
        <f t="shared" si="14"/>
        <v>6.4999999999999997E-3</v>
      </c>
      <c r="T31" s="247">
        <v>1.2</v>
      </c>
    </row>
    <row r="32" spans="1:20" x14ac:dyDescent="0.25">
      <c r="A32" s="249"/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50"/>
    </row>
    <row r="33" spans="1:20" ht="14.4" x14ac:dyDescent="0.25">
      <c r="A33" s="1094" t="s">
        <v>292</v>
      </c>
      <c r="B33" s="1095" t="s">
        <v>293</v>
      </c>
      <c r="C33" s="1095"/>
      <c r="D33" s="1095"/>
      <c r="E33" s="1095"/>
      <c r="F33" s="1095"/>
      <c r="G33" s="251"/>
      <c r="H33" s="1094" t="s">
        <v>294</v>
      </c>
      <c r="I33" s="1096" t="s">
        <v>295</v>
      </c>
      <c r="J33" s="1096"/>
      <c r="K33" s="1096"/>
      <c r="L33" s="1096"/>
      <c r="M33" s="1096"/>
      <c r="N33" s="232"/>
      <c r="O33" s="1094" t="s">
        <v>296</v>
      </c>
      <c r="P33" s="1095" t="s">
        <v>297</v>
      </c>
      <c r="Q33" s="1095"/>
      <c r="R33" s="1095"/>
      <c r="S33" s="1095"/>
      <c r="T33" s="1095"/>
    </row>
    <row r="34" spans="1:20" ht="14.4" x14ac:dyDescent="0.3">
      <c r="A34" s="1094"/>
      <c r="B34" s="1097" t="s">
        <v>282</v>
      </c>
      <c r="C34" s="1097"/>
      <c r="D34" s="1097"/>
      <c r="E34" s="1097"/>
      <c r="F34" s="1097"/>
      <c r="G34" s="233"/>
      <c r="H34" s="1094"/>
      <c r="I34" s="1097" t="s">
        <v>282</v>
      </c>
      <c r="J34" s="1097"/>
      <c r="K34" s="1097"/>
      <c r="L34" s="1097"/>
      <c r="M34" s="1097"/>
      <c r="N34" s="234"/>
      <c r="O34" s="1094"/>
      <c r="P34" s="1097" t="s">
        <v>282</v>
      </c>
      <c r="Q34" s="1097"/>
      <c r="R34" s="1097"/>
      <c r="S34" s="1097"/>
      <c r="T34" s="1097"/>
    </row>
    <row r="35" spans="1:20" x14ac:dyDescent="0.25">
      <c r="A35" s="1094"/>
      <c r="B35" s="1091" t="str">
        <f>B4</f>
        <v>Setting VAC</v>
      </c>
      <c r="C35" s="1091"/>
      <c r="D35" s="1091"/>
      <c r="E35" s="351" t="s">
        <v>284</v>
      </c>
      <c r="F35" s="351" t="s">
        <v>235</v>
      </c>
      <c r="G35" s="235"/>
      <c r="H35" s="1094"/>
      <c r="I35" s="1091" t="str">
        <f>B35</f>
        <v>Setting VAC</v>
      </c>
      <c r="J35" s="1091"/>
      <c r="K35" s="1091"/>
      <c r="L35" s="351" t="s">
        <v>284</v>
      </c>
      <c r="M35" s="351" t="s">
        <v>235</v>
      </c>
      <c r="N35" s="235"/>
      <c r="O35" s="1094"/>
      <c r="P35" s="1091" t="str">
        <f>I35</f>
        <v>Setting VAC</v>
      </c>
      <c r="Q35" s="1091"/>
      <c r="R35" s="1091"/>
      <c r="S35" s="1091" t="s">
        <v>284</v>
      </c>
      <c r="T35" s="1091" t="s">
        <v>235</v>
      </c>
    </row>
    <row r="36" spans="1:20" ht="14.4" x14ac:dyDescent="0.25">
      <c r="A36" s="1094"/>
      <c r="B36" s="509" t="s">
        <v>285</v>
      </c>
      <c r="C36" s="502">
        <v>2021</v>
      </c>
      <c r="D36" s="510">
        <v>2019</v>
      </c>
      <c r="E36" s="351"/>
      <c r="F36" s="351"/>
      <c r="G36" s="235"/>
      <c r="H36" s="1094"/>
      <c r="I36" s="509" t="s">
        <v>285</v>
      </c>
      <c r="J36" s="502">
        <v>2021</v>
      </c>
      <c r="K36" s="510">
        <v>2019</v>
      </c>
      <c r="L36" s="351"/>
      <c r="M36" s="351"/>
      <c r="N36" s="235"/>
      <c r="O36" s="1094"/>
      <c r="P36" s="350" t="s">
        <v>285</v>
      </c>
      <c r="Q36" s="351">
        <v>2018</v>
      </c>
      <c r="R36" s="351">
        <v>2019</v>
      </c>
      <c r="S36" s="1091"/>
      <c r="T36" s="1091"/>
    </row>
    <row r="37" spans="1:20" x14ac:dyDescent="0.25">
      <c r="A37" s="1094"/>
      <c r="B37" s="506">
        <v>150</v>
      </c>
      <c r="C37" s="504">
        <v>-0.05</v>
      </c>
      <c r="D37" s="505">
        <v>0.11</v>
      </c>
      <c r="E37" s="238">
        <f>0.5*(MAX(C37:D37)-MIN(C37:D37))</f>
        <v>0.08</v>
      </c>
      <c r="F37" s="515">
        <f>1.2%*B37</f>
        <v>1.8</v>
      </c>
      <c r="G37" s="235"/>
      <c r="H37" s="1094"/>
      <c r="I37" s="516">
        <v>150</v>
      </c>
      <c r="J37" s="504">
        <v>0.25</v>
      </c>
      <c r="K37" s="505">
        <v>0.02</v>
      </c>
      <c r="L37" s="238">
        <f t="shared" ref="L37:L42" si="15">0.5*(MAX(J37:K37)-MIN(J37:K37))</f>
        <v>0.115</v>
      </c>
      <c r="M37" s="517">
        <f>1.2%*I37</f>
        <v>1.8</v>
      </c>
      <c r="N37" s="235"/>
      <c r="O37" s="1094"/>
      <c r="P37" s="236">
        <v>150</v>
      </c>
      <c r="Q37" s="240">
        <v>0.03</v>
      </c>
      <c r="R37" s="240">
        <v>-0.15</v>
      </c>
      <c r="S37" s="238">
        <f t="shared" ref="S37:S42" si="16">0.5*(MAX(Q37:R37)-MIN(Q37:R37))</f>
        <v>0.09</v>
      </c>
      <c r="T37" s="242">
        <f>1.2%*P37</f>
        <v>1.8</v>
      </c>
    </row>
    <row r="38" spans="1:20" x14ac:dyDescent="0.25">
      <c r="A38" s="1094"/>
      <c r="B38" s="506">
        <v>180</v>
      </c>
      <c r="C38" s="504">
        <v>-0.04</v>
      </c>
      <c r="D38" s="505">
        <v>0.03</v>
      </c>
      <c r="E38" s="238">
        <f t="shared" ref="E38:E42" si="17">0.5*(MAX(C38:D38)-MIN(C38:D38))</f>
        <v>3.5000000000000003E-2</v>
      </c>
      <c r="F38" s="515">
        <f t="shared" ref="F38:F42" si="18">1.2%*B38</f>
        <v>2.16</v>
      </c>
      <c r="G38" s="235"/>
      <c r="H38" s="1094"/>
      <c r="I38" s="516">
        <v>180</v>
      </c>
      <c r="J38" s="504">
        <v>0.09</v>
      </c>
      <c r="K38" s="505">
        <v>0.1</v>
      </c>
      <c r="L38" s="238">
        <f t="shared" si="15"/>
        <v>5.0000000000000044E-3</v>
      </c>
      <c r="M38" s="517">
        <f t="shared" ref="M38:M42" si="19">1.2%*I38</f>
        <v>2.16</v>
      </c>
      <c r="N38" s="235"/>
      <c r="O38" s="1094"/>
      <c r="P38" s="236">
        <v>180</v>
      </c>
      <c r="Q38" s="240">
        <v>0</v>
      </c>
      <c r="R38" s="240">
        <v>-0.11</v>
      </c>
      <c r="S38" s="238">
        <f t="shared" si="16"/>
        <v>5.5E-2</v>
      </c>
      <c r="T38" s="242">
        <f t="shared" ref="T38:T42" si="20">1.2%*P38</f>
        <v>2.16</v>
      </c>
    </row>
    <row r="39" spans="1:20" x14ac:dyDescent="0.25">
      <c r="A39" s="1094"/>
      <c r="B39" s="506">
        <v>200</v>
      </c>
      <c r="C39" s="504">
        <v>-0.67</v>
      </c>
      <c r="D39" s="505">
        <v>0.05</v>
      </c>
      <c r="E39" s="238">
        <f t="shared" si="17"/>
        <v>0.36000000000000004</v>
      </c>
      <c r="F39" s="515">
        <f t="shared" si="18"/>
        <v>2.4</v>
      </c>
      <c r="G39" s="235"/>
      <c r="H39" s="1094"/>
      <c r="I39" s="516">
        <v>200</v>
      </c>
      <c r="J39" s="504">
        <v>0.18</v>
      </c>
      <c r="K39" s="505">
        <v>-0.03</v>
      </c>
      <c r="L39" s="238">
        <f t="shared" si="15"/>
        <v>0.105</v>
      </c>
      <c r="M39" s="517">
        <f t="shared" si="19"/>
        <v>2.4</v>
      </c>
      <c r="N39" s="235"/>
      <c r="O39" s="1094"/>
      <c r="P39" s="236">
        <v>200</v>
      </c>
      <c r="Q39" s="240">
        <v>0.05</v>
      </c>
      <c r="R39" s="240">
        <v>-0.1</v>
      </c>
      <c r="S39" s="238">
        <f t="shared" si="16"/>
        <v>7.5000000000000011E-2</v>
      </c>
      <c r="T39" s="242">
        <f t="shared" si="20"/>
        <v>2.4</v>
      </c>
    </row>
    <row r="40" spans="1:20" x14ac:dyDescent="0.25">
      <c r="A40" s="1094"/>
      <c r="B40" s="506">
        <v>220</v>
      </c>
      <c r="C40" s="504">
        <v>0</v>
      </c>
      <c r="D40" s="505">
        <v>0.1</v>
      </c>
      <c r="E40" s="238">
        <f t="shared" si="17"/>
        <v>0.05</v>
      </c>
      <c r="F40" s="515">
        <f t="shared" si="18"/>
        <v>2.64</v>
      </c>
      <c r="G40" s="235"/>
      <c r="H40" s="1094"/>
      <c r="I40" s="516">
        <v>220</v>
      </c>
      <c r="J40" s="504">
        <v>0.56000000000000005</v>
      </c>
      <c r="K40" s="505">
        <v>0.38</v>
      </c>
      <c r="L40" s="238">
        <f t="shared" si="15"/>
        <v>9.0000000000000024E-2</v>
      </c>
      <c r="M40" s="517">
        <f t="shared" si="19"/>
        <v>2.64</v>
      </c>
      <c r="N40" s="235"/>
      <c r="O40" s="1094"/>
      <c r="P40" s="236">
        <v>220</v>
      </c>
      <c r="Q40" s="240">
        <v>0.05</v>
      </c>
      <c r="R40" s="240">
        <v>-0.13</v>
      </c>
      <c r="S40" s="238">
        <f t="shared" si="16"/>
        <v>0.09</v>
      </c>
      <c r="T40" s="242">
        <f t="shared" si="20"/>
        <v>2.64</v>
      </c>
    </row>
    <row r="41" spans="1:20" x14ac:dyDescent="0.25">
      <c r="A41" s="1094"/>
      <c r="B41" s="506">
        <v>230</v>
      </c>
      <c r="C41" s="504">
        <v>-0.11</v>
      </c>
      <c r="D41" s="505">
        <v>0.36799999999999999</v>
      </c>
      <c r="E41" s="238">
        <f t="shared" si="17"/>
        <v>0.23899999999999999</v>
      </c>
      <c r="F41" s="515">
        <f t="shared" si="18"/>
        <v>2.7600000000000002</v>
      </c>
      <c r="G41" s="235"/>
      <c r="H41" s="1094"/>
      <c r="I41" s="516">
        <v>230</v>
      </c>
      <c r="J41" s="504">
        <v>0.73</v>
      </c>
      <c r="K41" s="505">
        <v>-0.16</v>
      </c>
      <c r="L41" s="238">
        <f t="shared" si="15"/>
        <v>0.44500000000000001</v>
      </c>
      <c r="M41" s="517">
        <f t="shared" si="19"/>
        <v>2.7600000000000002</v>
      </c>
      <c r="N41" s="235"/>
      <c r="O41" s="1094"/>
      <c r="P41" s="236">
        <v>230</v>
      </c>
      <c r="Q41" s="240">
        <v>-0.05</v>
      </c>
      <c r="R41" s="240">
        <v>-0.15</v>
      </c>
      <c r="S41" s="238">
        <f t="shared" si="16"/>
        <v>4.9999999999999996E-2</v>
      </c>
      <c r="T41" s="242">
        <f t="shared" si="20"/>
        <v>2.7600000000000002</v>
      </c>
    </row>
    <row r="42" spans="1:20" x14ac:dyDescent="0.25">
      <c r="A42" s="1094"/>
      <c r="B42" s="506">
        <v>250</v>
      </c>
      <c r="C42" s="504">
        <v>0</v>
      </c>
      <c r="D42" s="505">
        <v>0</v>
      </c>
      <c r="E42" s="238">
        <f t="shared" si="17"/>
        <v>0</v>
      </c>
      <c r="F42" s="515">
        <f t="shared" si="18"/>
        <v>3</v>
      </c>
      <c r="G42" s="235"/>
      <c r="H42" s="1094"/>
      <c r="I42" s="516">
        <v>250</v>
      </c>
      <c r="J42" s="504">
        <v>0</v>
      </c>
      <c r="K42" s="505">
        <v>0</v>
      </c>
      <c r="L42" s="238">
        <f t="shared" si="15"/>
        <v>0</v>
      </c>
      <c r="M42" s="517">
        <f t="shared" si="19"/>
        <v>3</v>
      </c>
      <c r="N42" s="235"/>
      <c r="O42" s="1094"/>
      <c r="P42" s="236">
        <v>250</v>
      </c>
      <c r="Q42" s="240">
        <v>0</v>
      </c>
      <c r="R42" s="240">
        <v>0</v>
      </c>
      <c r="S42" s="238">
        <f t="shared" si="16"/>
        <v>0</v>
      </c>
      <c r="T42" s="242">
        <f t="shared" si="20"/>
        <v>3</v>
      </c>
    </row>
    <row r="43" spans="1:20" x14ac:dyDescent="0.25">
      <c r="A43" s="1094"/>
      <c r="B43" s="1099" t="str">
        <f>B12</f>
        <v>Current Leakage</v>
      </c>
      <c r="C43" s="1099"/>
      <c r="D43" s="1099"/>
      <c r="E43" s="351" t="s">
        <v>284</v>
      </c>
      <c r="F43" s="351" t="s">
        <v>235</v>
      </c>
      <c r="G43" s="235"/>
      <c r="H43" s="1094"/>
      <c r="I43" s="1099" t="str">
        <f>B43</f>
        <v>Current Leakage</v>
      </c>
      <c r="J43" s="1099"/>
      <c r="K43" s="1099"/>
      <c r="L43" s="351" t="s">
        <v>284</v>
      </c>
      <c r="M43" s="351" t="s">
        <v>235</v>
      </c>
      <c r="N43" s="235"/>
      <c r="O43" s="1094"/>
      <c r="P43" s="1090" t="str">
        <f>I43</f>
        <v>Current Leakage</v>
      </c>
      <c r="Q43" s="1090"/>
      <c r="R43" s="1090"/>
      <c r="S43" s="1091" t="s">
        <v>284</v>
      </c>
      <c r="T43" s="1091" t="s">
        <v>235</v>
      </c>
    </row>
    <row r="44" spans="1:20" ht="14.4" x14ac:dyDescent="0.25">
      <c r="A44" s="1094"/>
      <c r="B44" s="509" t="s">
        <v>287</v>
      </c>
      <c r="C44" s="510">
        <f>C36</f>
        <v>2021</v>
      </c>
      <c r="D44" s="510">
        <f>D36</f>
        <v>2019</v>
      </c>
      <c r="E44" s="351"/>
      <c r="F44" s="351"/>
      <c r="G44" s="235"/>
      <c r="H44" s="1094"/>
      <c r="I44" s="509" t="s">
        <v>287</v>
      </c>
      <c r="J44" s="510">
        <f>J36</f>
        <v>2021</v>
      </c>
      <c r="K44" s="510">
        <f>K36</f>
        <v>2019</v>
      </c>
      <c r="L44" s="351"/>
      <c r="M44" s="351"/>
      <c r="N44" s="235"/>
      <c r="O44" s="1094"/>
      <c r="P44" s="350" t="s">
        <v>287</v>
      </c>
      <c r="Q44" s="351">
        <f>Q36</f>
        <v>2018</v>
      </c>
      <c r="R44" s="351">
        <f>R36</f>
        <v>2019</v>
      </c>
      <c r="S44" s="1091"/>
      <c r="T44" s="1091"/>
    </row>
    <row r="45" spans="1:20" x14ac:dyDescent="0.25">
      <c r="A45" s="1094"/>
      <c r="B45" s="506">
        <v>0</v>
      </c>
      <c r="C45" s="511">
        <v>0</v>
      </c>
      <c r="D45" s="512">
        <v>0</v>
      </c>
      <c r="E45" s="238">
        <f>0.5*(MAX(C45:D45)-MIN(C45:D45))</f>
        <v>0</v>
      </c>
      <c r="F45" s="515">
        <v>0.59</v>
      </c>
      <c r="G45" s="235"/>
      <c r="H45" s="1094"/>
      <c r="I45" s="516">
        <v>0</v>
      </c>
      <c r="J45" s="511">
        <v>0</v>
      </c>
      <c r="K45" s="512">
        <v>0</v>
      </c>
      <c r="L45" s="238">
        <f t="shared" ref="L45:L50" si="21">0.5*(MAX(J45:K45)-MIN(J45:K45))</f>
        <v>0</v>
      </c>
      <c r="M45" s="517">
        <v>0.59</v>
      </c>
      <c r="N45" s="235"/>
      <c r="O45" s="1094"/>
      <c r="P45" s="244">
        <v>0</v>
      </c>
      <c r="Q45" s="241">
        <v>0</v>
      </c>
      <c r="R45" s="241">
        <v>0</v>
      </c>
      <c r="S45" s="238">
        <f t="shared" ref="S45:S50" si="22">0.5*(MAX(Q45:R45)-MIN(Q45:R45))</f>
        <v>0</v>
      </c>
      <c r="T45" s="241">
        <v>0.59</v>
      </c>
    </row>
    <row r="46" spans="1:20" x14ac:dyDescent="0.25">
      <c r="A46" s="1094"/>
      <c r="B46" s="506">
        <v>50</v>
      </c>
      <c r="C46" s="504">
        <v>0.4</v>
      </c>
      <c r="D46" s="505">
        <v>0.2</v>
      </c>
      <c r="E46" s="238">
        <f t="shared" ref="E46:E50" si="23">0.5*(MAX(C46:D46)-MIN(C46:D46))</f>
        <v>0.1</v>
      </c>
      <c r="F46" s="515">
        <v>0.59</v>
      </c>
      <c r="G46" s="235"/>
      <c r="H46" s="1094"/>
      <c r="I46" s="516">
        <v>50</v>
      </c>
      <c r="J46" s="504">
        <v>1.2</v>
      </c>
      <c r="K46" s="505">
        <v>-0.33</v>
      </c>
      <c r="L46" s="238">
        <f t="shared" si="21"/>
        <v>0.76500000000000001</v>
      </c>
      <c r="M46" s="517">
        <v>0.59</v>
      </c>
      <c r="N46" s="235"/>
      <c r="O46" s="1094"/>
      <c r="P46" s="244">
        <v>50</v>
      </c>
      <c r="Q46" s="240">
        <v>2.1</v>
      </c>
      <c r="R46" s="240">
        <v>2.6</v>
      </c>
      <c r="S46" s="238">
        <f t="shared" si="22"/>
        <v>0.25</v>
      </c>
      <c r="T46" s="241">
        <v>0.59</v>
      </c>
    </row>
    <row r="47" spans="1:20" x14ac:dyDescent="0.25">
      <c r="A47" s="1094"/>
      <c r="B47" s="506">
        <v>100</v>
      </c>
      <c r="C47" s="504">
        <v>0.4</v>
      </c>
      <c r="D47" s="505">
        <v>0.3</v>
      </c>
      <c r="E47" s="238">
        <f t="shared" si="23"/>
        <v>5.0000000000000017E-2</v>
      </c>
      <c r="F47" s="515">
        <v>0.59</v>
      </c>
      <c r="G47" s="235"/>
      <c r="H47" s="1094"/>
      <c r="I47" s="516">
        <v>100</v>
      </c>
      <c r="J47" s="504">
        <v>3.9</v>
      </c>
      <c r="K47" s="505">
        <v>-0.42</v>
      </c>
      <c r="L47" s="238">
        <f t="shared" si="21"/>
        <v>2.16</v>
      </c>
      <c r="M47" s="517">
        <v>0.59</v>
      </c>
      <c r="N47" s="235"/>
      <c r="O47" s="1094"/>
      <c r="P47" s="244">
        <v>100</v>
      </c>
      <c r="Q47" s="240">
        <v>2.2999999999999998</v>
      </c>
      <c r="R47" s="240">
        <v>2.6</v>
      </c>
      <c r="S47" s="238">
        <f t="shared" si="22"/>
        <v>0.15000000000000013</v>
      </c>
      <c r="T47" s="241">
        <v>0.59</v>
      </c>
    </row>
    <row r="48" spans="1:20" x14ac:dyDescent="0.25">
      <c r="A48" s="1094"/>
      <c r="B48" s="506">
        <v>200</v>
      </c>
      <c r="C48" s="504">
        <v>0</v>
      </c>
      <c r="D48" s="505">
        <v>1.4</v>
      </c>
      <c r="E48" s="238">
        <f t="shared" si="23"/>
        <v>0.7</v>
      </c>
      <c r="F48" s="515">
        <v>0.59</v>
      </c>
      <c r="G48" s="235"/>
      <c r="H48" s="1094"/>
      <c r="I48" s="516">
        <v>200</v>
      </c>
      <c r="J48" s="504">
        <v>0</v>
      </c>
      <c r="K48" s="505">
        <v>1.3</v>
      </c>
      <c r="L48" s="238">
        <f t="shared" si="21"/>
        <v>0.65</v>
      </c>
      <c r="M48" s="517">
        <v>0.59</v>
      </c>
      <c r="N48" s="235"/>
      <c r="O48" s="1094"/>
      <c r="P48" s="244">
        <v>200</v>
      </c>
      <c r="Q48" s="240">
        <v>0.2</v>
      </c>
      <c r="R48" s="240">
        <v>3.1</v>
      </c>
      <c r="S48" s="238">
        <f t="shared" si="22"/>
        <v>1.45</v>
      </c>
      <c r="T48" s="241">
        <v>0.59</v>
      </c>
    </row>
    <row r="49" spans="1:20" x14ac:dyDescent="0.25">
      <c r="A49" s="1094"/>
      <c r="B49" s="506">
        <v>500</v>
      </c>
      <c r="C49" s="504">
        <v>1.5</v>
      </c>
      <c r="D49" s="505">
        <v>2.8</v>
      </c>
      <c r="E49" s="238">
        <f t="shared" si="23"/>
        <v>0.64999999999999991</v>
      </c>
      <c r="F49" s="515">
        <v>0.59</v>
      </c>
      <c r="G49" s="235"/>
      <c r="H49" s="1094"/>
      <c r="I49" s="516">
        <v>500</v>
      </c>
      <c r="J49" s="504">
        <v>9.3000000000000007</v>
      </c>
      <c r="K49" s="505">
        <v>0.7</v>
      </c>
      <c r="L49" s="238">
        <f t="shared" si="21"/>
        <v>4.3000000000000007</v>
      </c>
      <c r="M49" s="517">
        <v>0.59</v>
      </c>
      <c r="N49" s="235"/>
      <c r="O49" s="1094"/>
      <c r="P49" s="244">
        <v>500</v>
      </c>
      <c r="Q49" s="240">
        <v>2.8</v>
      </c>
      <c r="R49" s="240">
        <v>3.9</v>
      </c>
      <c r="S49" s="238">
        <f t="shared" si="22"/>
        <v>0.55000000000000004</v>
      </c>
      <c r="T49" s="241">
        <v>0.59</v>
      </c>
    </row>
    <row r="50" spans="1:20" x14ac:dyDescent="0.25">
      <c r="A50" s="1094"/>
      <c r="B50" s="506">
        <v>1000</v>
      </c>
      <c r="C50" s="504">
        <v>0</v>
      </c>
      <c r="D50" s="505">
        <v>1.2E-2</v>
      </c>
      <c r="E50" s="238">
        <f t="shared" si="23"/>
        <v>6.0000000000000001E-3</v>
      </c>
      <c r="F50" s="515">
        <v>0.59</v>
      </c>
      <c r="G50" s="235"/>
      <c r="H50" s="1094"/>
      <c r="I50" s="516">
        <v>1000</v>
      </c>
      <c r="J50" s="504">
        <v>0</v>
      </c>
      <c r="K50" s="505">
        <v>2E-3</v>
      </c>
      <c r="L50" s="238">
        <f t="shared" si="21"/>
        <v>1E-3</v>
      </c>
      <c r="M50" s="517">
        <v>0.59</v>
      </c>
      <c r="N50" s="235"/>
      <c r="O50" s="1094"/>
      <c r="P50" s="244">
        <v>1000</v>
      </c>
      <c r="Q50" s="246">
        <v>13</v>
      </c>
      <c r="R50" s="246">
        <v>5.0000000000000001E-3</v>
      </c>
      <c r="S50" s="238">
        <f t="shared" si="22"/>
        <v>6.4974999999999996</v>
      </c>
      <c r="T50" s="241">
        <v>0.59</v>
      </c>
    </row>
    <row r="51" spans="1:20" x14ac:dyDescent="0.25">
      <c r="A51" s="1094"/>
      <c r="B51" s="1099" t="str">
        <f>B20</f>
        <v>Main-PE</v>
      </c>
      <c r="C51" s="1099"/>
      <c r="D51" s="1099"/>
      <c r="E51" s="351" t="s">
        <v>284</v>
      </c>
      <c r="F51" s="351" t="s">
        <v>235</v>
      </c>
      <c r="G51" s="235"/>
      <c r="H51" s="1094"/>
      <c r="I51" s="1099" t="str">
        <f>B51</f>
        <v>Main-PE</v>
      </c>
      <c r="J51" s="1099"/>
      <c r="K51" s="1099"/>
      <c r="L51" s="351" t="s">
        <v>284</v>
      </c>
      <c r="M51" s="351" t="s">
        <v>235</v>
      </c>
      <c r="N51" s="235"/>
      <c r="O51" s="1094"/>
      <c r="P51" s="1090" t="str">
        <f>I51</f>
        <v>Main-PE</v>
      </c>
      <c r="Q51" s="1090"/>
      <c r="R51" s="1090"/>
      <c r="S51" s="1091" t="s">
        <v>284</v>
      </c>
      <c r="T51" s="1091" t="s">
        <v>235</v>
      </c>
    </row>
    <row r="52" spans="1:20" ht="14.4" x14ac:dyDescent="0.25">
      <c r="A52" s="1094"/>
      <c r="B52" s="509" t="s">
        <v>289</v>
      </c>
      <c r="C52" s="510">
        <f>C36</f>
        <v>2021</v>
      </c>
      <c r="D52" s="510">
        <f>D36</f>
        <v>2019</v>
      </c>
      <c r="E52" s="351"/>
      <c r="F52" s="351"/>
      <c r="G52" s="235"/>
      <c r="H52" s="1094"/>
      <c r="I52" s="509" t="s">
        <v>289</v>
      </c>
      <c r="J52" s="510">
        <f>J36</f>
        <v>2021</v>
      </c>
      <c r="K52" s="510">
        <f>K36</f>
        <v>2019</v>
      </c>
      <c r="L52" s="351"/>
      <c r="M52" s="351"/>
      <c r="N52" s="235"/>
      <c r="O52" s="1094"/>
      <c r="P52" s="350" t="s">
        <v>289</v>
      </c>
      <c r="Q52" s="351">
        <f>Q36</f>
        <v>2018</v>
      </c>
      <c r="R52" s="351">
        <f>R36</f>
        <v>2019</v>
      </c>
      <c r="S52" s="1091"/>
      <c r="T52" s="1091"/>
    </row>
    <row r="53" spans="1:20" x14ac:dyDescent="0.25">
      <c r="A53" s="1094"/>
      <c r="B53" s="506">
        <v>10</v>
      </c>
      <c r="C53" s="504">
        <v>0</v>
      </c>
      <c r="D53" s="505">
        <v>0.1</v>
      </c>
      <c r="E53" s="238">
        <f>0.5*(MAX(C53:D53)-MIN(C53:D53))</f>
        <v>0.05</v>
      </c>
      <c r="F53" s="518">
        <v>1.7</v>
      </c>
      <c r="G53" s="235"/>
      <c r="H53" s="1094"/>
      <c r="I53" s="506">
        <v>10</v>
      </c>
      <c r="J53" s="504">
        <v>0</v>
      </c>
      <c r="K53" s="505">
        <v>0.1</v>
      </c>
      <c r="L53" s="238">
        <f>0.5*(MAX(J53:K53)-MIN(J53:K53))</f>
        <v>0.05</v>
      </c>
      <c r="M53" s="519">
        <v>1.7</v>
      </c>
      <c r="N53" s="235"/>
      <c r="O53" s="1094"/>
      <c r="P53" s="244">
        <v>10</v>
      </c>
      <c r="Q53" s="240">
        <v>0</v>
      </c>
      <c r="R53" s="240">
        <v>0.1</v>
      </c>
      <c r="S53" s="238">
        <f t="shared" ref="S53:S56" si="24">0.5*(MAX(Q53:R53)-MIN(Q53:R53))</f>
        <v>0.05</v>
      </c>
      <c r="T53" s="247">
        <v>1.7</v>
      </c>
    </row>
    <row r="54" spans="1:20" x14ac:dyDescent="0.25">
      <c r="A54" s="1094"/>
      <c r="B54" s="506">
        <v>20</v>
      </c>
      <c r="C54" s="504">
        <v>0.1</v>
      </c>
      <c r="D54" s="505">
        <v>0.2</v>
      </c>
      <c r="E54" s="238">
        <f t="shared" ref="E54:E56" si="25">0.5*(MAX(C54:D54)-MIN(C54:D54))</f>
        <v>0.05</v>
      </c>
      <c r="F54" s="518">
        <v>1.7</v>
      </c>
      <c r="G54" s="235"/>
      <c r="H54" s="1094"/>
      <c r="I54" s="506">
        <v>20</v>
      </c>
      <c r="J54" s="504">
        <v>0.1</v>
      </c>
      <c r="K54" s="505">
        <v>0.1</v>
      </c>
      <c r="L54" s="238">
        <f>0.5*(MAX(J54:K54)-MIN(J54:K54))</f>
        <v>0</v>
      </c>
      <c r="M54" s="519">
        <v>1.7</v>
      </c>
      <c r="N54" s="235"/>
      <c r="O54" s="1094"/>
      <c r="P54" s="244">
        <v>20</v>
      </c>
      <c r="Q54" s="240">
        <v>0.1</v>
      </c>
      <c r="R54" s="240">
        <v>0.1</v>
      </c>
      <c r="S54" s="238">
        <f t="shared" si="24"/>
        <v>0</v>
      </c>
      <c r="T54" s="247">
        <v>1.7</v>
      </c>
    </row>
    <row r="55" spans="1:20" x14ac:dyDescent="0.25">
      <c r="A55" s="1094"/>
      <c r="B55" s="506">
        <v>50</v>
      </c>
      <c r="C55" s="504">
        <v>0.4</v>
      </c>
      <c r="D55" s="505">
        <v>0.5</v>
      </c>
      <c r="E55" s="238">
        <f t="shared" si="25"/>
        <v>4.9999999999999989E-2</v>
      </c>
      <c r="F55" s="518">
        <v>1.7</v>
      </c>
      <c r="G55" s="235"/>
      <c r="H55" s="1094"/>
      <c r="I55" s="506">
        <v>50</v>
      </c>
      <c r="J55" s="504">
        <v>0.6</v>
      </c>
      <c r="K55" s="505">
        <v>0.4</v>
      </c>
      <c r="L55" s="238">
        <f>0.5*(MAX(J55:K55)-MIN(J55:K55))</f>
        <v>9.9999999999999978E-2</v>
      </c>
      <c r="M55" s="519">
        <v>1.7</v>
      </c>
      <c r="N55" s="235"/>
      <c r="O55" s="1094"/>
      <c r="P55" s="244">
        <v>50</v>
      </c>
      <c r="Q55" s="240">
        <v>0.3</v>
      </c>
      <c r="R55" s="240">
        <v>0.3</v>
      </c>
      <c r="S55" s="238">
        <f t="shared" si="24"/>
        <v>0</v>
      </c>
      <c r="T55" s="247">
        <v>1.7</v>
      </c>
    </row>
    <row r="56" spans="1:20" x14ac:dyDescent="0.25">
      <c r="A56" s="1094"/>
      <c r="B56" s="506">
        <v>100</v>
      </c>
      <c r="C56" s="504">
        <v>1.4</v>
      </c>
      <c r="D56" s="505">
        <v>1</v>
      </c>
      <c r="E56" s="238">
        <f t="shared" si="25"/>
        <v>0.19999999999999996</v>
      </c>
      <c r="F56" s="518">
        <v>1.7</v>
      </c>
      <c r="G56" s="235"/>
      <c r="H56" s="1094"/>
      <c r="I56" s="506">
        <v>100</v>
      </c>
      <c r="J56" s="504">
        <v>1.5</v>
      </c>
      <c r="K56" s="505">
        <v>0.8</v>
      </c>
      <c r="L56" s="238">
        <f>0.5*(MAX(J56:K56)-MIN(J56:K56))</f>
        <v>0.35</v>
      </c>
      <c r="M56" s="519">
        <v>1.7</v>
      </c>
      <c r="N56" s="235"/>
      <c r="O56" s="1094"/>
      <c r="P56" s="244">
        <v>100</v>
      </c>
      <c r="Q56" s="240">
        <v>0.9</v>
      </c>
      <c r="R56" s="240">
        <v>0.6</v>
      </c>
      <c r="S56" s="238">
        <f t="shared" si="24"/>
        <v>0.15000000000000002</v>
      </c>
      <c r="T56" s="247">
        <v>1.7</v>
      </c>
    </row>
    <row r="57" spans="1:20" x14ac:dyDescent="0.25">
      <c r="A57" s="1094"/>
      <c r="B57" s="1099" t="str">
        <f>B26</f>
        <v>Resistance</v>
      </c>
      <c r="C57" s="1099"/>
      <c r="D57" s="1099"/>
      <c r="E57" s="351" t="s">
        <v>284</v>
      </c>
      <c r="F57" s="351" t="s">
        <v>235</v>
      </c>
      <c r="G57" s="235"/>
      <c r="H57" s="1094"/>
      <c r="I57" s="1099" t="str">
        <f>B57</f>
        <v>Resistance</v>
      </c>
      <c r="J57" s="1099"/>
      <c r="K57" s="1099"/>
      <c r="L57" s="351" t="s">
        <v>284</v>
      </c>
      <c r="M57" s="351" t="s">
        <v>235</v>
      </c>
      <c r="N57" s="235"/>
      <c r="O57" s="1094"/>
      <c r="P57" s="1090" t="str">
        <f>I57</f>
        <v>Resistance</v>
      </c>
      <c r="Q57" s="1090"/>
      <c r="R57" s="1090"/>
      <c r="S57" s="1091" t="s">
        <v>284</v>
      </c>
      <c r="T57" s="1091" t="s">
        <v>235</v>
      </c>
    </row>
    <row r="58" spans="1:20" ht="14.4" x14ac:dyDescent="0.25">
      <c r="A58" s="1094"/>
      <c r="B58" s="509" t="s">
        <v>291</v>
      </c>
      <c r="C58" s="510">
        <f>C36</f>
        <v>2021</v>
      </c>
      <c r="D58" s="510">
        <f>D36</f>
        <v>2019</v>
      </c>
      <c r="E58" s="351"/>
      <c r="F58" s="351"/>
      <c r="G58" s="235"/>
      <c r="H58" s="1094"/>
      <c r="I58" s="509" t="s">
        <v>291</v>
      </c>
      <c r="J58" s="510">
        <f>J36</f>
        <v>2021</v>
      </c>
      <c r="K58" s="510">
        <f>K36</f>
        <v>2019</v>
      </c>
      <c r="L58" s="351"/>
      <c r="M58" s="351"/>
      <c r="N58" s="235"/>
      <c r="O58" s="1094"/>
      <c r="P58" s="350" t="s">
        <v>291</v>
      </c>
      <c r="Q58" s="351">
        <f>Q36</f>
        <v>2018</v>
      </c>
      <c r="R58" s="351">
        <f>R36</f>
        <v>2019</v>
      </c>
      <c r="S58" s="1091"/>
      <c r="T58" s="1091"/>
    </row>
    <row r="59" spans="1:20" x14ac:dyDescent="0.25">
      <c r="A59" s="1094"/>
      <c r="B59" s="506">
        <v>0.01</v>
      </c>
      <c r="C59" s="513">
        <v>0</v>
      </c>
      <c r="D59" s="514">
        <v>0</v>
      </c>
      <c r="E59" s="238">
        <f>0.5*(MAX(C59:D59)-MIN(C59:D59))</f>
        <v>0</v>
      </c>
      <c r="F59" s="520">
        <v>0.59</v>
      </c>
      <c r="G59" s="235"/>
      <c r="H59" s="1094"/>
      <c r="I59" s="516">
        <v>0.01</v>
      </c>
      <c r="J59" s="513">
        <v>0</v>
      </c>
      <c r="K59" s="514">
        <v>0</v>
      </c>
      <c r="L59" s="238">
        <f>0.5*(MAX(J59:K59)-MIN(J59:K59))</f>
        <v>0</v>
      </c>
      <c r="M59" s="521">
        <v>1.2</v>
      </c>
      <c r="N59" s="235"/>
      <c r="O59" s="1094"/>
      <c r="P59" s="244">
        <v>0.01</v>
      </c>
      <c r="Q59" s="246">
        <v>0</v>
      </c>
      <c r="R59" s="246">
        <v>0</v>
      </c>
      <c r="S59" s="238">
        <f t="shared" ref="S59:S62" si="26">0.5*(MAX(Q59:R59)-MIN(Q59:R59))</f>
        <v>0</v>
      </c>
      <c r="T59" s="244">
        <v>1.2</v>
      </c>
    </row>
    <row r="60" spans="1:20" x14ac:dyDescent="0.25">
      <c r="A60" s="1094"/>
      <c r="B60" s="506">
        <v>0.1</v>
      </c>
      <c r="C60" s="513">
        <v>-2E-3</v>
      </c>
      <c r="D60" s="514">
        <v>0</v>
      </c>
      <c r="E60" s="238">
        <f t="shared" ref="E60:E62" si="27">0.5*(MAX(C60:D60)-MIN(C60:D60))</f>
        <v>1E-3</v>
      </c>
      <c r="F60" s="520">
        <v>0.59</v>
      </c>
      <c r="G60" s="235"/>
      <c r="H60" s="1094"/>
      <c r="I60" s="516">
        <v>0.1</v>
      </c>
      <c r="J60" s="513">
        <v>-2E-3</v>
      </c>
      <c r="K60" s="514">
        <v>2E-3</v>
      </c>
      <c r="L60" s="238">
        <f>0.5*(MAX(J60:K60)-MIN(J60:K60))</f>
        <v>2E-3</v>
      </c>
      <c r="M60" s="521">
        <v>1.2</v>
      </c>
      <c r="N60" s="235"/>
      <c r="O60" s="1094"/>
      <c r="P60" s="244">
        <v>0.1</v>
      </c>
      <c r="Q60" s="246">
        <v>1E-3</v>
      </c>
      <c r="R60" s="246">
        <v>-2E-3</v>
      </c>
      <c r="S60" s="238">
        <f t="shared" si="26"/>
        <v>1.5E-3</v>
      </c>
      <c r="T60" s="244">
        <v>1.2</v>
      </c>
    </row>
    <row r="61" spans="1:20" x14ac:dyDescent="0.25">
      <c r="A61" s="1094"/>
      <c r="B61" s="506">
        <v>1</v>
      </c>
      <c r="C61" s="513">
        <v>-8.0000000000000002E-3</v>
      </c>
      <c r="D61" s="514">
        <v>-1E-3</v>
      </c>
      <c r="E61" s="238">
        <f t="shared" si="27"/>
        <v>3.5000000000000001E-3</v>
      </c>
      <c r="F61" s="520">
        <v>0.59</v>
      </c>
      <c r="G61" s="235"/>
      <c r="H61" s="1094"/>
      <c r="I61" s="516">
        <v>1</v>
      </c>
      <c r="J61" s="513">
        <v>6.3E-2</v>
      </c>
      <c r="K61" s="514">
        <v>1.2E-2</v>
      </c>
      <c r="L61" s="238">
        <f t="shared" ref="L61:L62" si="28">0.5*(MAX(J61:K61)-MIN(J61:K61))</f>
        <v>2.5500000000000002E-2</v>
      </c>
      <c r="M61" s="521">
        <v>1.2</v>
      </c>
      <c r="N61" s="235"/>
      <c r="O61" s="1094"/>
      <c r="P61" s="244">
        <v>1</v>
      </c>
      <c r="Q61" s="246">
        <v>2E-3</v>
      </c>
      <c r="R61" s="246">
        <v>-1E-3</v>
      </c>
      <c r="S61" s="238">
        <f t="shared" si="26"/>
        <v>1.5E-3</v>
      </c>
      <c r="T61" s="244">
        <v>1.2</v>
      </c>
    </row>
    <row r="62" spans="1:20" x14ac:dyDescent="0.25">
      <c r="A62" s="1094"/>
      <c r="B62" s="506">
        <v>2</v>
      </c>
      <c r="C62" s="513">
        <v>-7.0000000000000001E-3</v>
      </c>
      <c r="D62" s="514">
        <v>0</v>
      </c>
      <c r="E62" s="238">
        <f t="shared" si="27"/>
        <v>3.5000000000000001E-3</v>
      </c>
      <c r="F62" s="520">
        <v>0.59</v>
      </c>
      <c r="G62" s="235"/>
      <c r="H62" s="1094"/>
      <c r="I62" s="516">
        <v>2</v>
      </c>
      <c r="J62" s="513">
        <v>9.0999999999999998E-2</v>
      </c>
      <c r="K62" s="514">
        <v>0</v>
      </c>
      <c r="L62" s="238">
        <f t="shared" si="28"/>
        <v>4.5499999999999999E-2</v>
      </c>
      <c r="M62" s="521">
        <v>1.2</v>
      </c>
      <c r="N62" s="235"/>
      <c r="O62" s="1094"/>
      <c r="P62" s="244">
        <v>2</v>
      </c>
      <c r="Q62" s="246">
        <v>0</v>
      </c>
      <c r="R62" s="246">
        <v>0</v>
      </c>
      <c r="S62" s="238">
        <f t="shared" si="26"/>
        <v>0</v>
      </c>
      <c r="T62" s="244">
        <v>1.2</v>
      </c>
    </row>
    <row r="63" spans="1:20" ht="15.6" x14ac:dyDescent="0.25">
      <c r="A63" s="252"/>
      <c r="B63" s="253"/>
      <c r="C63" s="254"/>
      <c r="D63" s="254"/>
      <c r="E63" s="254"/>
      <c r="F63" s="254"/>
      <c r="G63" s="235"/>
      <c r="H63" s="255"/>
      <c r="I63" s="256"/>
      <c r="J63" s="254"/>
      <c r="K63" s="254"/>
      <c r="L63" s="254"/>
      <c r="M63" s="254"/>
      <c r="N63" s="235"/>
      <c r="O63" s="255"/>
      <c r="P63" s="253"/>
      <c r="Q63" s="254"/>
      <c r="R63" s="235"/>
      <c r="S63" s="235"/>
      <c r="T63" s="250"/>
    </row>
    <row r="64" spans="1:20" ht="14.4" x14ac:dyDescent="0.25">
      <c r="A64" s="1094" t="s">
        <v>102</v>
      </c>
      <c r="B64" s="1095" t="s">
        <v>298</v>
      </c>
      <c r="C64" s="1095"/>
      <c r="D64" s="1095"/>
      <c r="E64" s="1095"/>
      <c r="F64" s="1095"/>
      <c r="G64" s="231"/>
      <c r="H64" s="1094" t="s">
        <v>299</v>
      </c>
      <c r="I64" s="1096" t="s">
        <v>300</v>
      </c>
      <c r="J64" s="1096"/>
      <c r="K64" s="1096"/>
      <c r="L64" s="1096"/>
      <c r="M64" s="1096"/>
      <c r="N64" s="232"/>
      <c r="O64" s="1094" t="s">
        <v>47</v>
      </c>
      <c r="P64" s="1096" t="s">
        <v>301</v>
      </c>
      <c r="Q64" s="1096"/>
      <c r="R64" s="1096"/>
      <c r="S64" s="1096"/>
      <c r="T64" s="1096"/>
    </row>
    <row r="65" spans="1:20" ht="14.4" x14ac:dyDescent="0.3">
      <c r="A65" s="1094"/>
      <c r="B65" s="1097" t="s">
        <v>282</v>
      </c>
      <c r="C65" s="1097"/>
      <c r="D65" s="1097"/>
      <c r="E65" s="1097"/>
      <c r="F65" s="1097"/>
      <c r="G65" s="233"/>
      <c r="H65" s="1094"/>
      <c r="I65" s="1098" t="s">
        <v>282</v>
      </c>
      <c r="J65" s="1098"/>
      <c r="K65" s="1098"/>
      <c r="L65" s="1098"/>
      <c r="M65" s="1098"/>
      <c r="N65" s="234"/>
      <c r="O65" s="1094"/>
      <c r="P65" s="1098" t="s">
        <v>282</v>
      </c>
      <c r="Q65" s="1098"/>
      <c r="R65" s="1098"/>
      <c r="S65" s="1098"/>
      <c r="T65" s="1098"/>
    </row>
    <row r="66" spans="1:20" x14ac:dyDescent="0.25">
      <c r="A66" s="1094"/>
      <c r="B66" s="1091" t="s">
        <v>283</v>
      </c>
      <c r="C66" s="1091"/>
      <c r="D66" s="1091"/>
      <c r="E66" s="1091" t="s">
        <v>284</v>
      </c>
      <c r="F66" s="1091" t="s">
        <v>235</v>
      </c>
      <c r="G66" s="235"/>
      <c r="H66" s="1094"/>
      <c r="I66" s="1091" t="str">
        <f>B66</f>
        <v>Setting VAC</v>
      </c>
      <c r="J66" s="1091"/>
      <c r="K66" s="1091"/>
      <c r="L66" s="1091" t="s">
        <v>284</v>
      </c>
      <c r="M66" s="1091" t="s">
        <v>235</v>
      </c>
      <c r="N66" s="235"/>
      <c r="O66" s="1094"/>
      <c r="P66" s="1091" t="str">
        <f>B66</f>
        <v>Setting VAC</v>
      </c>
      <c r="Q66" s="1091"/>
      <c r="R66" s="1091"/>
      <c r="S66" s="1091" t="s">
        <v>284</v>
      </c>
      <c r="T66" s="1091" t="s">
        <v>235</v>
      </c>
    </row>
    <row r="67" spans="1:20" ht="14.4" x14ac:dyDescent="0.25">
      <c r="A67" s="1094"/>
      <c r="B67" s="350" t="s">
        <v>285</v>
      </c>
      <c r="C67" s="351">
        <v>2019</v>
      </c>
      <c r="D67" s="351">
        <v>2020</v>
      </c>
      <c r="E67" s="1091"/>
      <c r="F67" s="1091"/>
      <c r="G67" s="235"/>
      <c r="H67" s="1094"/>
      <c r="I67" s="350" t="s">
        <v>285</v>
      </c>
      <c r="J67" s="351">
        <v>2019</v>
      </c>
      <c r="K67" s="351">
        <v>2020</v>
      </c>
      <c r="L67" s="1091"/>
      <c r="M67" s="1091"/>
      <c r="N67" s="235"/>
      <c r="O67" s="1094"/>
      <c r="P67" s="350" t="s">
        <v>285</v>
      </c>
      <c r="Q67" s="351">
        <v>2019</v>
      </c>
      <c r="R67" s="351">
        <v>2020</v>
      </c>
      <c r="S67" s="1091"/>
      <c r="T67" s="1091"/>
    </row>
    <row r="68" spans="1:20" x14ac:dyDescent="0.25">
      <c r="A68" s="1094"/>
      <c r="B68" s="236">
        <v>150</v>
      </c>
      <c r="C68" s="237">
        <v>0.21</v>
      </c>
      <c r="D68" s="237">
        <v>0.21</v>
      </c>
      <c r="E68" s="238">
        <f t="shared" ref="E68:E73" si="29">0.5*(MAX(C68:D68)-MIN(C68:D68))</f>
        <v>0</v>
      </c>
      <c r="F68" s="242">
        <f>1.2%*B68</f>
        <v>1.8</v>
      </c>
      <c r="G68" s="235"/>
      <c r="H68" s="1094"/>
      <c r="I68" s="236">
        <v>150</v>
      </c>
      <c r="J68" s="239">
        <v>0</v>
      </c>
      <c r="K68" s="237">
        <v>-0.17</v>
      </c>
      <c r="L68" s="238">
        <f>0.5*(MAX(J68:K68)-MIN(J68:K68))</f>
        <v>8.5000000000000006E-2</v>
      </c>
      <c r="M68" s="237">
        <f>1.2%*I68</f>
        <v>1.8</v>
      </c>
      <c r="N68" s="235"/>
      <c r="O68" s="1094"/>
      <c r="P68" s="236">
        <v>150</v>
      </c>
      <c r="Q68" s="239">
        <v>0</v>
      </c>
      <c r="R68" s="237">
        <v>-0.24</v>
      </c>
      <c r="S68" s="238">
        <f t="shared" ref="S68:S73" si="30">0.5*(MAX(Q68:R68)-MIN(Q68:R68))</f>
        <v>0.12</v>
      </c>
      <c r="T68" s="237">
        <f>1.2%*P68</f>
        <v>1.8</v>
      </c>
    </row>
    <row r="69" spans="1:20" x14ac:dyDescent="0.25">
      <c r="A69" s="1094"/>
      <c r="B69" s="236">
        <v>180</v>
      </c>
      <c r="C69" s="243">
        <v>0.33</v>
      </c>
      <c r="D69" s="243">
        <v>0.33</v>
      </c>
      <c r="E69" s="238">
        <f t="shared" si="29"/>
        <v>0</v>
      </c>
      <c r="F69" s="242">
        <f t="shared" ref="F69:F73" si="31">1.2%*B69</f>
        <v>2.16</v>
      </c>
      <c r="G69" s="235"/>
      <c r="H69" s="1094"/>
      <c r="I69" s="236">
        <v>180</v>
      </c>
      <c r="J69" s="239">
        <v>0</v>
      </c>
      <c r="K69" s="243">
        <v>-0.22</v>
      </c>
      <c r="L69" s="238">
        <f t="shared" ref="L69:L73" si="32">0.5*(MAX(J69:K69)-MIN(J69:K69))</f>
        <v>0.11</v>
      </c>
      <c r="M69" s="237">
        <f t="shared" ref="M69:M73" si="33">1.2%*I69</f>
        <v>2.16</v>
      </c>
      <c r="N69" s="235"/>
      <c r="O69" s="1094"/>
      <c r="P69" s="236">
        <v>180</v>
      </c>
      <c r="Q69" s="239">
        <v>0</v>
      </c>
      <c r="R69" s="243">
        <v>-0.14000000000000001</v>
      </c>
      <c r="S69" s="238">
        <f t="shared" si="30"/>
        <v>7.0000000000000007E-2</v>
      </c>
      <c r="T69" s="237">
        <f t="shared" ref="T69:T73" si="34">1.2%*P69</f>
        <v>2.16</v>
      </c>
    </row>
    <row r="70" spans="1:20" x14ac:dyDescent="0.25">
      <c r="A70" s="1094"/>
      <c r="B70" s="236">
        <v>200</v>
      </c>
      <c r="C70" s="243">
        <v>0.34</v>
      </c>
      <c r="D70" s="243">
        <v>0.34</v>
      </c>
      <c r="E70" s="238">
        <f t="shared" si="29"/>
        <v>0</v>
      </c>
      <c r="F70" s="242">
        <f t="shared" si="31"/>
        <v>2.4</v>
      </c>
      <c r="G70" s="235"/>
      <c r="H70" s="1094"/>
      <c r="I70" s="236">
        <v>200</v>
      </c>
      <c r="J70" s="240">
        <v>0</v>
      </c>
      <c r="K70" s="243">
        <v>-0.33</v>
      </c>
      <c r="L70" s="238">
        <f t="shared" si="32"/>
        <v>0.16500000000000001</v>
      </c>
      <c r="M70" s="237">
        <f t="shared" si="33"/>
        <v>2.4</v>
      </c>
      <c r="N70" s="235"/>
      <c r="O70" s="1094"/>
      <c r="P70" s="236">
        <v>200</v>
      </c>
      <c r="Q70" s="240">
        <v>0</v>
      </c>
      <c r="R70" s="243">
        <v>-0.33</v>
      </c>
      <c r="S70" s="238">
        <f t="shared" si="30"/>
        <v>0.16500000000000001</v>
      </c>
      <c r="T70" s="237">
        <f t="shared" si="34"/>
        <v>2.4</v>
      </c>
    </row>
    <row r="71" spans="1:20" x14ac:dyDescent="0.25">
      <c r="A71" s="1094"/>
      <c r="B71" s="236">
        <v>220</v>
      </c>
      <c r="C71" s="243">
        <v>0.37</v>
      </c>
      <c r="D71" s="243">
        <v>0.37</v>
      </c>
      <c r="E71" s="238">
        <f t="shared" si="29"/>
        <v>0</v>
      </c>
      <c r="F71" s="242">
        <f t="shared" si="31"/>
        <v>2.64</v>
      </c>
      <c r="G71" s="235"/>
      <c r="H71" s="1094"/>
      <c r="I71" s="236">
        <v>220</v>
      </c>
      <c r="J71" s="240">
        <v>0</v>
      </c>
      <c r="K71" s="243">
        <v>-0.39</v>
      </c>
      <c r="L71" s="238">
        <f t="shared" si="32"/>
        <v>0.19500000000000001</v>
      </c>
      <c r="M71" s="237">
        <f t="shared" si="33"/>
        <v>2.64</v>
      </c>
      <c r="N71" s="235"/>
      <c r="O71" s="1094"/>
      <c r="P71" s="236">
        <v>220</v>
      </c>
      <c r="Q71" s="240">
        <v>0</v>
      </c>
      <c r="R71" s="243">
        <v>-0.45</v>
      </c>
      <c r="S71" s="238">
        <f t="shared" si="30"/>
        <v>0.22500000000000001</v>
      </c>
      <c r="T71" s="237">
        <f t="shared" si="34"/>
        <v>2.64</v>
      </c>
    </row>
    <row r="72" spans="1:20" x14ac:dyDescent="0.25">
      <c r="A72" s="1094"/>
      <c r="B72" s="236">
        <v>230</v>
      </c>
      <c r="C72" s="243">
        <v>0.47</v>
      </c>
      <c r="D72" s="243">
        <v>0.47</v>
      </c>
      <c r="E72" s="238">
        <f t="shared" si="29"/>
        <v>0</v>
      </c>
      <c r="F72" s="242">
        <f t="shared" si="31"/>
        <v>2.7600000000000002</v>
      </c>
      <c r="G72" s="235"/>
      <c r="H72" s="1094"/>
      <c r="I72" s="236">
        <v>230</v>
      </c>
      <c r="J72" s="240">
        <v>0</v>
      </c>
      <c r="K72" s="243">
        <v>-0.39</v>
      </c>
      <c r="L72" s="238">
        <f t="shared" si="32"/>
        <v>0.19500000000000001</v>
      </c>
      <c r="M72" s="237">
        <f t="shared" si="33"/>
        <v>2.7600000000000002</v>
      </c>
      <c r="N72" s="235"/>
      <c r="O72" s="1094"/>
      <c r="P72" s="236">
        <v>230</v>
      </c>
      <c r="Q72" s="240">
        <v>0</v>
      </c>
      <c r="R72" s="243">
        <v>-0.54</v>
      </c>
      <c r="S72" s="238">
        <f t="shared" si="30"/>
        <v>0.27</v>
      </c>
      <c r="T72" s="237">
        <f t="shared" si="34"/>
        <v>2.7600000000000002</v>
      </c>
    </row>
    <row r="73" spans="1:20" x14ac:dyDescent="0.25">
      <c r="A73" s="1094"/>
      <c r="B73" s="236">
        <v>250</v>
      </c>
      <c r="C73" s="243">
        <v>0</v>
      </c>
      <c r="D73" s="243">
        <v>0</v>
      </c>
      <c r="E73" s="238">
        <f t="shared" si="29"/>
        <v>0</v>
      </c>
      <c r="F73" s="242">
        <f t="shared" si="31"/>
        <v>3</v>
      </c>
      <c r="G73" s="235"/>
      <c r="H73" s="1094"/>
      <c r="I73" s="236">
        <v>250</v>
      </c>
      <c r="J73" s="240">
        <v>0</v>
      </c>
      <c r="K73" s="243">
        <v>0</v>
      </c>
      <c r="L73" s="238">
        <f t="shared" si="32"/>
        <v>0</v>
      </c>
      <c r="M73" s="237">
        <f t="shared" si="33"/>
        <v>3</v>
      </c>
      <c r="N73" s="235"/>
      <c r="O73" s="1094"/>
      <c r="P73" s="236">
        <v>250</v>
      </c>
      <c r="Q73" s="240">
        <v>0</v>
      </c>
      <c r="R73" s="243">
        <v>0</v>
      </c>
      <c r="S73" s="238">
        <f t="shared" si="30"/>
        <v>0</v>
      </c>
      <c r="T73" s="237">
        <f t="shared" si="34"/>
        <v>3</v>
      </c>
    </row>
    <row r="74" spans="1:20" x14ac:dyDescent="0.25">
      <c r="A74" s="1094"/>
      <c r="B74" s="1090" t="s">
        <v>286</v>
      </c>
      <c r="C74" s="1090"/>
      <c r="D74" s="1090"/>
      <c r="E74" s="1091" t="s">
        <v>284</v>
      </c>
      <c r="F74" s="1091" t="s">
        <v>235</v>
      </c>
      <c r="G74" s="235"/>
      <c r="H74" s="1094"/>
      <c r="I74" s="1090" t="str">
        <f>B74</f>
        <v>Current Leakage</v>
      </c>
      <c r="J74" s="1090"/>
      <c r="K74" s="1090"/>
      <c r="L74" s="1091" t="s">
        <v>284</v>
      </c>
      <c r="M74" s="1091" t="s">
        <v>235</v>
      </c>
      <c r="N74" s="235"/>
      <c r="O74" s="1094"/>
      <c r="P74" s="1090" t="str">
        <f>B74</f>
        <v>Current Leakage</v>
      </c>
      <c r="Q74" s="1090"/>
      <c r="R74" s="1090"/>
      <c r="S74" s="1091" t="s">
        <v>284</v>
      </c>
      <c r="T74" s="1091" t="s">
        <v>235</v>
      </c>
    </row>
    <row r="75" spans="1:20" ht="14.4" x14ac:dyDescent="0.25">
      <c r="A75" s="1094"/>
      <c r="B75" s="350" t="s">
        <v>287</v>
      </c>
      <c r="C75" s="351">
        <f>C67</f>
        <v>2019</v>
      </c>
      <c r="D75" s="351">
        <f>D67</f>
        <v>2020</v>
      </c>
      <c r="E75" s="1091"/>
      <c r="F75" s="1091"/>
      <c r="G75" s="235"/>
      <c r="H75" s="1094"/>
      <c r="I75" s="350" t="s">
        <v>287</v>
      </c>
      <c r="J75" s="351">
        <f>J67</f>
        <v>2019</v>
      </c>
      <c r="K75" s="351">
        <f>K67</f>
        <v>2020</v>
      </c>
      <c r="L75" s="1091"/>
      <c r="M75" s="1091"/>
      <c r="N75" s="235"/>
      <c r="O75" s="1094"/>
      <c r="P75" s="350" t="s">
        <v>287</v>
      </c>
      <c r="Q75" s="351">
        <f>Q67</f>
        <v>2019</v>
      </c>
      <c r="R75" s="351">
        <f>R67</f>
        <v>2020</v>
      </c>
      <c r="S75" s="1091"/>
      <c r="T75" s="1091"/>
    </row>
    <row r="76" spans="1:20" x14ac:dyDescent="0.25">
      <c r="A76" s="1094"/>
      <c r="B76" s="244">
        <v>0</v>
      </c>
      <c r="C76" s="245">
        <v>0</v>
      </c>
      <c r="D76" s="245">
        <v>0</v>
      </c>
      <c r="E76" s="238">
        <f t="shared" ref="E76:E81" si="35">0.5*(MAX(C76:D76)-MIN(C76:D76))</f>
        <v>0</v>
      </c>
      <c r="F76" s="241">
        <v>0.59</v>
      </c>
      <c r="G76" s="235"/>
      <c r="H76" s="1094"/>
      <c r="I76" s="244">
        <v>0</v>
      </c>
      <c r="J76" s="240">
        <v>0</v>
      </c>
      <c r="K76" s="245">
        <v>0</v>
      </c>
      <c r="L76" s="238">
        <f t="shared" ref="L76:L81" si="36">0.5*(MAX(J76:K76)-MIN(J76:K76))</f>
        <v>0</v>
      </c>
      <c r="M76" s="245">
        <v>0.59</v>
      </c>
      <c r="N76" s="235"/>
      <c r="O76" s="1094"/>
      <c r="P76" s="244">
        <v>0</v>
      </c>
      <c r="Q76" s="240">
        <v>0</v>
      </c>
      <c r="R76" s="245">
        <v>0</v>
      </c>
      <c r="S76" s="238">
        <f t="shared" ref="S76:S81" si="37">0.5*(MAX(Q76:R76)-MIN(Q76:R76))</f>
        <v>0</v>
      </c>
      <c r="T76" s="245">
        <v>0.59</v>
      </c>
    </row>
    <row r="77" spans="1:20" x14ac:dyDescent="0.25">
      <c r="A77" s="1094"/>
      <c r="B77" s="244">
        <v>50</v>
      </c>
      <c r="C77" s="243">
        <v>1.7</v>
      </c>
      <c r="D77" s="243">
        <v>1.7</v>
      </c>
      <c r="E77" s="238">
        <f t="shared" si="35"/>
        <v>0</v>
      </c>
      <c r="F77" s="241">
        <v>0.59</v>
      </c>
      <c r="G77" s="235"/>
      <c r="H77" s="1094"/>
      <c r="I77" s="244">
        <v>50</v>
      </c>
      <c r="J77" s="240">
        <v>0</v>
      </c>
      <c r="K77" s="243">
        <v>1.7</v>
      </c>
      <c r="L77" s="238">
        <f t="shared" si="36"/>
        <v>0.85</v>
      </c>
      <c r="M77" s="245">
        <v>0.59</v>
      </c>
      <c r="N77" s="235"/>
      <c r="O77" s="1094"/>
      <c r="P77" s="244">
        <v>50</v>
      </c>
      <c r="Q77" s="240">
        <v>0</v>
      </c>
      <c r="R77" s="243">
        <v>2.1</v>
      </c>
      <c r="S77" s="238">
        <f t="shared" si="37"/>
        <v>1.05</v>
      </c>
      <c r="T77" s="243">
        <v>0.59</v>
      </c>
    </row>
    <row r="78" spans="1:20" x14ac:dyDescent="0.25">
      <c r="A78" s="1094"/>
      <c r="B78" s="244">
        <v>100</v>
      </c>
      <c r="C78" s="243">
        <v>1.7</v>
      </c>
      <c r="D78" s="243">
        <v>1.7</v>
      </c>
      <c r="E78" s="238">
        <f t="shared" si="35"/>
        <v>0</v>
      </c>
      <c r="F78" s="241">
        <v>0.59</v>
      </c>
      <c r="G78" s="235"/>
      <c r="H78" s="1094"/>
      <c r="I78" s="244">
        <v>100</v>
      </c>
      <c r="J78" s="240">
        <v>0</v>
      </c>
      <c r="K78" s="243">
        <v>3.4</v>
      </c>
      <c r="L78" s="238">
        <f t="shared" si="36"/>
        <v>1.7</v>
      </c>
      <c r="M78" s="245">
        <v>0.59</v>
      </c>
      <c r="N78" s="235"/>
      <c r="O78" s="1094"/>
      <c r="P78" s="244">
        <v>100</v>
      </c>
      <c r="Q78" s="240">
        <v>0</v>
      </c>
      <c r="R78" s="243">
        <v>3.7</v>
      </c>
      <c r="S78" s="238">
        <f t="shared" si="37"/>
        <v>1.85</v>
      </c>
      <c r="T78" s="243">
        <v>0.59</v>
      </c>
    </row>
    <row r="79" spans="1:20" x14ac:dyDescent="0.25">
      <c r="A79" s="1094"/>
      <c r="B79" s="244">
        <v>200</v>
      </c>
      <c r="C79" s="243">
        <v>0.4</v>
      </c>
      <c r="D79" s="243">
        <v>0.4</v>
      </c>
      <c r="E79" s="238">
        <f t="shared" si="35"/>
        <v>0</v>
      </c>
      <c r="F79" s="241">
        <v>0.59</v>
      </c>
      <c r="G79" s="235"/>
      <c r="H79" s="1094"/>
      <c r="I79" s="244">
        <v>500</v>
      </c>
      <c r="J79" s="240">
        <v>0</v>
      </c>
      <c r="K79" s="243">
        <v>7.2</v>
      </c>
      <c r="L79" s="238">
        <f t="shared" si="36"/>
        <v>3.6</v>
      </c>
      <c r="M79" s="245">
        <v>0.59</v>
      </c>
      <c r="N79" s="235"/>
      <c r="O79" s="1094"/>
      <c r="P79" s="244">
        <v>500</v>
      </c>
      <c r="Q79" s="240">
        <v>0</v>
      </c>
      <c r="R79" s="243">
        <v>8.3000000000000007</v>
      </c>
      <c r="S79" s="238">
        <f t="shared" si="37"/>
        <v>4.1500000000000004</v>
      </c>
      <c r="T79" s="243">
        <v>0.59</v>
      </c>
    </row>
    <row r="80" spans="1:20" x14ac:dyDescent="0.25">
      <c r="A80" s="1094"/>
      <c r="B80" s="244">
        <v>500</v>
      </c>
      <c r="C80" s="243">
        <v>3</v>
      </c>
      <c r="D80" s="243">
        <v>3</v>
      </c>
      <c r="E80" s="238">
        <f t="shared" si="35"/>
        <v>0</v>
      </c>
      <c r="F80" s="241">
        <v>0.59</v>
      </c>
      <c r="G80" s="235"/>
      <c r="H80" s="1094"/>
      <c r="I80" s="244">
        <v>500</v>
      </c>
      <c r="J80" s="240">
        <v>0</v>
      </c>
      <c r="K80" s="243">
        <v>7.2</v>
      </c>
      <c r="L80" s="238">
        <f t="shared" si="36"/>
        <v>3.6</v>
      </c>
      <c r="M80" s="245">
        <v>0.59</v>
      </c>
      <c r="N80" s="235"/>
      <c r="O80" s="1094"/>
      <c r="P80" s="244">
        <v>500</v>
      </c>
      <c r="Q80" s="240">
        <v>0</v>
      </c>
      <c r="R80" s="243">
        <v>8.3000000000000007</v>
      </c>
      <c r="S80" s="238">
        <f t="shared" si="37"/>
        <v>4.1500000000000004</v>
      </c>
      <c r="T80" s="243">
        <v>0.59</v>
      </c>
    </row>
    <row r="81" spans="1:20" x14ac:dyDescent="0.25">
      <c r="A81" s="1094"/>
      <c r="B81" s="244">
        <v>1000</v>
      </c>
      <c r="C81" s="243">
        <v>5</v>
      </c>
      <c r="D81" s="243">
        <v>4</v>
      </c>
      <c r="E81" s="238">
        <f t="shared" si="35"/>
        <v>0.5</v>
      </c>
      <c r="F81" s="241">
        <v>0.59</v>
      </c>
      <c r="G81" s="235"/>
      <c r="H81" s="1094"/>
      <c r="I81" s="244">
        <v>1000</v>
      </c>
      <c r="J81" s="240">
        <v>0</v>
      </c>
      <c r="K81" s="243">
        <v>80</v>
      </c>
      <c r="L81" s="238">
        <f t="shared" si="36"/>
        <v>40</v>
      </c>
      <c r="M81" s="245">
        <v>0.59</v>
      </c>
      <c r="N81" s="235"/>
      <c r="O81" s="1094"/>
      <c r="P81" s="244">
        <v>1000</v>
      </c>
      <c r="Q81" s="240">
        <v>0</v>
      </c>
      <c r="R81" s="243">
        <v>-97</v>
      </c>
      <c r="S81" s="238">
        <f t="shared" si="37"/>
        <v>48.5</v>
      </c>
      <c r="T81" s="243">
        <v>0.59</v>
      </c>
    </row>
    <row r="82" spans="1:20" x14ac:dyDescent="0.25">
      <c r="A82" s="1094"/>
      <c r="B82" s="1090"/>
      <c r="C82" s="1090"/>
      <c r="D82" s="1090"/>
      <c r="E82" s="1091" t="s">
        <v>284</v>
      </c>
      <c r="F82" s="1091" t="s">
        <v>235</v>
      </c>
      <c r="G82" s="235"/>
      <c r="H82" s="1094"/>
      <c r="I82" s="1090" t="s">
        <v>288</v>
      </c>
      <c r="J82" s="1090"/>
      <c r="K82" s="1090"/>
      <c r="L82" s="1091" t="s">
        <v>284</v>
      </c>
      <c r="M82" s="1091" t="s">
        <v>235</v>
      </c>
      <c r="N82" s="235"/>
      <c r="O82" s="1094"/>
      <c r="P82" s="1090">
        <f>B82</f>
        <v>0</v>
      </c>
      <c r="Q82" s="1090"/>
      <c r="R82" s="1090"/>
      <c r="S82" s="1091" t="s">
        <v>284</v>
      </c>
      <c r="T82" s="1091" t="s">
        <v>235</v>
      </c>
    </row>
    <row r="83" spans="1:20" ht="14.4" x14ac:dyDescent="0.25">
      <c r="A83" s="1094"/>
      <c r="B83" s="350" t="s">
        <v>289</v>
      </c>
      <c r="C83" s="351">
        <v>2020</v>
      </c>
      <c r="D83" s="351">
        <v>2018</v>
      </c>
      <c r="E83" s="1091"/>
      <c r="F83" s="1091"/>
      <c r="G83" s="235"/>
      <c r="H83" s="1094"/>
      <c r="I83" s="350" t="s">
        <v>289</v>
      </c>
      <c r="J83" s="351">
        <f>J67</f>
        <v>2019</v>
      </c>
      <c r="K83" s="351">
        <f>K67</f>
        <v>2020</v>
      </c>
      <c r="L83" s="1091"/>
      <c r="M83" s="1091"/>
      <c r="N83" s="235"/>
      <c r="O83" s="1094"/>
      <c r="P83" s="350" t="s">
        <v>289</v>
      </c>
      <c r="Q83" s="351">
        <f>Q67</f>
        <v>2019</v>
      </c>
      <c r="R83" s="351">
        <f>R67</f>
        <v>2020</v>
      </c>
      <c r="S83" s="1091"/>
      <c r="T83" s="1091"/>
    </row>
    <row r="84" spans="1:20" x14ac:dyDescent="0.25">
      <c r="A84" s="1094"/>
      <c r="B84" s="244">
        <v>10</v>
      </c>
      <c r="C84" s="240" t="s">
        <v>113</v>
      </c>
      <c r="D84" s="240">
        <v>0</v>
      </c>
      <c r="E84" s="238">
        <f t="shared" ref="E84:E87" si="38">0.5*(MAX(C84:D84)-MIN(C84:D84))</f>
        <v>0</v>
      </c>
      <c r="F84" s="247">
        <v>1.7</v>
      </c>
      <c r="G84" s="235"/>
      <c r="H84" s="1094"/>
      <c r="I84" s="244">
        <v>10</v>
      </c>
      <c r="J84" s="240">
        <v>0</v>
      </c>
      <c r="K84" s="240">
        <v>0</v>
      </c>
      <c r="L84" s="238">
        <f t="shared" ref="L84:L87" si="39">0.5*(MAX(J84:K84)-MIN(J84:K84))</f>
        <v>0</v>
      </c>
      <c r="M84" s="243">
        <v>0</v>
      </c>
      <c r="N84" s="235"/>
      <c r="O84" s="1094"/>
      <c r="P84" s="244">
        <v>10</v>
      </c>
      <c r="Q84" s="240">
        <v>0</v>
      </c>
      <c r="R84" s="240">
        <v>0</v>
      </c>
      <c r="S84" s="238">
        <f t="shared" ref="S84:S87" si="40">0.5*(MAX(Q84:R84)-MIN(Q84:R84))</f>
        <v>0</v>
      </c>
      <c r="T84" s="243">
        <v>0</v>
      </c>
    </row>
    <row r="85" spans="1:20" x14ac:dyDescent="0.25">
      <c r="A85" s="1094"/>
      <c r="B85" s="244">
        <v>20</v>
      </c>
      <c r="C85" s="240" t="s">
        <v>113</v>
      </c>
      <c r="D85" s="240">
        <v>0.1</v>
      </c>
      <c r="E85" s="238">
        <f t="shared" si="38"/>
        <v>0</v>
      </c>
      <c r="F85" s="247">
        <v>1.7</v>
      </c>
      <c r="G85" s="235"/>
      <c r="H85" s="1094"/>
      <c r="I85" s="244">
        <v>20</v>
      </c>
      <c r="J85" s="240">
        <v>0</v>
      </c>
      <c r="K85" s="240">
        <v>0</v>
      </c>
      <c r="L85" s="238">
        <f t="shared" si="39"/>
        <v>0</v>
      </c>
      <c r="M85" s="243">
        <v>0</v>
      </c>
      <c r="N85" s="235"/>
      <c r="O85" s="1094"/>
      <c r="P85" s="244">
        <v>20</v>
      </c>
      <c r="Q85" s="240">
        <v>0</v>
      </c>
      <c r="R85" s="240">
        <v>0</v>
      </c>
      <c r="S85" s="238">
        <f t="shared" si="40"/>
        <v>0</v>
      </c>
      <c r="T85" s="243">
        <v>0</v>
      </c>
    </row>
    <row r="86" spans="1:20" x14ac:dyDescent="0.25">
      <c r="A86" s="1094"/>
      <c r="B86" s="244">
        <v>50</v>
      </c>
      <c r="C86" s="240" t="s">
        <v>113</v>
      </c>
      <c r="D86" s="240">
        <v>0.4</v>
      </c>
      <c r="E86" s="238">
        <f t="shared" si="38"/>
        <v>0</v>
      </c>
      <c r="F86" s="247">
        <v>1.7</v>
      </c>
      <c r="G86" s="235"/>
      <c r="H86" s="1094"/>
      <c r="I86" s="244">
        <v>50</v>
      </c>
      <c r="J86" s="240">
        <v>0</v>
      </c>
      <c r="K86" s="240">
        <v>0</v>
      </c>
      <c r="L86" s="238">
        <f t="shared" si="39"/>
        <v>0</v>
      </c>
      <c r="M86" s="243">
        <v>0</v>
      </c>
      <c r="N86" s="235"/>
      <c r="O86" s="1094"/>
      <c r="P86" s="244">
        <v>50</v>
      </c>
      <c r="Q86" s="240">
        <v>0</v>
      </c>
      <c r="R86" s="240">
        <v>0</v>
      </c>
      <c r="S86" s="238">
        <f t="shared" si="40"/>
        <v>0</v>
      </c>
      <c r="T86" s="243">
        <v>0</v>
      </c>
    </row>
    <row r="87" spans="1:20" x14ac:dyDescent="0.25">
      <c r="A87" s="1094"/>
      <c r="B87" s="244">
        <v>100</v>
      </c>
      <c r="C87" s="240" t="s">
        <v>113</v>
      </c>
      <c r="D87" s="240">
        <v>1.4</v>
      </c>
      <c r="E87" s="238">
        <f t="shared" si="38"/>
        <v>0</v>
      </c>
      <c r="F87" s="247">
        <v>1.7</v>
      </c>
      <c r="G87" s="235"/>
      <c r="H87" s="1094"/>
      <c r="I87" s="244">
        <v>100</v>
      </c>
      <c r="J87" s="240">
        <v>0</v>
      </c>
      <c r="K87" s="240">
        <v>0</v>
      </c>
      <c r="L87" s="238">
        <f t="shared" si="39"/>
        <v>0</v>
      </c>
      <c r="M87" s="243">
        <v>0</v>
      </c>
      <c r="N87" s="235"/>
      <c r="O87" s="1094"/>
      <c r="P87" s="244">
        <v>100</v>
      </c>
      <c r="Q87" s="240">
        <v>0</v>
      </c>
      <c r="R87" s="240">
        <v>0</v>
      </c>
      <c r="S87" s="238">
        <f t="shared" si="40"/>
        <v>0</v>
      </c>
      <c r="T87" s="243">
        <v>0</v>
      </c>
    </row>
    <row r="88" spans="1:20" x14ac:dyDescent="0.25">
      <c r="A88" s="1094"/>
      <c r="B88" s="1090" t="s">
        <v>290</v>
      </c>
      <c r="C88" s="1090"/>
      <c r="D88" s="1090"/>
      <c r="E88" s="1091" t="s">
        <v>284</v>
      </c>
      <c r="F88" s="1091" t="s">
        <v>235</v>
      </c>
      <c r="G88" s="235"/>
      <c r="H88" s="1094"/>
      <c r="I88" s="1090" t="s">
        <v>290</v>
      </c>
      <c r="J88" s="1090"/>
      <c r="K88" s="1090"/>
      <c r="L88" s="1091" t="s">
        <v>284</v>
      </c>
      <c r="M88" s="1091" t="s">
        <v>235</v>
      </c>
      <c r="N88" s="235"/>
      <c r="O88" s="1094"/>
      <c r="P88" s="1090" t="str">
        <f>B88</f>
        <v>Resistance</v>
      </c>
      <c r="Q88" s="1090"/>
      <c r="R88" s="1090"/>
      <c r="S88" s="1091" t="s">
        <v>284</v>
      </c>
      <c r="T88" s="1091" t="s">
        <v>235</v>
      </c>
    </row>
    <row r="89" spans="1:20" ht="14.4" x14ac:dyDescent="0.25">
      <c r="A89" s="1094"/>
      <c r="B89" s="350" t="s">
        <v>291</v>
      </c>
      <c r="C89" s="351">
        <f>C67</f>
        <v>2019</v>
      </c>
      <c r="D89" s="351">
        <f>D67</f>
        <v>2020</v>
      </c>
      <c r="E89" s="1091"/>
      <c r="F89" s="1091"/>
      <c r="G89" s="235"/>
      <c r="H89" s="1094"/>
      <c r="I89" s="350" t="s">
        <v>291</v>
      </c>
      <c r="J89" s="351">
        <f>J67</f>
        <v>2019</v>
      </c>
      <c r="K89" s="351">
        <f>K67</f>
        <v>2020</v>
      </c>
      <c r="L89" s="1091"/>
      <c r="M89" s="1091"/>
      <c r="N89" s="235"/>
      <c r="O89" s="1094"/>
      <c r="P89" s="350" t="s">
        <v>291</v>
      </c>
      <c r="Q89" s="351">
        <f>Q67</f>
        <v>2019</v>
      </c>
      <c r="R89" s="351">
        <f>R67</f>
        <v>2020</v>
      </c>
      <c r="S89" s="1091"/>
      <c r="T89" s="1091"/>
    </row>
    <row r="90" spans="1:20" x14ac:dyDescent="0.25">
      <c r="A90" s="1094"/>
      <c r="B90" s="244">
        <v>0.01</v>
      </c>
      <c r="C90" s="248">
        <v>0</v>
      </c>
      <c r="D90" s="248">
        <v>0</v>
      </c>
      <c r="E90" s="238">
        <f t="shared" ref="E90:E93" si="41">0.5*(MAX(C90:D90)-MIN(C90:D90))</f>
        <v>0</v>
      </c>
      <c r="F90" s="244">
        <v>1.2</v>
      </c>
      <c r="G90" s="235"/>
      <c r="H90" s="1094"/>
      <c r="I90" s="244">
        <v>0.01</v>
      </c>
      <c r="J90" s="244">
        <v>0</v>
      </c>
      <c r="K90" s="257">
        <v>0</v>
      </c>
      <c r="L90" s="238">
        <f t="shared" ref="L90:L93" si="42">0.5*(MAX(J90:K90)-MIN(J90:K90))</f>
        <v>0</v>
      </c>
      <c r="M90" s="258">
        <v>1.2</v>
      </c>
      <c r="N90" s="235"/>
      <c r="O90" s="1094"/>
      <c r="P90" s="244">
        <v>0.01</v>
      </c>
      <c r="Q90" s="244">
        <v>0</v>
      </c>
      <c r="R90" s="257">
        <v>0</v>
      </c>
      <c r="S90" s="238">
        <f t="shared" ref="S90:S93" si="43">0.5*(MAX(Q90:R90)-MIN(Q90:R90))</f>
        <v>0</v>
      </c>
      <c r="T90" s="257">
        <v>1.2</v>
      </c>
    </row>
    <row r="91" spans="1:20" x14ac:dyDescent="0.25">
      <c r="A91" s="1094"/>
      <c r="B91" s="244">
        <v>0.1</v>
      </c>
      <c r="C91" s="248">
        <v>0</v>
      </c>
      <c r="D91" s="248">
        <v>0</v>
      </c>
      <c r="E91" s="238">
        <f t="shared" si="41"/>
        <v>0</v>
      </c>
      <c r="F91" s="244">
        <v>1.2</v>
      </c>
      <c r="G91" s="235"/>
      <c r="H91" s="1094"/>
      <c r="I91" s="244">
        <v>0.1</v>
      </c>
      <c r="J91" s="246">
        <v>0</v>
      </c>
      <c r="K91" s="248">
        <v>-2E-3</v>
      </c>
      <c r="L91" s="238">
        <f t="shared" si="42"/>
        <v>1E-3</v>
      </c>
      <c r="M91" s="258">
        <v>1.2</v>
      </c>
      <c r="N91" s="235"/>
      <c r="O91" s="1094"/>
      <c r="P91" s="244">
        <v>0.1</v>
      </c>
      <c r="Q91" s="246">
        <v>0</v>
      </c>
      <c r="R91" s="248">
        <v>-3.0000000000000001E-3</v>
      </c>
      <c r="S91" s="238">
        <f t="shared" si="43"/>
        <v>1.5E-3</v>
      </c>
      <c r="T91" s="257">
        <v>1.2</v>
      </c>
    </row>
    <row r="92" spans="1:20" x14ac:dyDescent="0.25">
      <c r="A92" s="1094"/>
      <c r="B92" s="244">
        <v>1</v>
      </c>
      <c r="C92" s="248">
        <v>-2.3E-3</v>
      </c>
      <c r="D92" s="248">
        <v>-2.3E-3</v>
      </c>
      <c r="E92" s="238">
        <f t="shared" si="41"/>
        <v>0</v>
      </c>
      <c r="F92" s="244">
        <v>1.2</v>
      </c>
      <c r="G92" s="235"/>
      <c r="H92" s="1094"/>
      <c r="I92" s="244">
        <v>1</v>
      </c>
      <c r="J92" s="246">
        <v>0</v>
      </c>
      <c r="K92" s="248">
        <v>-1E-3</v>
      </c>
      <c r="L92" s="238">
        <f t="shared" si="42"/>
        <v>5.0000000000000001E-4</v>
      </c>
      <c r="M92" s="258">
        <v>1.2</v>
      </c>
      <c r="N92" s="235"/>
      <c r="O92" s="1094"/>
      <c r="P92" s="244">
        <v>1</v>
      </c>
      <c r="Q92" s="246">
        <v>0</v>
      </c>
      <c r="R92" s="248">
        <v>-1E-3</v>
      </c>
      <c r="S92" s="238">
        <f t="shared" si="43"/>
        <v>5.0000000000000001E-4</v>
      </c>
      <c r="T92" s="257">
        <v>1.2</v>
      </c>
    </row>
    <row r="93" spans="1:20" x14ac:dyDescent="0.25">
      <c r="A93" s="1094"/>
      <c r="B93" s="244">
        <v>2</v>
      </c>
      <c r="C93" s="248">
        <v>0</v>
      </c>
      <c r="D93" s="248">
        <v>0</v>
      </c>
      <c r="E93" s="238">
        <f t="shared" si="41"/>
        <v>0</v>
      </c>
      <c r="F93" s="244">
        <v>1.2</v>
      </c>
      <c r="G93" s="235"/>
      <c r="H93" s="1094"/>
      <c r="I93" s="244">
        <v>2</v>
      </c>
      <c r="J93" s="246">
        <v>0</v>
      </c>
      <c r="K93" s="248">
        <v>-6.0000000000000001E-3</v>
      </c>
      <c r="L93" s="238">
        <f t="shared" si="42"/>
        <v>3.0000000000000001E-3</v>
      </c>
      <c r="M93" s="258">
        <v>1.2</v>
      </c>
      <c r="N93" s="235"/>
      <c r="O93" s="1094"/>
      <c r="P93" s="244">
        <v>2</v>
      </c>
      <c r="Q93" s="246">
        <v>0</v>
      </c>
      <c r="R93" s="248">
        <v>-6.0000000000000001E-3</v>
      </c>
      <c r="S93" s="238">
        <f t="shared" si="43"/>
        <v>3.0000000000000001E-3</v>
      </c>
      <c r="T93" s="257">
        <v>1.2</v>
      </c>
    </row>
    <row r="94" spans="1:20" ht="16.2" thickBot="1" x14ac:dyDescent="0.3">
      <c r="A94" s="252"/>
      <c r="B94" s="253"/>
      <c r="C94" s="254"/>
      <c r="D94" s="254"/>
      <c r="E94" s="254"/>
      <c r="F94" s="254"/>
      <c r="G94" s="235"/>
      <c r="H94" s="255"/>
      <c r="I94" s="256"/>
      <c r="J94" s="254"/>
      <c r="K94" s="254"/>
      <c r="L94" s="254"/>
      <c r="M94" s="254"/>
      <c r="N94" s="235"/>
      <c r="O94" s="255"/>
      <c r="P94" s="253"/>
      <c r="Q94" s="254"/>
      <c r="R94" s="235"/>
      <c r="S94" s="235"/>
      <c r="T94" s="250"/>
    </row>
    <row r="95" spans="1:20" ht="16.2" thickBot="1" x14ac:dyDescent="0.3">
      <c r="A95" s="1092"/>
      <c r="B95" s="1093"/>
      <c r="C95" s="1093"/>
      <c r="D95" s="1093"/>
      <c r="E95" s="1093"/>
      <c r="F95" s="1093"/>
      <c r="G95" s="1093"/>
      <c r="H95" s="1093"/>
      <c r="I95" s="1093"/>
      <c r="J95" s="1093"/>
      <c r="K95" s="1093"/>
      <c r="L95" s="1093"/>
      <c r="M95" s="1093"/>
      <c r="N95" s="1093"/>
      <c r="O95" s="1093"/>
      <c r="P95" s="1093"/>
      <c r="Q95" s="1093"/>
      <c r="R95" s="259"/>
      <c r="S95" s="259"/>
      <c r="T95" s="260"/>
    </row>
    <row r="96" spans="1:20" ht="13.8" thickBot="1" x14ac:dyDescent="0.3">
      <c r="A96" s="261"/>
      <c r="B96" s="262"/>
      <c r="C96" s="262"/>
    </row>
    <row r="97" spans="1:17" ht="13.8" x14ac:dyDescent="0.25">
      <c r="A97" s="1086" t="s">
        <v>43</v>
      </c>
      <c r="B97" s="1082" t="s">
        <v>302</v>
      </c>
      <c r="C97" s="1087" t="s">
        <v>282</v>
      </c>
      <c r="D97" s="1087"/>
      <c r="E97" s="1087"/>
      <c r="F97" s="1087"/>
      <c r="G97" s="1087"/>
      <c r="H97" s="263"/>
      <c r="I97" s="1086" t="s">
        <v>43</v>
      </c>
      <c r="J97" s="1082" t="s">
        <v>302</v>
      </c>
      <c r="K97" s="1087" t="s">
        <v>282</v>
      </c>
      <c r="L97" s="1087"/>
      <c r="M97" s="1087"/>
      <c r="N97" s="1087"/>
      <c r="O97" s="1087"/>
      <c r="Q97" s="229"/>
    </row>
    <row r="98" spans="1:17" x14ac:dyDescent="0.25">
      <c r="A98" s="1086"/>
      <c r="B98" s="1082"/>
      <c r="C98" s="1088" t="str">
        <f>B4</f>
        <v>Setting VAC</v>
      </c>
      <c r="D98" s="1088"/>
      <c r="E98" s="1088"/>
      <c r="F98" s="353" t="s">
        <v>284</v>
      </c>
      <c r="G98" s="353" t="s">
        <v>235</v>
      </c>
      <c r="I98" s="1086"/>
      <c r="J98" s="1082"/>
      <c r="K98" s="1089" t="str">
        <f>B12</f>
        <v>Current Leakage</v>
      </c>
      <c r="L98" s="1089"/>
      <c r="M98" s="1089"/>
      <c r="N98" s="353" t="s">
        <v>284</v>
      </c>
      <c r="O98" s="353" t="s">
        <v>235</v>
      </c>
      <c r="Q98" s="264"/>
    </row>
    <row r="99" spans="1:17" ht="13.8" x14ac:dyDescent="0.25">
      <c r="A99" s="1086"/>
      <c r="B99" s="1082"/>
      <c r="C99" s="354" t="s">
        <v>285</v>
      </c>
      <c r="D99" s="353"/>
      <c r="E99" s="353"/>
      <c r="F99" s="353"/>
      <c r="G99" s="353"/>
      <c r="I99" s="1086"/>
      <c r="J99" s="1082"/>
      <c r="K99" s="354" t="s">
        <v>287</v>
      </c>
      <c r="L99" s="353"/>
      <c r="M99" s="353"/>
      <c r="N99" s="353"/>
      <c r="O99" s="353"/>
      <c r="Q99" s="264"/>
    </row>
    <row r="100" spans="1:17" ht="13.8" x14ac:dyDescent="0.25">
      <c r="A100" s="1085" t="s">
        <v>47</v>
      </c>
      <c r="B100" s="265">
        <v>1</v>
      </c>
      <c r="C100" s="266">
        <f>B6</f>
        <v>150</v>
      </c>
      <c r="D100" s="266">
        <f t="shared" ref="D100:G100" si="44">C6</f>
        <v>0.76</v>
      </c>
      <c r="E100" s="266">
        <f t="shared" si="44"/>
        <v>0.31</v>
      </c>
      <c r="F100" s="266">
        <f t="shared" si="44"/>
        <v>0.22500000000000001</v>
      </c>
      <c r="G100" s="266">
        <f t="shared" si="44"/>
        <v>1.8</v>
      </c>
      <c r="I100" s="1085" t="s">
        <v>47</v>
      </c>
      <c r="J100" s="265">
        <v>1</v>
      </c>
      <c r="K100" s="267">
        <f>B14</f>
        <v>0</v>
      </c>
      <c r="L100" s="267">
        <f t="shared" ref="L100:O100" si="45">C14</f>
        <v>0</v>
      </c>
      <c r="M100" s="267">
        <f t="shared" si="45"/>
        <v>0</v>
      </c>
      <c r="N100" s="267">
        <f t="shared" si="45"/>
        <v>0</v>
      </c>
      <c r="O100" s="267">
        <f t="shared" si="45"/>
        <v>0.28999999999999998</v>
      </c>
    </row>
    <row r="101" spans="1:17" ht="13.8" x14ac:dyDescent="0.25">
      <c r="A101" s="1085"/>
      <c r="B101" s="268">
        <v>2</v>
      </c>
      <c r="C101" s="269">
        <f>I6</f>
        <v>150</v>
      </c>
      <c r="D101" s="269">
        <f t="shared" ref="D101:G101" si="46">J6</f>
        <v>0.23</v>
      </c>
      <c r="E101" s="269">
        <f t="shared" si="46"/>
        <v>0.15</v>
      </c>
      <c r="F101" s="269">
        <f t="shared" si="46"/>
        <v>4.0000000000000008E-2</v>
      </c>
      <c r="G101" s="269">
        <f t="shared" si="46"/>
        <v>1.8</v>
      </c>
      <c r="I101" s="1085"/>
      <c r="J101" s="268">
        <v>2</v>
      </c>
      <c r="K101" s="267">
        <f>I14</f>
        <v>0</v>
      </c>
      <c r="L101" s="267">
        <f t="shared" ref="L101:O101" si="47">J14</f>
        <v>0</v>
      </c>
      <c r="M101" s="267">
        <f t="shared" si="47"/>
        <v>0</v>
      </c>
      <c r="N101" s="267">
        <f t="shared" si="47"/>
        <v>0</v>
      </c>
      <c r="O101" s="267">
        <f t="shared" si="47"/>
        <v>0.28999999999999998</v>
      </c>
    </row>
    <row r="102" spans="1:17" x14ac:dyDescent="0.25">
      <c r="A102" s="1085"/>
      <c r="B102" s="270">
        <v>3</v>
      </c>
      <c r="C102" s="269">
        <f>P6</f>
        <v>150</v>
      </c>
      <c r="D102" s="269">
        <f t="shared" ref="D102:G102" si="48">Q6</f>
        <v>-1.6</v>
      </c>
      <c r="E102" s="269">
        <f t="shared" si="48"/>
        <v>-7.0000000000000007E-2</v>
      </c>
      <c r="F102" s="269">
        <f t="shared" si="48"/>
        <v>0.76500000000000001</v>
      </c>
      <c r="G102" s="269">
        <f t="shared" si="48"/>
        <v>1.8</v>
      </c>
      <c r="I102" s="1085"/>
      <c r="J102" s="270">
        <v>3</v>
      </c>
      <c r="K102" s="267">
        <f>P14</f>
        <v>0</v>
      </c>
      <c r="L102" s="267">
        <f t="shared" ref="L102:O102" si="49">Q14</f>
        <v>0</v>
      </c>
      <c r="M102" s="267">
        <f t="shared" si="49"/>
        <v>0</v>
      </c>
      <c r="N102" s="267">
        <f t="shared" si="49"/>
        <v>0</v>
      </c>
      <c r="O102" s="267">
        <f t="shared" si="49"/>
        <v>0.59</v>
      </c>
    </row>
    <row r="103" spans="1:17" x14ac:dyDescent="0.25">
      <c r="A103" s="1085"/>
      <c r="B103" s="270">
        <v>4</v>
      </c>
      <c r="C103" s="269">
        <f>B37</f>
        <v>150</v>
      </c>
      <c r="D103" s="269">
        <f t="shared" ref="D103:G103" si="50">C37</f>
        <v>-0.05</v>
      </c>
      <c r="E103" s="269">
        <f t="shared" si="50"/>
        <v>0.11</v>
      </c>
      <c r="F103" s="269">
        <f t="shared" si="50"/>
        <v>0.08</v>
      </c>
      <c r="G103" s="269">
        <f t="shared" si="50"/>
        <v>1.8</v>
      </c>
      <c r="I103" s="1085"/>
      <c r="J103" s="270">
        <v>4</v>
      </c>
      <c r="K103" s="267">
        <f>B45</f>
        <v>0</v>
      </c>
      <c r="L103" s="267">
        <f t="shared" ref="L103:O103" si="51">C45</f>
        <v>0</v>
      </c>
      <c r="M103" s="267">
        <f t="shared" si="51"/>
        <v>0</v>
      </c>
      <c r="N103" s="267">
        <f t="shared" si="51"/>
        <v>0</v>
      </c>
      <c r="O103" s="267">
        <f t="shared" si="51"/>
        <v>0.59</v>
      </c>
    </row>
    <row r="104" spans="1:17" x14ac:dyDescent="0.25">
      <c r="A104" s="1085"/>
      <c r="B104" s="270">
        <v>5</v>
      </c>
      <c r="C104" s="269">
        <f>I37</f>
        <v>150</v>
      </c>
      <c r="D104" s="269">
        <f t="shared" ref="D104:G104" si="52">J37</f>
        <v>0.25</v>
      </c>
      <c r="E104" s="269">
        <f t="shared" si="52"/>
        <v>0.02</v>
      </c>
      <c r="F104" s="269">
        <f t="shared" si="52"/>
        <v>0.115</v>
      </c>
      <c r="G104" s="269">
        <f t="shared" si="52"/>
        <v>1.8</v>
      </c>
      <c r="I104" s="1085"/>
      <c r="J104" s="270">
        <v>5</v>
      </c>
      <c r="K104" s="267">
        <f>I45</f>
        <v>0</v>
      </c>
      <c r="L104" s="267">
        <f t="shared" ref="L104:O104" si="53">J45</f>
        <v>0</v>
      </c>
      <c r="M104" s="267">
        <f t="shared" si="53"/>
        <v>0</v>
      </c>
      <c r="N104" s="267">
        <f t="shared" si="53"/>
        <v>0</v>
      </c>
      <c r="O104" s="267">
        <f t="shared" si="53"/>
        <v>0.59</v>
      </c>
    </row>
    <row r="105" spans="1:17" x14ac:dyDescent="0.25">
      <c r="A105" s="1085"/>
      <c r="B105" s="270">
        <v>6</v>
      </c>
      <c r="C105" s="269">
        <f>P37</f>
        <v>150</v>
      </c>
      <c r="D105" s="269">
        <f t="shared" ref="D105:G105" si="54">Q37</f>
        <v>0.03</v>
      </c>
      <c r="E105" s="269">
        <f t="shared" si="54"/>
        <v>-0.15</v>
      </c>
      <c r="F105" s="269">
        <f t="shared" si="54"/>
        <v>0.09</v>
      </c>
      <c r="G105" s="269">
        <f t="shared" si="54"/>
        <v>1.8</v>
      </c>
      <c r="I105" s="1085"/>
      <c r="J105" s="270">
        <v>6</v>
      </c>
      <c r="K105" s="267">
        <f>P45</f>
        <v>0</v>
      </c>
      <c r="L105" s="267">
        <f t="shared" ref="L105:O105" si="55">Q45</f>
        <v>0</v>
      </c>
      <c r="M105" s="267">
        <f t="shared" si="55"/>
        <v>0</v>
      </c>
      <c r="N105" s="267">
        <f t="shared" si="55"/>
        <v>0</v>
      </c>
      <c r="O105" s="267">
        <f t="shared" si="55"/>
        <v>0.59</v>
      </c>
    </row>
    <row r="106" spans="1:17" x14ac:dyDescent="0.25">
      <c r="A106" s="1085"/>
      <c r="B106" s="270">
        <v>7</v>
      </c>
      <c r="C106" s="269">
        <f>B68</f>
        <v>150</v>
      </c>
      <c r="D106" s="269">
        <f t="shared" ref="D106:G106" si="56">C68</f>
        <v>0.21</v>
      </c>
      <c r="E106" s="269">
        <f t="shared" si="56"/>
        <v>0.21</v>
      </c>
      <c r="F106" s="269">
        <f t="shared" si="56"/>
        <v>0</v>
      </c>
      <c r="G106" s="269">
        <f t="shared" si="56"/>
        <v>1.8</v>
      </c>
      <c r="I106" s="1085"/>
      <c r="J106" s="270">
        <v>7</v>
      </c>
      <c r="K106" s="267">
        <f>B76</f>
        <v>0</v>
      </c>
      <c r="L106" s="267">
        <f t="shared" ref="L106:O106" si="57">C76</f>
        <v>0</v>
      </c>
      <c r="M106" s="267">
        <f t="shared" si="57"/>
        <v>0</v>
      </c>
      <c r="N106" s="267">
        <f t="shared" si="57"/>
        <v>0</v>
      </c>
      <c r="O106" s="267">
        <f t="shared" si="57"/>
        <v>0.59</v>
      </c>
    </row>
    <row r="107" spans="1:17" x14ac:dyDescent="0.25">
      <c r="A107" s="1085"/>
      <c r="B107" s="270">
        <v>8</v>
      </c>
      <c r="C107" s="269">
        <f>I68</f>
        <v>150</v>
      </c>
      <c r="D107" s="269">
        <f t="shared" ref="D107:G107" si="58">J68</f>
        <v>0</v>
      </c>
      <c r="E107" s="269">
        <f t="shared" si="58"/>
        <v>-0.17</v>
      </c>
      <c r="F107" s="269">
        <f t="shared" si="58"/>
        <v>8.5000000000000006E-2</v>
      </c>
      <c r="G107" s="269">
        <f t="shared" si="58"/>
        <v>1.8</v>
      </c>
      <c r="I107" s="1085"/>
      <c r="J107" s="270">
        <v>8</v>
      </c>
      <c r="K107" s="267">
        <f>I76</f>
        <v>0</v>
      </c>
      <c r="L107" s="267">
        <f t="shared" ref="L107:O107" si="59">J76</f>
        <v>0</v>
      </c>
      <c r="M107" s="267">
        <f t="shared" si="59"/>
        <v>0</v>
      </c>
      <c r="N107" s="267">
        <f t="shared" si="59"/>
        <v>0</v>
      </c>
      <c r="O107" s="267">
        <f t="shared" si="59"/>
        <v>0.59</v>
      </c>
    </row>
    <row r="108" spans="1:17" x14ac:dyDescent="0.25">
      <c r="A108" s="1085"/>
      <c r="B108" s="270">
        <v>9</v>
      </c>
      <c r="C108" s="269">
        <f>P68</f>
        <v>150</v>
      </c>
      <c r="D108" s="269">
        <f t="shared" ref="D108:G108" si="60">Q68</f>
        <v>0</v>
      </c>
      <c r="E108" s="269">
        <f t="shared" si="60"/>
        <v>-0.24</v>
      </c>
      <c r="F108" s="269">
        <f t="shared" si="60"/>
        <v>0.12</v>
      </c>
      <c r="G108" s="269">
        <f t="shared" si="60"/>
        <v>1.8</v>
      </c>
      <c r="I108" s="1085"/>
      <c r="J108" s="270">
        <v>9</v>
      </c>
      <c r="K108" s="267">
        <f>P76</f>
        <v>0</v>
      </c>
      <c r="L108" s="267">
        <f t="shared" ref="L108:O108" si="61">Q76</f>
        <v>0</v>
      </c>
      <c r="M108" s="267">
        <f t="shared" si="61"/>
        <v>0</v>
      </c>
      <c r="N108" s="267">
        <f t="shared" si="61"/>
        <v>0</v>
      </c>
      <c r="O108" s="267">
        <f t="shared" si="61"/>
        <v>0.59</v>
      </c>
    </row>
    <row r="109" spans="1:17" ht="13.8" x14ac:dyDescent="0.25">
      <c r="A109" s="1085" t="s">
        <v>48</v>
      </c>
      <c r="B109" s="265">
        <v>1</v>
      </c>
      <c r="C109" s="266">
        <f>B7</f>
        <v>180</v>
      </c>
      <c r="D109" s="266">
        <f t="shared" ref="D109:G109" si="62">C7</f>
        <v>-0.13</v>
      </c>
      <c r="E109" s="266">
        <f t="shared" si="62"/>
        <v>0.1</v>
      </c>
      <c r="F109" s="266">
        <f t="shared" si="62"/>
        <v>0.115</v>
      </c>
      <c r="G109" s="266">
        <f t="shared" si="62"/>
        <v>2.16</v>
      </c>
      <c r="I109" s="1085" t="s">
        <v>48</v>
      </c>
      <c r="J109" s="265">
        <v>1</v>
      </c>
      <c r="K109" s="271">
        <f>B15</f>
        <v>50</v>
      </c>
      <c r="L109" s="271">
        <f t="shared" ref="L109:O109" si="63">C15</f>
        <v>-0.06</v>
      </c>
      <c r="M109" s="271">
        <f t="shared" si="63"/>
        <v>0.1</v>
      </c>
      <c r="N109" s="271">
        <f t="shared" si="63"/>
        <v>0.08</v>
      </c>
      <c r="O109" s="271">
        <f t="shared" si="63"/>
        <v>0.28999999999999998</v>
      </c>
    </row>
    <row r="110" spans="1:17" ht="13.8" x14ac:dyDescent="0.25">
      <c r="A110" s="1085"/>
      <c r="B110" s="268">
        <v>2</v>
      </c>
      <c r="C110" s="271">
        <f>I7</f>
        <v>180</v>
      </c>
      <c r="D110" s="271">
        <f t="shared" ref="D110:G110" si="64">J7</f>
        <v>-0.06</v>
      </c>
      <c r="E110" s="272">
        <f t="shared" si="64"/>
        <v>0.12</v>
      </c>
      <c r="F110" s="271">
        <f t="shared" si="64"/>
        <v>0.09</v>
      </c>
      <c r="G110" s="271">
        <f t="shared" si="64"/>
        <v>2.16</v>
      </c>
      <c r="I110" s="1085"/>
      <c r="J110" s="268">
        <v>2</v>
      </c>
      <c r="K110" s="271">
        <f>I15</f>
        <v>50</v>
      </c>
      <c r="L110" s="271">
        <f t="shared" ref="L110:O110" si="65">J15</f>
        <v>0.1</v>
      </c>
      <c r="M110" s="272">
        <f t="shared" si="65"/>
        <v>0.1</v>
      </c>
      <c r="N110" s="271">
        <f t="shared" si="65"/>
        <v>0</v>
      </c>
      <c r="O110" s="271">
        <f t="shared" si="65"/>
        <v>0.28999999999999998</v>
      </c>
    </row>
    <row r="111" spans="1:17" x14ac:dyDescent="0.25">
      <c r="A111" s="1085"/>
      <c r="B111" s="270">
        <v>3</v>
      </c>
      <c r="C111" s="271">
        <f>P7</f>
        <v>180</v>
      </c>
      <c r="D111" s="271">
        <f t="shared" ref="D111:G111" si="66">Q7</f>
        <v>-1.9</v>
      </c>
      <c r="E111" s="271">
        <f t="shared" si="66"/>
        <v>-0.13</v>
      </c>
      <c r="F111" s="271">
        <f t="shared" si="66"/>
        <v>0.88500000000000001</v>
      </c>
      <c r="G111" s="271">
        <f t="shared" si="66"/>
        <v>2.16</v>
      </c>
      <c r="I111" s="1085"/>
      <c r="J111" s="270">
        <v>3</v>
      </c>
      <c r="K111" s="271">
        <f>P15</f>
        <v>50</v>
      </c>
      <c r="L111" s="271">
        <f t="shared" ref="L111:O111" si="67">Q15</f>
        <v>2.1</v>
      </c>
      <c r="M111" s="271">
        <f t="shared" si="67"/>
        <v>2</v>
      </c>
      <c r="N111" s="271">
        <f t="shared" si="67"/>
        <v>5.0000000000000044E-2</v>
      </c>
      <c r="O111" s="271">
        <f t="shared" si="67"/>
        <v>0.59</v>
      </c>
    </row>
    <row r="112" spans="1:17" x14ac:dyDescent="0.25">
      <c r="A112" s="1085"/>
      <c r="B112" s="270">
        <v>4</v>
      </c>
      <c r="C112" s="271">
        <f>B38</f>
        <v>180</v>
      </c>
      <c r="D112" s="271">
        <f t="shared" ref="D112:G112" si="68">C38</f>
        <v>-0.04</v>
      </c>
      <c r="E112" s="271">
        <f t="shared" si="68"/>
        <v>0.03</v>
      </c>
      <c r="F112" s="271">
        <f t="shared" si="68"/>
        <v>3.5000000000000003E-2</v>
      </c>
      <c r="G112" s="271">
        <f t="shared" si="68"/>
        <v>2.16</v>
      </c>
      <c r="I112" s="1085"/>
      <c r="J112" s="270">
        <v>4</v>
      </c>
      <c r="K112" s="271">
        <f>B46</f>
        <v>50</v>
      </c>
      <c r="L112" s="271">
        <f t="shared" ref="L112:O112" si="69">C46</f>
        <v>0.4</v>
      </c>
      <c r="M112" s="271">
        <f t="shared" si="69"/>
        <v>0.2</v>
      </c>
      <c r="N112" s="271">
        <f t="shared" si="69"/>
        <v>0.1</v>
      </c>
      <c r="O112" s="271">
        <f t="shared" si="69"/>
        <v>0.59</v>
      </c>
    </row>
    <row r="113" spans="1:15" x14ac:dyDescent="0.25">
      <c r="A113" s="1085"/>
      <c r="B113" s="270">
        <v>5</v>
      </c>
      <c r="C113" s="271">
        <f>I38</f>
        <v>180</v>
      </c>
      <c r="D113" s="271">
        <f t="shared" ref="D113:G113" si="70">J38</f>
        <v>0.09</v>
      </c>
      <c r="E113" s="271">
        <f t="shared" si="70"/>
        <v>0.1</v>
      </c>
      <c r="F113" s="271">
        <f t="shared" si="70"/>
        <v>5.0000000000000044E-3</v>
      </c>
      <c r="G113" s="271">
        <f t="shared" si="70"/>
        <v>2.16</v>
      </c>
      <c r="I113" s="1085"/>
      <c r="J113" s="270">
        <v>5</v>
      </c>
      <c r="K113" s="271">
        <f>I46</f>
        <v>50</v>
      </c>
      <c r="L113" s="271">
        <f t="shared" ref="L113:O113" si="71">J46</f>
        <v>1.2</v>
      </c>
      <c r="M113" s="271">
        <f t="shared" si="71"/>
        <v>-0.33</v>
      </c>
      <c r="N113" s="271">
        <f t="shared" si="71"/>
        <v>0.76500000000000001</v>
      </c>
      <c r="O113" s="271">
        <f t="shared" si="71"/>
        <v>0.59</v>
      </c>
    </row>
    <row r="114" spans="1:15" x14ac:dyDescent="0.25">
      <c r="A114" s="1085"/>
      <c r="B114" s="270">
        <v>6</v>
      </c>
      <c r="C114" s="271">
        <f>P38</f>
        <v>180</v>
      </c>
      <c r="D114" s="271">
        <f t="shared" ref="D114:G114" si="72">Q38</f>
        <v>0</v>
      </c>
      <c r="E114" s="271">
        <f t="shared" si="72"/>
        <v>-0.11</v>
      </c>
      <c r="F114" s="271">
        <f t="shared" si="72"/>
        <v>5.5E-2</v>
      </c>
      <c r="G114" s="271">
        <f t="shared" si="72"/>
        <v>2.16</v>
      </c>
      <c r="I114" s="1085"/>
      <c r="J114" s="270">
        <v>6</v>
      </c>
      <c r="K114" s="271">
        <f>P46</f>
        <v>50</v>
      </c>
      <c r="L114" s="271">
        <f t="shared" ref="L114:O114" si="73">Q46</f>
        <v>2.1</v>
      </c>
      <c r="M114" s="271">
        <f t="shared" si="73"/>
        <v>2.6</v>
      </c>
      <c r="N114" s="271">
        <f t="shared" si="73"/>
        <v>0.25</v>
      </c>
      <c r="O114" s="271">
        <f t="shared" si="73"/>
        <v>0.59</v>
      </c>
    </row>
    <row r="115" spans="1:15" x14ac:dyDescent="0.25">
      <c r="A115" s="1085"/>
      <c r="B115" s="270">
        <v>7</v>
      </c>
      <c r="C115" s="271">
        <f>B69</f>
        <v>180</v>
      </c>
      <c r="D115" s="271">
        <f t="shared" ref="D115:G115" si="74">C69</f>
        <v>0.33</v>
      </c>
      <c r="E115" s="271">
        <f t="shared" si="74"/>
        <v>0.33</v>
      </c>
      <c r="F115" s="271">
        <f t="shared" si="74"/>
        <v>0</v>
      </c>
      <c r="G115" s="271">
        <f t="shared" si="74"/>
        <v>2.16</v>
      </c>
      <c r="I115" s="1085"/>
      <c r="J115" s="270">
        <v>7</v>
      </c>
      <c r="K115" s="271">
        <f>B77</f>
        <v>50</v>
      </c>
      <c r="L115" s="271">
        <f t="shared" ref="L115:O115" si="75">C77</f>
        <v>1.7</v>
      </c>
      <c r="M115" s="271">
        <f t="shared" si="75"/>
        <v>1.7</v>
      </c>
      <c r="N115" s="271">
        <f t="shared" si="75"/>
        <v>0</v>
      </c>
      <c r="O115" s="271">
        <f t="shared" si="75"/>
        <v>0.59</v>
      </c>
    </row>
    <row r="116" spans="1:15" x14ac:dyDescent="0.25">
      <c r="A116" s="1085"/>
      <c r="B116" s="270">
        <v>8</v>
      </c>
      <c r="C116" s="271">
        <f>I69</f>
        <v>180</v>
      </c>
      <c r="D116" s="271">
        <f t="shared" ref="D116:G116" si="76">J69</f>
        <v>0</v>
      </c>
      <c r="E116" s="271">
        <f t="shared" si="76"/>
        <v>-0.22</v>
      </c>
      <c r="F116" s="271">
        <f t="shared" si="76"/>
        <v>0.11</v>
      </c>
      <c r="G116" s="271">
        <f t="shared" si="76"/>
        <v>2.16</v>
      </c>
      <c r="I116" s="1085"/>
      <c r="J116" s="270">
        <v>8</v>
      </c>
      <c r="K116" s="271">
        <f>I77</f>
        <v>50</v>
      </c>
      <c r="L116" s="271">
        <f t="shared" ref="L116:O116" si="77">J77</f>
        <v>0</v>
      </c>
      <c r="M116" s="271">
        <f t="shared" si="77"/>
        <v>1.7</v>
      </c>
      <c r="N116" s="271">
        <f t="shared" si="77"/>
        <v>0.85</v>
      </c>
      <c r="O116" s="271">
        <f t="shared" si="77"/>
        <v>0.59</v>
      </c>
    </row>
    <row r="117" spans="1:15" x14ac:dyDescent="0.25">
      <c r="A117" s="1085"/>
      <c r="B117" s="270">
        <v>9</v>
      </c>
      <c r="C117" s="271">
        <f>P69</f>
        <v>180</v>
      </c>
      <c r="D117" s="271">
        <f t="shared" ref="D117:G117" si="78">Q69</f>
        <v>0</v>
      </c>
      <c r="E117" s="271">
        <f t="shared" si="78"/>
        <v>-0.14000000000000001</v>
      </c>
      <c r="F117" s="271">
        <f t="shared" si="78"/>
        <v>7.0000000000000007E-2</v>
      </c>
      <c r="G117" s="271">
        <f t="shared" si="78"/>
        <v>2.16</v>
      </c>
      <c r="I117" s="1085"/>
      <c r="J117" s="270">
        <v>9</v>
      </c>
      <c r="K117" s="271">
        <f>P77</f>
        <v>50</v>
      </c>
      <c r="L117" s="271">
        <f t="shared" ref="L117:O117" si="79">Q77</f>
        <v>0</v>
      </c>
      <c r="M117" s="271">
        <f t="shared" si="79"/>
        <v>2.1</v>
      </c>
      <c r="N117" s="271">
        <f t="shared" si="79"/>
        <v>1.05</v>
      </c>
      <c r="O117" s="271">
        <f t="shared" si="79"/>
        <v>0.59</v>
      </c>
    </row>
    <row r="118" spans="1:15" ht="13.8" x14ac:dyDescent="0.25">
      <c r="A118" s="1085" t="s">
        <v>49</v>
      </c>
      <c r="B118" s="265">
        <v>1</v>
      </c>
      <c r="C118" s="266">
        <f>B8</f>
        <v>200</v>
      </c>
      <c r="D118" s="266">
        <f t="shared" ref="D118:G118" si="80">C8</f>
        <v>-0.16</v>
      </c>
      <c r="E118" s="266">
        <f t="shared" si="80"/>
        <v>-0.04</v>
      </c>
      <c r="F118" s="266">
        <f t="shared" si="80"/>
        <v>0.06</v>
      </c>
      <c r="G118" s="266">
        <f t="shared" si="80"/>
        <v>2.4</v>
      </c>
      <c r="I118" s="1085" t="s">
        <v>49</v>
      </c>
      <c r="J118" s="265">
        <v>1</v>
      </c>
      <c r="K118" s="271">
        <f>B16</f>
        <v>100</v>
      </c>
      <c r="L118" s="271">
        <f t="shared" ref="L118:O118" si="81">C16</f>
        <v>-0.06</v>
      </c>
      <c r="M118" s="271">
        <f t="shared" si="81"/>
        <v>0.2</v>
      </c>
      <c r="N118" s="271">
        <f t="shared" si="81"/>
        <v>0.13</v>
      </c>
      <c r="O118" s="271">
        <f t="shared" si="81"/>
        <v>0.28999999999999998</v>
      </c>
    </row>
    <row r="119" spans="1:15" ht="13.8" x14ac:dyDescent="0.25">
      <c r="A119" s="1085"/>
      <c r="B119" s="268">
        <v>2</v>
      </c>
      <c r="C119" s="266">
        <f>I8</f>
        <v>200</v>
      </c>
      <c r="D119" s="266">
        <f t="shared" ref="D119:G119" si="82">J8</f>
        <v>-0.18</v>
      </c>
      <c r="E119" s="266">
        <f t="shared" si="82"/>
        <v>0.06</v>
      </c>
      <c r="F119" s="266">
        <f t="shared" si="82"/>
        <v>0.12</v>
      </c>
      <c r="G119" s="266">
        <f t="shared" si="82"/>
        <v>2.4</v>
      </c>
      <c r="I119" s="1085"/>
      <c r="J119" s="268">
        <v>2</v>
      </c>
      <c r="K119" s="271">
        <f>I16</f>
        <v>100</v>
      </c>
      <c r="L119" s="271">
        <f t="shared" ref="L119:O119" si="83">J16</f>
        <v>2.2000000000000002</v>
      </c>
      <c r="M119" s="271">
        <f t="shared" si="83"/>
        <v>0.4</v>
      </c>
      <c r="N119" s="271">
        <f t="shared" si="83"/>
        <v>0.90000000000000013</v>
      </c>
      <c r="O119" s="271">
        <f t="shared" si="83"/>
        <v>0.28999999999999998</v>
      </c>
    </row>
    <row r="120" spans="1:15" x14ac:dyDescent="0.25">
      <c r="A120" s="1085"/>
      <c r="B120" s="270">
        <v>3</v>
      </c>
      <c r="C120" s="271">
        <f>P8</f>
        <v>200</v>
      </c>
      <c r="D120" s="271">
        <f t="shared" ref="D120:G120" si="84">Q8</f>
        <v>-2.14</v>
      </c>
      <c r="E120" s="271">
        <f t="shared" si="84"/>
        <v>-0.26</v>
      </c>
      <c r="F120" s="271">
        <f t="shared" si="84"/>
        <v>0.94000000000000006</v>
      </c>
      <c r="G120" s="271">
        <f t="shared" si="84"/>
        <v>2.4</v>
      </c>
      <c r="I120" s="1085"/>
      <c r="J120" s="270">
        <v>3</v>
      </c>
      <c r="K120" s="271">
        <f>P16</f>
        <v>100</v>
      </c>
      <c r="L120" s="271">
        <f t="shared" ref="L120:O120" si="85">Q16</f>
        <v>2.2999999999999998</v>
      </c>
      <c r="M120" s="271">
        <f t="shared" si="85"/>
        <v>2</v>
      </c>
      <c r="N120" s="271">
        <f t="shared" si="85"/>
        <v>0.14999999999999991</v>
      </c>
      <c r="O120" s="271">
        <f t="shared" si="85"/>
        <v>0.59</v>
      </c>
    </row>
    <row r="121" spans="1:15" x14ac:dyDescent="0.25">
      <c r="A121" s="1085"/>
      <c r="B121" s="270">
        <v>4</v>
      </c>
      <c r="C121" s="271">
        <f>B39</f>
        <v>200</v>
      </c>
      <c r="D121" s="271">
        <f t="shared" ref="D121:G121" si="86">C39</f>
        <v>-0.67</v>
      </c>
      <c r="E121" s="271">
        <f t="shared" si="86"/>
        <v>0.05</v>
      </c>
      <c r="F121" s="271">
        <f t="shared" si="86"/>
        <v>0.36000000000000004</v>
      </c>
      <c r="G121" s="271">
        <f t="shared" si="86"/>
        <v>2.4</v>
      </c>
      <c r="I121" s="1085"/>
      <c r="J121" s="270">
        <v>4</v>
      </c>
      <c r="K121" s="271">
        <f>B47</f>
        <v>100</v>
      </c>
      <c r="L121" s="271">
        <f t="shared" ref="L121:O121" si="87">C47</f>
        <v>0.4</v>
      </c>
      <c r="M121" s="271">
        <f t="shared" si="87"/>
        <v>0.3</v>
      </c>
      <c r="N121" s="271">
        <f t="shared" si="87"/>
        <v>5.0000000000000017E-2</v>
      </c>
      <c r="O121" s="271">
        <f t="shared" si="87"/>
        <v>0.59</v>
      </c>
    </row>
    <row r="122" spans="1:15" x14ac:dyDescent="0.25">
      <c r="A122" s="1085"/>
      <c r="B122" s="270">
        <v>5</v>
      </c>
      <c r="C122" s="271">
        <f>I39</f>
        <v>200</v>
      </c>
      <c r="D122" s="271">
        <f t="shared" ref="D122:G122" si="88">J39</f>
        <v>0.18</v>
      </c>
      <c r="E122" s="271">
        <f t="shared" si="88"/>
        <v>-0.03</v>
      </c>
      <c r="F122" s="271">
        <f t="shared" si="88"/>
        <v>0.105</v>
      </c>
      <c r="G122" s="271">
        <f t="shared" si="88"/>
        <v>2.4</v>
      </c>
      <c r="I122" s="1085"/>
      <c r="J122" s="270">
        <v>5</v>
      </c>
      <c r="K122" s="271">
        <f>I47</f>
        <v>100</v>
      </c>
      <c r="L122" s="271">
        <f t="shared" ref="L122:O122" si="89">J47</f>
        <v>3.9</v>
      </c>
      <c r="M122" s="271">
        <f t="shared" si="89"/>
        <v>-0.42</v>
      </c>
      <c r="N122" s="271">
        <f t="shared" si="89"/>
        <v>2.16</v>
      </c>
      <c r="O122" s="271">
        <f t="shared" si="89"/>
        <v>0.59</v>
      </c>
    </row>
    <row r="123" spans="1:15" x14ac:dyDescent="0.25">
      <c r="A123" s="1085"/>
      <c r="B123" s="270">
        <v>6</v>
      </c>
      <c r="C123" s="271">
        <f>P39</f>
        <v>200</v>
      </c>
      <c r="D123" s="271">
        <f t="shared" ref="D123:G123" si="90">Q39</f>
        <v>0.05</v>
      </c>
      <c r="E123" s="271">
        <f t="shared" si="90"/>
        <v>-0.1</v>
      </c>
      <c r="F123" s="271">
        <f t="shared" si="90"/>
        <v>7.5000000000000011E-2</v>
      </c>
      <c r="G123" s="271">
        <f t="shared" si="90"/>
        <v>2.4</v>
      </c>
      <c r="I123" s="1085"/>
      <c r="J123" s="270">
        <v>6</v>
      </c>
      <c r="K123" s="271">
        <f>P47</f>
        <v>100</v>
      </c>
      <c r="L123" s="271">
        <f t="shared" ref="L123:O123" si="91">Q47</f>
        <v>2.2999999999999998</v>
      </c>
      <c r="M123" s="271">
        <f t="shared" si="91"/>
        <v>2.6</v>
      </c>
      <c r="N123" s="271">
        <f t="shared" si="91"/>
        <v>0.15000000000000013</v>
      </c>
      <c r="O123" s="271">
        <f t="shared" si="91"/>
        <v>0.59</v>
      </c>
    </row>
    <row r="124" spans="1:15" x14ac:dyDescent="0.25">
      <c r="A124" s="1085"/>
      <c r="B124" s="270">
        <v>7</v>
      </c>
      <c r="C124" s="271">
        <f>B70</f>
        <v>200</v>
      </c>
      <c r="D124" s="271">
        <f t="shared" ref="D124:G124" si="92">C70</f>
        <v>0.34</v>
      </c>
      <c r="E124" s="271">
        <f t="shared" si="92"/>
        <v>0.34</v>
      </c>
      <c r="F124" s="271">
        <f t="shared" si="92"/>
        <v>0</v>
      </c>
      <c r="G124" s="271">
        <f t="shared" si="92"/>
        <v>2.4</v>
      </c>
      <c r="I124" s="1085"/>
      <c r="J124" s="270">
        <v>7</v>
      </c>
      <c r="K124" s="271">
        <f>B78</f>
        <v>100</v>
      </c>
      <c r="L124" s="271">
        <f t="shared" ref="L124:O124" si="93">C78</f>
        <v>1.7</v>
      </c>
      <c r="M124" s="271">
        <f t="shared" si="93"/>
        <v>1.7</v>
      </c>
      <c r="N124" s="271">
        <f t="shared" si="93"/>
        <v>0</v>
      </c>
      <c r="O124" s="271">
        <f t="shared" si="93"/>
        <v>0.59</v>
      </c>
    </row>
    <row r="125" spans="1:15" x14ac:dyDescent="0.25">
      <c r="A125" s="1085"/>
      <c r="B125" s="270">
        <v>8</v>
      </c>
      <c r="C125" s="271">
        <f>I70</f>
        <v>200</v>
      </c>
      <c r="D125" s="271">
        <f t="shared" ref="D125:G125" si="94">J70</f>
        <v>0</v>
      </c>
      <c r="E125" s="271">
        <f t="shared" si="94"/>
        <v>-0.33</v>
      </c>
      <c r="F125" s="271">
        <f t="shared" si="94"/>
        <v>0.16500000000000001</v>
      </c>
      <c r="G125" s="271">
        <f t="shared" si="94"/>
        <v>2.4</v>
      </c>
      <c r="I125" s="1085"/>
      <c r="J125" s="270">
        <v>8</v>
      </c>
      <c r="K125" s="271">
        <f>I78</f>
        <v>100</v>
      </c>
      <c r="L125" s="271">
        <f t="shared" ref="L125:O125" si="95">J78</f>
        <v>0</v>
      </c>
      <c r="M125" s="271">
        <f t="shared" si="95"/>
        <v>3.4</v>
      </c>
      <c r="N125" s="271">
        <f t="shared" si="95"/>
        <v>1.7</v>
      </c>
      <c r="O125" s="271">
        <f t="shared" si="95"/>
        <v>0.59</v>
      </c>
    </row>
    <row r="126" spans="1:15" x14ac:dyDescent="0.25">
      <c r="A126" s="1085"/>
      <c r="B126" s="270">
        <v>9</v>
      </c>
      <c r="C126" s="271">
        <f>P70</f>
        <v>200</v>
      </c>
      <c r="D126" s="271">
        <f t="shared" ref="D126:G126" si="96">Q70</f>
        <v>0</v>
      </c>
      <c r="E126" s="271">
        <f t="shared" si="96"/>
        <v>-0.33</v>
      </c>
      <c r="F126" s="271">
        <f t="shared" si="96"/>
        <v>0.16500000000000001</v>
      </c>
      <c r="G126" s="271">
        <f t="shared" si="96"/>
        <v>2.4</v>
      </c>
      <c r="I126" s="1085"/>
      <c r="J126" s="270">
        <v>9</v>
      </c>
      <c r="K126" s="271">
        <f>P78</f>
        <v>100</v>
      </c>
      <c r="L126" s="271">
        <f t="shared" ref="L126:O126" si="97">Q78</f>
        <v>0</v>
      </c>
      <c r="M126" s="271">
        <f t="shared" si="97"/>
        <v>3.7</v>
      </c>
      <c r="N126" s="271">
        <f t="shared" si="97"/>
        <v>1.85</v>
      </c>
      <c r="O126" s="271">
        <f t="shared" si="97"/>
        <v>0.59</v>
      </c>
    </row>
    <row r="127" spans="1:15" ht="13.8" x14ac:dyDescent="0.25">
      <c r="A127" s="1085" t="s">
        <v>303</v>
      </c>
      <c r="B127" s="265">
        <v>1</v>
      </c>
      <c r="C127" s="266">
        <f>B9</f>
        <v>220</v>
      </c>
      <c r="D127" s="266">
        <f t="shared" ref="D127:G127" si="98">C9</f>
        <v>-0.18</v>
      </c>
      <c r="E127" s="266">
        <f t="shared" si="98"/>
        <v>-0.28000000000000003</v>
      </c>
      <c r="F127" s="266">
        <f t="shared" si="98"/>
        <v>5.0000000000000017E-2</v>
      </c>
      <c r="G127" s="266">
        <f t="shared" si="98"/>
        <v>2.64</v>
      </c>
      <c r="I127" s="1085" t="s">
        <v>303</v>
      </c>
      <c r="J127" s="265">
        <v>1</v>
      </c>
      <c r="K127" s="271">
        <f>B17</f>
        <v>200</v>
      </c>
      <c r="L127" s="271">
        <f t="shared" ref="L127:O127" si="99">C17</f>
        <v>0</v>
      </c>
      <c r="M127" s="271">
        <f t="shared" si="99"/>
        <v>0.4</v>
      </c>
      <c r="N127" s="271">
        <f t="shared" si="99"/>
        <v>0.2</v>
      </c>
      <c r="O127" s="271">
        <f t="shared" si="99"/>
        <v>0.28999999999999998</v>
      </c>
    </row>
    <row r="128" spans="1:15" ht="13.8" x14ac:dyDescent="0.25">
      <c r="A128" s="1085"/>
      <c r="B128" s="268">
        <v>2</v>
      </c>
      <c r="C128" s="271">
        <f>I9</f>
        <v>220</v>
      </c>
      <c r="D128" s="271">
        <f t="shared" ref="D128:G128" si="100">J9</f>
        <v>-0.03</v>
      </c>
      <c r="E128" s="271">
        <f t="shared" si="100"/>
        <v>0.05</v>
      </c>
      <c r="F128" s="271">
        <f t="shared" si="100"/>
        <v>0.04</v>
      </c>
      <c r="G128" s="271">
        <f t="shared" si="100"/>
        <v>2.64</v>
      </c>
      <c r="I128" s="1085"/>
      <c r="J128" s="268">
        <v>2</v>
      </c>
      <c r="K128" s="271">
        <f>I17</f>
        <v>200</v>
      </c>
      <c r="L128" s="271">
        <f t="shared" ref="L128:O128" si="101">J17</f>
        <v>3.3</v>
      </c>
      <c r="M128" s="271">
        <f t="shared" si="101"/>
        <v>0.7</v>
      </c>
      <c r="N128" s="271">
        <f t="shared" si="101"/>
        <v>1.2999999999999998</v>
      </c>
      <c r="O128" s="271">
        <f t="shared" si="101"/>
        <v>0.28999999999999998</v>
      </c>
    </row>
    <row r="129" spans="1:15" x14ac:dyDescent="0.25">
      <c r="A129" s="1085"/>
      <c r="B129" s="270">
        <v>3</v>
      </c>
      <c r="C129" s="271">
        <f>P9</f>
        <v>220</v>
      </c>
      <c r="D129" s="271">
        <f t="shared" ref="D129:G129" si="102">Q9</f>
        <v>-3.44</v>
      </c>
      <c r="E129" s="271">
        <f t="shared" si="102"/>
        <v>-0.28999999999999998</v>
      </c>
      <c r="F129" s="271">
        <f t="shared" si="102"/>
        <v>1.575</v>
      </c>
      <c r="G129" s="271">
        <f t="shared" si="102"/>
        <v>2.64</v>
      </c>
      <c r="I129" s="1085"/>
      <c r="J129" s="270">
        <v>3</v>
      </c>
      <c r="K129" s="271">
        <f>P17</f>
        <v>200</v>
      </c>
      <c r="L129" s="271">
        <f t="shared" ref="L129:O129" si="103">Q17</f>
        <v>2.5</v>
      </c>
      <c r="M129" s="271">
        <f t="shared" si="103"/>
        <v>3.6</v>
      </c>
      <c r="N129" s="271">
        <f t="shared" si="103"/>
        <v>0.55000000000000004</v>
      </c>
      <c r="O129" s="271">
        <f t="shared" si="103"/>
        <v>0.59</v>
      </c>
    </row>
    <row r="130" spans="1:15" x14ac:dyDescent="0.25">
      <c r="A130" s="1085"/>
      <c r="B130" s="270">
        <v>4</v>
      </c>
      <c r="C130" s="271">
        <f>B40</f>
        <v>220</v>
      </c>
      <c r="D130" s="271">
        <f t="shared" ref="D130:G130" si="104">C40</f>
        <v>0</v>
      </c>
      <c r="E130" s="271">
        <f t="shared" si="104"/>
        <v>0.1</v>
      </c>
      <c r="F130" s="271">
        <f t="shared" si="104"/>
        <v>0.05</v>
      </c>
      <c r="G130" s="271">
        <f t="shared" si="104"/>
        <v>2.64</v>
      </c>
      <c r="I130" s="1085"/>
      <c r="J130" s="270">
        <v>4</v>
      </c>
      <c r="K130" s="271">
        <f>B48</f>
        <v>200</v>
      </c>
      <c r="L130" s="271">
        <f t="shared" ref="L130:O130" si="105">C48</f>
        <v>0</v>
      </c>
      <c r="M130" s="271">
        <f t="shared" si="105"/>
        <v>1.4</v>
      </c>
      <c r="N130" s="271">
        <f t="shared" si="105"/>
        <v>0.7</v>
      </c>
      <c r="O130" s="271">
        <f t="shared" si="105"/>
        <v>0.59</v>
      </c>
    </row>
    <row r="131" spans="1:15" x14ac:dyDescent="0.25">
      <c r="A131" s="1085"/>
      <c r="B131" s="270">
        <v>5</v>
      </c>
      <c r="C131" s="271">
        <f>I40</f>
        <v>220</v>
      </c>
      <c r="D131" s="271">
        <f t="shared" ref="D131:G131" si="106">J40</f>
        <v>0.56000000000000005</v>
      </c>
      <c r="E131" s="271">
        <f t="shared" si="106"/>
        <v>0.38</v>
      </c>
      <c r="F131" s="271">
        <f t="shared" si="106"/>
        <v>9.0000000000000024E-2</v>
      </c>
      <c r="G131" s="271">
        <f t="shared" si="106"/>
        <v>2.64</v>
      </c>
      <c r="I131" s="1085"/>
      <c r="J131" s="270">
        <v>5</v>
      </c>
      <c r="K131" s="271">
        <f>I48</f>
        <v>200</v>
      </c>
      <c r="L131" s="271">
        <f t="shared" ref="L131:O131" si="107">J48</f>
        <v>0</v>
      </c>
      <c r="M131" s="271">
        <f t="shared" si="107"/>
        <v>1.3</v>
      </c>
      <c r="N131" s="271">
        <f t="shared" si="107"/>
        <v>0.65</v>
      </c>
      <c r="O131" s="271">
        <f t="shared" si="107"/>
        <v>0.59</v>
      </c>
    </row>
    <row r="132" spans="1:15" x14ac:dyDescent="0.25">
      <c r="A132" s="1085"/>
      <c r="B132" s="270">
        <v>6</v>
      </c>
      <c r="C132" s="271">
        <f>P40</f>
        <v>220</v>
      </c>
      <c r="D132" s="271">
        <f t="shared" ref="D132:G132" si="108">Q40</f>
        <v>0.05</v>
      </c>
      <c r="E132" s="271">
        <f t="shared" si="108"/>
        <v>-0.13</v>
      </c>
      <c r="F132" s="271">
        <f t="shared" si="108"/>
        <v>0.09</v>
      </c>
      <c r="G132" s="271">
        <f t="shared" si="108"/>
        <v>2.64</v>
      </c>
      <c r="I132" s="1085"/>
      <c r="J132" s="270">
        <v>6</v>
      </c>
      <c r="K132" s="271">
        <f>P48</f>
        <v>200</v>
      </c>
      <c r="L132" s="271">
        <f t="shared" ref="L132:O132" si="109">Q48</f>
        <v>0.2</v>
      </c>
      <c r="M132" s="271">
        <f t="shared" si="109"/>
        <v>3.1</v>
      </c>
      <c r="N132" s="271">
        <f t="shared" si="109"/>
        <v>1.45</v>
      </c>
      <c r="O132" s="271">
        <f t="shared" si="109"/>
        <v>0.59</v>
      </c>
    </row>
    <row r="133" spans="1:15" x14ac:dyDescent="0.25">
      <c r="A133" s="1085"/>
      <c r="B133" s="270">
        <v>7</v>
      </c>
      <c r="C133" s="271">
        <f>B71</f>
        <v>220</v>
      </c>
      <c r="D133" s="271">
        <f t="shared" ref="D133:G133" si="110">C71</f>
        <v>0.37</v>
      </c>
      <c r="E133" s="271">
        <f t="shared" si="110"/>
        <v>0.37</v>
      </c>
      <c r="F133" s="271">
        <f t="shared" si="110"/>
        <v>0</v>
      </c>
      <c r="G133" s="271">
        <f t="shared" si="110"/>
        <v>2.64</v>
      </c>
      <c r="I133" s="1085"/>
      <c r="J133" s="270">
        <v>7</v>
      </c>
      <c r="K133" s="271">
        <f>B79</f>
        <v>200</v>
      </c>
      <c r="L133" s="271">
        <f t="shared" ref="L133:O133" si="111">C79</f>
        <v>0.4</v>
      </c>
      <c r="M133" s="271">
        <f t="shared" si="111"/>
        <v>0.4</v>
      </c>
      <c r="N133" s="271">
        <f t="shared" si="111"/>
        <v>0</v>
      </c>
      <c r="O133" s="271">
        <f t="shared" si="111"/>
        <v>0.59</v>
      </c>
    </row>
    <row r="134" spans="1:15" x14ac:dyDescent="0.25">
      <c r="A134" s="1085"/>
      <c r="B134" s="270">
        <v>8</v>
      </c>
      <c r="C134" s="271">
        <f>I71</f>
        <v>220</v>
      </c>
      <c r="D134" s="271">
        <f t="shared" ref="D134:G134" si="112">J71</f>
        <v>0</v>
      </c>
      <c r="E134" s="271">
        <f t="shared" si="112"/>
        <v>-0.39</v>
      </c>
      <c r="F134" s="271">
        <f t="shared" si="112"/>
        <v>0.19500000000000001</v>
      </c>
      <c r="G134" s="271">
        <f t="shared" si="112"/>
        <v>2.64</v>
      </c>
      <c r="I134" s="1085"/>
      <c r="J134" s="270">
        <v>8</v>
      </c>
      <c r="K134" s="271">
        <f>I79</f>
        <v>500</v>
      </c>
      <c r="L134" s="271">
        <f t="shared" ref="L134:O134" si="113">J79</f>
        <v>0</v>
      </c>
      <c r="M134" s="271">
        <f t="shared" si="113"/>
        <v>7.2</v>
      </c>
      <c r="N134" s="271">
        <f t="shared" si="113"/>
        <v>3.6</v>
      </c>
      <c r="O134" s="271">
        <f t="shared" si="113"/>
        <v>0.59</v>
      </c>
    </row>
    <row r="135" spans="1:15" x14ac:dyDescent="0.25">
      <c r="A135" s="1085"/>
      <c r="B135" s="270">
        <v>9</v>
      </c>
      <c r="C135" s="271">
        <f>P71</f>
        <v>220</v>
      </c>
      <c r="D135" s="271">
        <f t="shared" ref="D135:G135" si="114">Q71</f>
        <v>0</v>
      </c>
      <c r="E135" s="271">
        <f t="shared" si="114"/>
        <v>-0.45</v>
      </c>
      <c r="F135" s="271">
        <f t="shared" si="114"/>
        <v>0.22500000000000001</v>
      </c>
      <c r="G135" s="271">
        <f t="shared" si="114"/>
        <v>2.64</v>
      </c>
      <c r="I135" s="1085"/>
      <c r="J135" s="270">
        <v>9</v>
      </c>
      <c r="K135" s="271">
        <f>P79</f>
        <v>500</v>
      </c>
      <c r="L135" s="271">
        <f t="shared" ref="L135:O135" si="115">Q79</f>
        <v>0</v>
      </c>
      <c r="M135" s="271">
        <f t="shared" si="115"/>
        <v>8.3000000000000007</v>
      </c>
      <c r="N135" s="271">
        <f t="shared" si="115"/>
        <v>4.1500000000000004</v>
      </c>
      <c r="O135" s="271">
        <f t="shared" si="115"/>
        <v>0.59</v>
      </c>
    </row>
    <row r="136" spans="1:15" ht="13.8" x14ac:dyDescent="0.25">
      <c r="A136" s="1085" t="s">
        <v>304</v>
      </c>
      <c r="B136" s="265">
        <v>1</v>
      </c>
      <c r="C136" s="266">
        <f>B10</f>
        <v>230</v>
      </c>
      <c r="D136" s="266">
        <f t="shared" ref="D136:G136" si="116">C10</f>
        <v>-0.26</v>
      </c>
      <c r="E136" s="266">
        <f t="shared" si="116"/>
        <v>-0.2</v>
      </c>
      <c r="F136" s="266">
        <f t="shared" si="116"/>
        <v>0.03</v>
      </c>
      <c r="G136" s="266">
        <f t="shared" si="116"/>
        <v>2.7600000000000002</v>
      </c>
      <c r="I136" s="1085" t="s">
        <v>304</v>
      </c>
      <c r="J136" s="265">
        <v>1</v>
      </c>
      <c r="K136" s="271">
        <f>B18</f>
        <v>500</v>
      </c>
      <c r="L136" s="271">
        <f t="shared" ref="L136:O136" si="117">C18</f>
        <v>-0.9</v>
      </c>
      <c r="M136" s="271">
        <f t="shared" si="117"/>
        <v>3.8</v>
      </c>
      <c r="N136" s="271">
        <f t="shared" si="117"/>
        <v>2.35</v>
      </c>
      <c r="O136" s="271">
        <f t="shared" si="117"/>
        <v>0.28999999999999998</v>
      </c>
    </row>
    <row r="137" spans="1:15" ht="13.8" x14ac:dyDescent="0.25">
      <c r="A137" s="1085"/>
      <c r="B137" s="268">
        <v>2</v>
      </c>
      <c r="C137" s="271">
        <f>I10</f>
        <v>230</v>
      </c>
      <c r="D137" s="271">
        <f t="shared" ref="D137:G137" si="118">J10</f>
        <v>-10.02</v>
      </c>
      <c r="E137" s="271">
        <f t="shared" si="118"/>
        <v>0.05</v>
      </c>
      <c r="F137" s="271">
        <f t="shared" si="118"/>
        <v>5.0350000000000001</v>
      </c>
      <c r="G137" s="271">
        <f t="shared" si="118"/>
        <v>2.7600000000000002</v>
      </c>
      <c r="I137" s="1085"/>
      <c r="J137" s="268">
        <v>2</v>
      </c>
      <c r="K137" s="271">
        <f>I18</f>
        <v>500</v>
      </c>
      <c r="L137" s="271">
        <f t="shared" ref="L137:O137" si="119">J18</f>
        <v>20</v>
      </c>
      <c r="M137" s="271">
        <f t="shared" si="119"/>
        <v>0.8</v>
      </c>
      <c r="N137" s="271">
        <f t="shared" si="119"/>
        <v>9.6</v>
      </c>
      <c r="O137" s="271">
        <f t="shared" si="119"/>
        <v>0.28999999999999998</v>
      </c>
    </row>
    <row r="138" spans="1:15" x14ac:dyDescent="0.25">
      <c r="A138" s="1085"/>
      <c r="B138" s="270">
        <v>3</v>
      </c>
      <c r="C138" s="271">
        <f>P10</f>
        <v>230</v>
      </c>
      <c r="D138" s="271">
        <f t="shared" ref="D138:G138" si="120">Q10</f>
        <v>-2.52</v>
      </c>
      <c r="E138" s="271">
        <f t="shared" si="120"/>
        <v>-0.23</v>
      </c>
      <c r="F138" s="271">
        <f t="shared" si="120"/>
        <v>1.145</v>
      </c>
      <c r="G138" s="271">
        <f t="shared" si="120"/>
        <v>2.7600000000000002</v>
      </c>
      <c r="I138" s="1085"/>
      <c r="J138" s="270">
        <v>3</v>
      </c>
      <c r="K138" s="271">
        <f>P18</f>
        <v>500</v>
      </c>
      <c r="L138" s="271">
        <f t="shared" ref="L138:O138" si="121">Q18</f>
        <v>4.3</v>
      </c>
      <c r="M138" s="271">
        <f t="shared" si="121"/>
        <v>2.9</v>
      </c>
      <c r="N138" s="271">
        <f t="shared" si="121"/>
        <v>0.7</v>
      </c>
      <c r="O138" s="271">
        <f t="shared" si="121"/>
        <v>0.59</v>
      </c>
    </row>
    <row r="139" spans="1:15" x14ac:dyDescent="0.25">
      <c r="A139" s="1085"/>
      <c r="B139" s="270">
        <v>4</v>
      </c>
      <c r="C139" s="271">
        <f>B41</f>
        <v>230</v>
      </c>
      <c r="D139" s="271">
        <f t="shared" ref="D139:G139" si="122">C41</f>
        <v>-0.11</v>
      </c>
      <c r="E139" s="271">
        <f t="shared" si="122"/>
        <v>0.36799999999999999</v>
      </c>
      <c r="F139" s="271">
        <f t="shared" si="122"/>
        <v>0.23899999999999999</v>
      </c>
      <c r="G139" s="271">
        <f t="shared" si="122"/>
        <v>2.7600000000000002</v>
      </c>
      <c r="I139" s="1085"/>
      <c r="J139" s="270">
        <v>4</v>
      </c>
      <c r="K139" s="271">
        <f>B49</f>
        <v>500</v>
      </c>
      <c r="L139" s="271">
        <f t="shared" ref="L139:O139" si="123">C49</f>
        <v>1.5</v>
      </c>
      <c r="M139" s="271">
        <f t="shared" si="123"/>
        <v>2.8</v>
      </c>
      <c r="N139" s="271">
        <f t="shared" si="123"/>
        <v>0.64999999999999991</v>
      </c>
      <c r="O139" s="271">
        <f t="shared" si="123"/>
        <v>0.59</v>
      </c>
    </row>
    <row r="140" spans="1:15" x14ac:dyDescent="0.25">
      <c r="A140" s="1085"/>
      <c r="B140" s="270">
        <v>5</v>
      </c>
      <c r="C140" s="271">
        <f>I41</f>
        <v>230</v>
      </c>
      <c r="D140" s="271">
        <f t="shared" ref="D140:G140" si="124">J41</f>
        <v>0.73</v>
      </c>
      <c r="E140" s="271">
        <f t="shared" si="124"/>
        <v>-0.16</v>
      </c>
      <c r="F140" s="271">
        <f t="shared" si="124"/>
        <v>0.44500000000000001</v>
      </c>
      <c r="G140" s="271">
        <f t="shared" si="124"/>
        <v>2.7600000000000002</v>
      </c>
      <c r="I140" s="1085"/>
      <c r="J140" s="270">
        <v>5</v>
      </c>
      <c r="K140" s="271">
        <f>I49</f>
        <v>500</v>
      </c>
      <c r="L140" s="271">
        <f t="shared" ref="L140:O140" si="125">J49</f>
        <v>9.3000000000000007</v>
      </c>
      <c r="M140" s="271">
        <f t="shared" si="125"/>
        <v>0.7</v>
      </c>
      <c r="N140" s="271">
        <f t="shared" si="125"/>
        <v>4.3000000000000007</v>
      </c>
      <c r="O140" s="271">
        <f t="shared" si="125"/>
        <v>0.59</v>
      </c>
    </row>
    <row r="141" spans="1:15" x14ac:dyDescent="0.25">
      <c r="A141" s="1085"/>
      <c r="B141" s="270">
        <v>6</v>
      </c>
      <c r="C141" s="271">
        <f>P41</f>
        <v>230</v>
      </c>
      <c r="D141" s="271">
        <f t="shared" ref="D141:G141" si="126">Q41</f>
        <v>-0.05</v>
      </c>
      <c r="E141" s="271">
        <f t="shared" si="126"/>
        <v>-0.15</v>
      </c>
      <c r="F141" s="271">
        <f t="shared" si="126"/>
        <v>4.9999999999999996E-2</v>
      </c>
      <c r="G141" s="271">
        <f t="shared" si="126"/>
        <v>2.7600000000000002</v>
      </c>
      <c r="I141" s="1085"/>
      <c r="J141" s="270">
        <v>6</v>
      </c>
      <c r="K141" s="271">
        <f>P49</f>
        <v>500</v>
      </c>
      <c r="L141" s="271">
        <f t="shared" ref="L141:O141" si="127">Q49</f>
        <v>2.8</v>
      </c>
      <c r="M141" s="271">
        <f t="shared" si="127"/>
        <v>3.9</v>
      </c>
      <c r="N141" s="271">
        <f t="shared" si="127"/>
        <v>0.55000000000000004</v>
      </c>
      <c r="O141" s="271">
        <f t="shared" si="127"/>
        <v>0.59</v>
      </c>
    </row>
    <row r="142" spans="1:15" x14ac:dyDescent="0.25">
      <c r="A142" s="1085"/>
      <c r="B142" s="270">
        <v>7</v>
      </c>
      <c r="C142" s="271">
        <f>B72</f>
        <v>230</v>
      </c>
      <c r="D142" s="271">
        <f t="shared" ref="D142:G142" si="128">C72</f>
        <v>0.47</v>
      </c>
      <c r="E142" s="271">
        <f t="shared" si="128"/>
        <v>0.47</v>
      </c>
      <c r="F142" s="271">
        <f t="shared" si="128"/>
        <v>0</v>
      </c>
      <c r="G142" s="271">
        <f t="shared" si="128"/>
        <v>2.7600000000000002</v>
      </c>
      <c r="I142" s="1085"/>
      <c r="J142" s="270">
        <v>7</v>
      </c>
      <c r="K142" s="271">
        <f>B80</f>
        <v>500</v>
      </c>
      <c r="L142" s="271">
        <f t="shared" ref="L142:O142" si="129">C80</f>
        <v>3</v>
      </c>
      <c r="M142" s="271">
        <f t="shared" si="129"/>
        <v>3</v>
      </c>
      <c r="N142" s="271">
        <f t="shared" si="129"/>
        <v>0</v>
      </c>
      <c r="O142" s="271">
        <f t="shared" si="129"/>
        <v>0.59</v>
      </c>
    </row>
    <row r="143" spans="1:15" x14ac:dyDescent="0.25">
      <c r="A143" s="1085"/>
      <c r="B143" s="270">
        <v>8</v>
      </c>
      <c r="C143" s="271">
        <f>I72</f>
        <v>230</v>
      </c>
      <c r="D143" s="271">
        <f t="shared" ref="D143:G143" si="130">J72</f>
        <v>0</v>
      </c>
      <c r="E143" s="271">
        <f t="shared" si="130"/>
        <v>-0.39</v>
      </c>
      <c r="F143" s="271">
        <f t="shared" si="130"/>
        <v>0.19500000000000001</v>
      </c>
      <c r="G143" s="271">
        <f t="shared" si="130"/>
        <v>2.7600000000000002</v>
      </c>
      <c r="I143" s="1085"/>
      <c r="J143" s="270">
        <v>8</v>
      </c>
      <c r="K143" s="271">
        <f>I80</f>
        <v>500</v>
      </c>
      <c r="L143" s="271">
        <f t="shared" ref="L143:O143" si="131">J80</f>
        <v>0</v>
      </c>
      <c r="M143" s="271">
        <f t="shared" si="131"/>
        <v>7.2</v>
      </c>
      <c r="N143" s="271">
        <f t="shared" si="131"/>
        <v>3.6</v>
      </c>
      <c r="O143" s="271">
        <f t="shared" si="131"/>
        <v>0.59</v>
      </c>
    </row>
    <row r="144" spans="1:15" x14ac:dyDescent="0.25">
      <c r="A144" s="1085"/>
      <c r="B144" s="270">
        <v>9</v>
      </c>
      <c r="C144" s="271">
        <f>P72</f>
        <v>230</v>
      </c>
      <c r="D144" s="271">
        <f t="shared" ref="D144:G144" si="132">Q72</f>
        <v>0</v>
      </c>
      <c r="E144" s="271">
        <f t="shared" si="132"/>
        <v>-0.54</v>
      </c>
      <c r="F144" s="271">
        <f t="shared" si="132"/>
        <v>0.27</v>
      </c>
      <c r="G144" s="271">
        <f t="shared" si="132"/>
        <v>2.7600000000000002</v>
      </c>
      <c r="I144" s="1085"/>
      <c r="J144" s="270">
        <v>9</v>
      </c>
      <c r="K144" s="271">
        <f>P80</f>
        <v>500</v>
      </c>
      <c r="L144" s="271">
        <f t="shared" ref="L144:O144" si="133">Q80</f>
        <v>0</v>
      </c>
      <c r="M144" s="271">
        <f t="shared" si="133"/>
        <v>8.3000000000000007</v>
      </c>
      <c r="N144" s="271">
        <f t="shared" si="133"/>
        <v>4.1500000000000004</v>
      </c>
      <c r="O144" s="271">
        <f t="shared" si="133"/>
        <v>0.59</v>
      </c>
    </row>
    <row r="145" spans="1:16" ht="13.8" x14ac:dyDescent="0.25">
      <c r="A145" s="1085" t="s">
        <v>305</v>
      </c>
      <c r="B145" s="265">
        <v>1</v>
      </c>
      <c r="C145" s="266">
        <f>B11</f>
        <v>250</v>
      </c>
      <c r="D145" s="266">
        <f t="shared" ref="D145:G145" si="134">C11</f>
        <v>0</v>
      </c>
      <c r="E145" s="266">
        <f t="shared" si="134"/>
        <v>0</v>
      </c>
      <c r="F145" s="266">
        <f t="shared" si="134"/>
        <v>0</v>
      </c>
      <c r="G145" s="266">
        <f t="shared" si="134"/>
        <v>3</v>
      </c>
      <c r="I145" s="1085" t="s">
        <v>305</v>
      </c>
      <c r="J145" s="265">
        <v>1</v>
      </c>
      <c r="K145" s="271">
        <f>B19</f>
        <v>1000</v>
      </c>
      <c r="L145" s="271">
        <f t="shared" ref="L145:O145" si="135">C19</f>
        <v>-3.0000000000000001E-3</v>
      </c>
      <c r="M145" s="271">
        <f t="shared" si="135"/>
        <v>9</v>
      </c>
      <c r="N145" s="271">
        <f t="shared" si="135"/>
        <v>4.5015000000000001</v>
      </c>
      <c r="O145" s="271">
        <f t="shared" si="135"/>
        <v>0.28999999999999998</v>
      </c>
    </row>
    <row r="146" spans="1:16" ht="13.8" x14ac:dyDescent="0.25">
      <c r="A146" s="1085"/>
      <c r="B146" s="268">
        <v>2</v>
      </c>
      <c r="C146" s="271">
        <f>I11</f>
        <v>250</v>
      </c>
      <c r="D146" s="271">
        <f t="shared" ref="D146:G146" si="136">J11</f>
        <v>0</v>
      </c>
      <c r="E146" s="271">
        <f t="shared" si="136"/>
        <v>0</v>
      </c>
      <c r="F146" s="271">
        <f t="shared" si="136"/>
        <v>0</v>
      </c>
      <c r="G146" s="271">
        <f t="shared" si="136"/>
        <v>3</v>
      </c>
      <c r="I146" s="1085"/>
      <c r="J146" s="268">
        <v>2</v>
      </c>
      <c r="K146" s="271">
        <f>I19</f>
        <v>1000</v>
      </c>
      <c r="L146" s="271">
        <f t="shared" ref="L146:O146" si="137">J19</f>
        <v>2</v>
      </c>
      <c r="M146" s="271">
        <f t="shared" si="137"/>
        <v>8.0000000000000002E-3</v>
      </c>
      <c r="N146" s="271">
        <f t="shared" si="137"/>
        <v>0.996</v>
      </c>
      <c r="O146" s="271">
        <f t="shared" si="137"/>
        <v>0.28999999999999998</v>
      </c>
    </row>
    <row r="147" spans="1:16" x14ac:dyDescent="0.25">
      <c r="A147" s="1085"/>
      <c r="B147" s="270">
        <v>3</v>
      </c>
      <c r="C147" s="271">
        <f>P11</f>
        <v>250</v>
      </c>
      <c r="D147" s="271">
        <f t="shared" ref="D147:G147" si="138">Q11</f>
        <v>0</v>
      </c>
      <c r="E147" s="271">
        <f t="shared" si="138"/>
        <v>0</v>
      </c>
      <c r="F147" s="271">
        <f t="shared" si="138"/>
        <v>0</v>
      </c>
      <c r="G147" s="271">
        <f t="shared" si="138"/>
        <v>3</v>
      </c>
      <c r="I147" s="1085"/>
      <c r="J147" s="270">
        <v>3</v>
      </c>
      <c r="K147" s="271">
        <f>P19</f>
        <v>1000</v>
      </c>
      <c r="L147" s="271">
        <f t="shared" ref="L147:O147" si="139">Q19</f>
        <v>0</v>
      </c>
      <c r="M147" s="271">
        <f t="shared" si="139"/>
        <v>3</v>
      </c>
      <c r="N147" s="271">
        <f t="shared" si="139"/>
        <v>1.5</v>
      </c>
      <c r="O147" s="271">
        <f t="shared" si="139"/>
        <v>0.59</v>
      </c>
    </row>
    <row r="148" spans="1:16" x14ac:dyDescent="0.25">
      <c r="A148" s="1085"/>
      <c r="B148" s="270">
        <v>4</v>
      </c>
      <c r="C148" s="271">
        <f>B42</f>
        <v>250</v>
      </c>
      <c r="D148" s="271">
        <f t="shared" ref="D148:G148" si="140">C42</f>
        <v>0</v>
      </c>
      <c r="E148" s="271">
        <f t="shared" si="140"/>
        <v>0</v>
      </c>
      <c r="F148" s="271">
        <f t="shared" si="140"/>
        <v>0</v>
      </c>
      <c r="G148" s="271">
        <f t="shared" si="140"/>
        <v>3</v>
      </c>
      <c r="I148" s="1085"/>
      <c r="J148" s="270">
        <v>4</v>
      </c>
      <c r="K148" s="271">
        <f>B50</f>
        <v>1000</v>
      </c>
      <c r="L148" s="271">
        <f t="shared" ref="L148:O148" si="141">C50</f>
        <v>0</v>
      </c>
      <c r="M148" s="271">
        <f t="shared" si="141"/>
        <v>1.2E-2</v>
      </c>
      <c r="N148" s="271">
        <f t="shared" si="141"/>
        <v>6.0000000000000001E-3</v>
      </c>
      <c r="O148" s="271">
        <f t="shared" si="141"/>
        <v>0.59</v>
      </c>
    </row>
    <row r="149" spans="1:16" x14ac:dyDescent="0.25">
      <c r="A149" s="1085"/>
      <c r="B149" s="270">
        <v>5</v>
      </c>
      <c r="C149" s="271">
        <f>I42</f>
        <v>250</v>
      </c>
      <c r="D149" s="271">
        <f t="shared" ref="D149:G149" si="142">J42</f>
        <v>0</v>
      </c>
      <c r="E149" s="271">
        <f t="shared" si="142"/>
        <v>0</v>
      </c>
      <c r="F149" s="271">
        <f t="shared" si="142"/>
        <v>0</v>
      </c>
      <c r="G149" s="271">
        <f t="shared" si="142"/>
        <v>3</v>
      </c>
      <c r="I149" s="1085"/>
      <c r="J149" s="270">
        <v>5</v>
      </c>
      <c r="K149" s="271">
        <f>I50</f>
        <v>1000</v>
      </c>
      <c r="L149" s="271">
        <f t="shared" ref="L149:O149" si="143">J50</f>
        <v>0</v>
      </c>
      <c r="M149" s="271">
        <f t="shared" si="143"/>
        <v>2E-3</v>
      </c>
      <c r="N149" s="271">
        <f t="shared" si="143"/>
        <v>1E-3</v>
      </c>
      <c r="O149" s="271">
        <f t="shared" si="143"/>
        <v>0.59</v>
      </c>
    </row>
    <row r="150" spans="1:16" x14ac:dyDescent="0.25">
      <c r="A150" s="1085"/>
      <c r="B150" s="270">
        <v>6</v>
      </c>
      <c r="C150" s="271">
        <f>P42</f>
        <v>250</v>
      </c>
      <c r="D150" s="271">
        <f t="shared" ref="D150:G150" si="144">Q42</f>
        <v>0</v>
      </c>
      <c r="E150" s="271">
        <f t="shared" si="144"/>
        <v>0</v>
      </c>
      <c r="F150" s="271">
        <f t="shared" si="144"/>
        <v>0</v>
      </c>
      <c r="G150" s="271">
        <f t="shared" si="144"/>
        <v>3</v>
      </c>
      <c r="I150" s="1085"/>
      <c r="J150" s="270">
        <v>6</v>
      </c>
      <c r="K150" s="271">
        <f>P50</f>
        <v>1000</v>
      </c>
      <c r="L150" s="271">
        <f t="shared" ref="L150:O150" si="145">Q50</f>
        <v>13</v>
      </c>
      <c r="M150" s="271">
        <f t="shared" si="145"/>
        <v>5.0000000000000001E-3</v>
      </c>
      <c r="N150" s="271">
        <f t="shared" si="145"/>
        <v>6.4974999999999996</v>
      </c>
      <c r="O150" s="271">
        <f t="shared" si="145"/>
        <v>0.59</v>
      </c>
    </row>
    <row r="151" spans="1:16" x14ac:dyDescent="0.25">
      <c r="A151" s="1085"/>
      <c r="B151" s="270">
        <v>7</v>
      </c>
      <c r="C151" s="271">
        <f>B73</f>
        <v>250</v>
      </c>
      <c r="D151" s="271">
        <f t="shared" ref="D151:G151" si="146">C73</f>
        <v>0</v>
      </c>
      <c r="E151" s="271">
        <f t="shared" si="146"/>
        <v>0</v>
      </c>
      <c r="F151" s="271">
        <f t="shared" si="146"/>
        <v>0</v>
      </c>
      <c r="G151" s="271">
        <f t="shared" si="146"/>
        <v>3</v>
      </c>
      <c r="I151" s="1085"/>
      <c r="J151" s="270">
        <v>7</v>
      </c>
      <c r="K151" s="271">
        <f>B81</f>
        <v>1000</v>
      </c>
      <c r="L151" s="271">
        <f t="shared" ref="L151:O151" si="147">C81</f>
        <v>5</v>
      </c>
      <c r="M151" s="271">
        <f t="shared" si="147"/>
        <v>4</v>
      </c>
      <c r="N151" s="271">
        <f t="shared" si="147"/>
        <v>0.5</v>
      </c>
      <c r="O151" s="271">
        <f t="shared" si="147"/>
        <v>0.59</v>
      </c>
    </row>
    <row r="152" spans="1:16" x14ac:dyDescent="0.25">
      <c r="A152" s="1085"/>
      <c r="B152" s="270">
        <v>8</v>
      </c>
      <c r="C152" s="271">
        <f>I73</f>
        <v>250</v>
      </c>
      <c r="D152" s="271">
        <f t="shared" ref="D152:G152" si="148">J73</f>
        <v>0</v>
      </c>
      <c r="E152" s="271">
        <f t="shared" si="148"/>
        <v>0</v>
      </c>
      <c r="F152" s="271">
        <f t="shared" si="148"/>
        <v>0</v>
      </c>
      <c r="G152" s="271">
        <f t="shared" si="148"/>
        <v>3</v>
      </c>
      <c r="I152" s="1085"/>
      <c r="J152" s="270">
        <v>8</v>
      </c>
      <c r="K152" s="271">
        <f>I81</f>
        <v>1000</v>
      </c>
      <c r="L152" s="271">
        <f t="shared" ref="L152:O152" si="149">J81</f>
        <v>0</v>
      </c>
      <c r="M152" s="271">
        <f t="shared" si="149"/>
        <v>80</v>
      </c>
      <c r="N152" s="271">
        <f t="shared" si="149"/>
        <v>40</v>
      </c>
      <c r="O152" s="271">
        <f t="shared" si="149"/>
        <v>0.59</v>
      </c>
    </row>
    <row r="153" spans="1:16" x14ac:dyDescent="0.25">
      <c r="A153" s="1085"/>
      <c r="B153" s="270">
        <v>9</v>
      </c>
      <c r="C153" s="271">
        <f>P73</f>
        <v>250</v>
      </c>
      <c r="D153" s="271">
        <f t="shared" ref="D153:G153" si="150">Q73</f>
        <v>0</v>
      </c>
      <c r="E153" s="271">
        <f t="shared" si="150"/>
        <v>0</v>
      </c>
      <c r="F153" s="271">
        <f t="shared" si="150"/>
        <v>0</v>
      </c>
      <c r="G153" s="271">
        <f t="shared" si="150"/>
        <v>3</v>
      </c>
      <c r="I153" s="1085"/>
      <c r="J153" s="270">
        <v>9</v>
      </c>
      <c r="K153" s="271">
        <f>P81</f>
        <v>1000</v>
      </c>
      <c r="L153" s="271">
        <f t="shared" ref="L153:O153" si="151">Q81</f>
        <v>0</v>
      </c>
      <c r="M153" s="271">
        <f t="shared" si="151"/>
        <v>-97</v>
      </c>
      <c r="N153" s="271">
        <f t="shared" si="151"/>
        <v>48.5</v>
      </c>
      <c r="O153" s="271">
        <f t="shared" si="151"/>
        <v>0.59</v>
      </c>
    </row>
    <row r="154" spans="1:16" x14ac:dyDescent="0.25">
      <c r="A154" s="261"/>
      <c r="B154" s="262"/>
      <c r="C154" s="262"/>
      <c r="O154" s="273"/>
    </row>
    <row r="155" spans="1:16" ht="13.8" x14ac:dyDescent="0.25">
      <c r="A155" s="1086" t="s">
        <v>43</v>
      </c>
      <c r="B155" s="1082" t="s">
        <v>302</v>
      </c>
      <c r="C155" s="1087" t="s">
        <v>282</v>
      </c>
      <c r="D155" s="1087"/>
      <c r="E155" s="1087"/>
      <c r="F155" s="1087"/>
      <c r="G155" s="1087"/>
      <c r="H155" s="229"/>
      <c r="I155" s="1086" t="s">
        <v>43</v>
      </c>
      <c r="J155" s="1082" t="s">
        <v>302</v>
      </c>
      <c r="K155" s="1083" t="s">
        <v>282</v>
      </c>
      <c r="L155" s="1083"/>
      <c r="M155" s="1083"/>
      <c r="N155" s="1083"/>
      <c r="O155" s="1083"/>
      <c r="P155" s="274"/>
    </row>
    <row r="156" spans="1:16" x14ac:dyDescent="0.25">
      <c r="A156" s="1086"/>
      <c r="B156" s="1082"/>
      <c r="C156" s="1084" t="str">
        <f>B20</f>
        <v>Main-PE</v>
      </c>
      <c r="D156" s="1084"/>
      <c r="E156" s="1084"/>
      <c r="F156" s="275" t="s">
        <v>284</v>
      </c>
      <c r="G156" s="275" t="s">
        <v>235</v>
      </c>
      <c r="I156" s="1086"/>
      <c r="J156" s="1082"/>
      <c r="K156" s="1084" t="str">
        <f>B26</f>
        <v>Resistance</v>
      </c>
      <c r="L156" s="1084"/>
      <c r="M156" s="1084"/>
      <c r="N156" s="275" t="s">
        <v>284</v>
      </c>
      <c r="O156" s="275" t="s">
        <v>235</v>
      </c>
    </row>
    <row r="157" spans="1:16" ht="14.4" x14ac:dyDescent="0.25">
      <c r="A157" s="1086"/>
      <c r="B157" s="1082"/>
      <c r="C157" s="276" t="s">
        <v>289</v>
      </c>
      <c r="D157" s="275"/>
      <c r="E157" s="275"/>
      <c r="F157" s="275"/>
      <c r="G157" s="275"/>
      <c r="I157" s="1086"/>
      <c r="J157" s="1082"/>
      <c r="K157" s="276" t="s">
        <v>291</v>
      </c>
      <c r="L157" s="275"/>
      <c r="M157" s="275"/>
      <c r="N157" s="275"/>
      <c r="O157" s="275"/>
    </row>
    <row r="158" spans="1:16" ht="13.8" x14ac:dyDescent="0.25">
      <c r="A158" s="1081" t="s">
        <v>47</v>
      </c>
      <c r="B158" s="352">
        <v>1</v>
      </c>
      <c r="C158" s="271">
        <f>B22</f>
        <v>10</v>
      </c>
      <c r="D158" s="271" t="str">
        <f t="shared" ref="D158:G158" si="152">C22</f>
        <v>-</v>
      </c>
      <c r="E158" s="271">
        <f t="shared" si="152"/>
        <v>0</v>
      </c>
      <c r="F158" s="271">
        <f t="shared" si="152"/>
        <v>0</v>
      </c>
      <c r="G158" s="271">
        <f t="shared" si="152"/>
        <v>1.4</v>
      </c>
      <c r="I158" s="1081" t="s">
        <v>47</v>
      </c>
      <c r="J158" s="352">
        <v>1</v>
      </c>
      <c r="K158" s="266">
        <f>B28</f>
        <v>0.01</v>
      </c>
      <c r="L158" s="266">
        <f t="shared" ref="L158:O158" si="153">C28</f>
        <v>0</v>
      </c>
      <c r="M158" s="266">
        <f t="shared" si="153"/>
        <v>0</v>
      </c>
      <c r="N158" s="266">
        <f t="shared" si="153"/>
        <v>0</v>
      </c>
      <c r="O158" s="266">
        <f t="shared" si="153"/>
        <v>0.43</v>
      </c>
    </row>
    <row r="159" spans="1:16" x14ac:dyDescent="0.25">
      <c r="A159" s="1081"/>
      <c r="B159" s="352">
        <v>2</v>
      </c>
      <c r="C159" s="271">
        <f>I22</f>
        <v>10</v>
      </c>
      <c r="D159" s="271">
        <f t="shared" ref="D159:G159" si="154">J22</f>
        <v>0</v>
      </c>
      <c r="E159" s="271">
        <f t="shared" si="154"/>
        <v>0.1</v>
      </c>
      <c r="F159" s="271">
        <f t="shared" si="154"/>
        <v>0.05</v>
      </c>
      <c r="G159" s="271">
        <f t="shared" si="154"/>
        <v>1.3</v>
      </c>
      <c r="I159" s="1081"/>
      <c r="J159" s="352">
        <v>2</v>
      </c>
      <c r="K159" s="271">
        <f>I28</f>
        <v>0.01</v>
      </c>
      <c r="L159" s="271">
        <f t="shared" ref="L159:O159" si="155">J28</f>
        <v>0</v>
      </c>
      <c r="M159" s="271">
        <f t="shared" si="155"/>
        <v>0</v>
      </c>
      <c r="N159" s="271">
        <f t="shared" si="155"/>
        <v>0</v>
      </c>
      <c r="O159" s="271">
        <f t="shared" si="155"/>
        <v>0.43</v>
      </c>
    </row>
    <row r="160" spans="1:16" x14ac:dyDescent="0.25">
      <c r="A160" s="1081"/>
      <c r="B160" s="352">
        <v>3</v>
      </c>
      <c r="C160" s="271">
        <f>P22</f>
        <v>10</v>
      </c>
      <c r="D160" s="271">
        <f t="shared" ref="D160:G160" si="156">Q22</f>
        <v>0</v>
      </c>
      <c r="E160" s="271">
        <f t="shared" si="156"/>
        <v>0</v>
      </c>
      <c r="F160" s="271">
        <f t="shared" si="156"/>
        <v>0</v>
      </c>
      <c r="G160" s="271">
        <f t="shared" si="156"/>
        <v>1.7</v>
      </c>
      <c r="I160" s="1081"/>
      <c r="J160" s="352">
        <v>3</v>
      </c>
      <c r="K160" s="271">
        <f>P28</f>
        <v>0.01</v>
      </c>
      <c r="L160" s="271">
        <f t="shared" ref="L160:O160" si="157">Q28</f>
        <v>0</v>
      </c>
      <c r="M160" s="271">
        <f t="shared" si="157"/>
        <v>0</v>
      </c>
      <c r="N160" s="271">
        <f t="shared" si="157"/>
        <v>0</v>
      </c>
      <c r="O160" s="271">
        <f t="shared" si="157"/>
        <v>1.2</v>
      </c>
    </row>
    <row r="161" spans="1:15" x14ac:dyDescent="0.25">
      <c r="A161" s="1081"/>
      <c r="B161" s="352">
        <v>4</v>
      </c>
      <c r="C161" s="271">
        <f>B53</f>
        <v>10</v>
      </c>
      <c r="D161" s="271">
        <f t="shared" ref="D161:G161" si="158">C53</f>
        <v>0</v>
      </c>
      <c r="E161" s="271">
        <f t="shared" si="158"/>
        <v>0.1</v>
      </c>
      <c r="F161" s="271">
        <f t="shared" si="158"/>
        <v>0.05</v>
      </c>
      <c r="G161" s="271">
        <f t="shared" si="158"/>
        <v>1.7</v>
      </c>
      <c r="I161" s="1081"/>
      <c r="J161" s="352">
        <v>4</v>
      </c>
      <c r="K161" s="271">
        <f>B59</f>
        <v>0.01</v>
      </c>
      <c r="L161" s="271">
        <f t="shared" ref="L161:O161" si="159">C59</f>
        <v>0</v>
      </c>
      <c r="M161" s="271">
        <f t="shared" si="159"/>
        <v>0</v>
      </c>
      <c r="N161" s="271">
        <f t="shared" si="159"/>
        <v>0</v>
      </c>
      <c r="O161" s="271">
        <f t="shared" si="159"/>
        <v>0.59</v>
      </c>
    </row>
    <row r="162" spans="1:15" x14ac:dyDescent="0.25">
      <c r="A162" s="1081"/>
      <c r="B162" s="352">
        <v>5</v>
      </c>
      <c r="C162" s="271">
        <f>I53</f>
        <v>10</v>
      </c>
      <c r="D162" s="271">
        <f t="shared" ref="D162:G162" si="160">J53</f>
        <v>0</v>
      </c>
      <c r="E162" s="271">
        <f t="shared" si="160"/>
        <v>0.1</v>
      </c>
      <c r="F162" s="271">
        <f t="shared" si="160"/>
        <v>0.05</v>
      </c>
      <c r="G162" s="271">
        <f t="shared" si="160"/>
        <v>1.7</v>
      </c>
      <c r="I162" s="1081"/>
      <c r="J162" s="352">
        <v>5</v>
      </c>
      <c r="K162" s="271">
        <f>I59</f>
        <v>0.01</v>
      </c>
      <c r="L162" s="271">
        <f t="shared" ref="L162:O162" si="161">J59</f>
        <v>0</v>
      </c>
      <c r="M162" s="271">
        <f t="shared" si="161"/>
        <v>0</v>
      </c>
      <c r="N162" s="271">
        <f t="shared" si="161"/>
        <v>0</v>
      </c>
      <c r="O162" s="271">
        <f t="shared" si="161"/>
        <v>1.2</v>
      </c>
    </row>
    <row r="163" spans="1:15" x14ac:dyDescent="0.25">
      <c r="A163" s="1081"/>
      <c r="B163" s="352">
        <v>6</v>
      </c>
      <c r="C163" s="271">
        <f>P53</f>
        <v>10</v>
      </c>
      <c r="D163" s="271">
        <f t="shared" ref="D163:G163" si="162">Q53</f>
        <v>0</v>
      </c>
      <c r="E163" s="271">
        <f t="shared" si="162"/>
        <v>0.1</v>
      </c>
      <c r="F163" s="271">
        <f t="shared" si="162"/>
        <v>0.05</v>
      </c>
      <c r="G163" s="271">
        <f t="shared" si="162"/>
        <v>1.7</v>
      </c>
      <c r="I163" s="1081"/>
      <c r="J163" s="352">
        <v>6</v>
      </c>
      <c r="K163" s="271">
        <f>P59</f>
        <v>0.01</v>
      </c>
      <c r="L163" s="271">
        <f t="shared" ref="L163:O163" si="163">Q59</f>
        <v>0</v>
      </c>
      <c r="M163" s="271">
        <f t="shared" si="163"/>
        <v>0</v>
      </c>
      <c r="N163" s="271">
        <f t="shared" si="163"/>
        <v>0</v>
      </c>
      <c r="O163" s="271">
        <f t="shared" si="163"/>
        <v>1.2</v>
      </c>
    </row>
    <row r="164" spans="1:15" x14ac:dyDescent="0.25">
      <c r="A164" s="1081"/>
      <c r="B164" s="352">
        <v>7</v>
      </c>
      <c r="C164" s="271">
        <f>B84</f>
        <v>10</v>
      </c>
      <c r="D164" s="271" t="str">
        <f t="shared" ref="D164:G164" si="164">C84</f>
        <v>-</v>
      </c>
      <c r="E164" s="271">
        <f t="shared" si="164"/>
        <v>0</v>
      </c>
      <c r="F164" s="271">
        <f t="shared" si="164"/>
        <v>0</v>
      </c>
      <c r="G164" s="271">
        <f t="shared" si="164"/>
        <v>1.7</v>
      </c>
      <c r="I164" s="1081"/>
      <c r="J164" s="352">
        <v>7</v>
      </c>
      <c r="K164" s="271">
        <f>B90</f>
        <v>0.01</v>
      </c>
      <c r="L164" s="271">
        <f t="shared" ref="L164:O164" si="165">C90</f>
        <v>0</v>
      </c>
      <c r="M164" s="271">
        <f t="shared" si="165"/>
        <v>0</v>
      </c>
      <c r="N164" s="271">
        <f t="shared" si="165"/>
        <v>0</v>
      </c>
      <c r="O164" s="271">
        <f t="shared" si="165"/>
        <v>1.2</v>
      </c>
    </row>
    <row r="165" spans="1:15" x14ac:dyDescent="0.25">
      <c r="A165" s="1081"/>
      <c r="B165" s="352">
        <v>8</v>
      </c>
      <c r="C165" s="271">
        <f>I84</f>
        <v>10</v>
      </c>
      <c r="D165" s="271">
        <f t="shared" ref="D165:G165" si="166">J84</f>
        <v>0</v>
      </c>
      <c r="E165" s="271">
        <f t="shared" si="166"/>
        <v>0</v>
      </c>
      <c r="F165" s="271">
        <f t="shared" si="166"/>
        <v>0</v>
      </c>
      <c r="G165" s="271">
        <f t="shared" si="166"/>
        <v>0</v>
      </c>
      <c r="I165" s="1081"/>
      <c r="J165" s="352">
        <v>8</v>
      </c>
      <c r="K165" s="271">
        <f>I90</f>
        <v>0.01</v>
      </c>
      <c r="L165" s="271">
        <f t="shared" ref="L165:O165" si="167">J90</f>
        <v>0</v>
      </c>
      <c r="M165" s="271">
        <f t="shared" si="167"/>
        <v>0</v>
      </c>
      <c r="N165" s="271">
        <f t="shared" si="167"/>
        <v>0</v>
      </c>
      <c r="O165" s="271">
        <f t="shared" si="167"/>
        <v>1.2</v>
      </c>
    </row>
    <row r="166" spans="1:15" x14ac:dyDescent="0.25">
      <c r="A166" s="1081"/>
      <c r="B166" s="352">
        <v>9</v>
      </c>
      <c r="C166" s="271">
        <f>P84</f>
        <v>10</v>
      </c>
      <c r="D166" s="271">
        <f t="shared" ref="D166:G166" si="168">Q84</f>
        <v>0</v>
      </c>
      <c r="E166" s="271">
        <f t="shared" si="168"/>
        <v>0</v>
      </c>
      <c r="F166" s="271">
        <f t="shared" si="168"/>
        <v>0</v>
      </c>
      <c r="G166" s="271">
        <f t="shared" si="168"/>
        <v>0</v>
      </c>
      <c r="I166" s="1081"/>
      <c r="J166" s="352">
        <v>9</v>
      </c>
      <c r="K166" s="271">
        <f>P90</f>
        <v>0.01</v>
      </c>
      <c r="L166" s="271">
        <f t="shared" ref="L166:O166" si="169">Q90</f>
        <v>0</v>
      </c>
      <c r="M166" s="271">
        <f t="shared" si="169"/>
        <v>0</v>
      </c>
      <c r="N166" s="271">
        <f t="shared" si="169"/>
        <v>0</v>
      </c>
      <c r="O166" s="271">
        <f t="shared" si="169"/>
        <v>1.2</v>
      </c>
    </row>
    <row r="167" spans="1:15" x14ac:dyDescent="0.25">
      <c r="A167" s="1081" t="s">
        <v>48</v>
      </c>
      <c r="B167" s="352">
        <v>1</v>
      </c>
      <c r="C167" s="271">
        <f>B23</f>
        <v>20</v>
      </c>
      <c r="D167" s="271" t="str">
        <f t="shared" ref="D167:G167" si="170">C23</f>
        <v>-</v>
      </c>
      <c r="E167" s="271">
        <f t="shared" si="170"/>
        <v>0</v>
      </c>
      <c r="F167" s="271">
        <f t="shared" si="170"/>
        <v>0</v>
      </c>
      <c r="G167" s="271">
        <f t="shared" si="170"/>
        <v>1.4</v>
      </c>
      <c r="I167" s="1081" t="s">
        <v>48</v>
      </c>
      <c r="J167" s="352">
        <v>1</v>
      </c>
      <c r="K167" s="271">
        <f>B29</f>
        <v>0.1</v>
      </c>
      <c r="L167" s="271">
        <f t="shared" ref="L167:O167" si="171">C29</f>
        <v>2E-3</v>
      </c>
      <c r="M167" s="271">
        <f t="shared" si="171"/>
        <v>-1E-3</v>
      </c>
      <c r="N167" s="271">
        <f t="shared" si="171"/>
        <v>1.5E-3</v>
      </c>
      <c r="O167" s="271">
        <f t="shared" si="171"/>
        <v>0.43</v>
      </c>
    </row>
    <row r="168" spans="1:15" x14ac:dyDescent="0.25">
      <c r="A168" s="1081"/>
      <c r="B168" s="352">
        <v>2</v>
      </c>
      <c r="C168" s="271">
        <f>I23</f>
        <v>20</v>
      </c>
      <c r="D168" s="271">
        <f t="shared" ref="D168:G168" si="172">J23</f>
        <v>0.1</v>
      </c>
      <c r="E168" s="271">
        <f t="shared" si="172"/>
        <v>0.2</v>
      </c>
      <c r="F168" s="271">
        <f t="shared" si="172"/>
        <v>0.05</v>
      </c>
      <c r="G168" s="271">
        <f t="shared" si="172"/>
        <v>1.3</v>
      </c>
      <c r="I168" s="1081"/>
      <c r="J168" s="352">
        <v>2</v>
      </c>
      <c r="K168" s="271">
        <f>I29</f>
        <v>0.1</v>
      </c>
      <c r="L168" s="271">
        <f t="shared" ref="L168:O168" si="173">J29</f>
        <v>5.0000000000000001E-3</v>
      </c>
      <c r="M168" s="271">
        <f t="shared" si="173"/>
        <v>6.0000000000000001E-3</v>
      </c>
      <c r="N168" s="271">
        <f t="shared" si="173"/>
        <v>5.0000000000000001E-4</v>
      </c>
      <c r="O168" s="271">
        <f t="shared" si="173"/>
        <v>0.43</v>
      </c>
    </row>
    <row r="169" spans="1:15" x14ac:dyDescent="0.25">
      <c r="A169" s="1081"/>
      <c r="B169" s="352">
        <v>3</v>
      </c>
      <c r="C169" s="271">
        <f>P23</f>
        <v>20</v>
      </c>
      <c r="D169" s="271">
        <f t="shared" ref="D169:G169" si="174">Q23</f>
        <v>0</v>
      </c>
      <c r="E169" s="271">
        <f t="shared" si="174"/>
        <v>0</v>
      </c>
      <c r="F169" s="271">
        <f t="shared" si="174"/>
        <v>0</v>
      </c>
      <c r="G169" s="271">
        <f t="shared" si="174"/>
        <v>1.7</v>
      </c>
      <c r="I169" s="1081"/>
      <c r="J169" s="352">
        <v>3</v>
      </c>
      <c r="K169" s="271">
        <f>P29</f>
        <v>0.1</v>
      </c>
      <c r="L169" s="271">
        <f t="shared" ref="L169:O169" si="175">Q29</f>
        <v>0</v>
      </c>
      <c r="M169" s="271">
        <f t="shared" si="175"/>
        <v>0</v>
      </c>
      <c r="N169" s="271">
        <f t="shared" si="175"/>
        <v>0</v>
      </c>
      <c r="O169" s="271">
        <f t="shared" si="175"/>
        <v>1.2</v>
      </c>
    </row>
    <row r="170" spans="1:15" x14ac:dyDescent="0.25">
      <c r="A170" s="1081"/>
      <c r="B170" s="352">
        <v>4</v>
      </c>
      <c r="C170" s="271">
        <f>B54</f>
        <v>20</v>
      </c>
      <c r="D170" s="271">
        <f t="shared" ref="D170:G170" si="176">C54</f>
        <v>0.1</v>
      </c>
      <c r="E170" s="271">
        <f t="shared" si="176"/>
        <v>0.2</v>
      </c>
      <c r="F170" s="271">
        <f t="shared" si="176"/>
        <v>0.05</v>
      </c>
      <c r="G170" s="271">
        <f t="shared" si="176"/>
        <v>1.7</v>
      </c>
      <c r="I170" s="1081"/>
      <c r="J170" s="352">
        <v>4</v>
      </c>
      <c r="K170" s="271">
        <f>B60</f>
        <v>0.1</v>
      </c>
      <c r="L170" s="271">
        <f t="shared" ref="L170:O170" si="177">C60</f>
        <v>-2E-3</v>
      </c>
      <c r="M170" s="271">
        <f t="shared" si="177"/>
        <v>0</v>
      </c>
      <c r="N170" s="271">
        <f t="shared" si="177"/>
        <v>1E-3</v>
      </c>
      <c r="O170" s="271">
        <f t="shared" si="177"/>
        <v>0.59</v>
      </c>
    </row>
    <row r="171" spans="1:15" x14ac:dyDescent="0.25">
      <c r="A171" s="1081"/>
      <c r="B171" s="352">
        <v>5</v>
      </c>
      <c r="C171" s="271">
        <f>I54</f>
        <v>20</v>
      </c>
      <c r="D171" s="271">
        <f t="shared" ref="D171:G171" si="178">J54</f>
        <v>0.1</v>
      </c>
      <c r="E171" s="271">
        <f t="shared" si="178"/>
        <v>0.1</v>
      </c>
      <c r="F171" s="271">
        <f t="shared" si="178"/>
        <v>0</v>
      </c>
      <c r="G171" s="271">
        <f t="shared" si="178"/>
        <v>1.7</v>
      </c>
      <c r="I171" s="1081"/>
      <c r="J171" s="352">
        <v>5</v>
      </c>
      <c r="K171" s="271">
        <f>I60</f>
        <v>0.1</v>
      </c>
      <c r="L171" s="271">
        <f t="shared" ref="L171:O171" si="179">J60</f>
        <v>-2E-3</v>
      </c>
      <c r="M171" s="271">
        <f t="shared" si="179"/>
        <v>2E-3</v>
      </c>
      <c r="N171" s="271">
        <f t="shared" si="179"/>
        <v>2E-3</v>
      </c>
      <c r="O171" s="271">
        <f t="shared" si="179"/>
        <v>1.2</v>
      </c>
    </row>
    <row r="172" spans="1:15" x14ac:dyDescent="0.25">
      <c r="A172" s="1081"/>
      <c r="B172" s="352">
        <v>6</v>
      </c>
      <c r="C172" s="271">
        <f>P54</f>
        <v>20</v>
      </c>
      <c r="D172" s="271">
        <f t="shared" ref="D172:G172" si="180">Q54</f>
        <v>0.1</v>
      </c>
      <c r="E172" s="271">
        <f t="shared" si="180"/>
        <v>0.1</v>
      </c>
      <c r="F172" s="271">
        <f t="shared" si="180"/>
        <v>0</v>
      </c>
      <c r="G172" s="271">
        <f t="shared" si="180"/>
        <v>1.7</v>
      </c>
      <c r="I172" s="1081"/>
      <c r="J172" s="352">
        <v>6</v>
      </c>
      <c r="K172" s="271">
        <f>P60</f>
        <v>0.1</v>
      </c>
      <c r="L172" s="271">
        <f t="shared" ref="L172:O172" si="181">Q60</f>
        <v>1E-3</v>
      </c>
      <c r="M172" s="271">
        <f t="shared" si="181"/>
        <v>-2E-3</v>
      </c>
      <c r="N172" s="271">
        <f t="shared" si="181"/>
        <v>1.5E-3</v>
      </c>
      <c r="O172" s="271">
        <f t="shared" si="181"/>
        <v>1.2</v>
      </c>
    </row>
    <row r="173" spans="1:15" x14ac:dyDescent="0.25">
      <c r="A173" s="1081"/>
      <c r="B173" s="352">
        <v>7</v>
      </c>
      <c r="C173" s="271">
        <f>B85</f>
        <v>20</v>
      </c>
      <c r="D173" s="271" t="str">
        <f t="shared" ref="D173:G173" si="182">C85</f>
        <v>-</v>
      </c>
      <c r="E173" s="271">
        <f t="shared" si="182"/>
        <v>0.1</v>
      </c>
      <c r="F173" s="271">
        <f t="shared" si="182"/>
        <v>0</v>
      </c>
      <c r="G173" s="271">
        <f t="shared" si="182"/>
        <v>1.7</v>
      </c>
      <c r="I173" s="1081"/>
      <c r="J173" s="352">
        <v>7</v>
      </c>
      <c r="K173" s="271">
        <f>B91</f>
        <v>0.1</v>
      </c>
      <c r="L173" s="271">
        <f t="shared" ref="L173:O173" si="183">C91</f>
        <v>0</v>
      </c>
      <c r="M173" s="271">
        <f t="shared" si="183"/>
        <v>0</v>
      </c>
      <c r="N173" s="271">
        <f t="shared" si="183"/>
        <v>0</v>
      </c>
      <c r="O173" s="271">
        <f t="shared" si="183"/>
        <v>1.2</v>
      </c>
    </row>
    <row r="174" spans="1:15" x14ac:dyDescent="0.25">
      <c r="A174" s="1081"/>
      <c r="B174" s="352">
        <v>8</v>
      </c>
      <c r="C174" s="271">
        <f>I85</f>
        <v>20</v>
      </c>
      <c r="D174" s="271">
        <f t="shared" ref="D174:G174" si="184">J85</f>
        <v>0</v>
      </c>
      <c r="E174" s="271">
        <f t="shared" si="184"/>
        <v>0</v>
      </c>
      <c r="F174" s="271">
        <f t="shared" si="184"/>
        <v>0</v>
      </c>
      <c r="G174" s="271">
        <f t="shared" si="184"/>
        <v>0</v>
      </c>
      <c r="I174" s="1081"/>
      <c r="J174" s="352">
        <v>8</v>
      </c>
      <c r="K174" s="271">
        <f>I91</f>
        <v>0.1</v>
      </c>
      <c r="L174" s="271">
        <f t="shared" ref="L174:O174" si="185">J91</f>
        <v>0</v>
      </c>
      <c r="M174" s="271">
        <f t="shared" si="185"/>
        <v>-2E-3</v>
      </c>
      <c r="N174" s="271">
        <f t="shared" si="185"/>
        <v>1E-3</v>
      </c>
      <c r="O174" s="271">
        <f t="shared" si="185"/>
        <v>1.2</v>
      </c>
    </row>
    <row r="175" spans="1:15" x14ac:dyDescent="0.25">
      <c r="A175" s="1081"/>
      <c r="B175" s="352">
        <v>9</v>
      </c>
      <c r="C175" s="271">
        <f>P85</f>
        <v>20</v>
      </c>
      <c r="D175" s="271">
        <f t="shared" ref="D175:G175" si="186">Q85</f>
        <v>0</v>
      </c>
      <c r="E175" s="271">
        <f t="shared" si="186"/>
        <v>0</v>
      </c>
      <c r="F175" s="271">
        <f t="shared" si="186"/>
        <v>0</v>
      </c>
      <c r="G175" s="271">
        <f t="shared" si="186"/>
        <v>0</v>
      </c>
      <c r="I175" s="1081"/>
      <c r="J175" s="352">
        <v>9</v>
      </c>
      <c r="K175" s="271">
        <f>P91</f>
        <v>0.1</v>
      </c>
      <c r="L175" s="271">
        <f t="shared" ref="L175:O175" si="187">Q91</f>
        <v>0</v>
      </c>
      <c r="M175" s="271">
        <f t="shared" si="187"/>
        <v>-3.0000000000000001E-3</v>
      </c>
      <c r="N175" s="271">
        <f t="shared" si="187"/>
        <v>1.5E-3</v>
      </c>
      <c r="O175" s="271">
        <f t="shared" si="187"/>
        <v>1.2</v>
      </c>
    </row>
    <row r="176" spans="1:15" x14ac:dyDescent="0.25">
      <c r="A176" s="1081" t="s">
        <v>49</v>
      </c>
      <c r="B176" s="352">
        <v>1</v>
      </c>
      <c r="C176" s="271">
        <f>B24</f>
        <v>50</v>
      </c>
      <c r="D176" s="271" t="str">
        <f>C24</f>
        <v>-</v>
      </c>
      <c r="E176" s="271">
        <f>D24</f>
        <v>0</v>
      </c>
      <c r="F176" s="271">
        <f>E24</f>
        <v>0</v>
      </c>
      <c r="G176" s="271">
        <f>F24</f>
        <v>1.4</v>
      </c>
      <c r="I176" s="1081" t="s">
        <v>49</v>
      </c>
      <c r="J176" s="352">
        <v>1</v>
      </c>
      <c r="K176" s="271">
        <f>B30</f>
        <v>1</v>
      </c>
      <c r="L176" s="271">
        <f t="shared" ref="L176:O176" si="188">C30</f>
        <v>1.2E-2</v>
      </c>
      <c r="M176" s="271">
        <f t="shared" si="188"/>
        <v>4.0000000000000001E-3</v>
      </c>
      <c r="N176" s="271">
        <f t="shared" si="188"/>
        <v>4.0000000000000001E-3</v>
      </c>
      <c r="O176" s="271">
        <f t="shared" si="188"/>
        <v>0.43</v>
      </c>
    </row>
    <row r="177" spans="1:15" x14ac:dyDescent="0.25">
      <c r="A177" s="1081"/>
      <c r="B177" s="352">
        <v>2</v>
      </c>
      <c r="C177" s="271">
        <f>I24</f>
        <v>50</v>
      </c>
      <c r="D177" s="271">
        <f>J24</f>
        <v>0.1</v>
      </c>
      <c r="E177" s="271">
        <f>K24</f>
        <v>0.3</v>
      </c>
      <c r="F177" s="271">
        <f>L24</f>
        <v>9.9999999999999992E-2</v>
      </c>
      <c r="G177" s="271">
        <f>M24</f>
        <v>1.3</v>
      </c>
      <c r="I177" s="1081"/>
      <c r="J177" s="352">
        <v>2</v>
      </c>
      <c r="K177" s="271">
        <f>I30</f>
        <v>1</v>
      </c>
      <c r="L177" s="271">
        <f t="shared" ref="L177:O177" si="189">J30</f>
        <v>5.5E-2</v>
      </c>
      <c r="M177" s="271">
        <f t="shared" si="189"/>
        <v>4.4999999999999998E-2</v>
      </c>
      <c r="N177" s="271">
        <f t="shared" si="189"/>
        <v>5.000000000000001E-3</v>
      </c>
      <c r="O177" s="271">
        <f t="shared" si="189"/>
        <v>0.43</v>
      </c>
    </row>
    <row r="178" spans="1:15" x14ac:dyDescent="0.25">
      <c r="A178" s="1081"/>
      <c r="B178" s="352">
        <v>3</v>
      </c>
      <c r="C178" s="271">
        <f>P24</f>
        <v>50</v>
      </c>
      <c r="D178" s="271">
        <f>Q24</f>
        <v>0.4</v>
      </c>
      <c r="E178" s="271">
        <f t="shared" ref="E178:G178" si="190">R24</f>
        <v>0.3</v>
      </c>
      <c r="F178" s="271">
        <f t="shared" si="190"/>
        <v>5.0000000000000017E-2</v>
      </c>
      <c r="G178" s="271">
        <f t="shared" si="190"/>
        <v>1.7</v>
      </c>
      <c r="I178" s="1081"/>
      <c r="J178" s="352">
        <v>3</v>
      </c>
      <c r="K178" s="271">
        <f>P30</f>
        <v>1</v>
      </c>
      <c r="L178" s="271">
        <f t="shared" ref="L178:O178" si="191">Q30</f>
        <v>6.0000000000000001E-3</v>
      </c>
      <c r="M178" s="271">
        <f t="shared" si="191"/>
        <v>0</v>
      </c>
      <c r="N178" s="271">
        <f t="shared" si="191"/>
        <v>3.0000000000000001E-3</v>
      </c>
      <c r="O178" s="271">
        <f t="shared" si="191"/>
        <v>1.2</v>
      </c>
    </row>
    <row r="179" spans="1:15" x14ac:dyDescent="0.25">
      <c r="A179" s="1081"/>
      <c r="B179" s="352">
        <v>4</v>
      </c>
      <c r="C179" s="271">
        <f>B55</f>
        <v>50</v>
      </c>
      <c r="D179" s="271">
        <f>C55</f>
        <v>0.4</v>
      </c>
      <c r="E179" s="271">
        <f>D55</f>
        <v>0.5</v>
      </c>
      <c r="F179" s="271">
        <f>E55</f>
        <v>4.9999999999999989E-2</v>
      </c>
      <c r="G179" s="271">
        <f>F55</f>
        <v>1.7</v>
      </c>
      <c r="I179" s="1081"/>
      <c r="J179" s="352">
        <v>4</v>
      </c>
      <c r="K179" s="271">
        <f>B61</f>
        <v>1</v>
      </c>
      <c r="L179" s="271">
        <f t="shared" ref="L179:O179" si="192">C61</f>
        <v>-8.0000000000000002E-3</v>
      </c>
      <c r="M179" s="271">
        <f t="shared" si="192"/>
        <v>-1E-3</v>
      </c>
      <c r="N179" s="271">
        <f t="shared" si="192"/>
        <v>3.5000000000000001E-3</v>
      </c>
      <c r="O179" s="271">
        <f t="shared" si="192"/>
        <v>0.59</v>
      </c>
    </row>
    <row r="180" spans="1:15" x14ac:dyDescent="0.25">
      <c r="A180" s="1081"/>
      <c r="B180" s="352">
        <v>5</v>
      </c>
      <c r="C180" s="271">
        <f>I55</f>
        <v>50</v>
      </c>
      <c r="D180" s="271">
        <f>J55</f>
        <v>0.6</v>
      </c>
      <c r="E180" s="271">
        <f>K55</f>
        <v>0.4</v>
      </c>
      <c r="F180" s="271">
        <f>L55</f>
        <v>9.9999999999999978E-2</v>
      </c>
      <c r="G180" s="271">
        <f>M55</f>
        <v>1.7</v>
      </c>
      <c r="I180" s="1081"/>
      <c r="J180" s="352">
        <v>5</v>
      </c>
      <c r="K180" s="271">
        <f>I61</f>
        <v>1</v>
      </c>
      <c r="L180" s="271">
        <f t="shared" ref="L180:O180" si="193">J61</f>
        <v>6.3E-2</v>
      </c>
      <c r="M180" s="271">
        <f t="shared" si="193"/>
        <v>1.2E-2</v>
      </c>
      <c r="N180" s="271">
        <f t="shared" si="193"/>
        <v>2.5500000000000002E-2</v>
      </c>
      <c r="O180" s="271">
        <f t="shared" si="193"/>
        <v>1.2</v>
      </c>
    </row>
    <row r="181" spans="1:15" x14ac:dyDescent="0.25">
      <c r="A181" s="1081"/>
      <c r="B181" s="352">
        <v>6</v>
      </c>
      <c r="C181" s="271">
        <f>P55</f>
        <v>50</v>
      </c>
      <c r="D181" s="271">
        <f>Q55</f>
        <v>0.3</v>
      </c>
      <c r="E181" s="271">
        <f t="shared" ref="E181:G181" si="194">R55</f>
        <v>0.3</v>
      </c>
      <c r="F181" s="271">
        <f t="shared" si="194"/>
        <v>0</v>
      </c>
      <c r="G181" s="271">
        <f t="shared" si="194"/>
        <v>1.7</v>
      </c>
      <c r="I181" s="1081"/>
      <c r="J181" s="352">
        <v>6</v>
      </c>
      <c r="K181" s="271">
        <f>P61</f>
        <v>1</v>
      </c>
      <c r="L181" s="271">
        <f t="shared" ref="L181:O181" si="195">Q61</f>
        <v>2E-3</v>
      </c>
      <c r="M181" s="271">
        <f t="shared" si="195"/>
        <v>-1E-3</v>
      </c>
      <c r="N181" s="271">
        <f t="shared" si="195"/>
        <v>1.5E-3</v>
      </c>
      <c r="O181" s="271">
        <f t="shared" si="195"/>
        <v>1.2</v>
      </c>
    </row>
    <row r="182" spans="1:15" x14ac:dyDescent="0.25">
      <c r="A182" s="1081"/>
      <c r="B182" s="352">
        <v>7</v>
      </c>
      <c r="C182" s="271">
        <f>B86</f>
        <v>50</v>
      </c>
      <c r="D182" s="271" t="str">
        <f t="shared" ref="D182:G182" si="196">C86</f>
        <v>-</v>
      </c>
      <c r="E182" s="271">
        <f t="shared" si="196"/>
        <v>0.4</v>
      </c>
      <c r="F182" s="271">
        <f t="shared" si="196"/>
        <v>0</v>
      </c>
      <c r="G182" s="271">
        <f t="shared" si="196"/>
        <v>1.7</v>
      </c>
      <c r="I182" s="1081"/>
      <c r="J182" s="352">
        <v>7</v>
      </c>
      <c r="K182" s="271">
        <f>B92</f>
        <v>1</v>
      </c>
      <c r="L182" s="271">
        <f t="shared" ref="L182:O182" si="197">C92</f>
        <v>-2.3E-3</v>
      </c>
      <c r="M182" s="271">
        <f t="shared" si="197"/>
        <v>-2.3E-3</v>
      </c>
      <c r="N182" s="271">
        <f t="shared" si="197"/>
        <v>0</v>
      </c>
      <c r="O182" s="271">
        <f t="shared" si="197"/>
        <v>1.2</v>
      </c>
    </row>
    <row r="183" spans="1:15" x14ac:dyDescent="0.25">
      <c r="A183" s="1081"/>
      <c r="B183" s="352">
        <v>8</v>
      </c>
      <c r="C183" s="271">
        <f>I86</f>
        <v>50</v>
      </c>
      <c r="D183" s="271">
        <f t="shared" ref="D183:G183" si="198">J86</f>
        <v>0</v>
      </c>
      <c r="E183" s="271">
        <f t="shared" si="198"/>
        <v>0</v>
      </c>
      <c r="F183" s="271">
        <f t="shared" si="198"/>
        <v>0</v>
      </c>
      <c r="G183" s="271">
        <f t="shared" si="198"/>
        <v>0</v>
      </c>
      <c r="I183" s="1081"/>
      <c r="J183" s="352">
        <v>8</v>
      </c>
      <c r="K183" s="271">
        <f>I92</f>
        <v>1</v>
      </c>
      <c r="L183" s="271">
        <f t="shared" ref="L183:O183" si="199">J92</f>
        <v>0</v>
      </c>
      <c r="M183" s="271">
        <f t="shared" si="199"/>
        <v>-1E-3</v>
      </c>
      <c r="N183" s="271">
        <f t="shared" si="199"/>
        <v>5.0000000000000001E-4</v>
      </c>
      <c r="O183" s="271">
        <f t="shared" si="199"/>
        <v>1.2</v>
      </c>
    </row>
    <row r="184" spans="1:15" x14ac:dyDescent="0.25">
      <c r="A184" s="1081"/>
      <c r="B184" s="352">
        <v>9</v>
      </c>
      <c r="C184" s="271">
        <f>P86</f>
        <v>50</v>
      </c>
      <c r="D184" s="271">
        <f t="shared" ref="D184:G184" si="200">Q86</f>
        <v>0</v>
      </c>
      <c r="E184" s="271">
        <f t="shared" si="200"/>
        <v>0</v>
      </c>
      <c r="F184" s="271">
        <f t="shared" si="200"/>
        <v>0</v>
      </c>
      <c r="G184" s="271">
        <f t="shared" si="200"/>
        <v>0</v>
      </c>
      <c r="I184" s="1081"/>
      <c r="J184" s="352">
        <v>9</v>
      </c>
      <c r="K184" s="271">
        <f>P92</f>
        <v>1</v>
      </c>
      <c r="L184" s="271">
        <f t="shared" ref="L184:O184" si="201">Q92</f>
        <v>0</v>
      </c>
      <c r="M184" s="271">
        <f t="shared" si="201"/>
        <v>-1E-3</v>
      </c>
      <c r="N184" s="271">
        <f t="shared" si="201"/>
        <v>5.0000000000000001E-4</v>
      </c>
      <c r="O184" s="271">
        <f t="shared" si="201"/>
        <v>1.2</v>
      </c>
    </row>
    <row r="185" spans="1:15" x14ac:dyDescent="0.25">
      <c r="A185" s="1081" t="s">
        <v>303</v>
      </c>
      <c r="B185" s="352">
        <v>1</v>
      </c>
      <c r="C185" s="271">
        <f>B25</f>
        <v>100</v>
      </c>
      <c r="D185" s="271" t="str">
        <f t="shared" ref="D185:G185" si="202">C25</f>
        <v>-</v>
      </c>
      <c r="E185" s="271">
        <f t="shared" si="202"/>
        <v>-0.3</v>
      </c>
      <c r="F185" s="271">
        <f t="shared" si="202"/>
        <v>0</v>
      </c>
      <c r="G185" s="271">
        <f t="shared" si="202"/>
        <v>1.4</v>
      </c>
      <c r="I185" s="1081" t="s">
        <v>303</v>
      </c>
      <c r="J185" s="352">
        <v>1</v>
      </c>
      <c r="K185" s="271">
        <f>B31</f>
        <v>2</v>
      </c>
      <c r="L185" s="271">
        <f t="shared" ref="L185:O185" si="203">C31</f>
        <v>0</v>
      </c>
      <c r="M185" s="271">
        <f t="shared" si="203"/>
        <v>7.0000000000000001E-3</v>
      </c>
      <c r="N185" s="271">
        <f t="shared" si="203"/>
        <v>3.5000000000000001E-3</v>
      </c>
      <c r="O185" s="271">
        <f t="shared" si="203"/>
        <v>0.43</v>
      </c>
    </row>
    <row r="186" spans="1:15" x14ac:dyDescent="0.25">
      <c r="A186" s="1081"/>
      <c r="B186" s="352">
        <v>2</v>
      </c>
      <c r="C186" s="271">
        <f>I25</f>
        <v>100</v>
      </c>
      <c r="D186" s="271">
        <f t="shared" ref="D186:G186" si="204">J25</f>
        <v>0</v>
      </c>
      <c r="E186" s="271">
        <f t="shared" si="204"/>
        <v>0.3</v>
      </c>
      <c r="F186" s="271">
        <f t="shared" si="204"/>
        <v>0.15</v>
      </c>
      <c r="G186" s="271">
        <f t="shared" si="204"/>
        <v>1.3</v>
      </c>
      <c r="I186" s="1081"/>
      <c r="J186" s="352">
        <v>2</v>
      </c>
      <c r="K186" s="271">
        <f>I31</f>
        <v>2</v>
      </c>
      <c r="L186" s="271">
        <f t="shared" ref="L186:O186" si="205">J31</f>
        <v>0</v>
      </c>
      <c r="M186" s="271">
        <f t="shared" si="205"/>
        <v>0</v>
      </c>
      <c r="N186" s="271">
        <f t="shared" si="205"/>
        <v>0</v>
      </c>
      <c r="O186" s="271">
        <f t="shared" si="205"/>
        <v>0.43</v>
      </c>
    </row>
    <row r="187" spans="1:15" x14ac:dyDescent="0.25">
      <c r="A187" s="1081"/>
      <c r="B187" s="352">
        <v>3</v>
      </c>
      <c r="C187" s="271">
        <f>P25</f>
        <v>100</v>
      </c>
      <c r="D187" s="271">
        <f t="shared" ref="D187:G187" si="206">Q25</f>
        <v>1.1000000000000001</v>
      </c>
      <c r="E187" s="271">
        <f t="shared" si="206"/>
        <v>0.6</v>
      </c>
      <c r="F187" s="271">
        <f t="shared" si="206"/>
        <v>0.25000000000000006</v>
      </c>
      <c r="G187" s="271">
        <f t="shared" si="206"/>
        <v>1.7</v>
      </c>
      <c r="I187" s="1081"/>
      <c r="J187" s="352">
        <v>3</v>
      </c>
      <c r="K187" s="271">
        <f>P31</f>
        <v>2</v>
      </c>
      <c r="L187" s="271">
        <f t="shared" ref="L187:O187" si="207">Q31</f>
        <v>1.2999999999999999E-2</v>
      </c>
      <c r="M187" s="271">
        <f t="shared" si="207"/>
        <v>0</v>
      </c>
      <c r="N187" s="271">
        <f t="shared" si="207"/>
        <v>6.4999999999999997E-3</v>
      </c>
      <c r="O187" s="271">
        <f t="shared" si="207"/>
        <v>1.2</v>
      </c>
    </row>
    <row r="188" spans="1:15" x14ac:dyDescent="0.25">
      <c r="A188" s="1081"/>
      <c r="B188" s="352">
        <v>4</v>
      </c>
      <c r="C188" s="271">
        <f>B56</f>
        <v>100</v>
      </c>
      <c r="D188" s="271">
        <f t="shared" ref="D188:G188" si="208">C56</f>
        <v>1.4</v>
      </c>
      <c r="E188" s="271">
        <f t="shared" si="208"/>
        <v>1</v>
      </c>
      <c r="F188" s="271">
        <f t="shared" si="208"/>
        <v>0.19999999999999996</v>
      </c>
      <c r="G188" s="271">
        <f t="shared" si="208"/>
        <v>1.7</v>
      </c>
      <c r="I188" s="1081"/>
      <c r="J188" s="352">
        <v>4</v>
      </c>
      <c r="K188" s="271">
        <f>B62</f>
        <v>2</v>
      </c>
      <c r="L188" s="271">
        <f t="shared" ref="L188:O188" si="209">C62</f>
        <v>-7.0000000000000001E-3</v>
      </c>
      <c r="M188" s="271">
        <f t="shared" si="209"/>
        <v>0</v>
      </c>
      <c r="N188" s="271">
        <f t="shared" si="209"/>
        <v>3.5000000000000001E-3</v>
      </c>
      <c r="O188" s="271">
        <f t="shared" si="209"/>
        <v>0.59</v>
      </c>
    </row>
    <row r="189" spans="1:15" x14ac:dyDescent="0.25">
      <c r="A189" s="1081"/>
      <c r="B189" s="352">
        <v>5</v>
      </c>
      <c r="C189" s="271">
        <f>I56</f>
        <v>100</v>
      </c>
      <c r="D189" s="271">
        <f t="shared" ref="D189:G189" si="210">J56</f>
        <v>1.5</v>
      </c>
      <c r="E189" s="271">
        <f t="shared" si="210"/>
        <v>0.8</v>
      </c>
      <c r="F189" s="271">
        <f t="shared" si="210"/>
        <v>0.35</v>
      </c>
      <c r="G189" s="271">
        <f t="shared" si="210"/>
        <v>1.7</v>
      </c>
      <c r="I189" s="1081"/>
      <c r="J189" s="352">
        <v>5</v>
      </c>
      <c r="K189" s="271">
        <f>I62</f>
        <v>2</v>
      </c>
      <c r="L189" s="271">
        <f t="shared" ref="L189:O189" si="211">J62</f>
        <v>9.0999999999999998E-2</v>
      </c>
      <c r="M189" s="271">
        <f t="shared" si="211"/>
        <v>0</v>
      </c>
      <c r="N189" s="271">
        <f t="shared" si="211"/>
        <v>4.5499999999999999E-2</v>
      </c>
      <c r="O189" s="271">
        <f t="shared" si="211"/>
        <v>1.2</v>
      </c>
    </row>
    <row r="190" spans="1:15" x14ac:dyDescent="0.25">
      <c r="A190" s="1081"/>
      <c r="B190" s="352">
        <v>6</v>
      </c>
      <c r="C190" s="271">
        <f>P56</f>
        <v>100</v>
      </c>
      <c r="D190" s="271">
        <f t="shared" ref="D190:G190" si="212">Q56</f>
        <v>0.9</v>
      </c>
      <c r="E190" s="271">
        <f t="shared" si="212"/>
        <v>0.6</v>
      </c>
      <c r="F190" s="271">
        <f t="shared" si="212"/>
        <v>0.15000000000000002</v>
      </c>
      <c r="G190" s="271">
        <f t="shared" si="212"/>
        <v>1.7</v>
      </c>
      <c r="I190" s="1081"/>
      <c r="J190" s="352">
        <v>6</v>
      </c>
      <c r="K190" s="271">
        <f>P62</f>
        <v>2</v>
      </c>
      <c r="L190" s="271">
        <f t="shared" ref="L190:O190" si="213">Q62</f>
        <v>0</v>
      </c>
      <c r="M190" s="271">
        <f t="shared" si="213"/>
        <v>0</v>
      </c>
      <c r="N190" s="271">
        <f t="shared" si="213"/>
        <v>0</v>
      </c>
      <c r="O190" s="271">
        <f t="shared" si="213"/>
        <v>1.2</v>
      </c>
    </row>
    <row r="191" spans="1:15" x14ac:dyDescent="0.25">
      <c r="A191" s="1081"/>
      <c r="B191" s="352">
        <v>7</v>
      </c>
      <c r="C191" s="271">
        <f>B87</f>
        <v>100</v>
      </c>
      <c r="D191" s="271" t="str">
        <f t="shared" ref="D191:G191" si="214">C87</f>
        <v>-</v>
      </c>
      <c r="E191" s="271">
        <f t="shared" si="214"/>
        <v>1.4</v>
      </c>
      <c r="F191" s="271">
        <f t="shared" si="214"/>
        <v>0</v>
      </c>
      <c r="G191" s="271">
        <f t="shared" si="214"/>
        <v>1.7</v>
      </c>
      <c r="I191" s="1081"/>
      <c r="J191" s="352">
        <v>7</v>
      </c>
      <c r="K191" s="271">
        <f>B93</f>
        <v>2</v>
      </c>
      <c r="L191" s="271">
        <f t="shared" ref="L191:O191" si="215">C93</f>
        <v>0</v>
      </c>
      <c r="M191" s="271">
        <f t="shared" si="215"/>
        <v>0</v>
      </c>
      <c r="N191" s="271">
        <f t="shared" si="215"/>
        <v>0</v>
      </c>
      <c r="O191" s="271">
        <f t="shared" si="215"/>
        <v>1.2</v>
      </c>
    </row>
    <row r="192" spans="1:15" x14ac:dyDescent="0.25">
      <c r="A192" s="1081"/>
      <c r="B192" s="352">
        <v>8</v>
      </c>
      <c r="C192" s="271">
        <f>I87</f>
        <v>100</v>
      </c>
      <c r="D192" s="271">
        <f t="shared" ref="D192:G192" si="216">J87</f>
        <v>0</v>
      </c>
      <c r="E192" s="271">
        <f t="shared" si="216"/>
        <v>0</v>
      </c>
      <c r="F192" s="271">
        <f t="shared" si="216"/>
        <v>0</v>
      </c>
      <c r="G192" s="271">
        <f t="shared" si="216"/>
        <v>0</v>
      </c>
      <c r="I192" s="1081"/>
      <c r="J192" s="352">
        <v>8</v>
      </c>
      <c r="K192" s="271">
        <f>I93</f>
        <v>2</v>
      </c>
      <c r="L192" s="271">
        <f t="shared" ref="L192:O192" si="217">J93</f>
        <v>0</v>
      </c>
      <c r="M192" s="271">
        <f t="shared" si="217"/>
        <v>-6.0000000000000001E-3</v>
      </c>
      <c r="N192" s="271">
        <f t="shared" si="217"/>
        <v>3.0000000000000001E-3</v>
      </c>
      <c r="O192" s="271">
        <f t="shared" si="217"/>
        <v>1.2</v>
      </c>
    </row>
    <row r="193" spans="1:20" x14ac:dyDescent="0.25">
      <c r="A193" s="1081"/>
      <c r="B193" s="352">
        <v>9</v>
      </c>
      <c r="C193" s="271">
        <f>P87</f>
        <v>100</v>
      </c>
      <c r="D193" s="271">
        <f t="shared" ref="D193:G193" si="218">Q87</f>
        <v>0</v>
      </c>
      <c r="E193" s="271">
        <f t="shared" si="218"/>
        <v>0</v>
      </c>
      <c r="F193" s="271">
        <f t="shared" si="218"/>
        <v>0</v>
      </c>
      <c r="G193" s="271">
        <f t="shared" si="218"/>
        <v>0</v>
      </c>
      <c r="I193" s="1081"/>
      <c r="J193" s="352">
        <v>9</v>
      </c>
      <c r="K193" s="271">
        <f>P93</f>
        <v>2</v>
      </c>
      <c r="L193" s="271">
        <f t="shared" ref="L193:O193" si="219">Q93</f>
        <v>0</v>
      </c>
      <c r="M193" s="271">
        <f t="shared" si="219"/>
        <v>-6.0000000000000001E-3</v>
      </c>
      <c r="N193" s="271">
        <f t="shared" si="219"/>
        <v>3.0000000000000001E-3</v>
      </c>
      <c r="O193" s="271">
        <f t="shared" si="219"/>
        <v>1.2</v>
      </c>
    </row>
    <row r="194" spans="1:20" ht="13.8" thickBot="1" x14ac:dyDescent="0.3">
      <c r="A194" s="261"/>
      <c r="B194" s="262"/>
      <c r="C194" s="262"/>
    </row>
    <row r="195" spans="1:20" x14ac:dyDescent="0.25">
      <c r="A195" s="216">
        <f>A244</f>
        <v>8</v>
      </c>
      <c r="B195" s="1059" t="str">
        <f>A234</f>
        <v>Electrical Safety Analyzer, Merek : Fluke, Model : ESA 615, SN : 4670010</v>
      </c>
      <c r="C195" s="1059"/>
      <c r="D195" s="1059"/>
      <c r="E195" s="1060"/>
      <c r="F195" s="277"/>
      <c r="G195" s="1061" t="s">
        <v>306</v>
      </c>
      <c r="H195" s="1062"/>
      <c r="I195" s="1062"/>
      <c r="J195" s="1063"/>
      <c r="K195" s="277"/>
      <c r="L195" s="1064" t="s">
        <v>94</v>
      </c>
      <c r="M195" s="1067" t="s">
        <v>307</v>
      </c>
      <c r="N195" s="1070" t="s">
        <v>308</v>
      </c>
      <c r="Q195" s="1004" t="s">
        <v>309</v>
      </c>
      <c r="R195" s="957" t="str">
        <f ca="1">Q200&amp;Q199&amp;R200&amp;R199&amp;S200&amp;S199</f>
        <v>( 219.6 ± 2.6 ) Volt</v>
      </c>
      <c r="S195" s="1103"/>
      <c r="T195"/>
    </row>
    <row r="196" spans="1:20" ht="15" thickBot="1" x14ac:dyDescent="0.3">
      <c r="A196" s="1072" t="s">
        <v>282</v>
      </c>
      <c r="B196" s="1073"/>
      <c r="C196" s="1073"/>
      <c r="D196" s="1073"/>
      <c r="E196" s="1074"/>
      <c r="F196" s="278"/>
      <c r="G196" s="279"/>
      <c r="H196" s="280">
        <f>IF($G$197&lt;=$A$200,A199,IF($G$197&lt;=$A$201,A200,IF($G$197&lt;=$A$202,A201,IF($G$197&lt;=$A$203,A202,IF($G$197&lt;=$A$204,A203,IF($G$197&gt;=$A$204,A204))))))</f>
        <v>200</v>
      </c>
      <c r="I196" s="280"/>
      <c r="J196" s="281">
        <f>IF($G$197&lt;=$A$200,C199,IF($G$197&lt;=$A$201,C200,IF($G$197&lt;=$A$202,C201,IF($G$197&lt;=$A$203,C202,IF($G$197&lt;=$A$204,C203,IF($G$197&gt;=$A$204,C204,))))))</f>
        <v>-0.33</v>
      </c>
      <c r="K196" s="278"/>
      <c r="L196" s="1065"/>
      <c r="M196" s="1068"/>
      <c r="N196" s="1071"/>
      <c r="Q196" s="1005"/>
      <c r="R196" s="959"/>
      <c r="S196" s="1104"/>
      <c r="T196"/>
    </row>
    <row r="197" spans="1:20" ht="13.8" thickBot="1" x14ac:dyDescent="0.3">
      <c r="A197" s="1075" t="str">
        <f>B4</f>
        <v>Setting VAC</v>
      </c>
      <c r="B197" s="1076"/>
      <c r="C197" s="1076"/>
      <c r="D197" s="1077" t="s">
        <v>284</v>
      </c>
      <c r="E197" s="1079" t="s">
        <v>235</v>
      </c>
      <c r="F197" s="278"/>
      <c r="G197" s="282">
        <f>L198</f>
        <v>220</v>
      </c>
      <c r="H197" s="280"/>
      <c r="I197" s="283">
        <f>((G197-H196)/(H198-H196)*(J198-J196)+J196)</f>
        <v>-0.39</v>
      </c>
      <c r="J197" s="281"/>
      <c r="K197" s="278"/>
      <c r="L197" s="1066"/>
      <c r="M197" s="1069"/>
      <c r="N197" s="1071"/>
    </row>
    <row r="198" spans="1:20" ht="14.4" x14ac:dyDescent="0.25">
      <c r="A198" s="217" t="s">
        <v>285</v>
      </c>
      <c r="B198" s="218">
        <f>VLOOKUP(B195,A235:K243,9,FALSE)</f>
        <v>2019</v>
      </c>
      <c r="C198" s="218">
        <f>VLOOKUP(B195,A235:K243,10,FALSE)</f>
        <v>2020</v>
      </c>
      <c r="D198" s="1078"/>
      <c r="E198" s="1080"/>
      <c r="F198" s="278"/>
      <c r="G198" s="279"/>
      <c r="H198" s="280">
        <f>IF($G$197&lt;=$A$200,A200,IF($G$197&lt;=$A$201,A201,IF($G$197&lt;=$A$202,A202,IF($G$197&lt;=$A$203,A203,IF($G$197&lt;=$A$204,A204,IF($G$197&lt;="250","250",))))))</f>
        <v>220</v>
      </c>
      <c r="I198" s="280"/>
      <c r="J198" s="281">
        <f>IF($G$197&lt;=$A$200,C200,IF($G$197&lt;=$A$201,C201,IF($G$197&lt;=$A$202,C202,IF($G$197&lt;=$A$203,C203,IF($G$197&lt;=$A$204,C204,IF($G$197&lt;="250",C204,))))))</f>
        <v>-0.39</v>
      </c>
      <c r="K198" s="278"/>
      <c r="L198" s="284">
        <f>ID!E25</f>
        <v>220</v>
      </c>
      <c r="M198" s="522">
        <f>L198+I197</f>
        <v>219.61</v>
      </c>
      <c r="N198" s="523">
        <f>IF(L198="-","-",IF(L198=L198,M198,))</f>
        <v>219.61</v>
      </c>
      <c r="P198" s="230" t="s">
        <v>8</v>
      </c>
      <c r="Q198" s="1100" t="s">
        <v>310</v>
      </c>
      <c r="R198" s="1101"/>
      <c r="S198" s="1102"/>
    </row>
    <row r="199" spans="1:20" ht="15.6" x14ac:dyDescent="0.25">
      <c r="A199" s="219">
        <f>VLOOKUP($A195,$B100:$G108,2,(FALSE))</f>
        <v>150</v>
      </c>
      <c r="B199" s="220">
        <f>VLOOKUP($A$195,$B$100:$G$108,3,(FALSE))</f>
        <v>0</v>
      </c>
      <c r="C199" s="220">
        <f>VLOOKUP($A$195,$B$100:$G$108,4,(FALSE))</f>
        <v>-0.17</v>
      </c>
      <c r="D199" s="220">
        <f>VLOOKUP($A$195,$B$100:$G$108,5,(FALSE))</f>
        <v>8.5000000000000006E-2</v>
      </c>
      <c r="E199" s="221">
        <f>VLOOKUP($A$195,$B$100:$G$108,6,(FALSE))</f>
        <v>1.8</v>
      </c>
      <c r="F199" s="278"/>
      <c r="G199" s="1056" t="s">
        <v>311</v>
      </c>
      <c r="H199" s="1057"/>
      <c r="I199" s="1057"/>
      <c r="J199" s="1058"/>
      <c r="K199" s="278"/>
      <c r="L199" s="286" t="str">
        <f>ID!I33</f>
        <v>OL</v>
      </c>
      <c r="M199" s="524" t="e">
        <f>L199+I201</f>
        <v>#VALUE!</v>
      </c>
      <c r="N199" s="525" t="str">
        <f>IF(L199="OL","OL",IF(L199="NC","NC",IF(L199="-","-",IF(L199=L199,M199,))))</f>
        <v>OL</v>
      </c>
      <c r="Q199" s="548" t="str">
        <f>TEXT(N198,"0.0")</f>
        <v>219.6</v>
      </c>
      <c r="R199" s="547" t="str">
        <f ca="1">TEXT((FORECAST(N198,OFFSET(E199:E204,MATCH(N198,A199:A204,1)-1,0,2),OFFSET(A199:A204,MATCH(N198,A199:A204,1)-1,0,2))),"0.0")</f>
        <v>2.6</v>
      </c>
      <c r="S199" s="161" t="s">
        <v>312</v>
      </c>
    </row>
    <row r="200" spans="1:20" ht="15.6" x14ac:dyDescent="0.25">
      <c r="A200" s="222">
        <f>VLOOKUP($A$195,$B$109:$G$117,2,(FALSE))</f>
        <v>180</v>
      </c>
      <c r="B200" s="223">
        <f>VLOOKUP($A$195,$B$109:$G$117,3,(FALSE))</f>
        <v>0</v>
      </c>
      <c r="C200" s="223">
        <f>VLOOKUP($A$195,$B$109:$G$117,4,(FALSE))</f>
        <v>-0.22</v>
      </c>
      <c r="D200" s="223">
        <f>VLOOKUP($A$195,$B$109:$G$117,5,(FALSE))</f>
        <v>0.11</v>
      </c>
      <c r="E200" s="224">
        <f>VLOOKUP($A$195,$B$109:$G$117,6,(FALSE))</f>
        <v>2.16</v>
      </c>
      <c r="F200" s="278"/>
      <c r="G200" s="279"/>
      <c r="H200" s="280">
        <f>IF($G$201&lt;=$A$215,0,IF($G$201&lt;=$A$216,$A$215,IF($G$201&lt;=$A$217,$A$216,IF($G$201&lt;=$A$218,$A$217,))))</f>
        <v>0</v>
      </c>
      <c r="I200" s="280"/>
      <c r="J200" s="281">
        <f>IF($G$201&lt;=$A$215,0,IF($G$201&lt;=$A$216,$C$215,IF($G$201&lt;=$A$217,$C$216,IF($G$201&lt;=$A$218,$C$217,))))</f>
        <v>0</v>
      </c>
      <c r="K200" s="278"/>
      <c r="L200" s="287">
        <f>ID!I34</f>
        <v>0.32200000000000001</v>
      </c>
      <c r="M200" s="526">
        <f>L200+I205</f>
        <v>0.32024666666666668</v>
      </c>
      <c r="N200" s="527">
        <f>IF(L200="OL","OL",IF(L200="NC","NC",IF(L200="-","-",IF(L200=L200,M200,))))</f>
        <v>0.32024666666666668</v>
      </c>
      <c r="Q200" s="421" t="s">
        <v>313</v>
      </c>
      <c r="R200" s="493" t="s">
        <v>314</v>
      </c>
      <c r="S200" s="493" t="s">
        <v>315</v>
      </c>
      <c r="T200" s="285"/>
    </row>
    <row r="201" spans="1:20" ht="16.2" thickBot="1" x14ac:dyDescent="0.3">
      <c r="A201" s="222">
        <f>VLOOKUP($A$195,$B$118:$G$126,2,(FALSE))</f>
        <v>200</v>
      </c>
      <c r="B201" s="223">
        <f>VLOOKUP($A$195,$B$118:$G$126,3,(FALSE))</f>
        <v>0</v>
      </c>
      <c r="C201" s="223">
        <f>VLOOKUP($A$195,$B$118:$G$126,4,(FALSE))</f>
        <v>-0.33</v>
      </c>
      <c r="D201" s="223">
        <f>VLOOKUP($A$195,$B$118:$G$126,5,(FALSE))</f>
        <v>0.16500000000000001</v>
      </c>
      <c r="E201" s="224">
        <f>VLOOKUP($A$195,$B$118:$G$126,6,(FALSE))</f>
        <v>2.4</v>
      </c>
      <c r="F201" s="278"/>
      <c r="G201" s="282" t="str">
        <f>L199</f>
        <v>OL</v>
      </c>
      <c r="H201" s="280"/>
      <c r="I201" s="283" t="e">
        <f>((G201-H200)/(H202-H200)*(J202-J200)+J200)</f>
        <v>#VALUE!</v>
      </c>
      <c r="J201" s="281"/>
      <c r="K201" s="278"/>
      <c r="L201" s="288">
        <f>ID!I35</f>
        <v>600</v>
      </c>
      <c r="M201" s="597">
        <f>L201+I209</f>
        <v>621.76</v>
      </c>
      <c r="N201" s="529">
        <f t="shared" ref="N201" si="220">IF(L201="-","-",IF(L201=L201,M201,))</f>
        <v>621.76</v>
      </c>
      <c r="Q201" s="285"/>
      <c r="T201" s="285"/>
    </row>
    <row r="202" spans="1:20" ht="16.2" thickBot="1" x14ac:dyDescent="0.3">
      <c r="A202" s="222">
        <f>VLOOKUP($A$195,$B$127:$G$135,2,(FALSE))</f>
        <v>220</v>
      </c>
      <c r="B202" s="223">
        <f>VLOOKUP($A$195,$B$127:$G$135,3,(FALSE))</f>
        <v>0</v>
      </c>
      <c r="C202" s="223">
        <f>VLOOKUP($A$195,$B$127:$G$135,4,(FALSE))</f>
        <v>-0.39</v>
      </c>
      <c r="D202" s="223">
        <f>VLOOKUP($A$195,$B$127:$G$135,5,(FALSE))</f>
        <v>0.19500000000000001</v>
      </c>
      <c r="E202" s="224">
        <f>VLOOKUP($A$195,$B$127:$G$135,6,(FALSE))</f>
        <v>2.64</v>
      </c>
      <c r="F202" s="278"/>
      <c r="G202" s="279"/>
      <c r="H202" s="280">
        <f>IF($G$201&lt;=$A$215,$A$215,IF($G$201&lt;=$A$216,$A$216,IF($G$201&lt;=$A$217,$A$217,IF($G$201&lt;=$A$218,$A$218,))))</f>
        <v>0</v>
      </c>
      <c r="I202" s="280"/>
      <c r="J202" s="281">
        <f>IF($G$201&lt;=$A$215,$C$215,IF($G$201&lt;=$A$216,$C$216,IF($G$201&lt;=$A$217,$C$217,IF($G$201&lt;=$A$218,$C$218,))))</f>
        <v>0</v>
      </c>
      <c r="K202" s="278"/>
      <c r="L202" s="288">
        <f>ID!R35</f>
        <v>10</v>
      </c>
      <c r="M202" s="528">
        <f>L202+I213</f>
        <v>10.34</v>
      </c>
      <c r="N202" s="529">
        <f>IF(L202="-","-",IF(L202=L202,M202,))</f>
        <v>10.34</v>
      </c>
      <c r="Q202" s="285"/>
      <c r="T202" s="285"/>
    </row>
    <row r="203" spans="1:20" ht="15.6" x14ac:dyDescent="0.25">
      <c r="A203" s="222">
        <f>VLOOKUP($A$195,$B$136:$G$144,2,(FALSE))</f>
        <v>230</v>
      </c>
      <c r="B203" s="223">
        <f>VLOOKUP($A$195,$B$136:$G$144,3,(FALSE))</f>
        <v>0</v>
      </c>
      <c r="C203" s="223">
        <f>VLOOKUP($A$195,$B$136:$G$144,4,(FALSE))</f>
        <v>-0.39</v>
      </c>
      <c r="D203" s="223">
        <f>VLOOKUP($A$195,$B$136:$G$144,5,(FALSE))</f>
        <v>0.19500000000000001</v>
      </c>
      <c r="E203" s="224">
        <f>VLOOKUP($A$195,$B$136:$G$144,6,(FALSE))</f>
        <v>2.7600000000000002</v>
      </c>
      <c r="F203" s="278"/>
      <c r="G203" s="1056" t="s">
        <v>221</v>
      </c>
      <c r="H203" s="1057"/>
      <c r="I203" s="1057"/>
      <c r="J203" s="1058"/>
      <c r="K203" s="278"/>
      <c r="L203" s="289"/>
      <c r="M203" s="290"/>
      <c r="N203" s="291"/>
      <c r="Q203" s="285"/>
      <c r="T203" s="285"/>
    </row>
    <row r="204" spans="1:20" ht="16.2" thickBot="1" x14ac:dyDescent="0.3">
      <c r="A204" s="225">
        <f>VLOOKUP($A$195,$B$145:$G$153,2,(FALSE))</f>
        <v>250</v>
      </c>
      <c r="B204" s="226">
        <f>VLOOKUP($A$195,$B$145:$G$153,3,(FALSE))</f>
        <v>0</v>
      </c>
      <c r="C204" s="226">
        <f>VLOOKUP($A$195,$B$145:$G$153,4,(FALSE))</f>
        <v>0</v>
      </c>
      <c r="D204" s="226">
        <f>VLOOKUP($A$195,$B$145:$G$153,5,(FALSE))</f>
        <v>0</v>
      </c>
      <c r="E204" s="227">
        <f>VLOOKUP($A$195,$B$145:$G$153,6,(FALSE))</f>
        <v>3</v>
      </c>
      <c r="F204" s="278"/>
      <c r="G204" s="279"/>
      <c r="H204" s="280">
        <f>IF($G$205&lt;=A222,A221,IF($G$205&lt;=A223,A222,IF($G$205&lt;=A224,A223,)))</f>
        <v>0.1</v>
      </c>
      <c r="I204" s="280"/>
      <c r="J204" s="292">
        <f>IF($G$205&lt;=A222,C221,IF($G$205&lt;=A223,C222,IF($G$205&lt;=A224,C223,)))</f>
        <v>-2E-3</v>
      </c>
      <c r="K204" s="278"/>
      <c r="L204" s="289"/>
      <c r="M204" s="290"/>
      <c r="N204" s="291"/>
      <c r="S204" s="295"/>
      <c r="T204" s="285"/>
    </row>
    <row r="205" spans="1:20" ht="15.6" x14ac:dyDescent="0.25">
      <c r="A205" s="1051" t="str">
        <f>B12</f>
        <v>Current Leakage</v>
      </c>
      <c r="B205" s="1052"/>
      <c r="C205" s="1052"/>
      <c r="D205" s="355" t="s">
        <v>284</v>
      </c>
      <c r="E205" s="293" t="s">
        <v>235</v>
      </c>
      <c r="F205" s="278"/>
      <c r="G205" s="294">
        <f>L200</f>
        <v>0.32200000000000001</v>
      </c>
      <c r="H205" s="280"/>
      <c r="I205" s="283">
        <f>((G205-H204)/(H206-H204)*(J206-J204)+J204)</f>
        <v>-1.7533333333333333E-3</v>
      </c>
      <c r="J205" s="292"/>
      <c r="K205" s="278"/>
      <c r="L205" s="289"/>
      <c r="M205" s="290"/>
      <c r="N205" s="291"/>
      <c r="T205" s="285"/>
    </row>
    <row r="206" spans="1:20" ht="15.6" x14ac:dyDescent="0.25">
      <c r="A206" s="217" t="s">
        <v>287</v>
      </c>
      <c r="B206" s="218">
        <f>B198</f>
        <v>2019</v>
      </c>
      <c r="C206" s="218">
        <f>C198</f>
        <v>2020</v>
      </c>
      <c r="D206" s="218"/>
      <c r="E206" s="296"/>
      <c r="F206" s="278"/>
      <c r="G206" s="279"/>
      <c r="H206" s="280">
        <f>IF($G$205&lt;=A222,A222,IF($G$205&lt;=A223,A223,IF($G$205&lt;=A224,A224,)))</f>
        <v>1</v>
      </c>
      <c r="I206" s="280"/>
      <c r="J206" s="292">
        <f>IF($G$205&lt;=A222,C222,IF($G$205&lt;=A223,C223,IF($G$205&lt;=A224,C224,)))</f>
        <v>-1E-3</v>
      </c>
      <c r="K206" s="278"/>
      <c r="L206" s="289"/>
      <c r="M206" s="290"/>
      <c r="N206" s="291"/>
      <c r="T206" s="285"/>
    </row>
    <row r="207" spans="1:20" x14ac:dyDescent="0.25">
      <c r="A207" s="297">
        <f>VLOOKUP($A$195,$J$100:$O$108,2,(FALSE))</f>
        <v>0</v>
      </c>
      <c r="B207" s="223">
        <f>VLOOKUP($A$195,$J$100:$O$108,3,(FALSE))</f>
        <v>0</v>
      </c>
      <c r="C207" s="223">
        <f>VLOOKUP($A$195,$J$100:$O$108,4,(FALSE))</f>
        <v>0</v>
      </c>
      <c r="D207" s="223">
        <f>VLOOKUP($A$195,$J$100:$O$108,5,(FALSE))</f>
        <v>0</v>
      </c>
      <c r="E207" s="224">
        <f>VLOOKUP($A$195,$J$100:$O$108,6,(FALSE))</f>
        <v>0.59</v>
      </c>
      <c r="F207" s="278"/>
      <c r="G207" s="1056" t="s">
        <v>316</v>
      </c>
      <c r="H207" s="1057"/>
      <c r="I207" s="1057"/>
      <c r="J207" s="1058"/>
      <c r="K207" s="278"/>
      <c r="L207" s="298"/>
      <c r="M207" s="298"/>
      <c r="N207" s="299"/>
    </row>
    <row r="208" spans="1:20" x14ac:dyDescent="0.25">
      <c r="A208" s="297">
        <f>VLOOKUP($A$195,$J$109:$O$117,2,(FALSE))</f>
        <v>50</v>
      </c>
      <c r="B208" s="223">
        <f>VLOOKUP($A$195,$J$109:$O$117,3,(FALSE))</f>
        <v>0</v>
      </c>
      <c r="C208" s="223">
        <f>VLOOKUP($A$195,$J$109:$O$117,4,(FALSE))</f>
        <v>1.7</v>
      </c>
      <c r="D208" s="223">
        <f>VLOOKUP($A$195,$J$109:$O$117,5,(FALSE))</f>
        <v>0.85</v>
      </c>
      <c r="E208" s="224">
        <f>VLOOKUP($A$195,$J$109:$O$117,6,(FALSE))</f>
        <v>0.59</v>
      </c>
      <c r="F208" s="278"/>
      <c r="G208" s="279"/>
      <c r="H208" s="280">
        <f>IF(G209&lt;=$A$208,$A$207,IF(G209&lt;=$A$209,$A$208,IF(G209&lt;=$A$210,$A$209,IF(G209&lt;=$A$211,$A$210,IF(G209&lt;=$A$212,$A$211,)))))</f>
        <v>500</v>
      </c>
      <c r="I208" s="280"/>
      <c r="J208" s="281">
        <f>IF(G209&lt;=$A$208,$C$207,IF(G209&lt;=$A$209,$C$208,IF(G209&lt;=$A$210,$C$209,IF(G209&lt;=$A$211,$C$210,IF(G209&lt;=$A$212,$C$211,)))))</f>
        <v>7.2</v>
      </c>
      <c r="K208" s="278"/>
      <c r="L208" s="300"/>
      <c r="M208" s="300"/>
      <c r="N208" s="291"/>
    </row>
    <row r="209" spans="1:15" x14ac:dyDescent="0.25">
      <c r="A209" s="297">
        <f>VLOOKUP($A$195,$J$118:$O$126,2,(FALSE))</f>
        <v>100</v>
      </c>
      <c r="B209" s="223">
        <f>VLOOKUP($A$195,$J$118:$O$126,3,(FALSE))</f>
        <v>0</v>
      </c>
      <c r="C209" s="223">
        <f>VLOOKUP($A$195,$J$118:$O$126,4,(FALSE))</f>
        <v>3.4</v>
      </c>
      <c r="D209" s="223">
        <f>VLOOKUP($A$195,$J$118:$O$126,5,(FALSE))</f>
        <v>1.7</v>
      </c>
      <c r="E209" s="224">
        <f>VLOOKUP($A$195,$J$118:$O$126,6,(FALSE))</f>
        <v>0.59</v>
      </c>
      <c r="F209" s="278"/>
      <c r="G209" s="301">
        <f>L201</f>
        <v>600</v>
      </c>
      <c r="H209" s="280"/>
      <c r="I209" s="302">
        <f>((G209-H208)/(H210-H208)*(J210-J208)+J208)</f>
        <v>21.76</v>
      </c>
      <c r="J209" s="281"/>
      <c r="K209" s="278"/>
      <c r="L209" s="278"/>
      <c r="M209" s="278"/>
      <c r="N209" s="303"/>
    </row>
    <row r="210" spans="1:15" ht="13.8" thickBot="1" x14ac:dyDescent="0.3">
      <c r="A210" s="297">
        <f>VLOOKUP($A$195,$J$127:$O$135,2,(FALSE))</f>
        <v>500</v>
      </c>
      <c r="B210" s="223">
        <f>VLOOKUP($A$195,$J$127:$O$135,3,(FALSE))</f>
        <v>0</v>
      </c>
      <c r="C210" s="223">
        <f>VLOOKUP($A$195,$J$127:$O$135,4,(FALSE))</f>
        <v>7.2</v>
      </c>
      <c r="D210" s="223">
        <f>VLOOKUP($A$195,$J$127:$O$135,5,(FALSE))</f>
        <v>3.6</v>
      </c>
      <c r="E210" s="224">
        <f>VLOOKUP($A$195,$J$127:$O$135,6,(FALSE))</f>
        <v>0.59</v>
      </c>
      <c r="F210" s="278"/>
      <c r="G210" s="304"/>
      <c r="H210" s="305">
        <f>IF(G209&lt;=$A$208,$A$208,IF(G209&lt;=$A$209,$A$209,IF(G209&lt;=$A$210,$A$210,IF(G209&lt;=$A$211,$A$211,IF(G209&lt;=$A$212,$A$212,)))))</f>
        <v>1000</v>
      </c>
      <c r="I210" s="305"/>
      <c r="J210" s="306">
        <f>IF(G209&lt;=$A$208,$C$208,IF(G209&lt;=$A$209,$C$209,IF(G209&lt;=$A$210,$C$210,IF(G209&lt;=$A$211,$C$211,IF(G209&lt;=$A$212,$C$212,)))))</f>
        <v>80</v>
      </c>
      <c r="K210" s="278"/>
      <c r="L210" s="278"/>
      <c r="M210" s="278"/>
      <c r="N210" s="303"/>
    </row>
    <row r="211" spans="1:15" x14ac:dyDescent="0.25">
      <c r="A211" s="297">
        <f>VLOOKUP($A$195,$J$136:$O$144,2,(FALSE))</f>
        <v>500</v>
      </c>
      <c r="B211" s="223">
        <f>VLOOKUP($A$195,$J$136:$O$144,3,(FALSE))</f>
        <v>0</v>
      </c>
      <c r="C211" s="223">
        <f>VLOOKUP($A$195,$J$136:$O$144,4,(FALSE))</f>
        <v>7.2</v>
      </c>
      <c r="D211" s="223">
        <f>VLOOKUP($A$195,$J$136:$O$144,5,(FALSE))</f>
        <v>3.6</v>
      </c>
      <c r="E211" s="224">
        <f>VLOOKUP($A$195,$J$136:$O$144,6,(FALSE))</f>
        <v>0.59</v>
      </c>
      <c r="F211" s="278"/>
      <c r="G211" s="1056" t="s">
        <v>316</v>
      </c>
      <c r="H211" s="1057"/>
      <c r="I211" s="1057"/>
      <c r="J211" s="1058"/>
      <c r="K211" s="278"/>
      <c r="L211" s="307"/>
      <c r="M211" s="307"/>
      <c r="N211" s="228"/>
      <c r="O211" s="308"/>
    </row>
    <row r="212" spans="1:15" ht="13.8" thickBot="1" x14ac:dyDescent="0.3">
      <c r="A212" s="309">
        <f>VLOOKUP($A$195,$J$145:$O$153,2,(FALSE))</f>
        <v>1000</v>
      </c>
      <c r="B212" s="226">
        <f>VLOOKUP($A$195,$J$145:$O$153,3,(FALSE))</f>
        <v>0</v>
      </c>
      <c r="C212" s="226">
        <f>VLOOKUP($A$195,$J$145:$O$153,4,(FALSE))</f>
        <v>80</v>
      </c>
      <c r="D212" s="226">
        <f>VLOOKUP($A$195,$J$145:$O$153,5,(FALSE))</f>
        <v>40</v>
      </c>
      <c r="E212" s="227">
        <f>VLOOKUP($A$195,$J$145:$O$153,6,(FALSE))</f>
        <v>0.59</v>
      </c>
      <c r="F212" s="278"/>
      <c r="G212" s="279"/>
      <c r="H212" s="280">
        <f>IF(G213&lt;=$A$208,$A$207,IF(G213&lt;=$A$209,$A$208,IF(G213&lt;=$A$210,$A$209,IF(G213&lt;=$A$211,$A$210,IF(G213&lt;=$A$212,$A$211,)))))</f>
        <v>0</v>
      </c>
      <c r="I212" s="280"/>
      <c r="J212" s="281">
        <f>IF(G213&lt;=$A$208,$C$207,IF(G213&lt;=$A$209,$C$208,IF(G213&lt;=$A$210,$C$209,IF(G213&lt;=$A$211,$C$210,IF(G213&lt;=$A$212,$C$211,)))))</f>
        <v>0</v>
      </c>
      <c r="K212" s="278"/>
      <c r="L212" s="310"/>
      <c r="M212" s="310"/>
      <c r="N212" s="311"/>
      <c r="O212" s="312"/>
    </row>
    <row r="213" spans="1:15" x14ac:dyDescent="0.25">
      <c r="A213" s="1051" t="str">
        <f>B20</f>
        <v>Main-PE</v>
      </c>
      <c r="B213" s="1052"/>
      <c r="C213" s="1052"/>
      <c r="D213" s="355" t="s">
        <v>284</v>
      </c>
      <c r="E213" s="293" t="s">
        <v>235</v>
      </c>
      <c r="F213" s="278"/>
      <c r="G213" s="301">
        <f>L202</f>
        <v>10</v>
      </c>
      <c r="H213" s="280"/>
      <c r="I213" s="302">
        <f>((G213-H212)/(H214-H212)*(J214-J212)+J212)</f>
        <v>0.34</v>
      </c>
      <c r="J213" s="281"/>
      <c r="K213" s="278"/>
      <c r="L213" s="313"/>
      <c r="M213" s="310"/>
      <c r="N213" s="314"/>
      <c r="O213" s="315"/>
    </row>
    <row r="214" spans="1:15" ht="15" thickBot="1" x14ac:dyDescent="0.3">
      <c r="A214" s="217" t="s">
        <v>289</v>
      </c>
      <c r="B214" s="218">
        <f>B206</f>
        <v>2019</v>
      </c>
      <c r="C214" s="218">
        <f>C206</f>
        <v>2020</v>
      </c>
      <c r="D214" s="218"/>
      <c r="E214" s="296"/>
      <c r="F214" s="278"/>
      <c r="G214" s="304"/>
      <c r="H214" s="305">
        <f>IF(G213&lt;=$A$208,$A$208,IF(G213&lt;=$A$209,$A$209,IF(G213&lt;=$A$210,$A$210,IF(G213&lt;=$A$211,$A$211,IF(G213&lt;=$A$212,$A$212,)))))</f>
        <v>50</v>
      </c>
      <c r="I214" s="305"/>
      <c r="J214" s="306">
        <f>IF(G213&lt;=$A$208,$C$208,IF(G213&lt;=$A$209,$C$209,IF(G213&lt;=$A$210,$C$210,IF(G213&lt;=$A$211,$C$211,IF(G213&lt;=$A$212,$C$212,)))))</f>
        <v>1.7</v>
      </c>
      <c r="K214" s="278"/>
      <c r="L214" s="310"/>
      <c r="M214" s="310"/>
      <c r="N214" s="311"/>
      <c r="O214" s="312"/>
    </row>
    <row r="215" spans="1:15" x14ac:dyDescent="0.25">
      <c r="A215" s="297">
        <f>VLOOKUP($A$195,$B$158:$G$166,2,(FALSE))</f>
        <v>10</v>
      </c>
      <c r="B215" s="223">
        <f>VLOOKUP($A$195,$B$158:$G$166,3,(FALSE))</f>
        <v>0</v>
      </c>
      <c r="C215" s="223">
        <f>VLOOKUP($A$195,$B$158:$G$166,4,(FALSE))</f>
        <v>0</v>
      </c>
      <c r="D215" s="223">
        <f>VLOOKUP($A$195,$B$158:$G$166,5,(FALSE))</f>
        <v>0</v>
      </c>
      <c r="E215" s="316">
        <f>VLOOKUP($A$195,$B$158:$G$166,6,(FALSE))</f>
        <v>0</v>
      </c>
      <c r="F215" s="278"/>
      <c r="G215" s="1050" t="s">
        <v>316</v>
      </c>
      <c r="H215" s="1050"/>
      <c r="I215" s="1050"/>
      <c r="J215" s="1050"/>
      <c r="K215" s="278"/>
      <c r="L215" s="278"/>
      <c r="M215" s="278"/>
      <c r="N215" s="303"/>
    </row>
    <row r="216" spans="1:15" x14ac:dyDescent="0.25">
      <c r="A216" s="297">
        <f>VLOOKUP($A$195,$B$167:$G$175,2,(FALSE))</f>
        <v>20</v>
      </c>
      <c r="B216" s="223">
        <f>VLOOKUP($A$195,$B$167:$G$175,3,(FALSE))</f>
        <v>0</v>
      </c>
      <c r="C216" s="223">
        <f>VLOOKUP($A$195,$B$167:$G$175,4,(FALSE))</f>
        <v>0</v>
      </c>
      <c r="D216" s="223">
        <f>VLOOKUP($A$195,$B$167:$G$175,5,(FALSE))</f>
        <v>0</v>
      </c>
      <c r="E216" s="316">
        <f>VLOOKUP($A$195,$B$167:$G$175,6,(FALSE))</f>
        <v>0</v>
      </c>
      <c r="F216" s="278"/>
      <c r="G216" s="317"/>
      <c r="H216" s="317">
        <f>IF(G217&lt;=$A$208,$A$207,IF(G217&lt;=$A$209,$A$208,IF(G217&lt;=$A$210,$A$209,IF(G217&lt;=$A$211,$A$210,IF(G217&lt;=$A$212,$A$211,)))))</f>
        <v>0</v>
      </c>
      <c r="I216" s="317"/>
      <c r="J216" s="318">
        <f>IF(G217&lt;=$A$208,$B$207,IF(G217&lt;=$A$209,$B$208,IF(G217&lt;=$A$210,$B$209,IF(G217&lt;=$A$211,$B$210,IF(G217&lt;=$A$212,$B$211,)))))</f>
        <v>0</v>
      </c>
      <c r="K216" s="278"/>
      <c r="L216" s="278"/>
      <c r="M216" s="278"/>
      <c r="N216" s="303"/>
    </row>
    <row r="217" spans="1:15" x14ac:dyDescent="0.25">
      <c r="A217" s="297">
        <f>VLOOKUP($A$195,$B$176:$G$184,2,(FALSE))</f>
        <v>50</v>
      </c>
      <c r="B217" s="223">
        <f>VLOOKUP($A$195,$B$176:$G$184,3,(FALSE))</f>
        <v>0</v>
      </c>
      <c r="C217" s="223">
        <f>VLOOKUP($A$195,$B$176:$G$184,4,(FALSE))</f>
        <v>0</v>
      </c>
      <c r="D217" s="223">
        <f>VLOOKUP($A$195,$B$176:$G$184,5,(FALSE))</f>
        <v>0</v>
      </c>
      <c r="E217" s="316">
        <f>VLOOKUP($A$195,$B$176:$G$184,6,(FALSE))</f>
        <v>0</v>
      </c>
      <c r="F217" s="278"/>
      <c r="G217" s="318">
        <f>L203</f>
        <v>0</v>
      </c>
      <c r="H217" s="317"/>
      <c r="I217" s="318">
        <f>((G217-H216)/(H218-H216)*(J218-J216)+J216)</f>
        <v>0</v>
      </c>
      <c r="J217" s="318"/>
      <c r="K217" s="278"/>
      <c r="L217" s="278"/>
      <c r="M217" s="278"/>
      <c r="N217" s="303"/>
    </row>
    <row r="218" spans="1:15" ht="13.8" thickBot="1" x14ac:dyDescent="0.3">
      <c r="A218" s="309">
        <f>VLOOKUP($A$195,$B$185:$G$193,2,(FALSE))</f>
        <v>100</v>
      </c>
      <c r="B218" s="226">
        <f>VLOOKUP($A$195,$B$185:$G$193,3,(FALSE))</f>
        <v>0</v>
      </c>
      <c r="C218" s="226">
        <f>VLOOKUP($A$195,$B$185:$G$193,4,(FALSE))</f>
        <v>0</v>
      </c>
      <c r="D218" s="226">
        <f>VLOOKUP($A$195,$B$185:$G$193,5,(FALSE))</f>
        <v>0</v>
      </c>
      <c r="E218" s="319">
        <f>VLOOKUP($A$195,$B$185:$G$193,6,(FALSE))</f>
        <v>0</v>
      </c>
      <c r="F218" s="278"/>
      <c r="G218" s="317"/>
      <c r="H218" s="317">
        <f>IF(G217&lt;=$A$208,$A$208,IF(G217&lt;=$A$209,$A$209,IF(G217&lt;=$A$210,$A$210,IF(G217&lt;=$A$211,$A$211,IF(G217&lt;=$A$212,$A$212,)))))</f>
        <v>50</v>
      </c>
      <c r="I218" s="317"/>
      <c r="J218" s="318">
        <f>IF(G217&lt;=$A$208,$B$208,IF(G217&lt;=$A$209,$B$209,IF(G217&lt;=$A$210,$B$210,IF(G217&lt;=$A$211,$B$211,IF(G217&lt;=$A$212,$B$212,)))))</f>
        <v>0</v>
      </c>
      <c r="K218" s="278"/>
      <c r="L218" s="278"/>
      <c r="M218" s="278"/>
      <c r="N218" s="303"/>
    </row>
    <row r="219" spans="1:15" x14ac:dyDescent="0.25">
      <c r="A219" s="1051" t="str">
        <f>B26</f>
        <v>Resistance</v>
      </c>
      <c r="B219" s="1052"/>
      <c r="C219" s="1052"/>
      <c r="D219" s="355" t="s">
        <v>284</v>
      </c>
      <c r="E219" s="293" t="s">
        <v>235</v>
      </c>
      <c r="F219" s="278"/>
      <c r="G219" s="1050" t="s">
        <v>316</v>
      </c>
      <c r="H219" s="1050"/>
      <c r="I219" s="1050"/>
      <c r="J219" s="1050"/>
      <c r="K219" s="278"/>
      <c r="L219" s="278"/>
      <c r="M219" s="278"/>
      <c r="N219" s="303"/>
    </row>
    <row r="220" spans="1:15" ht="14.4" x14ac:dyDescent="0.25">
      <c r="A220" s="217" t="s">
        <v>291</v>
      </c>
      <c r="B220" s="218">
        <f>B214</f>
        <v>2019</v>
      </c>
      <c r="C220" s="218">
        <f>C214</f>
        <v>2020</v>
      </c>
      <c r="D220" s="218"/>
      <c r="E220" s="296"/>
      <c r="F220" s="278"/>
      <c r="G220" s="317"/>
      <c r="H220" s="317">
        <f>IF(G221&lt;=$A$208,$A$207,IF(G221&lt;=$A$209,$A$208,IF(G221&lt;=$A$210,$A$209,IF(G221&lt;=$A$211,$A$210,IF(G221&lt;=$A$212,$A$211,)))))</f>
        <v>0</v>
      </c>
      <c r="I220" s="317"/>
      <c r="J220" s="318">
        <f>IF(G221&lt;=$A$208,$B$207,IF(G221&lt;=$A$209,$B$208,IF(G221&lt;=$A$210,$B$209,IF(G221&lt;=$A$211,$B$210,IF(G221&lt;=$A$212,$B$211,)))))</f>
        <v>0</v>
      </c>
      <c r="K220" s="278"/>
      <c r="L220" s="278"/>
      <c r="M220" s="278"/>
      <c r="N220" s="303"/>
    </row>
    <row r="221" spans="1:15" ht="13.8" x14ac:dyDescent="0.25">
      <c r="A221" s="320">
        <f>VLOOKUP($A$195,$J$158:$O$166,2,(FALSE))</f>
        <v>0.01</v>
      </c>
      <c r="B221" s="321">
        <f>VLOOKUP($A$195,$J$158:$O$166,3,(FALSE))</f>
        <v>0</v>
      </c>
      <c r="C221" s="321">
        <f>VLOOKUP($A$195,$J$158:$O$166,4,(FALSE))</f>
        <v>0</v>
      </c>
      <c r="D221" s="321">
        <f>VLOOKUP($A$195,$J$158:$O$166,5,(FALSE))</f>
        <v>0</v>
      </c>
      <c r="E221" s="322">
        <f>VLOOKUP($A$195,$J$158:$O$166,6,(FALSE))</f>
        <v>1.2</v>
      </c>
      <c r="F221" s="278"/>
      <c r="G221" s="318">
        <f>L204</f>
        <v>0</v>
      </c>
      <c r="H221" s="317"/>
      <c r="I221" s="318">
        <f>((G221-H220)/(H222-H220)*(J222-J220)+J220)</f>
        <v>0</v>
      </c>
      <c r="J221" s="318"/>
      <c r="K221" s="278"/>
      <c r="L221" s="278"/>
      <c r="M221" s="278"/>
      <c r="N221" s="303"/>
    </row>
    <row r="222" spans="1:15" ht="13.8" x14ac:dyDescent="0.25">
      <c r="A222" s="320">
        <f>VLOOKUP($A$195,$J$167:$O$175,2,(FALSE))</f>
        <v>0.1</v>
      </c>
      <c r="B222" s="321">
        <f>VLOOKUP($A$195,$J$167:$O$175,3,(FALSE))</f>
        <v>0</v>
      </c>
      <c r="C222" s="321">
        <f>VLOOKUP($A$195,$J$167:$O$175,4,(FALSE))</f>
        <v>-2E-3</v>
      </c>
      <c r="D222" s="321">
        <f>VLOOKUP($A$195,$J$167:$O$175,5,(FALSE))</f>
        <v>1E-3</v>
      </c>
      <c r="E222" s="322">
        <f>VLOOKUP($A$195,$J$167:$O$175,6,(FALSE))</f>
        <v>1.2</v>
      </c>
      <c r="F222" s="278"/>
      <c r="G222" s="317"/>
      <c r="H222" s="317">
        <f>IF(G221&lt;=$A$208,$A$208,IF(G221&lt;=$A$209,$A$209,IF(G221&lt;=$A$210,$A$210,IF(G221&lt;=$A$211,$A$211,IF(G221&lt;=$A$212,$A$212,)))))</f>
        <v>50</v>
      </c>
      <c r="I222" s="317"/>
      <c r="J222" s="318">
        <f>IF(G221&lt;=$A$208,$B$208,IF(G221&lt;=$A$209,$B$209,IF(G221&lt;=$A$210,$B$210,IF(G221&lt;=$A$211,$B$211,IF(G221&lt;=$A$212,$B$212,)))))</f>
        <v>0</v>
      </c>
      <c r="K222" s="278"/>
      <c r="L222" s="278"/>
      <c r="M222" s="278"/>
      <c r="N222" s="303"/>
    </row>
    <row r="223" spans="1:15" ht="13.8" x14ac:dyDescent="0.25">
      <c r="A223" s="320">
        <f>VLOOKUP($A$195,$J$176:$O$184,2,(FALSE))</f>
        <v>1</v>
      </c>
      <c r="B223" s="321">
        <f>VLOOKUP($A$195,$J$176:$O$184,3,(FALSE))</f>
        <v>0</v>
      </c>
      <c r="C223" s="321">
        <f>VLOOKUP($A$195,$J$176:$O$184,4,(FALSE))</f>
        <v>-1E-3</v>
      </c>
      <c r="D223" s="321">
        <f>VLOOKUP($A$195,$J$176:$O$184,5,(FALSE))</f>
        <v>5.0000000000000001E-4</v>
      </c>
      <c r="E223" s="322">
        <f>VLOOKUP($A$195,$J$176:$O$184,6,(FALSE))</f>
        <v>1.2</v>
      </c>
      <c r="F223" s="278"/>
      <c r="G223" s="1050" t="s">
        <v>316</v>
      </c>
      <c r="H223" s="1050"/>
      <c r="I223" s="1050"/>
      <c r="J223" s="1050"/>
      <c r="K223" s="278"/>
      <c r="L223" s="278"/>
      <c r="M223" s="278"/>
      <c r="N223" s="303"/>
    </row>
    <row r="224" spans="1:15" ht="14.4" thickBot="1" x14ac:dyDescent="0.3">
      <c r="A224" s="323">
        <f>VLOOKUP($A$195,$J$185:$O$193,2,(FALSE))</f>
        <v>2</v>
      </c>
      <c r="B224" s="324">
        <f>VLOOKUP($A$195,$J$185:$O$193,3,(FALSE))</f>
        <v>0</v>
      </c>
      <c r="C224" s="325">
        <f>VLOOKUP($A$195,$J$185:$O$193,4,(FALSE))</f>
        <v>-6.0000000000000001E-3</v>
      </c>
      <c r="D224" s="325">
        <f>VLOOKUP($A$195,$J$185:$O$193,5,(FALSE))</f>
        <v>3.0000000000000001E-3</v>
      </c>
      <c r="E224" s="326">
        <f>VLOOKUP($A$195,$J$185:$O$193,6,(FALSE))</f>
        <v>1.2</v>
      </c>
      <c r="F224" s="278"/>
      <c r="G224" s="317"/>
      <c r="H224" s="317">
        <f>IF(G225&lt;=$A$208,$A$207,IF(G225&lt;=$A$209,$A$208,IF(G225&lt;=$A$210,$A$209,IF(G225&lt;=$A$211,$A$210,IF(G225&lt;=$A$212,$A$211,)))))</f>
        <v>0</v>
      </c>
      <c r="I224" s="317"/>
      <c r="J224" s="318">
        <f>IF(G225&lt;=$A$208,$B$207,IF(G225&lt;=$A$209,$B$208,IF(G225&lt;=$A$210,$B$209,IF(G225&lt;=$A$211,$B$210,IF(G225&lt;=$A$212,$B$211,)))))</f>
        <v>0</v>
      </c>
      <c r="K224" s="278"/>
      <c r="L224" s="278"/>
      <c r="M224" s="278"/>
      <c r="N224" s="303"/>
    </row>
    <row r="225" spans="1:24" x14ac:dyDescent="0.25">
      <c r="A225" s="327"/>
      <c r="B225" s="278"/>
      <c r="C225" s="278"/>
      <c r="D225" s="278"/>
      <c r="E225" s="278"/>
      <c r="F225" s="278"/>
      <c r="G225" s="318">
        <f>L205</f>
        <v>0</v>
      </c>
      <c r="H225" s="317"/>
      <c r="I225" s="318">
        <f>((G225-H224)/(H226-H224)*(J226-J224)+J224)</f>
        <v>0</v>
      </c>
      <c r="J225" s="318"/>
      <c r="K225" s="278"/>
      <c r="L225" s="278"/>
      <c r="M225" s="278"/>
      <c r="N225" s="303"/>
    </row>
    <row r="226" spans="1:24" x14ac:dyDescent="0.25">
      <c r="A226" s="327"/>
      <c r="B226" s="278"/>
      <c r="C226" s="278"/>
      <c r="D226" s="278"/>
      <c r="E226" s="278"/>
      <c r="F226" s="278"/>
      <c r="G226" s="317"/>
      <c r="H226" s="317">
        <f>IF(G225&lt;=$A$208,$A$208,IF(G225&lt;=$A$209,$A$209,IF(G225&lt;=$A$210,$A$210,IF(G225&lt;=$A$211,$A$211,IF(G225&lt;=$A$212,$A$212,)))))</f>
        <v>50</v>
      </c>
      <c r="I226" s="317"/>
      <c r="J226" s="318">
        <f>IF(G225&lt;=$A$208,$B$208,IF(G225&lt;=$A$209,$B$209,IF(G225&lt;=$A$210,$B$210,IF(G225&lt;=$A$211,$B$211,IF(G225&lt;=$A$212,$B$212,)))))</f>
        <v>0</v>
      </c>
      <c r="K226" s="278"/>
      <c r="L226" s="278"/>
      <c r="M226" s="278"/>
      <c r="N226" s="303"/>
    </row>
    <row r="227" spans="1:24" ht="15.75" customHeight="1" x14ac:dyDescent="0.25">
      <c r="A227" s="327"/>
      <c r="B227" s="278"/>
      <c r="C227" s="278"/>
      <c r="D227" s="278"/>
      <c r="E227" s="278"/>
      <c r="F227" s="278"/>
      <c r="G227" s="1050" t="s">
        <v>316</v>
      </c>
      <c r="H227" s="1050"/>
      <c r="I227" s="1050"/>
      <c r="J227" s="1050"/>
      <c r="K227" s="278"/>
      <c r="L227" s="278"/>
      <c r="M227" s="278"/>
      <c r="N227" s="303"/>
    </row>
    <row r="228" spans="1:24" x14ac:dyDescent="0.25">
      <c r="A228" s="327"/>
      <c r="B228" s="278"/>
      <c r="C228" s="278"/>
      <c r="D228" s="278"/>
      <c r="E228" s="278"/>
      <c r="F228" s="278"/>
      <c r="G228" s="317"/>
      <c r="H228" s="317">
        <f>IF(G229&lt;=$A$208,$A$207,IF(G229&lt;=$A$209,$A$208,IF(G229&lt;=$A$210,$A$209,IF(G229&lt;=$A$211,$A$210,IF(G229&lt;=$A$212,$A$211,)))))</f>
        <v>0</v>
      </c>
      <c r="I228" s="317"/>
      <c r="J228" s="318">
        <f>IF(G229&lt;=$A$208,$B$207,IF(G229&lt;=$A$209,$B$208,IF(G229&lt;=$A$210,$B$209,IF(G229&lt;=$A$211,$B$210,IF(G229&lt;=$A$212,$B$211,)))))</f>
        <v>0</v>
      </c>
      <c r="K228" s="278"/>
      <c r="L228" s="278"/>
      <c r="M228" s="278"/>
      <c r="N228" s="303"/>
    </row>
    <row r="229" spans="1:24" x14ac:dyDescent="0.25">
      <c r="A229" s="327"/>
      <c r="B229" s="278"/>
      <c r="C229" s="278"/>
      <c r="D229" s="278"/>
      <c r="E229" s="278"/>
      <c r="F229" s="278"/>
      <c r="G229" s="318">
        <f>L206</f>
        <v>0</v>
      </c>
      <c r="H229" s="317"/>
      <c r="I229" s="318">
        <f>((G229-H228)/(H230-H228)*(J230-J228)+J228)</f>
        <v>0</v>
      </c>
      <c r="J229" s="318"/>
      <c r="K229" s="278"/>
      <c r="L229" s="278"/>
      <c r="M229" s="278"/>
      <c r="N229" s="303"/>
    </row>
    <row r="230" spans="1:24" ht="13.8" thickBot="1" x14ac:dyDescent="0.3">
      <c r="A230" s="328"/>
      <c r="B230" s="329"/>
      <c r="C230" s="329"/>
      <c r="D230" s="329"/>
      <c r="E230" s="329"/>
      <c r="F230" s="329"/>
      <c r="G230" s="330"/>
      <c r="H230" s="330">
        <f>IF(G229&lt;=$A$208,$A$208,IF(G229&lt;=$A$209,$A$209,IF(G229&lt;=$A$210,$A$210,IF(G229&lt;=$A$211,$A$211,IF(G229&lt;=$A$212,$A$212,)))))</f>
        <v>50</v>
      </c>
      <c r="I230" s="330"/>
      <c r="J230" s="331">
        <f>IF(G229&lt;=$A$208,$B$208,IF(G229&lt;=$A$209,$B$209,IF(G229&lt;=$A$210,$B$210,IF(G229&lt;=$A$211,$B$211,IF(G229&lt;=$A$212,$B$212,)))))</f>
        <v>0</v>
      </c>
      <c r="K230" s="329"/>
      <c r="L230" s="329"/>
      <c r="M230" s="329"/>
      <c r="N230" s="332"/>
    </row>
    <row r="232" spans="1:24" ht="13.8" thickBot="1" x14ac:dyDescent="0.3"/>
    <row r="233" spans="1:24" ht="14.4" thickBot="1" x14ac:dyDescent="0.35">
      <c r="Q233" s="545"/>
      <c r="R233" s="545"/>
      <c r="S233" s="545"/>
    </row>
    <row r="234" spans="1:24" ht="13.8" x14ac:dyDescent="0.3">
      <c r="A234" s="1053" t="str">
        <f>ID!B63</f>
        <v>Electrical Safety Analyzer, Merek : Fluke, Model : ESA 615, SN : 4670010</v>
      </c>
      <c r="B234" s="1054"/>
      <c r="C234" s="1054"/>
      <c r="D234" s="1054"/>
      <c r="E234" s="1054"/>
      <c r="F234" s="1054"/>
      <c r="G234" s="1054"/>
      <c r="H234" s="1054"/>
      <c r="I234" s="1054"/>
      <c r="J234" s="1054"/>
      <c r="K234" s="1055"/>
      <c r="L234" s="333"/>
      <c r="M234" s="544">
        <f>A244</f>
        <v>8</v>
      </c>
      <c r="N234" s="545"/>
      <c r="O234" s="545"/>
      <c r="P234" s="545"/>
      <c r="Q234" s="336"/>
      <c r="R234" s="336"/>
      <c r="S234" s="336"/>
      <c r="T234" s="545"/>
      <c r="U234" s="545"/>
      <c r="V234" s="545"/>
      <c r="W234" s="545"/>
      <c r="X234" s="546"/>
    </row>
    <row r="235" spans="1:24" ht="14.4" x14ac:dyDescent="0.3">
      <c r="A235" s="530" t="s">
        <v>317</v>
      </c>
      <c r="B235" s="531"/>
      <c r="C235" s="532"/>
      <c r="D235" s="533"/>
      <c r="E235" s="533"/>
      <c r="F235" s="533"/>
      <c r="G235" s="533"/>
      <c r="H235" s="533"/>
      <c r="I235" s="534">
        <f>C5</f>
        <v>2019</v>
      </c>
      <c r="J235" s="534">
        <f>D5</f>
        <v>2020</v>
      </c>
      <c r="K235" s="535">
        <v>1</v>
      </c>
      <c r="L235" s="333"/>
      <c r="M235" s="334">
        <v>1</v>
      </c>
      <c r="N235" s="335" t="s">
        <v>318</v>
      </c>
      <c r="O235" s="336"/>
      <c r="P235" s="336"/>
      <c r="Q235" s="336"/>
      <c r="R235" s="336"/>
      <c r="S235" s="336"/>
      <c r="T235" s="336"/>
      <c r="U235" s="336"/>
      <c r="V235" s="336"/>
      <c r="W235" s="336"/>
      <c r="X235" s="337"/>
    </row>
    <row r="236" spans="1:24" ht="14.4" x14ac:dyDescent="0.3">
      <c r="A236" s="530" t="s">
        <v>319</v>
      </c>
      <c r="B236" s="531"/>
      <c r="C236" s="532"/>
      <c r="D236" s="533"/>
      <c r="E236" s="533"/>
      <c r="F236" s="533"/>
      <c r="G236" s="533"/>
      <c r="H236" s="533"/>
      <c r="I236" s="534">
        <f>J5</f>
        <v>2017</v>
      </c>
      <c r="J236" s="534">
        <f>K5</f>
        <v>2019</v>
      </c>
      <c r="K236" s="535">
        <v>2</v>
      </c>
      <c r="L236" s="333"/>
      <c r="M236" s="334">
        <v>2</v>
      </c>
      <c r="N236" s="335" t="s">
        <v>320</v>
      </c>
      <c r="O236" s="336"/>
      <c r="P236" s="336"/>
      <c r="Q236" s="336"/>
      <c r="R236" s="336"/>
      <c r="S236" s="336"/>
      <c r="T236" s="336"/>
      <c r="U236" s="336"/>
      <c r="V236" s="336"/>
      <c r="W236" s="336"/>
      <c r="X236" s="337"/>
    </row>
    <row r="237" spans="1:24" ht="14.4" x14ac:dyDescent="0.3">
      <c r="A237" s="530" t="s">
        <v>321</v>
      </c>
      <c r="B237" s="531"/>
      <c r="C237" s="532"/>
      <c r="D237" s="533"/>
      <c r="E237" s="533"/>
      <c r="F237" s="533"/>
      <c r="G237" s="533"/>
      <c r="H237" s="533"/>
      <c r="I237" s="534">
        <f>Q5</f>
        <v>2021</v>
      </c>
      <c r="J237" s="534">
        <f>R5</f>
        <v>2018</v>
      </c>
      <c r="K237" s="535">
        <v>3</v>
      </c>
      <c r="L237" s="333"/>
      <c r="M237" s="334">
        <v>3</v>
      </c>
      <c r="N237" s="335" t="s">
        <v>318</v>
      </c>
      <c r="O237" s="336"/>
      <c r="P237" s="336"/>
      <c r="Q237" s="336"/>
      <c r="R237" s="336"/>
      <c r="S237" s="336"/>
      <c r="T237" s="336"/>
      <c r="U237" s="336"/>
      <c r="V237" s="336"/>
      <c r="W237" s="336"/>
      <c r="X237" s="337"/>
    </row>
    <row r="238" spans="1:24" ht="14.4" x14ac:dyDescent="0.3">
      <c r="A238" s="530" t="s">
        <v>322</v>
      </c>
      <c r="B238" s="531"/>
      <c r="C238" s="532"/>
      <c r="D238" s="533"/>
      <c r="E238" s="533"/>
      <c r="F238" s="533"/>
      <c r="G238" s="533"/>
      <c r="H238" s="533"/>
      <c r="I238" s="534">
        <f>C36</f>
        <v>2021</v>
      </c>
      <c r="J238" s="534">
        <f>D36</f>
        <v>2019</v>
      </c>
      <c r="K238" s="535">
        <v>4</v>
      </c>
      <c r="L238" s="333"/>
      <c r="M238" s="334">
        <v>4</v>
      </c>
      <c r="N238" s="335" t="s">
        <v>318</v>
      </c>
      <c r="O238" s="336"/>
      <c r="P238" s="336"/>
      <c r="Q238" s="336"/>
      <c r="R238" s="336"/>
      <c r="S238" s="336"/>
      <c r="T238" s="336"/>
      <c r="U238" s="336"/>
      <c r="V238" s="336"/>
      <c r="W238" s="336"/>
      <c r="X238" s="337"/>
    </row>
    <row r="239" spans="1:24" ht="14.4" x14ac:dyDescent="0.3">
      <c r="A239" s="530" t="s">
        <v>323</v>
      </c>
      <c r="B239" s="532"/>
      <c r="C239" s="532"/>
      <c r="D239" s="533"/>
      <c r="E239" s="533"/>
      <c r="F239" s="533"/>
      <c r="G239" s="533"/>
      <c r="H239" s="533"/>
      <c r="I239" s="534">
        <f>J36</f>
        <v>2021</v>
      </c>
      <c r="J239" s="534">
        <f>K36</f>
        <v>2019</v>
      </c>
      <c r="K239" s="535">
        <v>5</v>
      </c>
      <c r="L239" s="333"/>
      <c r="M239" s="334">
        <v>5</v>
      </c>
      <c r="N239" s="335" t="s">
        <v>318</v>
      </c>
      <c r="O239" s="336"/>
      <c r="P239" s="336"/>
      <c r="Q239" s="336"/>
      <c r="R239" s="336"/>
      <c r="S239" s="336"/>
      <c r="T239" s="336"/>
      <c r="U239" s="336"/>
      <c r="V239" s="336"/>
      <c r="W239" s="336"/>
      <c r="X239" s="337"/>
    </row>
    <row r="240" spans="1:24" ht="14.4" x14ac:dyDescent="0.3">
      <c r="A240" s="530" t="s">
        <v>324</v>
      </c>
      <c r="B240" s="532"/>
      <c r="C240" s="532"/>
      <c r="D240" s="533"/>
      <c r="E240" s="533"/>
      <c r="F240" s="533"/>
      <c r="G240" s="533"/>
      <c r="H240" s="533"/>
      <c r="I240" s="534">
        <f>Q36</f>
        <v>2018</v>
      </c>
      <c r="J240" s="534">
        <f>R36</f>
        <v>2019</v>
      </c>
      <c r="K240" s="535">
        <v>6</v>
      </c>
      <c r="L240" s="333"/>
      <c r="M240" s="334">
        <v>6</v>
      </c>
      <c r="N240" s="335" t="s">
        <v>318</v>
      </c>
      <c r="O240" s="336"/>
      <c r="P240" s="336"/>
      <c r="Q240" s="336"/>
      <c r="R240" s="336"/>
      <c r="S240" s="336"/>
      <c r="T240" s="336"/>
      <c r="U240" s="336"/>
      <c r="V240" s="336"/>
      <c r="W240" s="336"/>
      <c r="X240" s="337"/>
    </row>
    <row r="241" spans="1:24" ht="14.4" x14ac:dyDescent="0.3">
      <c r="A241" s="530" t="s">
        <v>325</v>
      </c>
      <c r="B241" s="532"/>
      <c r="C241" s="532"/>
      <c r="D241" s="533"/>
      <c r="E241" s="533"/>
      <c r="F241" s="533"/>
      <c r="G241" s="533"/>
      <c r="H241" s="533"/>
      <c r="I241" s="534">
        <f>C67</f>
        <v>2019</v>
      </c>
      <c r="J241" s="534">
        <f>D67</f>
        <v>2020</v>
      </c>
      <c r="K241" s="535">
        <v>7</v>
      </c>
      <c r="L241" s="333"/>
      <c r="M241" s="334">
        <v>7</v>
      </c>
      <c r="N241" s="335" t="s">
        <v>318</v>
      </c>
      <c r="O241" s="336"/>
      <c r="P241" s="336"/>
      <c r="Q241" s="336"/>
      <c r="R241" s="336"/>
      <c r="S241" s="336"/>
      <c r="T241" s="336"/>
      <c r="U241" s="336"/>
      <c r="V241" s="336"/>
      <c r="W241" s="336"/>
      <c r="X241" s="337"/>
    </row>
    <row r="242" spans="1:24" ht="14.4" x14ac:dyDescent="0.3">
      <c r="A242" s="530" t="s">
        <v>118</v>
      </c>
      <c r="B242" s="532"/>
      <c r="C242" s="532"/>
      <c r="D242" s="533"/>
      <c r="E242" s="533"/>
      <c r="F242" s="533"/>
      <c r="G242" s="533"/>
      <c r="H242" s="533"/>
      <c r="I242" s="534">
        <f>J67</f>
        <v>2019</v>
      </c>
      <c r="J242" s="534">
        <f>K67</f>
        <v>2020</v>
      </c>
      <c r="K242" s="535">
        <v>8</v>
      </c>
      <c r="L242" s="333"/>
      <c r="M242" s="334">
        <v>8</v>
      </c>
      <c r="N242" s="335" t="s">
        <v>318</v>
      </c>
      <c r="O242" s="336"/>
      <c r="P242" s="336"/>
      <c r="Q242" s="336"/>
      <c r="R242" s="336"/>
      <c r="S242" s="336"/>
      <c r="T242" s="336"/>
      <c r="U242" s="336"/>
      <c r="V242" s="336"/>
      <c r="W242" s="336"/>
      <c r="X242" s="337"/>
    </row>
    <row r="243" spans="1:24" ht="15" thickBot="1" x14ac:dyDescent="0.35">
      <c r="A243" s="530" t="s">
        <v>326</v>
      </c>
      <c r="B243" s="532"/>
      <c r="C243" s="532"/>
      <c r="D243" s="533"/>
      <c r="E243" s="533"/>
      <c r="F243" s="533"/>
      <c r="G243" s="533"/>
      <c r="H243" s="533"/>
      <c r="I243" s="534">
        <f>Q67</f>
        <v>2019</v>
      </c>
      <c r="J243" s="534">
        <f>R67</f>
        <v>2020</v>
      </c>
      <c r="K243" s="535">
        <v>9</v>
      </c>
      <c r="L243" s="333"/>
      <c r="M243" s="334">
        <v>9</v>
      </c>
      <c r="N243" s="335" t="s">
        <v>318</v>
      </c>
      <c r="O243" s="336"/>
      <c r="P243" s="336"/>
      <c r="Q243" s="339"/>
      <c r="R243" s="339"/>
      <c r="S243" s="339"/>
      <c r="T243" s="336"/>
      <c r="U243" s="336"/>
      <c r="V243" s="336"/>
      <c r="W243" s="336"/>
      <c r="X243" s="337"/>
    </row>
    <row r="244" spans="1:24" ht="14.4" thickBot="1" x14ac:dyDescent="0.35">
      <c r="A244" s="1047">
        <f>VLOOKUP(A234,A235:K243,11,(FALSE))</f>
        <v>8</v>
      </c>
      <c r="B244" s="1048"/>
      <c r="C244" s="1048"/>
      <c r="D244" s="1048"/>
      <c r="E244" s="1048"/>
      <c r="F244" s="1048"/>
      <c r="G244" s="1048"/>
      <c r="H244" s="1048"/>
      <c r="I244" s="1048"/>
      <c r="J244" s="1048"/>
      <c r="K244" s="1049"/>
      <c r="L244" s="333"/>
      <c r="M244" s="338" t="str">
        <f>VLOOKUP(M234,M235:X243,2,FALSE)</f>
        <v>Hasil pengujian Keselamatan Listrik tertelusur ke Satuan Internasional ( SI ) melalui PT. Kaliman (LK-032-IDN)</v>
      </c>
      <c r="N244" s="339"/>
      <c r="O244" s="339"/>
      <c r="P244" s="339"/>
      <c r="Q244" s="333"/>
      <c r="R244" s="333"/>
      <c r="S244" s="333"/>
      <c r="T244" s="339"/>
      <c r="U244" s="339"/>
      <c r="V244" s="339"/>
      <c r="W244" s="339"/>
      <c r="X244" s="340"/>
    </row>
    <row r="245" spans="1:24" x14ac:dyDescent="0.25">
      <c r="A245" s="333"/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</row>
    <row r="246" spans="1:24" x14ac:dyDescent="0.25">
      <c r="A246" s="333"/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33"/>
      <c r="P246" s="333"/>
      <c r="Q246" s="333"/>
      <c r="R246" s="333"/>
      <c r="S246" s="333"/>
      <c r="T246" s="333"/>
      <c r="U246" s="333"/>
      <c r="V246" s="333"/>
      <c r="W246" s="333"/>
      <c r="X246" s="333"/>
    </row>
    <row r="247" spans="1:24" x14ac:dyDescent="0.25">
      <c r="A247" s="333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3"/>
      <c r="N247" s="333"/>
      <c r="O247" s="333"/>
      <c r="P247" s="333"/>
      <c r="Q247" s="333"/>
      <c r="R247" s="333"/>
      <c r="S247" s="333"/>
      <c r="T247" s="333"/>
      <c r="U247" s="333"/>
      <c r="V247" s="333"/>
      <c r="W247" s="333"/>
      <c r="X247" s="333"/>
    </row>
    <row r="248" spans="1:24" x14ac:dyDescent="0.25">
      <c r="A248" s="333"/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3"/>
      <c r="N248" s="333"/>
      <c r="O248" s="333"/>
      <c r="P248" s="333"/>
      <c r="Q248" s="333"/>
      <c r="R248" s="333"/>
      <c r="S248" s="333"/>
      <c r="T248" s="333"/>
      <c r="U248" s="333"/>
      <c r="V248" s="333"/>
      <c r="W248" s="333"/>
      <c r="X248" s="333"/>
    </row>
    <row r="249" spans="1:24" x14ac:dyDescent="0.25">
      <c r="A249" s="333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3"/>
      <c r="N249" s="333"/>
      <c r="O249" s="333"/>
      <c r="P249" s="333"/>
      <c r="T249" s="333"/>
      <c r="U249" s="333"/>
      <c r="V249" s="333"/>
      <c r="W249" s="333"/>
      <c r="X249" s="333"/>
    </row>
  </sheetData>
  <sheetProtection algorithmName="SHA-512" hashValue="5AKdvEhTjsufb1+ILjoilEaZ9yAtq73k34VdtJ/wdzLZuKvF7qEdDBJ2EQqcPMtPMgPhPd0ml1HmjCDcD3j+CA==" saltValue="rQ4MEfIyxKFKAT9ESOWz5w==" spinCount="100000" sheet="1" objects="1" scenarios="1"/>
  <mergeCells count="182">
    <mergeCell ref="Q195:Q196"/>
    <mergeCell ref="Q198:S198"/>
    <mergeCell ref="R195:S196"/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A244:K244"/>
    <mergeCell ref="G215:J215"/>
    <mergeCell ref="A219:C219"/>
    <mergeCell ref="G219:J219"/>
    <mergeCell ref="G223:J223"/>
    <mergeCell ref="G227:J227"/>
    <mergeCell ref="A234:K234"/>
    <mergeCell ref="G199:J199"/>
    <mergeCell ref="G203:J203"/>
    <mergeCell ref="A205:C205"/>
    <mergeCell ref="G207:J207"/>
    <mergeCell ref="G211:J211"/>
    <mergeCell ref="A213:C2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LK</vt:lpstr>
      <vt:lpstr>Riwayat Revisi</vt:lpstr>
      <vt:lpstr>ID</vt:lpstr>
      <vt:lpstr>SERTIFIKAT</vt:lpstr>
      <vt:lpstr>UB</vt:lpstr>
      <vt:lpstr>PENYELIA</vt:lpstr>
      <vt:lpstr>DB Thermohygro</vt:lpstr>
      <vt:lpstr>LH</vt:lpstr>
      <vt:lpstr>DB Kelistrikan</vt:lpstr>
      <vt:lpstr>Data Parameter</vt:lpstr>
      <vt:lpstr>ID!Print_Area</vt:lpstr>
      <vt:lpstr>LH!Print_Area</vt:lpstr>
      <vt:lpstr>LK!Print_Area</vt:lpstr>
      <vt:lpstr>PENYELIA!Print_Area</vt:lpstr>
      <vt:lpstr>UB!Print_Area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Photometer</dc:title>
  <dc:subject/>
  <dc:creator>Isra Mahensa</dc:creator>
  <cp:keywords/>
  <dc:description/>
  <cp:lastModifiedBy>Developer</cp:lastModifiedBy>
  <cp:revision/>
  <dcterms:created xsi:type="dcterms:W3CDTF">2015-02-16T06:59:49Z</dcterms:created>
  <dcterms:modified xsi:type="dcterms:W3CDTF">2023-12-06T02:01:46Z</dcterms:modified>
  <cp:category>AlatLaboratorium</cp:category>
  <cp:contentStatus/>
</cp:coreProperties>
</file>